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J:\PAYMENTS\PSFA26\"/>
    </mc:Choice>
  </mc:AlternateContent>
  <xr:revisionPtr revIDLastSave="0" documentId="8_{9D041731-823E-44D6-9CB2-EA619F1F889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harter School Funding Model" sheetId="1" r:id="rId1"/>
    <sheet name="New Formula with HB25-1320" sheetId="2" r:id="rId2"/>
    <sheet name="FY26SFA1994" sheetId="3" r:id="rId3"/>
    <sheet name="DistCalc" sheetId="4" state="hidden" r:id="rId4"/>
    <sheet name="OldFormDistCalc" sheetId="5" state="hidden" r:id="rId5"/>
    <sheet name="PriorYR_FTE2" sheetId="6" state="hidden" r:id="rId6"/>
  </sheets>
  <definedNames>
    <definedName name="DISTRICT" localSheetId="2">#REF!</definedName>
    <definedName name="DISTRICT" localSheetId="1">#REF!</definedName>
    <definedName name="DISTRICT" localSheetId="4">#REF!</definedName>
    <definedName name="DISTRICT">#REF!</definedName>
    <definedName name="MILL" localSheetId="2">#REF!</definedName>
    <definedName name="MILL" localSheetId="1">#REF!</definedName>
    <definedName name="MILL" localSheetId="4">#REF!</definedName>
    <definedName name="MILL">#REF!</definedName>
    <definedName name="MOUNTAIN" localSheetId="2">#REF!</definedName>
    <definedName name="MOUNTAIN" localSheetId="1">#REF!</definedName>
    <definedName name="MOUNTAIN" localSheetId="4">#REF!</definedName>
    <definedName name="MOUNTAIN">#REF!</definedName>
    <definedName name="OUTLAY" localSheetId="2">#REF!</definedName>
    <definedName name="OUTLAY" localSheetId="1">#REF!</definedName>
    <definedName name="OUTLAY" localSheetId="4">#REF!</definedName>
    <definedName name="OUTLAY">#REF!</definedName>
    <definedName name="RURAL" localSheetId="2">#REF!</definedName>
    <definedName name="RURAL" localSheetId="1">#REF!</definedName>
    <definedName name="RURAL" localSheetId="4">#REF!</definedName>
    <definedName name="RURAL">#REF!</definedName>
    <definedName name="SUMMARY">#REF!</definedName>
    <definedName name="URBAN" localSheetId="2">#REF!</definedName>
    <definedName name="URBAN" localSheetId="1">#REF!</definedName>
    <definedName name="URBAN" localSheetId="4">#REF!</definedName>
    <definedName name="URBA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D2" i="1" a="1"/>
  <c r="D2" i="1" s="1"/>
  <c r="E5" i="1"/>
  <c r="E15" i="1"/>
  <c r="K15" i="1"/>
  <c r="M15" i="1"/>
  <c r="O15" i="1" a="1"/>
  <c r="O15" i="1" s="1"/>
  <c r="Q15" i="1" s="1"/>
  <c r="E16" i="1"/>
  <c r="K16" i="1"/>
  <c r="M16" i="1"/>
  <c r="O16" i="1" a="1"/>
  <c r="O16" i="1" s="1"/>
  <c r="Q16" i="1" s="1"/>
  <c r="E17" i="1"/>
  <c r="K17" i="1"/>
  <c r="M17" i="1"/>
  <c r="O17" i="1" a="1"/>
  <c r="O17" i="1" s="1"/>
  <c r="Q17" i="1" s="1"/>
  <c r="E18" i="1"/>
  <c r="K18" i="1"/>
  <c r="M18" i="1"/>
  <c r="O18" i="1" a="1"/>
  <c r="O18" i="1" s="1"/>
  <c r="Q18" i="1" s="1"/>
  <c r="E19" i="1"/>
  <c r="K19" i="1"/>
  <c r="M19" i="1"/>
  <c r="O19" i="1" a="1"/>
  <c r="O19" i="1" s="1"/>
  <c r="Q19" i="1" s="1"/>
  <c r="B2" i="1"/>
  <c r="FX332" i="5"/>
  <c r="FW332" i="5"/>
  <c r="FV332" i="5"/>
  <c r="FU332" i="5"/>
  <c r="FT332" i="5"/>
  <c r="FS332" i="5"/>
  <c r="FR332" i="5"/>
  <c r="FQ332" i="5"/>
  <c r="FP332" i="5"/>
  <c r="FO332" i="5"/>
  <c r="FN332" i="5"/>
  <c r="FM332" i="5"/>
  <c r="FL332" i="5"/>
  <c r="FK332" i="5"/>
  <c r="FJ332" i="5"/>
  <c r="FI332" i="5"/>
  <c r="FH332" i="5"/>
  <c r="FG332" i="5"/>
  <c r="FF332" i="5"/>
  <c r="FE332" i="5"/>
  <c r="FD332" i="5"/>
  <c r="FC332" i="5"/>
  <c r="FB332" i="5"/>
  <c r="FA332" i="5"/>
  <c r="EZ332" i="5"/>
  <c r="EY332" i="5"/>
  <c r="EX332" i="5"/>
  <c r="EW332" i="5"/>
  <c r="EV332" i="5"/>
  <c r="EU332" i="5"/>
  <c r="ET332" i="5"/>
  <c r="ES332" i="5"/>
  <c r="ER332" i="5"/>
  <c r="EQ332" i="5"/>
  <c r="EP332" i="5"/>
  <c r="EO332" i="5"/>
  <c r="EN332" i="5"/>
  <c r="EM332" i="5"/>
  <c r="EL332" i="5"/>
  <c r="EK332" i="5"/>
  <c r="EJ332" i="5"/>
  <c r="EI332" i="5"/>
  <c r="EH332" i="5"/>
  <c r="EG332" i="5"/>
  <c r="EF332" i="5"/>
  <c r="EE332" i="5"/>
  <c r="ED332" i="5"/>
  <c r="EC332" i="5"/>
  <c r="EB332" i="5"/>
  <c r="EA332" i="5"/>
  <c r="DZ332" i="5"/>
  <c r="DY332" i="5"/>
  <c r="DX332" i="5"/>
  <c r="DW332" i="5"/>
  <c r="DV332" i="5"/>
  <c r="DU332" i="5"/>
  <c r="DT332" i="5"/>
  <c r="DS332" i="5"/>
  <c r="DR332" i="5"/>
  <c r="DQ332" i="5"/>
  <c r="DP332" i="5"/>
  <c r="DO332" i="5"/>
  <c r="DN332" i="5"/>
  <c r="DM332" i="5"/>
  <c r="DL332" i="5"/>
  <c r="DK332" i="5"/>
  <c r="DJ332" i="5"/>
  <c r="DI332" i="5"/>
  <c r="DH332" i="5"/>
  <c r="DG332" i="5"/>
  <c r="DF332" i="5"/>
  <c r="DE332" i="5"/>
  <c r="DD332" i="5"/>
  <c r="DC332" i="5"/>
  <c r="DB332" i="5"/>
  <c r="DA332" i="5"/>
  <c r="CZ332" i="5"/>
  <c r="CY332" i="5"/>
  <c r="CX332" i="5"/>
  <c r="CW332" i="5"/>
  <c r="CV332" i="5"/>
  <c r="CU332" i="5"/>
  <c r="CT332" i="5"/>
  <c r="CS332" i="5"/>
  <c r="CR332" i="5"/>
  <c r="CQ332" i="5"/>
  <c r="CP332" i="5"/>
  <c r="CO332" i="5"/>
  <c r="CN332" i="5"/>
  <c r="CM332" i="5"/>
  <c r="CL332" i="5"/>
  <c r="CK332" i="5"/>
  <c r="CJ332" i="5"/>
  <c r="CI332" i="5"/>
  <c r="CH332" i="5"/>
  <c r="CG332" i="5"/>
  <c r="CF332" i="5"/>
  <c r="CE332" i="5"/>
  <c r="CD332" i="5"/>
  <c r="CC332" i="5"/>
  <c r="CB332" i="5"/>
  <c r="CA332" i="5"/>
  <c r="BZ332" i="5"/>
  <c r="BY332" i="5"/>
  <c r="BX332" i="5"/>
  <c r="BW332" i="5"/>
  <c r="BV332" i="5"/>
  <c r="BU332" i="5"/>
  <c r="BT332" i="5"/>
  <c r="BS332" i="5"/>
  <c r="BR332" i="5"/>
  <c r="BQ332" i="5"/>
  <c r="BP332" i="5"/>
  <c r="BO332" i="5"/>
  <c r="BN332" i="5"/>
  <c r="BM332" i="5"/>
  <c r="BL332" i="5"/>
  <c r="BK332" i="5"/>
  <c r="BJ332" i="5"/>
  <c r="BI332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FX330" i="5"/>
  <c r="FW330" i="5"/>
  <c r="FV330" i="5"/>
  <c r="FU330" i="5"/>
  <c r="FT330" i="5"/>
  <c r="FS330" i="5"/>
  <c r="FR330" i="5"/>
  <c r="FQ330" i="5"/>
  <c r="FP330" i="5"/>
  <c r="FO330" i="5"/>
  <c r="FN330" i="5"/>
  <c r="FM330" i="5"/>
  <c r="FL330" i="5"/>
  <c r="FK330" i="5"/>
  <c r="FJ330" i="5"/>
  <c r="FI330" i="5"/>
  <c r="FH330" i="5"/>
  <c r="FG330" i="5"/>
  <c r="FF330" i="5"/>
  <c r="FE330" i="5"/>
  <c r="FD330" i="5"/>
  <c r="FC330" i="5"/>
  <c r="FB330" i="5"/>
  <c r="FA330" i="5"/>
  <c r="EZ330" i="5"/>
  <c r="EY330" i="5"/>
  <c r="EX330" i="5"/>
  <c r="EW330" i="5"/>
  <c r="EV330" i="5"/>
  <c r="EU330" i="5"/>
  <c r="ET330" i="5"/>
  <c r="ES330" i="5"/>
  <c r="ER330" i="5"/>
  <c r="EQ330" i="5"/>
  <c r="EP330" i="5"/>
  <c r="EO330" i="5"/>
  <c r="EN330" i="5"/>
  <c r="EM330" i="5"/>
  <c r="EL330" i="5"/>
  <c r="EK330" i="5"/>
  <c r="EJ330" i="5"/>
  <c r="EI330" i="5"/>
  <c r="EH330" i="5"/>
  <c r="EG330" i="5"/>
  <c r="EF330" i="5"/>
  <c r="EE330" i="5"/>
  <c r="ED330" i="5"/>
  <c r="EC330" i="5"/>
  <c r="EB330" i="5"/>
  <c r="EA330" i="5"/>
  <c r="DZ330" i="5"/>
  <c r="DY330" i="5"/>
  <c r="DX330" i="5"/>
  <c r="DW330" i="5"/>
  <c r="DV330" i="5"/>
  <c r="DU330" i="5"/>
  <c r="DT330" i="5"/>
  <c r="DS330" i="5"/>
  <c r="DR330" i="5"/>
  <c r="DQ330" i="5"/>
  <c r="DP330" i="5"/>
  <c r="DO330" i="5"/>
  <c r="DN330" i="5"/>
  <c r="DM330" i="5"/>
  <c r="DL330" i="5"/>
  <c r="DK330" i="5"/>
  <c r="DJ330" i="5"/>
  <c r="DI330" i="5"/>
  <c r="DH330" i="5"/>
  <c r="DG330" i="5"/>
  <c r="DF330" i="5"/>
  <c r="DE330" i="5"/>
  <c r="DD330" i="5"/>
  <c r="DC330" i="5"/>
  <c r="DB330" i="5"/>
  <c r="DA330" i="5"/>
  <c r="CZ330" i="5"/>
  <c r="CY330" i="5"/>
  <c r="CX330" i="5"/>
  <c r="CW330" i="5"/>
  <c r="CV330" i="5"/>
  <c r="CU330" i="5"/>
  <c r="CT330" i="5"/>
  <c r="CS330" i="5"/>
  <c r="CR330" i="5"/>
  <c r="CQ330" i="5"/>
  <c r="CP330" i="5"/>
  <c r="CO330" i="5"/>
  <c r="CN330" i="5"/>
  <c r="CM330" i="5"/>
  <c r="CL330" i="5"/>
  <c r="CK330" i="5"/>
  <c r="CJ330" i="5"/>
  <c r="CI330" i="5"/>
  <c r="CH330" i="5"/>
  <c r="CG330" i="5"/>
  <c r="CF330" i="5"/>
  <c r="CE330" i="5"/>
  <c r="CD330" i="5"/>
  <c r="CC330" i="5"/>
  <c r="CB330" i="5"/>
  <c r="CA330" i="5"/>
  <c r="BZ330" i="5"/>
  <c r="BY330" i="5"/>
  <c r="BX330" i="5"/>
  <c r="BW330" i="5"/>
  <c r="BV330" i="5"/>
  <c r="BU330" i="5"/>
  <c r="BT330" i="5"/>
  <c r="BS330" i="5"/>
  <c r="BR330" i="5"/>
  <c r="BQ330" i="5"/>
  <c r="BP330" i="5"/>
  <c r="BO330" i="5"/>
  <c r="BN330" i="5"/>
  <c r="BM330" i="5"/>
  <c r="BL330" i="5"/>
  <c r="BK330" i="5"/>
  <c r="BJ330" i="5"/>
  <c r="BI330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FX328" i="5"/>
  <c r="FW328" i="5"/>
  <c r="FV328" i="5"/>
  <c r="FU328" i="5"/>
  <c r="FT328" i="5"/>
  <c r="FS328" i="5"/>
  <c r="FR328" i="5"/>
  <c r="FQ328" i="5"/>
  <c r="FP328" i="5"/>
  <c r="FO328" i="5"/>
  <c r="FN328" i="5"/>
  <c r="FM328" i="5"/>
  <c r="FL328" i="5"/>
  <c r="FK328" i="5"/>
  <c r="FJ328" i="5"/>
  <c r="FI328" i="5"/>
  <c r="FH328" i="5"/>
  <c r="FG328" i="5"/>
  <c r="FF328" i="5"/>
  <c r="FE328" i="5"/>
  <c r="FD328" i="5"/>
  <c r="FC328" i="5"/>
  <c r="FB328" i="5"/>
  <c r="FA328" i="5"/>
  <c r="EZ328" i="5"/>
  <c r="EY328" i="5"/>
  <c r="EX328" i="5"/>
  <c r="EW328" i="5"/>
  <c r="EV328" i="5"/>
  <c r="EU328" i="5"/>
  <c r="ET328" i="5"/>
  <c r="ES328" i="5"/>
  <c r="ER328" i="5"/>
  <c r="EQ328" i="5"/>
  <c r="EP328" i="5"/>
  <c r="EO328" i="5"/>
  <c r="EN328" i="5"/>
  <c r="EM328" i="5"/>
  <c r="EL328" i="5"/>
  <c r="EK328" i="5"/>
  <c r="EJ328" i="5"/>
  <c r="EI328" i="5"/>
  <c r="EH328" i="5"/>
  <c r="EG328" i="5"/>
  <c r="EF328" i="5"/>
  <c r="EE328" i="5"/>
  <c r="ED328" i="5"/>
  <c r="EC328" i="5"/>
  <c r="EB328" i="5"/>
  <c r="EA328" i="5"/>
  <c r="DZ328" i="5"/>
  <c r="DY328" i="5"/>
  <c r="DX328" i="5"/>
  <c r="DW328" i="5"/>
  <c r="DV328" i="5"/>
  <c r="DU328" i="5"/>
  <c r="DT328" i="5"/>
  <c r="DS328" i="5"/>
  <c r="DR328" i="5"/>
  <c r="DQ328" i="5"/>
  <c r="DP328" i="5"/>
  <c r="DO328" i="5"/>
  <c r="DN328" i="5"/>
  <c r="DM328" i="5"/>
  <c r="DL328" i="5"/>
  <c r="DK328" i="5"/>
  <c r="DJ328" i="5"/>
  <c r="DI328" i="5"/>
  <c r="DH328" i="5"/>
  <c r="DG328" i="5"/>
  <c r="DF328" i="5"/>
  <c r="DE328" i="5"/>
  <c r="DD328" i="5"/>
  <c r="DC328" i="5"/>
  <c r="DB328" i="5"/>
  <c r="DA328" i="5"/>
  <c r="CZ328" i="5"/>
  <c r="CY328" i="5"/>
  <c r="CX328" i="5"/>
  <c r="CW328" i="5"/>
  <c r="CV328" i="5"/>
  <c r="CU328" i="5"/>
  <c r="CT328" i="5"/>
  <c r="CS328" i="5"/>
  <c r="CR328" i="5"/>
  <c r="CQ328" i="5"/>
  <c r="CP328" i="5"/>
  <c r="CO328" i="5"/>
  <c r="CN328" i="5"/>
  <c r="CM328" i="5"/>
  <c r="CL328" i="5"/>
  <c r="CK328" i="5"/>
  <c r="CJ328" i="5"/>
  <c r="CI328" i="5"/>
  <c r="CH328" i="5"/>
  <c r="CG328" i="5"/>
  <c r="CF328" i="5"/>
  <c r="CE328" i="5"/>
  <c r="CD328" i="5"/>
  <c r="CC328" i="5"/>
  <c r="CB328" i="5"/>
  <c r="CA328" i="5"/>
  <c r="BZ328" i="5"/>
  <c r="BY328" i="5"/>
  <c r="BX328" i="5"/>
  <c r="BW328" i="5"/>
  <c r="BV328" i="5"/>
  <c r="BU328" i="5"/>
  <c r="BT328" i="5"/>
  <c r="BS328" i="5"/>
  <c r="BR328" i="5"/>
  <c r="BQ328" i="5"/>
  <c r="BP328" i="5"/>
  <c r="BO328" i="5"/>
  <c r="BN328" i="5"/>
  <c r="BM328" i="5"/>
  <c r="BL328" i="5"/>
  <c r="BK328" i="5"/>
  <c r="BJ328" i="5"/>
  <c r="BI328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FX327" i="5"/>
  <c r="FW327" i="5"/>
  <c r="FV327" i="5"/>
  <c r="FU327" i="5"/>
  <c r="FT327" i="5"/>
  <c r="FS327" i="5"/>
  <c r="FR327" i="5"/>
  <c r="FQ327" i="5"/>
  <c r="FP327" i="5"/>
  <c r="FO327" i="5"/>
  <c r="FN327" i="5"/>
  <c r="FM327" i="5"/>
  <c r="FL327" i="5"/>
  <c r="FK327" i="5"/>
  <c r="FJ327" i="5"/>
  <c r="FI327" i="5"/>
  <c r="FH327" i="5"/>
  <c r="FG327" i="5"/>
  <c r="FF327" i="5"/>
  <c r="FE327" i="5"/>
  <c r="FD327" i="5"/>
  <c r="FC327" i="5"/>
  <c r="FB327" i="5"/>
  <c r="FA327" i="5"/>
  <c r="EZ327" i="5"/>
  <c r="EY327" i="5"/>
  <c r="EX327" i="5"/>
  <c r="EW327" i="5"/>
  <c r="EV327" i="5"/>
  <c r="EU327" i="5"/>
  <c r="ET327" i="5"/>
  <c r="ES327" i="5"/>
  <c r="ER327" i="5"/>
  <c r="EQ327" i="5"/>
  <c r="EP327" i="5"/>
  <c r="EO327" i="5"/>
  <c r="EN327" i="5"/>
  <c r="EM327" i="5"/>
  <c r="EL327" i="5"/>
  <c r="EK327" i="5"/>
  <c r="EJ327" i="5"/>
  <c r="EI327" i="5"/>
  <c r="EH327" i="5"/>
  <c r="EG327" i="5"/>
  <c r="EF327" i="5"/>
  <c r="EE327" i="5"/>
  <c r="ED327" i="5"/>
  <c r="EC327" i="5"/>
  <c r="EB327" i="5"/>
  <c r="EA327" i="5"/>
  <c r="DZ327" i="5"/>
  <c r="DY327" i="5"/>
  <c r="DX327" i="5"/>
  <c r="DW327" i="5"/>
  <c r="DV327" i="5"/>
  <c r="DU327" i="5"/>
  <c r="DT327" i="5"/>
  <c r="DS327" i="5"/>
  <c r="DR327" i="5"/>
  <c r="DQ327" i="5"/>
  <c r="DP327" i="5"/>
  <c r="DO327" i="5"/>
  <c r="DN327" i="5"/>
  <c r="DM327" i="5"/>
  <c r="DL327" i="5"/>
  <c r="DK327" i="5"/>
  <c r="DJ327" i="5"/>
  <c r="DI327" i="5"/>
  <c r="DH327" i="5"/>
  <c r="DG327" i="5"/>
  <c r="DF327" i="5"/>
  <c r="DE327" i="5"/>
  <c r="DD327" i="5"/>
  <c r="DC327" i="5"/>
  <c r="DB327" i="5"/>
  <c r="DA327" i="5"/>
  <c r="CZ327" i="5"/>
  <c r="CY327" i="5"/>
  <c r="CX327" i="5"/>
  <c r="CW327" i="5"/>
  <c r="CV327" i="5"/>
  <c r="CU327" i="5"/>
  <c r="CT327" i="5"/>
  <c r="CS327" i="5"/>
  <c r="CR327" i="5"/>
  <c r="CQ327" i="5"/>
  <c r="CP327" i="5"/>
  <c r="CO327" i="5"/>
  <c r="CN327" i="5"/>
  <c r="CM327" i="5"/>
  <c r="CL327" i="5"/>
  <c r="CK327" i="5"/>
  <c r="CJ327" i="5"/>
  <c r="CI327" i="5"/>
  <c r="CH327" i="5"/>
  <c r="CG327" i="5"/>
  <c r="CF327" i="5"/>
  <c r="CE327" i="5"/>
  <c r="CD327" i="5"/>
  <c r="CC327" i="5"/>
  <c r="CB327" i="5"/>
  <c r="CA327" i="5"/>
  <c r="BZ327" i="5"/>
  <c r="BY327" i="5"/>
  <c r="BX327" i="5"/>
  <c r="BW327" i="5"/>
  <c r="BV327" i="5"/>
  <c r="BU327" i="5"/>
  <c r="BT327" i="5"/>
  <c r="BS327" i="5"/>
  <c r="BR327" i="5"/>
  <c r="BQ327" i="5"/>
  <c r="BP327" i="5"/>
  <c r="BO327" i="5"/>
  <c r="BN327" i="5"/>
  <c r="BM327" i="5"/>
  <c r="BL327" i="5"/>
  <c r="BK327" i="5"/>
  <c r="BJ327" i="5"/>
  <c r="BI327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FX326" i="5"/>
  <c r="FW326" i="5"/>
  <c r="FV326" i="5"/>
  <c r="FU326" i="5"/>
  <c r="FT326" i="5"/>
  <c r="FS326" i="5"/>
  <c r="FR326" i="5"/>
  <c r="FQ326" i="5"/>
  <c r="FP326" i="5"/>
  <c r="FO326" i="5"/>
  <c r="FN326" i="5"/>
  <c r="FM326" i="5"/>
  <c r="FL326" i="5"/>
  <c r="FK326" i="5"/>
  <c r="FJ326" i="5"/>
  <c r="FI326" i="5"/>
  <c r="FH326" i="5"/>
  <c r="FG326" i="5"/>
  <c r="FF326" i="5"/>
  <c r="FE326" i="5"/>
  <c r="FD326" i="5"/>
  <c r="FC326" i="5"/>
  <c r="FB326" i="5"/>
  <c r="FA326" i="5"/>
  <c r="EZ326" i="5"/>
  <c r="EY326" i="5"/>
  <c r="EX326" i="5"/>
  <c r="EW326" i="5"/>
  <c r="EV326" i="5"/>
  <c r="EU326" i="5"/>
  <c r="ET326" i="5"/>
  <c r="ES326" i="5"/>
  <c r="ER326" i="5"/>
  <c r="EQ326" i="5"/>
  <c r="EP326" i="5"/>
  <c r="EO326" i="5"/>
  <c r="EN326" i="5"/>
  <c r="EM326" i="5"/>
  <c r="EL326" i="5"/>
  <c r="EK326" i="5"/>
  <c r="EJ326" i="5"/>
  <c r="EI326" i="5"/>
  <c r="EH326" i="5"/>
  <c r="EG326" i="5"/>
  <c r="EF326" i="5"/>
  <c r="EE326" i="5"/>
  <c r="ED326" i="5"/>
  <c r="EC326" i="5"/>
  <c r="EB326" i="5"/>
  <c r="EA326" i="5"/>
  <c r="DZ326" i="5"/>
  <c r="DY326" i="5"/>
  <c r="DX326" i="5"/>
  <c r="DW326" i="5"/>
  <c r="DV326" i="5"/>
  <c r="DU326" i="5"/>
  <c r="DT326" i="5"/>
  <c r="DS326" i="5"/>
  <c r="DR326" i="5"/>
  <c r="DQ326" i="5"/>
  <c r="DP326" i="5"/>
  <c r="DO326" i="5"/>
  <c r="DN326" i="5"/>
  <c r="DM326" i="5"/>
  <c r="DL326" i="5"/>
  <c r="DK326" i="5"/>
  <c r="DJ326" i="5"/>
  <c r="DI326" i="5"/>
  <c r="DH326" i="5"/>
  <c r="DG326" i="5"/>
  <c r="DF326" i="5"/>
  <c r="DE326" i="5"/>
  <c r="DD326" i="5"/>
  <c r="DC326" i="5"/>
  <c r="DB326" i="5"/>
  <c r="DA326" i="5"/>
  <c r="CZ326" i="5"/>
  <c r="CY326" i="5"/>
  <c r="CX326" i="5"/>
  <c r="CW326" i="5"/>
  <c r="CV326" i="5"/>
  <c r="CU326" i="5"/>
  <c r="CT326" i="5"/>
  <c r="CS326" i="5"/>
  <c r="CR326" i="5"/>
  <c r="CQ326" i="5"/>
  <c r="CP326" i="5"/>
  <c r="CO326" i="5"/>
  <c r="CN326" i="5"/>
  <c r="CM326" i="5"/>
  <c r="CL326" i="5"/>
  <c r="CK326" i="5"/>
  <c r="CJ326" i="5"/>
  <c r="CI326" i="5"/>
  <c r="CH326" i="5"/>
  <c r="CG326" i="5"/>
  <c r="CF326" i="5"/>
  <c r="CE326" i="5"/>
  <c r="CD326" i="5"/>
  <c r="CC326" i="5"/>
  <c r="CB326" i="5"/>
  <c r="CA326" i="5"/>
  <c r="BZ326" i="5"/>
  <c r="BY326" i="5"/>
  <c r="BX326" i="5"/>
  <c r="BW326" i="5"/>
  <c r="BV326" i="5"/>
  <c r="BU326" i="5"/>
  <c r="BT326" i="5"/>
  <c r="BS326" i="5"/>
  <c r="BR326" i="5"/>
  <c r="BQ326" i="5"/>
  <c r="BP326" i="5"/>
  <c r="BO326" i="5"/>
  <c r="BN326" i="5"/>
  <c r="BM326" i="5"/>
  <c r="BL326" i="5"/>
  <c r="BK326" i="5"/>
  <c r="BJ326" i="5"/>
  <c r="BI326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FY322" i="5"/>
  <c r="FX322" i="5"/>
  <c r="FW322" i="5"/>
  <c r="FV322" i="5"/>
  <c r="FU322" i="5"/>
  <c r="FT322" i="5"/>
  <c r="FS322" i="5"/>
  <c r="FR322" i="5"/>
  <c r="FQ322" i="5"/>
  <c r="FP322" i="5"/>
  <c r="FO322" i="5"/>
  <c r="FN322" i="5"/>
  <c r="FM322" i="5"/>
  <c r="FL322" i="5"/>
  <c r="FK322" i="5"/>
  <c r="FJ322" i="5"/>
  <c r="FI322" i="5"/>
  <c r="FH322" i="5"/>
  <c r="FG322" i="5"/>
  <c r="FF322" i="5"/>
  <c r="FE322" i="5"/>
  <c r="FD322" i="5"/>
  <c r="FC322" i="5"/>
  <c r="FB322" i="5"/>
  <c r="FA322" i="5"/>
  <c r="EZ322" i="5"/>
  <c r="EY322" i="5"/>
  <c r="EX322" i="5"/>
  <c r="EW322" i="5"/>
  <c r="EV322" i="5"/>
  <c r="EU322" i="5"/>
  <c r="ET322" i="5"/>
  <c r="ES322" i="5"/>
  <c r="ER322" i="5"/>
  <c r="EQ322" i="5"/>
  <c r="EP322" i="5"/>
  <c r="EO322" i="5"/>
  <c r="EN322" i="5"/>
  <c r="EM322" i="5"/>
  <c r="EL322" i="5"/>
  <c r="EK322" i="5"/>
  <c r="EJ322" i="5"/>
  <c r="EI322" i="5"/>
  <c r="EH322" i="5"/>
  <c r="EG322" i="5"/>
  <c r="EF322" i="5"/>
  <c r="EE322" i="5"/>
  <c r="ED322" i="5"/>
  <c r="EC322" i="5"/>
  <c r="EB322" i="5"/>
  <c r="EA322" i="5"/>
  <c r="DZ322" i="5"/>
  <c r="DY322" i="5"/>
  <c r="DX322" i="5"/>
  <c r="DW322" i="5"/>
  <c r="DV322" i="5"/>
  <c r="DU322" i="5"/>
  <c r="DT322" i="5"/>
  <c r="DS322" i="5"/>
  <c r="DR322" i="5"/>
  <c r="DQ322" i="5"/>
  <c r="DP322" i="5"/>
  <c r="DO322" i="5"/>
  <c r="DN322" i="5"/>
  <c r="DM322" i="5"/>
  <c r="DL322" i="5"/>
  <c r="DK322" i="5"/>
  <c r="DJ322" i="5"/>
  <c r="DI322" i="5"/>
  <c r="DH322" i="5"/>
  <c r="DG322" i="5"/>
  <c r="DF322" i="5"/>
  <c r="DE322" i="5"/>
  <c r="DD322" i="5"/>
  <c r="DC322" i="5"/>
  <c r="DB322" i="5"/>
  <c r="DA322" i="5"/>
  <c r="CZ322" i="5"/>
  <c r="CY322" i="5"/>
  <c r="CX322" i="5"/>
  <c r="CW322" i="5"/>
  <c r="CV322" i="5"/>
  <c r="CU322" i="5"/>
  <c r="CT322" i="5"/>
  <c r="CS322" i="5"/>
  <c r="CR322" i="5"/>
  <c r="CQ322" i="5"/>
  <c r="CP322" i="5"/>
  <c r="CO322" i="5"/>
  <c r="CN322" i="5"/>
  <c r="CM322" i="5"/>
  <c r="CL322" i="5"/>
  <c r="CK322" i="5"/>
  <c r="CJ322" i="5"/>
  <c r="CI322" i="5"/>
  <c r="CH322" i="5"/>
  <c r="CG322" i="5"/>
  <c r="CF322" i="5"/>
  <c r="CE322" i="5"/>
  <c r="CD322" i="5"/>
  <c r="CC322" i="5"/>
  <c r="CB322" i="5"/>
  <c r="CA322" i="5"/>
  <c r="BZ322" i="5"/>
  <c r="BY322" i="5"/>
  <c r="BX322" i="5"/>
  <c r="BW322" i="5"/>
  <c r="BV322" i="5"/>
  <c r="BU322" i="5"/>
  <c r="BT322" i="5"/>
  <c r="BS322" i="5"/>
  <c r="BR322" i="5"/>
  <c r="BQ322" i="5"/>
  <c r="BP322" i="5"/>
  <c r="BO322" i="5"/>
  <c r="BN322" i="5"/>
  <c r="BM322" i="5"/>
  <c r="BL322" i="5"/>
  <c r="BK322" i="5"/>
  <c r="BJ322" i="5"/>
  <c r="BI322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FY319" i="5"/>
  <c r="FY318" i="5"/>
  <c r="FY317" i="5"/>
  <c r="FX315" i="5"/>
  <c r="FW315" i="5"/>
  <c r="FV315" i="5"/>
  <c r="FU315" i="5"/>
  <c r="FT315" i="5"/>
  <c r="FS315" i="5"/>
  <c r="FR315" i="5"/>
  <c r="FQ315" i="5"/>
  <c r="FP315" i="5"/>
  <c r="FO315" i="5"/>
  <c r="FN315" i="5"/>
  <c r="FM315" i="5"/>
  <c r="FL315" i="5"/>
  <c r="FK315" i="5"/>
  <c r="FJ315" i="5"/>
  <c r="FI315" i="5"/>
  <c r="FH315" i="5"/>
  <c r="FG315" i="5"/>
  <c r="FF315" i="5"/>
  <c r="FE315" i="5"/>
  <c r="FD315" i="5"/>
  <c r="FC315" i="5"/>
  <c r="FB315" i="5"/>
  <c r="FA315" i="5"/>
  <c r="EZ315" i="5"/>
  <c r="EY315" i="5"/>
  <c r="EX315" i="5"/>
  <c r="EW315" i="5"/>
  <c r="EV315" i="5"/>
  <c r="EU315" i="5"/>
  <c r="ET315" i="5"/>
  <c r="ES315" i="5"/>
  <c r="ER315" i="5"/>
  <c r="EQ315" i="5"/>
  <c r="EP315" i="5"/>
  <c r="EO315" i="5"/>
  <c r="EN315" i="5"/>
  <c r="EM315" i="5"/>
  <c r="EL315" i="5"/>
  <c r="EK315" i="5"/>
  <c r="EJ315" i="5"/>
  <c r="EI315" i="5"/>
  <c r="EH315" i="5"/>
  <c r="EG315" i="5"/>
  <c r="EF315" i="5"/>
  <c r="EE315" i="5"/>
  <c r="ED315" i="5"/>
  <c r="EC315" i="5"/>
  <c r="EB315" i="5"/>
  <c r="EA315" i="5"/>
  <c r="DZ315" i="5"/>
  <c r="DY315" i="5"/>
  <c r="DX315" i="5"/>
  <c r="DW315" i="5"/>
  <c r="DV315" i="5"/>
  <c r="DU315" i="5"/>
  <c r="DT315" i="5"/>
  <c r="DS315" i="5"/>
  <c r="DR315" i="5"/>
  <c r="DQ315" i="5"/>
  <c r="DP315" i="5"/>
  <c r="DO315" i="5"/>
  <c r="DN315" i="5"/>
  <c r="DM315" i="5"/>
  <c r="DL315" i="5"/>
  <c r="DK315" i="5"/>
  <c r="DJ315" i="5"/>
  <c r="DI315" i="5"/>
  <c r="DH315" i="5"/>
  <c r="DG315" i="5"/>
  <c r="DF315" i="5"/>
  <c r="DE315" i="5"/>
  <c r="DD315" i="5"/>
  <c r="DC315" i="5"/>
  <c r="DB315" i="5"/>
  <c r="DA315" i="5"/>
  <c r="CZ315" i="5"/>
  <c r="CY315" i="5"/>
  <c r="CX315" i="5"/>
  <c r="CW315" i="5"/>
  <c r="CV315" i="5"/>
  <c r="CU315" i="5"/>
  <c r="CT315" i="5"/>
  <c r="CS315" i="5"/>
  <c r="CR315" i="5"/>
  <c r="CQ315" i="5"/>
  <c r="CP315" i="5"/>
  <c r="CO315" i="5"/>
  <c r="CN315" i="5"/>
  <c r="CM315" i="5"/>
  <c r="CL315" i="5"/>
  <c r="CK315" i="5"/>
  <c r="CJ315" i="5"/>
  <c r="CI315" i="5"/>
  <c r="CH315" i="5"/>
  <c r="CG315" i="5"/>
  <c r="CF315" i="5"/>
  <c r="CE315" i="5"/>
  <c r="CD315" i="5"/>
  <c r="CC315" i="5"/>
  <c r="CB315" i="5"/>
  <c r="CA315" i="5"/>
  <c r="BZ315" i="5"/>
  <c r="BY315" i="5"/>
  <c r="BX315" i="5"/>
  <c r="BW315" i="5"/>
  <c r="BV315" i="5"/>
  <c r="BU315" i="5"/>
  <c r="BT315" i="5"/>
  <c r="BS315" i="5"/>
  <c r="BR315" i="5"/>
  <c r="BQ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FB308" i="5"/>
  <c r="FZ307" i="5"/>
  <c r="GB307" i="5" s="1"/>
  <c r="FW305" i="5"/>
  <c r="FW319" i="5" s="1"/>
  <c r="ED305" i="5"/>
  <c r="ED319" i="5" s="1"/>
  <c r="EC305" i="5"/>
  <c r="EC319" i="5" s="1"/>
  <c r="EB305" i="5"/>
  <c r="EB319" i="5" s="1"/>
  <c r="BU305" i="5"/>
  <c r="BU319" i="5" s="1"/>
  <c r="BT305" i="5"/>
  <c r="BT319" i="5" s="1"/>
  <c r="L305" i="5"/>
  <c r="L319" i="5" s="1"/>
  <c r="K305" i="5"/>
  <c r="K319" i="5" s="1"/>
  <c r="J305" i="5"/>
  <c r="J319" i="5" s="1"/>
  <c r="FZ300" i="5"/>
  <c r="FY297" i="5"/>
  <c r="GB295" i="5"/>
  <c r="FX291" i="5"/>
  <c r="FX305" i="5" s="1"/>
  <c r="FX319" i="5" s="1"/>
  <c r="FW291" i="5"/>
  <c r="FV291" i="5"/>
  <c r="FV305" i="5" s="1"/>
  <c r="FV319" i="5" s="1"/>
  <c r="FU291" i="5"/>
  <c r="FU305" i="5" s="1"/>
  <c r="FU319" i="5" s="1"/>
  <c r="FT291" i="5"/>
  <c r="FT305" i="5" s="1"/>
  <c r="FT319" i="5" s="1"/>
  <c r="FS291" i="5"/>
  <c r="FS305" i="5" s="1"/>
  <c r="FS319" i="5" s="1"/>
  <c r="FR291" i="5"/>
  <c r="FR305" i="5" s="1"/>
  <c r="FR319" i="5" s="1"/>
  <c r="FQ291" i="5"/>
  <c r="FQ305" i="5" s="1"/>
  <c r="FQ319" i="5" s="1"/>
  <c r="FP291" i="5"/>
  <c r="FP305" i="5" s="1"/>
  <c r="FP319" i="5" s="1"/>
  <c r="FO291" i="5"/>
  <c r="FO305" i="5" s="1"/>
  <c r="FO319" i="5" s="1"/>
  <c r="FN291" i="5"/>
  <c r="FN305" i="5" s="1"/>
  <c r="FN319" i="5" s="1"/>
  <c r="FM291" i="5"/>
  <c r="FM305" i="5" s="1"/>
  <c r="FM319" i="5" s="1"/>
  <c r="FL291" i="5"/>
  <c r="FL305" i="5" s="1"/>
  <c r="FL319" i="5" s="1"/>
  <c r="FK291" i="5"/>
  <c r="FK305" i="5" s="1"/>
  <c r="FK319" i="5" s="1"/>
  <c r="FJ291" i="5"/>
  <c r="FJ305" i="5" s="1"/>
  <c r="FJ319" i="5" s="1"/>
  <c r="FI291" i="5"/>
  <c r="FI305" i="5" s="1"/>
  <c r="FI319" i="5" s="1"/>
  <c r="FH291" i="5"/>
  <c r="FH305" i="5" s="1"/>
  <c r="FH319" i="5" s="1"/>
  <c r="FG291" i="5"/>
  <c r="FG305" i="5" s="1"/>
  <c r="FG319" i="5" s="1"/>
  <c r="FF291" i="5"/>
  <c r="FF305" i="5" s="1"/>
  <c r="FF319" i="5" s="1"/>
  <c r="FE291" i="5"/>
  <c r="FE305" i="5" s="1"/>
  <c r="FE319" i="5" s="1"/>
  <c r="FD291" i="5"/>
  <c r="FD305" i="5" s="1"/>
  <c r="FD319" i="5" s="1"/>
  <c r="FC291" i="5"/>
  <c r="FC305" i="5" s="1"/>
  <c r="FC319" i="5" s="1"/>
  <c r="FB291" i="5"/>
  <c r="FB305" i="5" s="1"/>
  <c r="FB319" i="5" s="1"/>
  <c r="FA291" i="5"/>
  <c r="FA305" i="5" s="1"/>
  <c r="FA319" i="5" s="1"/>
  <c r="EZ291" i="5"/>
  <c r="EZ305" i="5" s="1"/>
  <c r="EZ319" i="5" s="1"/>
  <c r="EY291" i="5"/>
  <c r="EY305" i="5" s="1"/>
  <c r="EY319" i="5" s="1"/>
  <c r="EX291" i="5"/>
  <c r="EX305" i="5" s="1"/>
  <c r="EX319" i="5" s="1"/>
  <c r="EW291" i="5"/>
  <c r="EW305" i="5" s="1"/>
  <c r="EW319" i="5" s="1"/>
  <c r="EV291" i="5"/>
  <c r="EV305" i="5" s="1"/>
  <c r="EV319" i="5" s="1"/>
  <c r="EU291" i="5"/>
  <c r="EU305" i="5" s="1"/>
  <c r="EU319" i="5" s="1"/>
  <c r="ET291" i="5"/>
  <c r="ET305" i="5" s="1"/>
  <c r="ET319" i="5" s="1"/>
  <c r="ES291" i="5"/>
  <c r="ES305" i="5" s="1"/>
  <c r="ES319" i="5" s="1"/>
  <c r="ER291" i="5"/>
  <c r="ER305" i="5" s="1"/>
  <c r="ER319" i="5" s="1"/>
  <c r="EQ291" i="5"/>
  <c r="EQ305" i="5" s="1"/>
  <c r="EQ319" i="5" s="1"/>
  <c r="EP291" i="5"/>
  <c r="EP305" i="5" s="1"/>
  <c r="EP319" i="5" s="1"/>
  <c r="EO291" i="5"/>
  <c r="EO305" i="5" s="1"/>
  <c r="EO319" i="5" s="1"/>
  <c r="EN291" i="5"/>
  <c r="EN305" i="5" s="1"/>
  <c r="EN319" i="5" s="1"/>
  <c r="EM291" i="5"/>
  <c r="EM305" i="5" s="1"/>
  <c r="EM319" i="5" s="1"/>
  <c r="EL291" i="5"/>
  <c r="EL305" i="5" s="1"/>
  <c r="EL319" i="5" s="1"/>
  <c r="EK291" i="5"/>
  <c r="EK305" i="5" s="1"/>
  <c r="EK319" i="5" s="1"/>
  <c r="EJ291" i="5"/>
  <c r="EJ305" i="5" s="1"/>
  <c r="EJ319" i="5" s="1"/>
  <c r="EI291" i="5"/>
  <c r="EI305" i="5" s="1"/>
  <c r="EI319" i="5" s="1"/>
  <c r="EH291" i="5"/>
  <c r="EH305" i="5" s="1"/>
  <c r="EH319" i="5" s="1"/>
  <c r="EG291" i="5"/>
  <c r="EG305" i="5" s="1"/>
  <c r="EG319" i="5" s="1"/>
  <c r="EF291" i="5"/>
  <c r="EF305" i="5" s="1"/>
  <c r="EF319" i="5" s="1"/>
  <c r="EE291" i="5"/>
  <c r="EE305" i="5" s="1"/>
  <c r="EE319" i="5" s="1"/>
  <c r="ED291" i="5"/>
  <c r="EC291" i="5"/>
  <c r="EB291" i="5"/>
  <c r="EA291" i="5"/>
  <c r="EA305" i="5" s="1"/>
  <c r="EA319" i="5" s="1"/>
  <c r="DZ291" i="5"/>
  <c r="DZ305" i="5" s="1"/>
  <c r="DZ319" i="5" s="1"/>
  <c r="DY291" i="5"/>
  <c r="DY305" i="5" s="1"/>
  <c r="DY319" i="5" s="1"/>
  <c r="DX291" i="5"/>
  <c r="DX305" i="5" s="1"/>
  <c r="DX319" i="5" s="1"/>
  <c r="DW291" i="5"/>
  <c r="DW305" i="5" s="1"/>
  <c r="DW319" i="5" s="1"/>
  <c r="DV291" i="5"/>
  <c r="DV305" i="5" s="1"/>
  <c r="DV319" i="5" s="1"/>
  <c r="DU291" i="5"/>
  <c r="DU305" i="5" s="1"/>
  <c r="DU319" i="5" s="1"/>
  <c r="DT291" i="5"/>
  <c r="DT305" i="5" s="1"/>
  <c r="DT319" i="5" s="1"/>
  <c r="DS291" i="5"/>
  <c r="DS305" i="5" s="1"/>
  <c r="DS319" i="5" s="1"/>
  <c r="DR291" i="5"/>
  <c r="DR305" i="5" s="1"/>
  <c r="DR319" i="5" s="1"/>
  <c r="DQ291" i="5"/>
  <c r="DQ305" i="5" s="1"/>
  <c r="DQ319" i="5" s="1"/>
  <c r="DP291" i="5"/>
  <c r="DP305" i="5" s="1"/>
  <c r="DP319" i="5" s="1"/>
  <c r="DO291" i="5"/>
  <c r="DO305" i="5" s="1"/>
  <c r="DO319" i="5" s="1"/>
  <c r="DN291" i="5"/>
  <c r="DN305" i="5" s="1"/>
  <c r="DN319" i="5" s="1"/>
  <c r="DM291" i="5"/>
  <c r="DM305" i="5" s="1"/>
  <c r="DM319" i="5" s="1"/>
  <c r="DL291" i="5"/>
  <c r="DL305" i="5" s="1"/>
  <c r="DL319" i="5" s="1"/>
  <c r="DK291" i="5"/>
  <c r="DK305" i="5" s="1"/>
  <c r="DK319" i="5" s="1"/>
  <c r="DJ291" i="5"/>
  <c r="DJ305" i="5" s="1"/>
  <c r="DJ319" i="5" s="1"/>
  <c r="DI291" i="5"/>
  <c r="DI305" i="5" s="1"/>
  <c r="DI319" i="5" s="1"/>
  <c r="DH291" i="5"/>
  <c r="DH305" i="5" s="1"/>
  <c r="DH319" i="5" s="1"/>
  <c r="DG291" i="5"/>
  <c r="DG305" i="5" s="1"/>
  <c r="DG319" i="5" s="1"/>
  <c r="DF291" i="5"/>
  <c r="DF305" i="5" s="1"/>
  <c r="DF319" i="5" s="1"/>
  <c r="DE291" i="5"/>
  <c r="DE305" i="5" s="1"/>
  <c r="DE319" i="5" s="1"/>
  <c r="DD291" i="5"/>
  <c r="DD305" i="5" s="1"/>
  <c r="DD319" i="5" s="1"/>
  <c r="DC291" i="5"/>
  <c r="DC305" i="5" s="1"/>
  <c r="DC319" i="5" s="1"/>
  <c r="DB291" i="5"/>
  <c r="DB305" i="5" s="1"/>
  <c r="DB319" i="5" s="1"/>
  <c r="DA291" i="5"/>
  <c r="DA305" i="5" s="1"/>
  <c r="DA319" i="5" s="1"/>
  <c r="CZ291" i="5"/>
  <c r="CZ305" i="5" s="1"/>
  <c r="CZ319" i="5" s="1"/>
  <c r="CY291" i="5"/>
  <c r="CY305" i="5" s="1"/>
  <c r="CY319" i="5" s="1"/>
  <c r="CX291" i="5"/>
  <c r="CX305" i="5" s="1"/>
  <c r="CX319" i="5" s="1"/>
  <c r="CW291" i="5"/>
  <c r="CW305" i="5" s="1"/>
  <c r="CW319" i="5" s="1"/>
  <c r="CV291" i="5"/>
  <c r="CV305" i="5" s="1"/>
  <c r="CV319" i="5" s="1"/>
  <c r="CU291" i="5"/>
  <c r="CU305" i="5" s="1"/>
  <c r="CU319" i="5" s="1"/>
  <c r="CT291" i="5"/>
  <c r="CT305" i="5" s="1"/>
  <c r="CT319" i="5" s="1"/>
  <c r="CS291" i="5"/>
  <c r="CS305" i="5" s="1"/>
  <c r="CS319" i="5" s="1"/>
  <c r="CR291" i="5"/>
  <c r="CR305" i="5" s="1"/>
  <c r="CR319" i="5" s="1"/>
  <c r="CQ291" i="5"/>
  <c r="CQ305" i="5" s="1"/>
  <c r="CQ319" i="5" s="1"/>
  <c r="CP291" i="5"/>
  <c r="CP305" i="5" s="1"/>
  <c r="CP319" i="5" s="1"/>
  <c r="CO291" i="5"/>
  <c r="CO305" i="5" s="1"/>
  <c r="CO319" i="5" s="1"/>
  <c r="CN291" i="5"/>
  <c r="CN305" i="5" s="1"/>
  <c r="CN319" i="5" s="1"/>
  <c r="CM291" i="5"/>
  <c r="CM305" i="5" s="1"/>
  <c r="CM319" i="5" s="1"/>
  <c r="CL291" i="5"/>
  <c r="CL305" i="5" s="1"/>
  <c r="CL319" i="5" s="1"/>
  <c r="CK291" i="5"/>
  <c r="CK305" i="5" s="1"/>
  <c r="CK319" i="5" s="1"/>
  <c r="CJ291" i="5"/>
  <c r="CJ305" i="5" s="1"/>
  <c r="CJ319" i="5" s="1"/>
  <c r="CI291" i="5"/>
  <c r="CI305" i="5" s="1"/>
  <c r="CI319" i="5" s="1"/>
  <c r="CH291" i="5"/>
  <c r="CH305" i="5" s="1"/>
  <c r="CH319" i="5" s="1"/>
  <c r="CG291" i="5"/>
  <c r="CG305" i="5" s="1"/>
  <c r="CG319" i="5" s="1"/>
  <c r="CF291" i="5"/>
  <c r="CF305" i="5" s="1"/>
  <c r="CF319" i="5" s="1"/>
  <c r="CE291" i="5"/>
  <c r="CE305" i="5" s="1"/>
  <c r="CE319" i="5" s="1"/>
  <c r="CD291" i="5"/>
  <c r="CD305" i="5" s="1"/>
  <c r="CD319" i="5" s="1"/>
  <c r="CC291" i="5"/>
  <c r="CC305" i="5" s="1"/>
  <c r="CC319" i="5" s="1"/>
  <c r="CB291" i="5"/>
  <c r="CB305" i="5" s="1"/>
  <c r="CB319" i="5" s="1"/>
  <c r="CA291" i="5"/>
  <c r="CA305" i="5" s="1"/>
  <c r="CA319" i="5" s="1"/>
  <c r="BZ291" i="5"/>
  <c r="BZ305" i="5" s="1"/>
  <c r="BZ319" i="5" s="1"/>
  <c r="BY291" i="5"/>
  <c r="BY305" i="5" s="1"/>
  <c r="BY319" i="5" s="1"/>
  <c r="BX291" i="5"/>
  <c r="BX305" i="5" s="1"/>
  <c r="BX319" i="5" s="1"/>
  <c r="BW291" i="5"/>
  <c r="BW305" i="5" s="1"/>
  <c r="BW319" i="5" s="1"/>
  <c r="BV291" i="5"/>
  <c r="BV305" i="5" s="1"/>
  <c r="BV319" i="5" s="1"/>
  <c r="BU291" i="5"/>
  <c r="BT291" i="5"/>
  <c r="BS291" i="5"/>
  <c r="BS305" i="5" s="1"/>
  <c r="BS319" i="5" s="1"/>
  <c r="BR291" i="5"/>
  <c r="BR305" i="5" s="1"/>
  <c r="BR319" i="5" s="1"/>
  <c r="BQ291" i="5"/>
  <c r="BQ305" i="5" s="1"/>
  <c r="BQ319" i="5" s="1"/>
  <c r="BP291" i="5"/>
  <c r="BP305" i="5" s="1"/>
  <c r="BP319" i="5" s="1"/>
  <c r="BO291" i="5"/>
  <c r="BO305" i="5" s="1"/>
  <c r="BO319" i="5" s="1"/>
  <c r="BN291" i="5"/>
  <c r="BN305" i="5" s="1"/>
  <c r="BN319" i="5" s="1"/>
  <c r="BM291" i="5"/>
  <c r="BM305" i="5" s="1"/>
  <c r="BM319" i="5" s="1"/>
  <c r="BL291" i="5"/>
  <c r="BL305" i="5" s="1"/>
  <c r="BL319" i="5" s="1"/>
  <c r="BK291" i="5"/>
  <c r="BK305" i="5" s="1"/>
  <c r="BK319" i="5" s="1"/>
  <c r="BJ291" i="5"/>
  <c r="BJ305" i="5" s="1"/>
  <c r="BJ319" i="5" s="1"/>
  <c r="BI291" i="5"/>
  <c r="BI305" i="5" s="1"/>
  <c r="BI319" i="5" s="1"/>
  <c r="BH291" i="5"/>
  <c r="BH305" i="5" s="1"/>
  <c r="BH319" i="5" s="1"/>
  <c r="BG291" i="5"/>
  <c r="BG305" i="5" s="1"/>
  <c r="BG319" i="5" s="1"/>
  <c r="BF291" i="5"/>
  <c r="BF305" i="5" s="1"/>
  <c r="BF319" i="5" s="1"/>
  <c r="BE291" i="5"/>
  <c r="BE305" i="5" s="1"/>
  <c r="BE319" i="5" s="1"/>
  <c r="BD291" i="5"/>
  <c r="BD305" i="5" s="1"/>
  <c r="BD319" i="5" s="1"/>
  <c r="BC291" i="5"/>
  <c r="BC305" i="5" s="1"/>
  <c r="BC319" i="5" s="1"/>
  <c r="BB291" i="5"/>
  <c r="BB305" i="5" s="1"/>
  <c r="BB319" i="5" s="1"/>
  <c r="BA291" i="5"/>
  <c r="BA305" i="5" s="1"/>
  <c r="BA319" i="5" s="1"/>
  <c r="AZ291" i="5"/>
  <c r="AZ305" i="5" s="1"/>
  <c r="AZ319" i="5" s="1"/>
  <c r="AY291" i="5"/>
  <c r="AY305" i="5" s="1"/>
  <c r="AY319" i="5" s="1"/>
  <c r="AX291" i="5"/>
  <c r="AX305" i="5" s="1"/>
  <c r="AX319" i="5" s="1"/>
  <c r="AW291" i="5"/>
  <c r="AW305" i="5" s="1"/>
  <c r="AW319" i="5" s="1"/>
  <c r="AV291" i="5"/>
  <c r="AV305" i="5" s="1"/>
  <c r="AV319" i="5" s="1"/>
  <c r="AU291" i="5"/>
  <c r="AU305" i="5" s="1"/>
  <c r="AU319" i="5" s="1"/>
  <c r="AT291" i="5"/>
  <c r="AT305" i="5" s="1"/>
  <c r="AT319" i="5" s="1"/>
  <c r="AS291" i="5"/>
  <c r="AS305" i="5" s="1"/>
  <c r="AS319" i="5" s="1"/>
  <c r="AR291" i="5"/>
  <c r="AR305" i="5" s="1"/>
  <c r="AR319" i="5" s="1"/>
  <c r="AQ291" i="5"/>
  <c r="AQ305" i="5" s="1"/>
  <c r="AQ319" i="5" s="1"/>
  <c r="AP291" i="5"/>
  <c r="AP305" i="5" s="1"/>
  <c r="AP319" i="5" s="1"/>
  <c r="AO291" i="5"/>
  <c r="AO305" i="5" s="1"/>
  <c r="AO319" i="5" s="1"/>
  <c r="AN291" i="5"/>
  <c r="AN305" i="5" s="1"/>
  <c r="AN319" i="5" s="1"/>
  <c r="AM291" i="5"/>
  <c r="AM305" i="5" s="1"/>
  <c r="AM319" i="5" s="1"/>
  <c r="AL291" i="5"/>
  <c r="AL305" i="5" s="1"/>
  <c r="AL319" i="5" s="1"/>
  <c r="AK291" i="5"/>
  <c r="AK305" i="5" s="1"/>
  <c r="AK319" i="5" s="1"/>
  <c r="AJ291" i="5"/>
  <c r="AJ305" i="5" s="1"/>
  <c r="AJ319" i="5" s="1"/>
  <c r="AI291" i="5"/>
  <c r="AI305" i="5" s="1"/>
  <c r="AI319" i="5" s="1"/>
  <c r="AH291" i="5"/>
  <c r="AH305" i="5" s="1"/>
  <c r="AH319" i="5" s="1"/>
  <c r="AG291" i="5"/>
  <c r="AG305" i="5" s="1"/>
  <c r="AG319" i="5" s="1"/>
  <c r="AF291" i="5"/>
  <c r="AF305" i="5" s="1"/>
  <c r="AF319" i="5" s="1"/>
  <c r="AE291" i="5"/>
  <c r="AE305" i="5" s="1"/>
  <c r="AE319" i="5" s="1"/>
  <c r="AD291" i="5"/>
  <c r="AD305" i="5" s="1"/>
  <c r="AD319" i="5" s="1"/>
  <c r="AC291" i="5"/>
  <c r="AC305" i="5" s="1"/>
  <c r="AC319" i="5" s="1"/>
  <c r="AB291" i="5"/>
  <c r="AB305" i="5" s="1"/>
  <c r="AB319" i="5" s="1"/>
  <c r="AA291" i="5"/>
  <c r="AA305" i="5" s="1"/>
  <c r="AA319" i="5" s="1"/>
  <c r="Z291" i="5"/>
  <c r="Z305" i="5" s="1"/>
  <c r="Z319" i="5" s="1"/>
  <c r="Y291" i="5"/>
  <c r="Y305" i="5" s="1"/>
  <c r="Y319" i="5" s="1"/>
  <c r="X291" i="5"/>
  <c r="X305" i="5" s="1"/>
  <c r="X319" i="5" s="1"/>
  <c r="W291" i="5"/>
  <c r="W305" i="5" s="1"/>
  <c r="W319" i="5" s="1"/>
  <c r="V291" i="5"/>
  <c r="V305" i="5" s="1"/>
  <c r="V319" i="5" s="1"/>
  <c r="U291" i="5"/>
  <c r="U305" i="5" s="1"/>
  <c r="U319" i="5" s="1"/>
  <c r="T291" i="5"/>
  <c r="T305" i="5" s="1"/>
  <c r="T319" i="5" s="1"/>
  <c r="S291" i="5"/>
  <c r="S305" i="5" s="1"/>
  <c r="S319" i="5" s="1"/>
  <c r="R291" i="5"/>
  <c r="R305" i="5" s="1"/>
  <c r="R319" i="5" s="1"/>
  <c r="Q291" i="5"/>
  <c r="Q305" i="5" s="1"/>
  <c r="Q319" i="5" s="1"/>
  <c r="P291" i="5"/>
  <c r="P305" i="5" s="1"/>
  <c r="P319" i="5" s="1"/>
  <c r="O291" i="5"/>
  <c r="O305" i="5" s="1"/>
  <c r="O319" i="5" s="1"/>
  <c r="N291" i="5"/>
  <c r="N305" i="5" s="1"/>
  <c r="N319" i="5" s="1"/>
  <c r="M291" i="5"/>
  <c r="M305" i="5" s="1"/>
  <c r="M319" i="5" s="1"/>
  <c r="L291" i="5"/>
  <c r="K291" i="5"/>
  <c r="J291" i="5"/>
  <c r="I291" i="5"/>
  <c r="I305" i="5" s="1"/>
  <c r="I319" i="5" s="1"/>
  <c r="H291" i="5"/>
  <c r="H305" i="5" s="1"/>
  <c r="H319" i="5" s="1"/>
  <c r="G291" i="5"/>
  <c r="G305" i="5" s="1"/>
  <c r="G319" i="5" s="1"/>
  <c r="F291" i="5"/>
  <c r="F305" i="5" s="1"/>
  <c r="F319" i="5" s="1"/>
  <c r="E291" i="5"/>
  <c r="E305" i="5" s="1"/>
  <c r="E319" i="5" s="1"/>
  <c r="D291" i="5"/>
  <c r="D305" i="5" s="1"/>
  <c r="D319" i="5" s="1"/>
  <c r="GC289" i="5"/>
  <c r="FX262" i="5"/>
  <c r="FW262" i="5"/>
  <c r="FV262" i="5"/>
  <c r="FU262" i="5"/>
  <c r="FT262" i="5"/>
  <c r="FS262" i="5"/>
  <c r="FR262" i="5"/>
  <c r="FQ262" i="5"/>
  <c r="FP262" i="5"/>
  <c r="FO262" i="5"/>
  <c r="FN262" i="5"/>
  <c r="FM262" i="5"/>
  <c r="FL262" i="5"/>
  <c r="FK262" i="5"/>
  <c r="FH262" i="5"/>
  <c r="FG262" i="5"/>
  <c r="FF262" i="5"/>
  <c r="FE262" i="5"/>
  <c r="FD262" i="5"/>
  <c r="FC262" i="5"/>
  <c r="FB262" i="5"/>
  <c r="FA262" i="5"/>
  <c r="EZ262" i="5"/>
  <c r="EY262" i="5"/>
  <c r="EX262" i="5"/>
  <c r="EW262" i="5"/>
  <c r="EV262" i="5"/>
  <c r="EU262" i="5"/>
  <c r="ET262" i="5"/>
  <c r="ES262" i="5"/>
  <c r="ER262" i="5"/>
  <c r="EQ262" i="5"/>
  <c r="EP262" i="5"/>
  <c r="EO262" i="5"/>
  <c r="EN262" i="5"/>
  <c r="EM262" i="5"/>
  <c r="EL262" i="5"/>
  <c r="EK262" i="5"/>
  <c r="EJ262" i="5"/>
  <c r="EI262" i="5"/>
  <c r="EH262" i="5"/>
  <c r="EG262" i="5"/>
  <c r="EF262" i="5"/>
  <c r="EE262" i="5"/>
  <c r="ED262" i="5"/>
  <c r="EC262" i="5"/>
  <c r="EB262" i="5"/>
  <c r="EA262" i="5"/>
  <c r="DZ262" i="5"/>
  <c r="DY262" i="5"/>
  <c r="DX262" i="5"/>
  <c r="DW262" i="5"/>
  <c r="DV262" i="5"/>
  <c r="DU262" i="5"/>
  <c r="DT262" i="5"/>
  <c r="DS262" i="5"/>
  <c r="DR262" i="5"/>
  <c r="DP262" i="5"/>
  <c r="DO262" i="5"/>
  <c r="DM262" i="5"/>
  <c r="DL262" i="5"/>
  <c r="DK262" i="5"/>
  <c r="DJ262" i="5"/>
  <c r="DI262" i="5"/>
  <c r="DH262" i="5"/>
  <c r="DG262" i="5"/>
  <c r="DF262" i="5"/>
  <c r="DE262" i="5"/>
  <c r="DD262" i="5"/>
  <c r="DC262" i="5"/>
  <c r="DB262" i="5"/>
  <c r="DA262" i="5"/>
  <c r="CZ262" i="5"/>
  <c r="CY262" i="5"/>
  <c r="CX262" i="5"/>
  <c r="CW262" i="5"/>
  <c r="CV262" i="5"/>
  <c r="CU262" i="5"/>
  <c r="CT262" i="5"/>
  <c r="CS262" i="5"/>
  <c r="CR262" i="5"/>
  <c r="CQ262" i="5"/>
  <c r="CP262" i="5"/>
  <c r="CO262" i="5"/>
  <c r="CN262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L262" i="5"/>
  <c r="BK262" i="5"/>
  <c r="BJ262" i="5"/>
  <c r="BI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FX257" i="5"/>
  <c r="FW257" i="5"/>
  <c r="FV257" i="5"/>
  <c r="FU257" i="5"/>
  <c r="FT257" i="5"/>
  <c r="FS257" i="5"/>
  <c r="FR257" i="5"/>
  <c r="FQ257" i="5"/>
  <c r="FP257" i="5"/>
  <c r="FO257" i="5"/>
  <c r="FN257" i="5"/>
  <c r="FM257" i="5"/>
  <c r="FL257" i="5"/>
  <c r="FK257" i="5"/>
  <c r="FJ257" i="5"/>
  <c r="FI257" i="5"/>
  <c r="FH257" i="5"/>
  <c r="FG257" i="5"/>
  <c r="FF257" i="5"/>
  <c r="FE257" i="5"/>
  <c r="FD257" i="5"/>
  <c r="FC257" i="5"/>
  <c r="FB257" i="5"/>
  <c r="FA257" i="5"/>
  <c r="EZ257" i="5"/>
  <c r="EY257" i="5"/>
  <c r="EX257" i="5"/>
  <c r="EW257" i="5"/>
  <c r="EV257" i="5"/>
  <c r="EU257" i="5"/>
  <c r="ET257" i="5"/>
  <c r="ES257" i="5"/>
  <c r="ER257" i="5"/>
  <c r="EQ257" i="5"/>
  <c r="EP257" i="5"/>
  <c r="EO257" i="5"/>
  <c r="EN257" i="5"/>
  <c r="EM257" i="5"/>
  <c r="EL257" i="5"/>
  <c r="EK257" i="5"/>
  <c r="EJ257" i="5"/>
  <c r="EI257" i="5"/>
  <c r="EH257" i="5"/>
  <c r="EG257" i="5"/>
  <c r="EF257" i="5"/>
  <c r="EE257" i="5"/>
  <c r="ED257" i="5"/>
  <c r="EC257" i="5"/>
  <c r="EB257" i="5"/>
  <c r="EA257" i="5"/>
  <c r="DZ257" i="5"/>
  <c r="DY257" i="5"/>
  <c r="DX257" i="5"/>
  <c r="DW257" i="5"/>
  <c r="DV257" i="5"/>
  <c r="DU257" i="5"/>
  <c r="DT257" i="5"/>
  <c r="DS257" i="5"/>
  <c r="DR257" i="5"/>
  <c r="DQ257" i="5"/>
  <c r="DP257" i="5"/>
  <c r="DO257" i="5"/>
  <c r="DN257" i="5"/>
  <c r="DM257" i="5"/>
  <c r="DL257" i="5"/>
  <c r="DK257" i="5"/>
  <c r="DJ257" i="5"/>
  <c r="DI257" i="5"/>
  <c r="DH257" i="5"/>
  <c r="DG257" i="5"/>
  <c r="DF257" i="5"/>
  <c r="DE257" i="5"/>
  <c r="DD257" i="5"/>
  <c r="DC257" i="5"/>
  <c r="DB257" i="5"/>
  <c r="DA257" i="5"/>
  <c r="CZ257" i="5"/>
  <c r="CY257" i="5"/>
  <c r="CX257" i="5"/>
  <c r="CW257" i="5"/>
  <c r="CV257" i="5"/>
  <c r="CU257" i="5"/>
  <c r="CT257" i="5"/>
  <c r="CS257" i="5"/>
  <c r="CR257" i="5"/>
  <c r="CQ257" i="5"/>
  <c r="CP257" i="5"/>
  <c r="CO257" i="5"/>
  <c r="CN257" i="5"/>
  <c r="CM257" i="5"/>
  <c r="CL257" i="5"/>
  <c r="CK257" i="5"/>
  <c r="CJ257" i="5"/>
  <c r="CI257" i="5"/>
  <c r="CH257" i="5"/>
  <c r="CG257" i="5"/>
  <c r="CF257" i="5"/>
  <c r="CE257" i="5"/>
  <c r="CD257" i="5"/>
  <c r="CC257" i="5"/>
  <c r="CB257" i="5"/>
  <c r="CA257" i="5"/>
  <c r="BZ257" i="5"/>
  <c r="BY257" i="5"/>
  <c r="BX257" i="5"/>
  <c r="BW257" i="5"/>
  <c r="BV257" i="5"/>
  <c r="BU257" i="5"/>
  <c r="BT257" i="5"/>
  <c r="BS257" i="5"/>
  <c r="BR257" i="5"/>
  <c r="BQ257" i="5"/>
  <c r="BP257" i="5"/>
  <c r="BO257" i="5"/>
  <c r="BN257" i="5"/>
  <c r="BM257" i="5"/>
  <c r="BL257" i="5"/>
  <c r="BK257" i="5"/>
  <c r="BJ257" i="5"/>
  <c r="BI257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FZ244" i="5"/>
  <c r="FX236" i="5"/>
  <c r="FW236" i="5"/>
  <c r="FV236" i="5"/>
  <c r="FU236" i="5"/>
  <c r="FT236" i="5"/>
  <c r="FS236" i="5"/>
  <c r="FR236" i="5"/>
  <c r="FQ236" i="5"/>
  <c r="FP236" i="5"/>
  <c r="FO236" i="5"/>
  <c r="FN236" i="5"/>
  <c r="FM236" i="5"/>
  <c r="FL236" i="5"/>
  <c r="FK236" i="5"/>
  <c r="FJ236" i="5"/>
  <c r="FI236" i="5"/>
  <c r="FH236" i="5"/>
  <c r="FG236" i="5"/>
  <c r="FF236" i="5"/>
  <c r="FE236" i="5"/>
  <c r="FD236" i="5"/>
  <c r="FC236" i="5"/>
  <c r="FB236" i="5"/>
  <c r="FA236" i="5"/>
  <c r="EZ236" i="5"/>
  <c r="EY236" i="5"/>
  <c r="EX236" i="5"/>
  <c r="EW236" i="5"/>
  <c r="EV236" i="5"/>
  <c r="EU236" i="5"/>
  <c r="ET236" i="5"/>
  <c r="ES236" i="5"/>
  <c r="ER236" i="5"/>
  <c r="EQ236" i="5"/>
  <c r="EP236" i="5"/>
  <c r="EO236" i="5"/>
  <c r="EN236" i="5"/>
  <c r="EM236" i="5"/>
  <c r="EL236" i="5"/>
  <c r="EK236" i="5"/>
  <c r="EJ236" i="5"/>
  <c r="EI236" i="5"/>
  <c r="EH236" i="5"/>
  <c r="EG236" i="5"/>
  <c r="EF236" i="5"/>
  <c r="EE236" i="5"/>
  <c r="ED236" i="5"/>
  <c r="EC236" i="5"/>
  <c r="EB236" i="5"/>
  <c r="EA236" i="5"/>
  <c r="DZ236" i="5"/>
  <c r="DY236" i="5"/>
  <c r="DX236" i="5"/>
  <c r="DW236" i="5"/>
  <c r="DV236" i="5"/>
  <c r="DU236" i="5"/>
  <c r="DT236" i="5"/>
  <c r="DS236" i="5"/>
  <c r="DR236" i="5"/>
  <c r="DQ236" i="5"/>
  <c r="DP236" i="5"/>
  <c r="DO236" i="5"/>
  <c r="DN236" i="5"/>
  <c r="DM236" i="5"/>
  <c r="DL236" i="5"/>
  <c r="DK236" i="5"/>
  <c r="DJ236" i="5"/>
  <c r="DI236" i="5"/>
  <c r="DH236" i="5"/>
  <c r="DG236" i="5"/>
  <c r="DF236" i="5"/>
  <c r="DE236" i="5"/>
  <c r="DD236" i="5"/>
  <c r="DC236" i="5"/>
  <c r="DB236" i="5"/>
  <c r="DA236" i="5"/>
  <c r="CZ236" i="5"/>
  <c r="CY236" i="5"/>
  <c r="CX236" i="5"/>
  <c r="CW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CA236" i="5"/>
  <c r="BZ236" i="5"/>
  <c r="BY236" i="5"/>
  <c r="BX236" i="5"/>
  <c r="BW236" i="5"/>
  <c r="BV236" i="5"/>
  <c r="BU236" i="5"/>
  <c r="BT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G236" i="5"/>
  <c r="BF236" i="5"/>
  <c r="BE236" i="5"/>
  <c r="BD236" i="5"/>
  <c r="BC236" i="5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FZ234" i="5"/>
  <c r="FX224" i="5"/>
  <c r="FW224" i="5"/>
  <c r="FV224" i="5"/>
  <c r="FU224" i="5"/>
  <c r="FT224" i="5"/>
  <c r="FS224" i="5"/>
  <c r="FR224" i="5"/>
  <c r="FQ224" i="5"/>
  <c r="FP224" i="5"/>
  <c r="FO224" i="5"/>
  <c r="FN224" i="5"/>
  <c r="FM224" i="5"/>
  <c r="FL224" i="5"/>
  <c r="FK224" i="5"/>
  <c r="FJ224" i="5"/>
  <c r="FI224" i="5"/>
  <c r="FH224" i="5"/>
  <c r="FG224" i="5"/>
  <c r="FF224" i="5"/>
  <c r="FE224" i="5"/>
  <c r="FD224" i="5"/>
  <c r="FC224" i="5"/>
  <c r="FB224" i="5"/>
  <c r="FA224" i="5"/>
  <c r="EZ224" i="5"/>
  <c r="EY224" i="5"/>
  <c r="EX224" i="5"/>
  <c r="EW224" i="5"/>
  <c r="EV224" i="5"/>
  <c r="EU224" i="5"/>
  <c r="ET224" i="5"/>
  <c r="ES224" i="5"/>
  <c r="ER224" i="5"/>
  <c r="EQ224" i="5"/>
  <c r="EP224" i="5"/>
  <c r="EO224" i="5"/>
  <c r="EN224" i="5"/>
  <c r="EM224" i="5"/>
  <c r="EL224" i="5"/>
  <c r="EK224" i="5"/>
  <c r="EJ224" i="5"/>
  <c r="EI224" i="5"/>
  <c r="EH224" i="5"/>
  <c r="EG224" i="5"/>
  <c r="EF224" i="5"/>
  <c r="EE224" i="5"/>
  <c r="ED224" i="5"/>
  <c r="EC224" i="5"/>
  <c r="EB224" i="5"/>
  <c r="EA224" i="5"/>
  <c r="DZ224" i="5"/>
  <c r="DY224" i="5"/>
  <c r="DX224" i="5"/>
  <c r="DW224" i="5"/>
  <c r="DV224" i="5"/>
  <c r="DU224" i="5"/>
  <c r="DT224" i="5"/>
  <c r="DS224" i="5"/>
  <c r="DR224" i="5"/>
  <c r="DQ224" i="5"/>
  <c r="DP224" i="5"/>
  <c r="DO224" i="5"/>
  <c r="DN224" i="5"/>
  <c r="DM224" i="5"/>
  <c r="DL224" i="5"/>
  <c r="DK224" i="5"/>
  <c r="DJ224" i="5"/>
  <c r="DI224" i="5"/>
  <c r="DH224" i="5"/>
  <c r="DG224" i="5"/>
  <c r="DF224" i="5"/>
  <c r="DE224" i="5"/>
  <c r="DD224" i="5"/>
  <c r="DC224" i="5"/>
  <c r="DB224" i="5"/>
  <c r="DA224" i="5"/>
  <c r="CZ224" i="5"/>
  <c r="CY224" i="5"/>
  <c r="CX224" i="5"/>
  <c r="CW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CA224" i="5"/>
  <c r="BZ224" i="5"/>
  <c r="BY224" i="5"/>
  <c r="BX224" i="5"/>
  <c r="BW224" i="5"/>
  <c r="BV224" i="5"/>
  <c r="BU224" i="5"/>
  <c r="BT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FX223" i="5"/>
  <c r="FW223" i="5"/>
  <c r="FV223" i="5"/>
  <c r="FU223" i="5"/>
  <c r="FT223" i="5"/>
  <c r="FS223" i="5"/>
  <c r="FR223" i="5"/>
  <c r="FQ223" i="5"/>
  <c r="FP223" i="5"/>
  <c r="FO223" i="5"/>
  <c r="FN223" i="5"/>
  <c r="FM223" i="5"/>
  <c r="FL223" i="5"/>
  <c r="FK223" i="5"/>
  <c r="FJ223" i="5"/>
  <c r="FI223" i="5"/>
  <c r="FH223" i="5"/>
  <c r="FG223" i="5"/>
  <c r="FF223" i="5"/>
  <c r="FE223" i="5"/>
  <c r="FD223" i="5"/>
  <c r="FC223" i="5"/>
  <c r="FB223" i="5"/>
  <c r="FA223" i="5"/>
  <c r="EZ223" i="5"/>
  <c r="EY223" i="5"/>
  <c r="EX223" i="5"/>
  <c r="EW223" i="5"/>
  <c r="EV223" i="5"/>
  <c r="EU223" i="5"/>
  <c r="ET223" i="5"/>
  <c r="ES223" i="5"/>
  <c r="ER223" i="5"/>
  <c r="EQ223" i="5"/>
  <c r="EP223" i="5"/>
  <c r="EO223" i="5"/>
  <c r="EN223" i="5"/>
  <c r="EM223" i="5"/>
  <c r="EL223" i="5"/>
  <c r="EK223" i="5"/>
  <c r="EJ223" i="5"/>
  <c r="EI223" i="5"/>
  <c r="EH223" i="5"/>
  <c r="EG223" i="5"/>
  <c r="EF223" i="5"/>
  <c r="EE223" i="5"/>
  <c r="ED223" i="5"/>
  <c r="EC223" i="5"/>
  <c r="EB223" i="5"/>
  <c r="EA223" i="5"/>
  <c r="DZ223" i="5"/>
  <c r="DY223" i="5"/>
  <c r="DX223" i="5"/>
  <c r="DW223" i="5"/>
  <c r="DV223" i="5"/>
  <c r="DU223" i="5"/>
  <c r="DT223" i="5"/>
  <c r="DS223" i="5"/>
  <c r="DR223" i="5"/>
  <c r="DQ223" i="5"/>
  <c r="DP223" i="5"/>
  <c r="DO223" i="5"/>
  <c r="DN223" i="5"/>
  <c r="DM223" i="5"/>
  <c r="DL223" i="5"/>
  <c r="DK223" i="5"/>
  <c r="DJ223" i="5"/>
  <c r="DI223" i="5"/>
  <c r="DH223" i="5"/>
  <c r="DG223" i="5"/>
  <c r="DF223" i="5"/>
  <c r="DE223" i="5"/>
  <c r="DD223" i="5"/>
  <c r="DC223" i="5"/>
  <c r="DB223" i="5"/>
  <c r="DA223" i="5"/>
  <c r="CZ223" i="5"/>
  <c r="CY223" i="5"/>
  <c r="CX223" i="5"/>
  <c r="CW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T223" i="5"/>
  <c r="BS223" i="5"/>
  <c r="BR223" i="5"/>
  <c r="BQ223" i="5"/>
  <c r="BP223" i="5"/>
  <c r="BO223" i="5"/>
  <c r="BN223" i="5"/>
  <c r="BM223" i="5"/>
  <c r="BL223" i="5"/>
  <c r="BK223" i="5"/>
  <c r="BJ223" i="5"/>
  <c r="BI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FX222" i="5"/>
  <c r="FW222" i="5"/>
  <c r="FV222" i="5"/>
  <c r="FU222" i="5"/>
  <c r="FT222" i="5"/>
  <c r="FS222" i="5"/>
  <c r="FR222" i="5"/>
  <c r="FQ222" i="5"/>
  <c r="FP222" i="5"/>
  <c r="FO222" i="5"/>
  <c r="FN222" i="5"/>
  <c r="FM222" i="5"/>
  <c r="FL222" i="5"/>
  <c r="FK222" i="5"/>
  <c r="FJ222" i="5"/>
  <c r="FI222" i="5"/>
  <c r="FH222" i="5"/>
  <c r="FG222" i="5"/>
  <c r="FF222" i="5"/>
  <c r="FE222" i="5"/>
  <c r="FD222" i="5"/>
  <c r="FC222" i="5"/>
  <c r="FB222" i="5"/>
  <c r="FA222" i="5"/>
  <c r="EZ222" i="5"/>
  <c r="EY222" i="5"/>
  <c r="EX222" i="5"/>
  <c r="EW222" i="5"/>
  <c r="EV222" i="5"/>
  <c r="EU222" i="5"/>
  <c r="ET222" i="5"/>
  <c r="ES222" i="5"/>
  <c r="ER222" i="5"/>
  <c r="EQ222" i="5"/>
  <c r="EP222" i="5"/>
  <c r="EO222" i="5"/>
  <c r="EN222" i="5"/>
  <c r="EM222" i="5"/>
  <c r="EL222" i="5"/>
  <c r="EK222" i="5"/>
  <c r="EJ222" i="5"/>
  <c r="EI222" i="5"/>
  <c r="EH222" i="5"/>
  <c r="EG222" i="5"/>
  <c r="EF222" i="5"/>
  <c r="EE222" i="5"/>
  <c r="ED222" i="5"/>
  <c r="EC222" i="5"/>
  <c r="EB222" i="5"/>
  <c r="EA222" i="5"/>
  <c r="DZ222" i="5"/>
  <c r="DY222" i="5"/>
  <c r="DX222" i="5"/>
  <c r="DW222" i="5"/>
  <c r="DV222" i="5"/>
  <c r="DU222" i="5"/>
  <c r="DT222" i="5"/>
  <c r="DS222" i="5"/>
  <c r="DR222" i="5"/>
  <c r="DQ222" i="5"/>
  <c r="DP222" i="5"/>
  <c r="DO222" i="5"/>
  <c r="DN222" i="5"/>
  <c r="DM222" i="5"/>
  <c r="DL222" i="5"/>
  <c r="DK222" i="5"/>
  <c r="DJ222" i="5"/>
  <c r="DI222" i="5"/>
  <c r="DH222" i="5"/>
  <c r="DG222" i="5"/>
  <c r="DF222" i="5"/>
  <c r="DE222" i="5"/>
  <c r="DD222" i="5"/>
  <c r="DC222" i="5"/>
  <c r="DB222" i="5"/>
  <c r="DA222" i="5"/>
  <c r="CZ222" i="5"/>
  <c r="CY222" i="5"/>
  <c r="CX222" i="5"/>
  <c r="CW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T222" i="5"/>
  <c r="BS222" i="5"/>
  <c r="BR222" i="5"/>
  <c r="BQ222" i="5"/>
  <c r="BP222" i="5"/>
  <c r="BO222" i="5"/>
  <c r="BN222" i="5"/>
  <c r="BM222" i="5"/>
  <c r="BL222" i="5"/>
  <c r="BK222" i="5"/>
  <c r="BJ222" i="5"/>
  <c r="BI222" i="5"/>
  <c r="BH222" i="5"/>
  <c r="BG222" i="5"/>
  <c r="BF222" i="5"/>
  <c r="BE222" i="5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FZ216" i="5"/>
  <c r="C213" i="5"/>
  <c r="FX205" i="5"/>
  <c r="FW205" i="5"/>
  <c r="FV205" i="5"/>
  <c r="FU205" i="5"/>
  <c r="FT205" i="5"/>
  <c r="FS205" i="5"/>
  <c r="FR205" i="5"/>
  <c r="FQ205" i="5"/>
  <c r="FP205" i="5"/>
  <c r="FO205" i="5"/>
  <c r="FN205" i="5"/>
  <c r="FM205" i="5"/>
  <c r="FL205" i="5"/>
  <c r="FK205" i="5"/>
  <c r="FJ205" i="5"/>
  <c r="FI205" i="5"/>
  <c r="FH205" i="5"/>
  <c r="FG205" i="5"/>
  <c r="FF205" i="5"/>
  <c r="FE205" i="5"/>
  <c r="FD205" i="5"/>
  <c r="FC205" i="5"/>
  <c r="FB205" i="5"/>
  <c r="FA205" i="5"/>
  <c r="EZ205" i="5"/>
  <c r="EY205" i="5"/>
  <c r="EX205" i="5"/>
  <c r="EW205" i="5"/>
  <c r="EV205" i="5"/>
  <c r="EU205" i="5"/>
  <c r="ET205" i="5"/>
  <c r="ES205" i="5"/>
  <c r="ER205" i="5"/>
  <c r="EQ205" i="5"/>
  <c r="EP205" i="5"/>
  <c r="EO205" i="5"/>
  <c r="EN205" i="5"/>
  <c r="EM205" i="5"/>
  <c r="EL205" i="5"/>
  <c r="EK205" i="5"/>
  <c r="EJ205" i="5"/>
  <c r="EI205" i="5"/>
  <c r="EH205" i="5"/>
  <c r="EG205" i="5"/>
  <c r="EF205" i="5"/>
  <c r="EE205" i="5"/>
  <c r="ED205" i="5"/>
  <c r="EC205" i="5"/>
  <c r="EB205" i="5"/>
  <c r="EA205" i="5"/>
  <c r="DZ205" i="5"/>
  <c r="DY205" i="5"/>
  <c r="DX205" i="5"/>
  <c r="DW205" i="5"/>
  <c r="DV205" i="5"/>
  <c r="DU205" i="5"/>
  <c r="DT205" i="5"/>
  <c r="DS205" i="5"/>
  <c r="DR205" i="5"/>
  <c r="DQ205" i="5"/>
  <c r="DP205" i="5"/>
  <c r="DO205" i="5"/>
  <c r="DN205" i="5"/>
  <c r="DM205" i="5"/>
  <c r="DL205" i="5"/>
  <c r="DK205" i="5"/>
  <c r="DJ205" i="5"/>
  <c r="DI205" i="5"/>
  <c r="DH205" i="5"/>
  <c r="DG205" i="5"/>
  <c r="DF205" i="5"/>
  <c r="DE205" i="5"/>
  <c r="DD205" i="5"/>
  <c r="DC205" i="5"/>
  <c r="DB205" i="5"/>
  <c r="DA205" i="5"/>
  <c r="CZ205" i="5"/>
  <c r="CY205" i="5"/>
  <c r="CX205" i="5"/>
  <c r="CW205" i="5"/>
  <c r="CV205" i="5"/>
  <c r="CU205" i="5"/>
  <c r="CT205" i="5"/>
  <c r="CS205" i="5"/>
  <c r="CR205" i="5"/>
  <c r="CQ205" i="5"/>
  <c r="CP205" i="5"/>
  <c r="CO205" i="5"/>
  <c r="CN205" i="5"/>
  <c r="CM205" i="5"/>
  <c r="CL205" i="5"/>
  <c r="CK205" i="5"/>
  <c r="CJ205" i="5"/>
  <c r="CI205" i="5"/>
  <c r="CH205" i="5"/>
  <c r="CG205" i="5"/>
  <c r="CF205" i="5"/>
  <c r="CE205" i="5"/>
  <c r="CD205" i="5"/>
  <c r="CC205" i="5"/>
  <c r="CB205" i="5"/>
  <c r="CA205" i="5"/>
  <c r="BZ205" i="5"/>
  <c r="BY205" i="5"/>
  <c r="BX205" i="5"/>
  <c r="BW205" i="5"/>
  <c r="BV205" i="5"/>
  <c r="BU205" i="5"/>
  <c r="BT205" i="5"/>
  <c r="BS205" i="5"/>
  <c r="BR205" i="5"/>
  <c r="BQ205" i="5"/>
  <c r="BP205" i="5"/>
  <c r="BO205" i="5"/>
  <c r="BN205" i="5"/>
  <c r="BM205" i="5"/>
  <c r="BL205" i="5"/>
  <c r="BK205" i="5"/>
  <c r="BJ205" i="5"/>
  <c r="BI205" i="5"/>
  <c r="BH205" i="5"/>
  <c r="BG205" i="5"/>
  <c r="BF205" i="5"/>
  <c r="BE205" i="5"/>
  <c r="BD205" i="5"/>
  <c r="BC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FX141" i="5"/>
  <c r="FW141" i="5"/>
  <c r="FV141" i="5"/>
  <c r="FU141" i="5"/>
  <c r="FT141" i="5"/>
  <c r="FS141" i="5"/>
  <c r="FR141" i="5"/>
  <c r="FQ141" i="5"/>
  <c r="FP141" i="5"/>
  <c r="FO141" i="5"/>
  <c r="FN141" i="5"/>
  <c r="FM141" i="5"/>
  <c r="FL141" i="5"/>
  <c r="FK141" i="5"/>
  <c r="FJ141" i="5"/>
  <c r="FI141" i="5"/>
  <c r="FH141" i="5"/>
  <c r="FG141" i="5"/>
  <c r="FF141" i="5"/>
  <c r="FE141" i="5"/>
  <c r="FD141" i="5"/>
  <c r="FC141" i="5"/>
  <c r="FB141" i="5"/>
  <c r="FA141" i="5"/>
  <c r="EZ141" i="5"/>
  <c r="EY141" i="5"/>
  <c r="EX141" i="5"/>
  <c r="EW141" i="5"/>
  <c r="EV141" i="5"/>
  <c r="EU141" i="5"/>
  <c r="ET141" i="5"/>
  <c r="ES141" i="5"/>
  <c r="ER141" i="5"/>
  <c r="EQ141" i="5"/>
  <c r="EP141" i="5"/>
  <c r="EO141" i="5"/>
  <c r="EN141" i="5"/>
  <c r="EM141" i="5"/>
  <c r="EL141" i="5"/>
  <c r="EK141" i="5"/>
  <c r="EJ141" i="5"/>
  <c r="EI141" i="5"/>
  <c r="EH141" i="5"/>
  <c r="EG141" i="5"/>
  <c r="EF141" i="5"/>
  <c r="EE141" i="5"/>
  <c r="ED141" i="5"/>
  <c r="EC141" i="5"/>
  <c r="EB141" i="5"/>
  <c r="EA141" i="5"/>
  <c r="DZ141" i="5"/>
  <c r="DY141" i="5"/>
  <c r="DX141" i="5"/>
  <c r="DW141" i="5"/>
  <c r="DV141" i="5"/>
  <c r="DU141" i="5"/>
  <c r="DT141" i="5"/>
  <c r="DS141" i="5"/>
  <c r="DR141" i="5"/>
  <c r="DQ141" i="5"/>
  <c r="DP141" i="5"/>
  <c r="DO141" i="5"/>
  <c r="DN141" i="5"/>
  <c r="DM141" i="5"/>
  <c r="DL141" i="5"/>
  <c r="DK141" i="5"/>
  <c r="DJ141" i="5"/>
  <c r="DI141" i="5"/>
  <c r="DH141" i="5"/>
  <c r="DG141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FX134" i="5"/>
  <c r="FW134" i="5"/>
  <c r="FV134" i="5"/>
  <c r="FU134" i="5"/>
  <c r="FT134" i="5"/>
  <c r="FS134" i="5"/>
  <c r="FR134" i="5"/>
  <c r="FQ134" i="5"/>
  <c r="FP134" i="5"/>
  <c r="FO134" i="5"/>
  <c r="FN134" i="5"/>
  <c r="FM134" i="5"/>
  <c r="FL134" i="5"/>
  <c r="FK134" i="5"/>
  <c r="FJ134" i="5"/>
  <c r="FI134" i="5"/>
  <c r="FH134" i="5"/>
  <c r="FG134" i="5"/>
  <c r="FF134" i="5"/>
  <c r="FE134" i="5"/>
  <c r="FD134" i="5"/>
  <c r="FC134" i="5"/>
  <c r="FB134" i="5"/>
  <c r="FA134" i="5"/>
  <c r="EZ134" i="5"/>
  <c r="EY134" i="5"/>
  <c r="EX134" i="5"/>
  <c r="EW134" i="5"/>
  <c r="EV134" i="5"/>
  <c r="EU134" i="5"/>
  <c r="ET134" i="5"/>
  <c r="ES134" i="5"/>
  <c r="ER134" i="5"/>
  <c r="EQ134" i="5"/>
  <c r="EP134" i="5"/>
  <c r="EO134" i="5"/>
  <c r="EN134" i="5"/>
  <c r="EM134" i="5"/>
  <c r="EL134" i="5"/>
  <c r="EK134" i="5"/>
  <c r="EJ134" i="5"/>
  <c r="EI134" i="5"/>
  <c r="EH134" i="5"/>
  <c r="EG134" i="5"/>
  <c r="EF134" i="5"/>
  <c r="EE134" i="5"/>
  <c r="ED134" i="5"/>
  <c r="EC134" i="5"/>
  <c r="EB134" i="5"/>
  <c r="EA134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DU121" i="5"/>
  <c r="DT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FX120" i="5"/>
  <c r="FW120" i="5"/>
  <c r="FV120" i="5"/>
  <c r="FU120" i="5"/>
  <c r="FT120" i="5"/>
  <c r="FS120" i="5"/>
  <c r="FR120" i="5"/>
  <c r="FQ120" i="5"/>
  <c r="FP120" i="5"/>
  <c r="FO120" i="5"/>
  <c r="FN120" i="5"/>
  <c r="FM120" i="5"/>
  <c r="FL120" i="5"/>
  <c r="FK120" i="5"/>
  <c r="FJ120" i="5"/>
  <c r="FI120" i="5"/>
  <c r="FH120" i="5"/>
  <c r="FG120" i="5"/>
  <c r="FF120" i="5"/>
  <c r="FE120" i="5"/>
  <c r="FD120" i="5"/>
  <c r="FC120" i="5"/>
  <c r="FB120" i="5"/>
  <c r="FA120" i="5"/>
  <c r="EZ120" i="5"/>
  <c r="EY120" i="5"/>
  <c r="EX120" i="5"/>
  <c r="EW120" i="5"/>
  <c r="EV120" i="5"/>
  <c r="EU120" i="5"/>
  <c r="ET120" i="5"/>
  <c r="ES120" i="5"/>
  <c r="ER120" i="5"/>
  <c r="EQ120" i="5"/>
  <c r="EP120" i="5"/>
  <c r="EO120" i="5"/>
  <c r="EN120" i="5"/>
  <c r="EM120" i="5"/>
  <c r="EL120" i="5"/>
  <c r="EK120" i="5"/>
  <c r="EJ120" i="5"/>
  <c r="EI120" i="5"/>
  <c r="EH120" i="5"/>
  <c r="EG120" i="5"/>
  <c r="EF120" i="5"/>
  <c r="EE120" i="5"/>
  <c r="ED120" i="5"/>
  <c r="EC120" i="5"/>
  <c r="EB120" i="5"/>
  <c r="EA120" i="5"/>
  <c r="DZ120" i="5"/>
  <c r="DY120" i="5"/>
  <c r="DX120" i="5"/>
  <c r="DW120" i="5"/>
  <c r="DV120" i="5"/>
  <c r="DU120" i="5"/>
  <c r="DT120" i="5"/>
  <c r="DS120" i="5"/>
  <c r="DR120" i="5"/>
  <c r="DQ120" i="5"/>
  <c r="DP120" i="5"/>
  <c r="DO120" i="5"/>
  <c r="DN120" i="5"/>
  <c r="DM120" i="5"/>
  <c r="DL120" i="5"/>
  <c r="DK120" i="5"/>
  <c r="DJ120" i="5"/>
  <c r="DI120" i="5"/>
  <c r="DH120" i="5"/>
  <c r="DG120" i="5"/>
  <c r="DF120" i="5"/>
  <c r="DE120" i="5"/>
  <c r="DD120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EX119" i="5"/>
  <c r="EW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I119" i="5"/>
  <c r="DH119" i="5"/>
  <c r="DG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FX118" i="5"/>
  <c r="FW118" i="5"/>
  <c r="FV118" i="5"/>
  <c r="FU118" i="5"/>
  <c r="FT118" i="5"/>
  <c r="FS118" i="5"/>
  <c r="FR118" i="5"/>
  <c r="FQ118" i="5"/>
  <c r="FP118" i="5"/>
  <c r="FO118" i="5"/>
  <c r="FN118" i="5"/>
  <c r="FM118" i="5"/>
  <c r="FL118" i="5"/>
  <c r="FK118" i="5"/>
  <c r="FJ118" i="5"/>
  <c r="FI118" i="5"/>
  <c r="FH118" i="5"/>
  <c r="FG118" i="5"/>
  <c r="FF118" i="5"/>
  <c r="FE118" i="5"/>
  <c r="FD118" i="5"/>
  <c r="FC118" i="5"/>
  <c r="FB118" i="5"/>
  <c r="FA118" i="5"/>
  <c r="EZ118" i="5"/>
  <c r="EY118" i="5"/>
  <c r="EX118" i="5"/>
  <c r="EW118" i="5"/>
  <c r="EV118" i="5"/>
  <c r="EU118" i="5"/>
  <c r="ET118" i="5"/>
  <c r="ES118" i="5"/>
  <c r="ER118" i="5"/>
  <c r="EQ118" i="5"/>
  <c r="EP118" i="5"/>
  <c r="EO118" i="5"/>
  <c r="EN118" i="5"/>
  <c r="EM118" i="5"/>
  <c r="EL118" i="5"/>
  <c r="EK118" i="5"/>
  <c r="EJ118" i="5"/>
  <c r="EI118" i="5"/>
  <c r="EH118" i="5"/>
  <c r="EG118" i="5"/>
  <c r="EF118" i="5"/>
  <c r="EE118" i="5"/>
  <c r="ED118" i="5"/>
  <c r="EC118" i="5"/>
  <c r="EB118" i="5"/>
  <c r="EA118" i="5"/>
  <c r="DZ118" i="5"/>
  <c r="DY118" i="5"/>
  <c r="DX118" i="5"/>
  <c r="DW118" i="5"/>
  <c r="DV118" i="5"/>
  <c r="DU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H118" i="5"/>
  <c r="DG118" i="5"/>
  <c r="DF118" i="5"/>
  <c r="DE118" i="5"/>
  <c r="DD118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F105" i="5"/>
  <c r="DU100" i="5"/>
  <c r="EA98" i="5"/>
  <c r="DG95" i="5"/>
  <c r="EP94" i="5"/>
  <c r="FZ81" i="5"/>
  <c r="CG81" i="5"/>
  <c r="FZ80" i="5"/>
  <c r="FZ79" i="5"/>
  <c r="FZ78" i="5"/>
  <c r="FZ73" i="5"/>
  <c r="FZ68" i="5"/>
  <c r="FX63" i="5"/>
  <c r="FX278" i="5" s="1"/>
  <c r="FX279" i="5" s="1"/>
  <c r="FW63" i="5"/>
  <c r="FW278" i="5" s="1"/>
  <c r="FW279" i="5" s="1"/>
  <c r="FV63" i="5"/>
  <c r="FV278" i="5" s="1"/>
  <c r="FV279" i="5" s="1"/>
  <c r="FU63" i="5"/>
  <c r="FU278" i="5" s="1"/>
  <c r="FU279" i="5" s="1"/>
  <c r="FT63" i="5"/>
  <c r="FT278" i="5" s="1"/>
  <c r="FT279" i="5" s="1"/>
  <c r="FS63" i="5"/>
  <c r="FS278" i="5" s="1"/>
  <c r="FS279" i="5" s="1"/>
  <c r="FR63" i="5"/>
  <c r="FR278" i="5" s="1"/>
  <c r="FR279" i="5" s="1"/>
  <c r="FQ63" i="5"/>
  <c r="FQ278" i="5" s="1"/>
  <c r="FQ279" i="5" s="1"/>
  <c r="FP63" i="5"/>
  <c r="FP278" i="5" s="1"/>
  <c r="FP279" i="5" s="1"/>
  <c r="FO63" i="5"/>
  <c r="FO278" i="5" s="1"/>
  <c r="FO279" i="5" s="1"/>
  <c r="FN63" i="5"/>
  <c r="FN278" i="5" s="1"/>
  <c r="FN279" i="5" s="1"/>
  <c r="FM63" i="5"/>
  <c r="FM278" i="5" s="1"/>
  <c r="FM279" i="5" s="1"/>
  <c r="FL63" i="5"/>
  <c r="FL278" i="5" s="1"/>
  <c r="FL279" i="5" s="1"/>
  <c r="FK63" i="5"/>
  <c r="FK278" i="5" s="1"/>
  <c r="FK279" i="5" s="1"/>
  <c r="FJ63" i="5"/>
  <c r="FJ278" i="5" s="1"/>
  <c r="FJ279" i="5" s="1"/>
  <c r="FI63" i="5"/>
  <c r="FI278" i="5" s="1"/>
  <c r="FI279" i="5" s="1"/>
  <c r="FH63" i="5"/>
  <c r="FH278" i="5" s="1"/>
  <c r="FH279" i="5" s="1"/>
  <c r="FG63" i="5"/>
  <c r="FG278" i="5" s="1"/>
  <c r="FG279" i="5" s="1"/>
  <c r="FF63" i="5"/>
  <c r="FF278" i="5" s="1"/>
  <c r="FF279" i="5" s="1"/>
  <c r="FE63" i="5"/>
  <c r="FE278" i="5" s="1"/>
  <c r="FE279" i="5" s="1"/>
  <c r="FD63" i="5"/>
  <c r="FD278" i="5" s="1"/>
  <c r="FD279" i="5" s="1"/>
  <c r="FC63" i="5"/>
  <c r="FC278" i="5" s="1"/>
  <c r="FC279" i="5" s="1"/>
  <c r="FB63" i="5"/>
  <c r="FB278" i="5" s="1"/>
  <c r="FB279" i="5" s="1"/>
  <c r="FA63" i="5"/>
  <c r="FA278" i="5" s="1"/>
  <c r="FA279" i="5" s="1"/>
  <c r="EZ63" i="5"/>
  <c r="EZ278" i="5" s="1"/>
  <c r="EZ279" i="5" s="1"/>
  <c r="EY63" i="5"/>
  <c r="EY278" i="5" s="1"/>
  <c r="EY279" i="5" s="1"/>
  <c r="EX63" i="5"/>
  <c r="EX278" i="5" s="1"/>
  <c r="EX279" i="5" s="1"/>
  <c r="EW63" i="5"/>
  <c r="EW278" i="5" s="1"/>
  <c r="EW279" i="5" s="1"/>
  <c r="EV63" i="5"/>
  <c r="EV278" i="5" s="1"/>
  <c r="EV279" i="5" s="1"/>
  <c r="EU63" i="5"/>
  <c r="EU278" i="5" s="1"/>
  <c r="EU279" i="5" s="1"/>
  <c r="ET63" i="5"/>
  <c r="ET278" i="5" s="1"/>
  <c r="ET279" i="5" s="1"/>
  <c r="ES63" i="5"/>
  <c r="ES278" i="5" s="1"/>
  <c r="ES279" i="5" s="1"/>
  <c r="ER63" i="5"/>
  <c r="ER278" i="5" s="1"/>
  <c r="ER279" i="5" s="1"/>
  <c r="EQ63" i="5"/>
  <c r="EQ278" i="5" s="1"/>
  <c r="EQ279" i="5" s="1"/>
  <c r="EP63" i="5"/>
  <c r="EP278" i="5" s="1"/>
  <c r="EP279" i="5" s="1"/>
  <c r="EO63" i="5"/>
  <c r="EO278" i="5" s="1"/>
  <c r="EO279" i="5" s="1"/>
  <c r="EN63" i="5"/>
  <c r="EN278" i="5" s="1"/>
  <c r="EN279" i="5" s="1"/>
  <c r="EM63" i="5"/>
  <c r="EM278" i="5" s="1"/>
  <c r="EM279" i="5" s="1"/>
  <c r="EL63" i="5"/>
  <c r="EL278" i="5" s="1"/>
  <c r="EL279" i="5" s="1"/>
  <c r="EK63" i="5"/>
  <c r="EK278" i="5" s="1"/>
  <c r="EK279" i="5" s="1"/>
  <c r="EJ63" i="5"/>
  <c r="EJ278" i="5" s="1"/>
  <c r="EJ279" i="5" s="1"/>
  <c r="EI63" i="5"/>
  <c r="EI278" i="5" s="1"/>
  <c r="EI279" i="5" s="1"/>
  <c r="EH63" i="5"/>
  <c r="EH278" i="5" s="1"/>
  <c r="EH279" i="5" s="1"/>
  <c r="EG63" i="5"/>
  <c r="EG278" i="5" s="1"/>
  <c r="EG279" i="5" s="1"/>
  <c r="EF63" i="5"/>
  <c r="EF278" i="5" s="1"/>
  <c r="EF279" i="5" s="1"/>
  <c r="EE63" i="5"/>
  <c r="EE278" i="5" s="1"/>
  <c r="EE279" i="5" s="1"/>
  <c r="ED63" i="5"/>
  <c r="ED278" i="5" s="1"/>
  <c r="ED279" i="5" s="1"/>
  <c r="EC63" i="5"/>
  <c r="EC278" i="5" s="1"/>
  <c r="EC279" i="5" s="1"/>
  <c r="EB63" i="5"/>
  <c r="EB278" i="5" s="1"/>
  <c r="EB279" i="5" s="1"/>
  <c r="EA63" i="5"/>
  <c r="EA278" i="5" s="1"/>
  <c r="EA279" i="5" s="1"/>
  <c r="DZ63" i="5"/>
  <c r="DZ278" i="5" s="1"/>
  <c r="DZ279" i="5" s="1"/>
  <c r="DY63" i="5"/>
  <c r="DY278" i="5" s="1"/>
  <c r="DY279" i="5" s="1"/>
  <c r="DX63" i="5"/>
  <c r="DX278" i="5" s="1"/>
  <c r="DX279" i="5" s="1"/>
  <c r="DW63" i="5"/>
  <c r="DW278" i="5" s="1"/>
  <c r="DW279" i="5" s="1"/>
  <c r="DV63" i="5"/>
  <c r="DV278" i="5" s="1"/>
  <c r="DV279" i="5" s="1"/>
  <c r="DU63" i="5"/>
  <c r="DU278" i="5" s="1"/>
  <c r="DU279" i="5" s="1"/>
  <c r="DT63" i="5"/>
  <c r="DT278" i="5" s="1"/>
  <c r="DT279" i="5" s="1"/>
  <c r="DS63" i="5"/>
  <c r="DS278" i="5" s="1"/>
  <c r="DS279" i="5" s="1"/>
  <c r="DR63" i="5"/>
  <c r="DR278" i="5" s="1"/>
  <c r="DR279" i="5" s="1"/>
  <c r="DQ63" i="5"/>
  <c r="DQ278" i="5" s="1"/>
  <c r="DQ279" i="5" s="1"/>
  <c r="DP63" i="5"/>
  <c r="DP278" i="5" s="1"/>
  <c r="DP279" i="5" s="1"/>
  <c r="DO63" i="5"/>
  <c r="DO278" i="5" s="1"/>
  <c r="DO279" i="5" s="1"/>
  <c r="DN63" i="5"/>
  <c r="DN278" i="5" s="1"/>
  <c r="DN279" i="5" s="1"/>
  <c r="DM63" i="5"/>
  <c r="DM278" i="5" s="1"/>
  <c r="DM279" i="5" s="1"/>
  <c r="DL63" i="5"/>
  <c r="DL278" i="5" s="1"/>
  <c r="DL279" i="5" s="1"/>
  <c r="DK63" i="5"/>
  <c r="DK278" i="5" s="1"/>
  <c r="DK279" i="5" s="1"/>
  <c r="DJ63" i="5"/>
  <c r="DJ278" i="5" s="1"/>
  <c r="DJ279" i="5" s="1"/>
  <c r="DI63" i="5"/>
  <c r="DI278" i="5" s="1"/>
  <c r="DI279" i="5" s="1"/>
  <c r="DH63" i="5"/>
  <c r="DH278" i="5" s="1"/>
  <c r="DH279" i="5" s="1"/>
  <c r="DG63" i="5"/>
  <c r="DG278" i="5" s="1"/>
  <c r="DG279" i="5" s="1"/>
  <c r="DF63" i="5"/>
  <c r="DF278" i="5" s="1"/>
  <c r="DF279" i="5" s="1"/>
  <c r="DE63" i="5"/>
  <c r="DE278" i="5" s="1"/>
  <c r="DE279" i="5" s="1"/>
  <c r="DD63" i="5"/>
  <c r="DD278" i="5" s="1"/>
  <c r="DD279" i="5" s="1"/>
  <c r="DC63" i="5"/>
  <c r="DC278" i="5" s="1"/>
  <c r="DC279" i="5" s="1"/>
  <c r="DB63" i="5"/>
  <c r="DB278" i="5" s="1"/>
  <c r="DB279" i="5" s="1"/>
  <c r="DA63" i="5"/>
  <c r="DA278" i="5" s="1"/>
  <c r="DA279" i="5" s="1"/>
  <c r="CZ63" i="5"/>
  <c r="CZ278" i="5" s="1"/>
  <c r="CZ279" i="5" s="1"/>
  <c r="CY63" i="5"/>
  <c r="CY278" i="5" s="1"/>
  <c r="CY279" i="5" s="1"/>
  <c r="CX63" i="5"/>
  <c r="CX278" i="5" s="1"/>
  <c r="CX279" i="5" s="1"/>
  <c r="CW63" i="5"/>
  <c r="CW278" i="5" s="1"/>
  <c r="CW279" i="5" s="1"/>
  <c r="CV63" i="5"/>
  <c r="CV278" i="5" s="1"/>
  <c r="CV279" i="5" s="1"/>
  <c r="CU63" i="5"/>
  <c r="CU278" i="5" s="1"/>
  <c r="CU279" i="5" s="1"/>
  <c r="CT63" i="5"/>
  <c r="CT278" i="5" s="1"/>
  <c r="CT279" i="5" s="1"/>
  <c r="CS63" i="5"/>
  <c r="CS278" i="5" s="1"/>
  <c r="CS279" i="5" s="1"/>
  <c r="CR63" i="5"/>
  <c r="CR278" i="5" s="1"/>
  <c r="CR279" i="5" s="1"/>
  <c r="CQ63" i="5"/>
  <c r="CQ278" i="5" s="1"/>
  <c r="CQ279" i="5" s="1"/>
  <c r="CP63" i="5"/>
  <c r="CP278" i="5" s="1"/>
  <c r="CP279" i="5" s="1"/>
  <c r="CO63" i="5"/>
  <c r="CO278" i="5" s="1"/>
  <c r="CO279" i="5" s="1"/>
  <c r="CN63" i="5"/>
  <c r="CN278" i="5" s="1"/>
  <c r="CN279" i="5" s="1"/>
  <c r="CM63" i="5"/>
  <c r="CM278" i="5" s="1"/>
  <c r="CM279" i="5" s="1"/>
  <c r="CL63" i="5"/>
  <c r="CL278" i="5" s="1"/>
  <c r="CL279" i="5" s="1"/>
  <c r="CK63" i="5"/>
  <c r="CK278" i="5" s="1"/>
  <c r="CK279" i="5" s="1"/>
  <c r="CJ63" i="5"/>
  <c r="CJ278" i="5" s="1"/>
  <c r="CJ279" i="5" s="1"/>
  <c r="CI63" i="5"/>
  <c r="CI278" i="5" s="1"/>
  <c r="CI279" i="5" s="1"/>
  <c r="CH63" i="5"/>
  <c r="CH278" i="5" s="1"/>
  <c r="CH279" i="5" s="1"/>
  <c r="CG63" i="5"/>
  <c r="CG278" i="5" s="1"/>
  <c r="CG279" i="5" s="1"/>
  <c r="CF63" i="5"/>
  <c r="CF278" i="5" s="1"/>
  <c r="CF279" i="5" s="1"/>
  <c r="CE63" i="5"/>
  <c r="CE278" i="5" s="1"/>
  <c r="CE279" i="5" s="1"/>
  <c r="CD63" i="5"/>
  <c r="CD278" i="5" s="1"/>
  <c r="CD279" i="5" s="1"/>
  <c r="CC63" i="5"/>
  <c r="CC278" i="5" s="1"/>
  <c r="CC279" i="5" s="1"/>
  <c r="CB63" i="5"/>
  <c r="CB278" i="5" s="1"/>
  <c r="CB279" i="5" s="1"/>
  <c r="CA63" i="5"/>
  <c r="CA278" i="5" s="1"/>
  <c r="CA279" i="5" s="1"/>
  <c r="BZ63" i="5"/>
  <c r="BZ278" i="5" s="1"/>
  <c r="BZ279" i="5" s="1"/>
  <c r="BY63" i="5"/>
  <c r="BY278" i="5" s="1"/>
  <c r="BY279" i="5" s="1"/>
  <c r="BX63" i="5"/>
  <c r="BX278" i="5" s="1"/>
  <c r="BX279" i="5" s="1"/>
  <c r="BW63" i="5"/>
  <c r="BW278" i="5" s="1"/>
  <c r="BW279" i="5" s="1"/>
  <c r="BV63" i="5"/>
  <c r="BV278" i="5" s="1"/>
  <c r="BV279" i="5" s="1"/>
  <c r="BU63" i="5"/>
  <c r="BU278" i="5" s="1"/>
  <c r="BU279" i="5" s="1"/>
  <c r="BT63" i="5"/>
  <c r="BT278" i="5" s="1"/>
  <c r="BT279" i="5" s="1"/>
  <c r="BS63" i="5"/>
  <c r="BS278" i="5" s="1"/>
  <c r="BS279" i="5" s="1"/>
  <c r="BR63" i="5"/>
  <c r="BR278" i="5" s="1"/>
  <c r="BR279" i="5" s="1"/>
  <c r="BQ63" i="5"/>
  <c r="BQ278" i="5" s="1"/>
  <c r="BQ279" i="5" s="1"/>
  <c r="BP63" i="5"/>
  <c r="BP278" i="5" s="1"/>
  <c r="BP279" i="5" s="1"/>
  <c r="BO63" i="5"/>
  <c r="BO278" i="5" s="1"/>
  <c r="BO279" i="5" s="1"/>
  <c r="BN63" i="5"/>
  <c r="BN278" i="5" s="1"/>
  <c r="BN279" i="5" s="1"/>
  <c r="BM63" i="5"/>
  <c r="BM278" i="5" s="1"/>
  <c r="BM279" i="5" s="1"/>
  <c r="BL63" i="5"/>
  <c r="BL278" i="5" s="1"/>
  <c r="BL279" i="5" s="1"/>
  <c r="BK63" i="5"/>
  <c r="BK278" i="5" s="1"/>
  <c r="BK279" i="5" s="1"/>
  <c r="BJ63" i="5"/>
  <c r="BJ278" i="5" s="1"/>
  <c r="BJ279" i="5" s="1"/>
  <c r="BI63" i="5"/>
  <c r="BI278" i="5" s="1"/>
  <c r="BI279" i="5" s="1"/>
  <c r="BH63" i="5"/>
  <c r="BH278" i="5" s="1"/>
  <c r="BH279" i="5" s="1"/>
  <c r="BG63" i="5"/>
  <c r="BG278" i="5" s="1"/>
  <c r="BG279" i="5" s="1"/>
  <c r="BF63" i="5"/>
  <c r="BF278" i="5" s="1"/>
  <c r="BF279" i="5" s="1"/>
  <c r="BE63" i="5"/>
  <c r="BE278" i="5" s="1"/>
  <c r="BE279" i="5" s="1"/>
  <c r="BD63" i="5"/>
  <c r="BD278" i="5" s="1"/>
  <c r="BD279" i="5" s="1"/>
  <c r="BC63" i="5"/>
  <c r="BC278" i="5" s="1"/>
  <c r="BC279" i="5" s="1"/>
  <c r="BB63" i="5"/>
  <c r="BB278" i="5" s="1"/>
  <c r="BB279" i="5" s="1"/>
  <c r="BA63" i="5"/>
  <c r="BA278" i="5" s="1"/>
  <c r="BA279" i="5" s="1"/>
  <c r="AZ63" i="5"/>
  <c r="AZ278" i="5" s="1"/>
  <c r="AZ279" i="5" s="1"/>
  <c r="AY63" i="5"/>
  <c r="AY278" i="5" s="1"/>
  <c r="AY279" i="5" s="1"/>
  <c r="AX63" i="5"/>
  <c r="AX278" i="5" s="1"/>
  <c r="AX279" i="5" s="1"/>
  <c r="AW63" i="5"/>
  <c r="AW278" i="5" s="1"/>
  <c r="AW279" i="5" s="1"/>
  <c r="AV63" i="5"/>
  <c r="AV278" i="5" s="1"/>
  <c r="AV279" i="5" s="1"/>
  <c r="AU63" i="5"/>
  <c r="AU278" i="5" s="1"/>
  <c r="AU279" i="5" s="1"/>
  <c r="AT63" i="5"/>
  <c r="AT278" i="5" s="1"/>
  <c r="AT279" i="5" s="1"/>
  <c r="AS63" i="5"/>
  <c r="AS278" i="5" s="1"/>
  <c r="AS279" i="5" s="1"/>
  <c r="AR63" i="5"/>
  <c r="AR278" i="5" s="1"/>
  <c r="AR279" i="5" s="1"/>
  <c r="AQ63" i="5"/>
  <c r="AQ278" i="5" s="1"/>
  <c r="AQ279" i="5" s="1"/>
  <c r="AP63" i="5"/>
  <c r="AP278" i="5" s="1"/>
  <c r="AP279" i="5" s="1"/>
  <c r="AO63" i="5"/>
  <c r="AO278" i="5" s="1"/>
  <c r="AO279" i="5" s="1"/>
  <c r="AN63" i="5"/>
  <c r="AN278" i="5" s="1"/>
  <c r="AN279" i="5" s="1"/>
  <c r="AM63" i="5"/>
  <c r="AM278" i="5" s="1"/>
  <c r="AM279" i="5" s="1"/>
  <c r="AL63" i="5"/>
  <c r="AL278" i="5" s="1"/>
  <c r="AL279" i="5" s="1"/>
  <c r="AK63" i="5"/>
  <c r="AK278" i="5" s="1"/>
  <c r="AK279" i="5" s="1"/>
  <c r="AJ63" i="5"/>
  <c r="AJ278" i="5" s="1"/>
  <c r="AJ279" i="5" s="1"/>
  <c r="AI63" i="5"/>
  <c r="AI278" i="5" s="1"/>
  <c r="AI279" i="5" s="1"/>
  <c r="AH63" i="5"/>
  <c r="AH278" i="5" s="1"/>
  <c r="AH279" i="5" s="1"/>
  <c r="AG63" i="5"/>
  <c r="AG278" i="5" s="1"/>
  <c r="AG279" i="5" s="1"/>
  <c r="AF63" i="5"/>
  <c r="AF278" i="5" s="1"/>
  <c r="AF279" i="5" s="1"/>
  <c r="AE63" i="5"/>
  <c r="AE278" i="5" s="1"/>
  <c r="AE279" i="5" s="1"/>
  <c r="AD63" i="5"/>
  <c r="AD278" i="5" s="1"/>
  <c r="AD279" i="5" s="1"/>
  <c r="AC63" i="5"/>
  <c r="AC278" i="5" s="1"/>
  <c r="AC279" i="5" s="1"/>
  <c r="AB63" i="5"/>
  <c r="AB278" i="5" s="1"/>
  <c r="AB279" i="5" s="1"/>
  <c r="AA63" i="5"/>
  <c r="AA278" i="5" s="1"/>
  <c r="AA279" i="5" s="1"/>
  <c r="Z63" i="5"/>
  <c r="Z278" i="5" s="1"/>
  <c r="Z279" i="5" s="1"/>
  <c r="Y63" i="5"/>
  <c r="Y278" i="5" s="1"/>
  <c r="Y279" i="5" s="1"/>
  <c r="X63" i="5"/>
  <c r="X278" i="5" s="1"/>
  <c r="X279" i="5" s="1"/>
  <c r="W63" i="5"/>
  <c r="W278" i="5" s="1"/>
  <c r="W279" i="5" s="1"/>
  <c r="V63" i="5"/>
  <c r="V278" i="5" s="1"/>
  <c r="V279" i="5" s="1"/>
  <c r="U63" i="5"/>
  <c r="U278" i="5" s="1"/>
  <c r="U279" i="5" s="1"/>
  <c r="T63" i="5"/>
  <c r="T278" i="5" s="1"/>
  <c r="T279" i="5" s="1"/>
  <c r="S63" i="5"/>
  <c r="S278" i="5" s="1"/>
  <c r="S279" i="5" s="1"/>
  <c r="R63" i="5"/>
  <c r="R278" i="5" s="1"/>
  <c r="R279" i="5" s="1"/>
  <c r="Q63" i="5"/>
  <c r="Q278" i="5" s="1"/>
  <c r="Q279" i="5" s="1"/>
  <c r="P63" i="5"/>
  <c r="P278" i="5" s="1"/>
  <c r="P279" i="5" s="1"/>
  <c r="O63" i="5"/>
  <c r="O278" i="5" s="1"/>
  <c r="O279" i="5" s="1"/>
  <c r="N63" i="5"/>
  <c r="N278" i="5" s="1"/>
  <c r="N279" i="5" s="1"/>
  <c r="M63" i="5"/>
  <c r="M278" i="5" s="1"/>
  <c r="M279" i="5" s="1"/>
  <c r="L63" i="5"/>
  <c r="L278" i="5" s="1"/>
  <c r="L279" i="5" s="1"/>
  <c r="K63" i="5"/>
  <c r="K278" i="5" s="1"/>
  <c r="K279" i="5" s="1"/>
  <c r="J63" i="5"/>
  <c r="J278" i="5" s="1"/>
  <c r="J279" i="5" s="1"/>
  <c r="I63" i="5"/>
  <c r="I278" i="5" s="1"/>
  <c r="I279" i="5" s="1"/>
  <c r="H63" i="5"/>
  <c r="H278" i="5" s="1"/>
  <c r="H279" i="5" s="1"/>
  <c r="G63" i="5"/>
  <c r="G278" i="5" s="1"/>
  <c r="G279" i="5" s="1"/>
  <c r="F63" i="5"/>
  <c r="F278" i="5" s="1"/>
  <c r="F279" i="5" s="1"/>
  <c r="E63" i="5"/>
  <c r="E278" i="5" s="1"/>
  <c r="E279" i="5" s="1"/>
  <c r="D63" i="5"/>
  <c r="D278" i="5" s="1"/>
  <c r="D279" i="5" s="1"/>
  <c r="C63" i="5"/>
  <c r="C278" i="5" s="1"/>
  <c r="FZ62" i="5"/>
  <c r="FZ61" i="5"/>
  <c r="FZ60" i="5"/>
  <c r="FZ59" i="5"/>
  <c r="FZ58" i="5"/>
  <c r="FZ57" i="5"/>
  <c r="FZ53" i="5"/>
  <c r="FZ50" i="5"/>
  <c r="FZ49" i="5"/>
  <c r="FZ48" i="5"/>
  <c r="C48" i="5"/>
  <c r="C47" i="5"/>
  <c r="C291" i="5" s="1"/>
  <c r="FX40" i="5"/>
  <c r="FX213" i="5" s="1"/>
  <c r="FW40" i="5"/>
  <c r="FW213" i="5" s="1"/>
  <c r="FV40" i="5"/>
  <c r="FV213" i="5" s="1"/>
  <c r="FU40" i="5"/>
  <c r="FU213" i="5" s="1"/>
  <c r="FT40" i="5"/>
  <c r="FT213" i="5" s="1"/>
  <c r="FS40" i="5"/>
  <c r="FS213" i="5" s="1"/>
  <c r="FR40" i="5"/>
  <c r="FR213" i="5" s="1"/>
  <c r="FQ40" i="5"/>
  <c r="FQ213" i="5" s="1"/>
  <c r="FP40" i="5"/>
  <c r="FP213" i="5" s="1"/>
  <c r="FO40" i="5"/>
  <c r="FO213" i="5" s="1"/>
  <c r="FN40" i="5"/>
  <c r="FN213" i="5" s="1"/>
  <c r="FM40" i="5"/>
  <c r="FM213" i="5" s="1"/>
  <c r="FL40" i="5"/>
  <c r="FL213" i="5" s="1"/>
  <c r="FK40" i="5"/>
  <c r="FK213" i="5" s="1"/>
  <c r="FJ40" i="5"/>
  <c r="FJ213" i="5" s="1"/>
  <c r="FI40" i="5"/>
  <c r="FI213" i="5" s="1"/>
  <c r="FH40" i="5"/>
  <c r="FH213" i="5" s="1"/>
  <c r="FG40" i="5"/>
  <c r="FG213" i="5" s="1"/>
  <c r="FF40" i="5"/>
  <c r="FF213" i="5" s="1"/>
  <c r="FE40" i="5"/>
  <c r="FE213" i="5" s="1"/>
  <c r="FD40" i="5"/>
  <c r="FD213" i="5" s="1"/>
  <c r="FC40" i="5"/>
  <c r="FC213" i="5" s="1"/>
  <c r="FB40" i="5"/>
  <c r="FB213" i="5" s="1"/>
  <c r="FA40" i="5"/>
  <c r="FA213" i="5" s="1"/>
  <c r="EZ40" i="5"/>
  <c r="EZ213" i="5" s="1"/>
  <c r="EY40" i="5"/>
  <c r="EY213" i="5" s="1"/>
  <c r="EX40" i="5"/>
  <c r="EX213" i="5" s="1"/>
  <c r="EW40" i="5"/>
  <c r="EW213" i="5" s="1"/>
  <c r="EV40" i="5"/>
  <c r="EV213" i="5" s="1"/>
  <c r="EU40" i="5"/>
  <c r="EU213" i="5" s="1"/>
  <c r="ET40" i="5"/>
  <c r="ET213" i="5" s="1"/>
  <c r="ES40" i="5"/>
  <c r="ES213" i="5" s="1"/>
  <c r="ER40" i="5"/>
  <c r="ER213" i="5" s="1"/>
  <c r="EQ40" i="5"/>
  <c r="EQ213" i="5" s="1"/>
  <c r="EP40" i="5"/>
  <c r="EP213" i="5" s="1"/>
  <c r="EO40" i="5"/>
  <c r="EO213" i="5" s="1"/>
  <c r="EN40" i="5"/>
  <c r="EN213" i="5" s="1"/>
  <c r="EM40" i="5"/>
  <c r="EM213" i="5" s="1"/>
  <c r="EL40" i="5"/>
  <c r="EL213" i="5" s="1"/>
  <c r="EK40" i="5"/>
  <c r="EK213" i="5" s="1"/>
  <c r="EJ40" i="5"/>
  <c r="EJ213" i="5" s="1"/>
  <c r="EI40" i="5"/>
  <c r="EI213" i="5" s="1"/>
  <c r="EH40" i="5"/>
  <c r="EH213" i="5" s="1"/>
  <c r="EG40" i="5"/>
  <c r="EG213" i="5" s="1"/>
  <c r="EF40" i="5"/>
  <c r="EF213" i="5" s="1"/>
  <c r="EE40" i="5"/>
  <c r="EE213" i="5" s="1"/>
  <c r="ED40" i="5"/>
  <c r="ED213" i="5" s="1"/>
  <c r="EC40" i="5"/>
  <c r="EC213" i="5" s="1"/>
  <c r="EB40" i="5"/>
  <c r="EB213" i="5" s="1"/>
  <c r="EA40" i="5"/>
  <c r="EA213" i="5" s="1"/>
  <c r="DZ40" i="5"/>
  <c r="DZ213" i="5" s="1"/>
  <c r="DY40" i="5"/>
  <c r="DY213" i="5" s="1"/>
  <c r="DX40" i="5"/>
  <c r="DX213" i="5" s="1"/>
  <c r="DW40" i="5"/>
  <c r="DW213" i="5" s="1"/>
  <c r="DV40" i="5"/>
  <c r="DV213" i="5" s="1"/>
  <c r="DU40" i="5"/>
  <c r="DU213" i="5" s="1"/>
  <c r="DT40" i="5"/>
  <c r="DT213" i="5" s="1"/>
  <c r="DS40" i="5"/>
  <c r="DS213" i="5" s="1"/>
  <c r="DR40" i="5"/>
  <c r="DR213" i="5" s="1"/>
  <c r="DQ40" i="5"/>
  <c r="DQ213" i="5" s="1"/>
  <c r="DP40" i="5"/>
  <c r="DP213" i="5" s="1"/>
  <c r="DO40" i="5"/>
  <c r="DO213" i="5" s="1"/>
  <c r="DN40" i="5"/>
  <c r="DN213" i="5" s="1"/>
  <c r="DM40" i="5"/>
  <c r="DM213" i="5" s="1"/>
  <c r="DL40" i="5"/>
  <c r="DL213" i="5" s="1"/>
  <c r="DK40" i="5"/>
  <c r="DK213" i="5" s="1"/>
  <c r="DJ40" i="5"/>
  <c r="DJ213" i="5" s="1"/>
  <c r="DI40" i="5"/>
  <c r="DI213" i="5" s="1"/>
  <c r="DH40" i="5"/>
  <c r="DH213" i="5" s="1"/>
  <c r="DG40" i="5"/>
  <c r="DG213" i="5" s="1"/>
  <c r="DF40" i="5"/>
  <c r="DF213" i="5" s="1"/>
  <c r="DE40" i="5"/>
  <c r="DE213" i="5" s="1"/>
  <c r="DD40" i="5"/>
  <c r="DD213" i="5" s="1"/>
  <c r="DC40" i="5"/>
  <c r="DC213" i="5" s="1"/>
  <c r="DB40" i="5"/>
  <c r="DB213" i="5" s="1"/>
  <c r="DA40" i="5"/>
  <c r="DA213" i="5" s="1"/>
  <c r="CZ40" i="5"/>
  <c r="CZ213" i="5" s="1"/>
  <c r="CY40" i="5"/>
  <c r="CY213" i="5" s="1"/>
  <c r="CX40" i="5"/>
  <c r="CX213" i="5" s="1"/>
  <c r="CW40" i="5"/>
  <c r="CW213" i="5" s="1"/>
  <c r="CV40" i="5"/>
  <c r="CV213" i="5" s="1"/>
  <c r="CU40" i="5"/>
  <c r="CU213" i="5" s="1"/>
  <c r="CT40" i="5"/>
  <c r="CT213" i="5" s="1"/>
  <c r="CS40" i="5"/>
  <c r="CS213" i="5" s="1"/>
  <c r="CR40" i="5"/>
  <c r="CR213" i="5" s="1"/>
  <c r="CQ40" i="5"/>
  <c r="CQ213" i="5" s="1"/>
  <c r="CP40" i="5"/>
  <c r="CP213" i="5" s="1"/>
  <c r="CO40" i="5"/>
  <c r="CO213" i="5" s="1"/>
  <c r="CN40" i="5"/>
  <c r="CN213" i="5" s="1"/>
  <c r="CM40" i="5"/>
  <c r="CM213" i="5" s="1"/>
  <c r="CL40" i="5"/>
  <c r="CL213" i="5" s="1"/>
  <c r="CK40" i="5"/>
  <c r="CK213" i="5" s="1"/>
  <c r="CJ40" i="5"/>
  <c r="CJ213" i="5" s="1"/>
  <c r="CI40" i="5"/>
  <c r="CI213" i="5" s="1"/>
  <c r="CH40" i="5"/>
  <c r="CH213" i="5" s="1"/>
  <c r="CG40" i="5"/>
  <c r="CG213" i="5" s="1"/>
  <c r="CF40" i="5"/>
  <c r="CF213" i="5" s="1"/>
  <c r="CE40" i="5"/>
  <c r="CE213" i="5" s="1"/>
  <c r="CD40" i="5"/>
  <c r="CD213" i="5" s="1"/>
  <c r="CC40" i="5"/>
  <c r="CC213" i="5" s="1"/>
  <c r="CB40" i="5"/>
  <c r="CB213" i="5" s="1"/>
  <c r="CA40" i="5"/>
  <c r="CA213" i="5" s="1"/>
  <c r="BZ40" i="5"/>
  <c r="BZ213" i="5" s="1"/>
  <c r="BY40" i="5"/>
  <c r="BY213" i="5" s="1"/>
  <c r="BX40" i="5"/>
  <c r="BX213" i="5" s="1"/>
  <c r="BW40" i="5"/>
  <c r="BW213" i="5" s="1"/>
  <c r="BV40" i="5"/>
  <c r="BV213" i="5" s="1"/>
  <c r="BU40" i="5"/>
  <c r="BU213" i="5" s="1"/>
  <c r="BT40" i="5"/>
  <c r="BT213" i="5" s="1"/>
  <c r="BS40" i="5"/>
  <c r="BS213" i="5" s="1"/>
  <c r="BR40" i="5"/>
  <c r="BR213" i="5" s="1"/>
  <c r="BQ40" i="5"/>
  <c r="BQ213" i="5" s="1"/>
  <c r="BP40" i="5"/>
  <c r="BP213" i="5" s="1"/>
  <c r="BO40" i="5"/>
  <c r="BO213" i="5" s="1"/>
  <c r="BN40" i="5"/>
  <c r="BN213" i="5" s="1"/>
  <c r="BM40" i="5"/>
  <c r="BM213" i="5" s="1"/>
  <c r="BL40" i="5"/>
  <c r="BL213" i="5" s="1"/>
  <c r="BK40" i="5"/>
  <c r="BK213" i="5" s="1"/>
  <c r="BJ40" i="5"/>
  <c r="BJ213" i="5" s="1"/>
  <c r="BI40" i="5"/>
  <c r="BI213" i="5" s="1"/>
  <c r="BH40" i="5"/>
  <c r="BH213" i="5" s="1"/>
  <c r="BG40" i="5"/>
  <c r="BG213" i="5" s="1"/>
  <c r="BF40" i="5"/>
  <c r="BF213" i="5" s="1"/>
  <c r="BE40" i="5"/>
  <c r="BE213" i="5" s="1"/>
  <c r="BD40" i="5"/>
  <c r="BD213" i="5" s="1"/>
  <c r="BC40" i="5"/>
  <c r="BC213" i="5" s="1"/>
  <c r="BB40" i="5"/>
  <c r="BB213" i="5" s="1"/>
  <c r="BA40" i="5"/>
  <c r="BA213" i="5" s="1"/>
  <c r="AZ40" i="5"/>
  <c r="AZ213" i="5" s="1"/>
  <c r="AY40" i="5"/>
  <c r="AY213" i="5" s="1"/>
  <c r="AX40" i="5"/>
  <c r="AX213" i="5" s="1"/>
  <c r="AW40" i="5"/>
  <c r="AW213" i="5" s="1"/>
  <c r="AV40" i="5"/>
  <c r="AV213" i="5" s="1"/>
  <c r="AU40" i="5"/>
  <c r="AU213" i="5" s="1"/>
  <c r="AT40" i="5"/>
  <c r="AT213" i="5" s="1"/>
  <c r="AS40" i="5"/>
  <c r="AS213" i="5" s="1"/>
  <c r="AR40" i="5"/>
  <c r="AR213" i="5" s="1"/>
  <c r="AQ40" i="5"/>
  <c r="AQ213" i="5" s="1"/>
  <c r="AP40" i="5"/>
  <c r="AP213" i="5" s="1"/>
  <c r="AO40" i="5"/>
  <c r="AO213" i="5" s="1"/>
  <c r="AN40" i="5"/>
  <c r="AN213" i="5" s="1"/>
  <c r="AM40" i="5"/>
  <c r="AM213" i="5" s="1"/>
  <c r="AL40" i="5"/>
  <c r="AL213" i="5" s="1"/>
  <c r="AK40" i="5"/>
  <c r="AK213" i="5" s="1"/>
  <c r="AJ40" i="5"/>
  <c r="AJ213" i="5" s="1"/>
  <c r="AI40" i="5"/>
  <c r="AI213" i="5" s="1"/>
  <c r="AH40" i="5"/>
  <c r="AH213" i="5" s="1"/>
  <c r="AG40" i="5"/>
  <c r="AG213" i="5" s="1"/>
  <c r="AF40" i="5"/>
  <c r="AF213" i="5" s="1"/>
  <c r="AE40" i="5"/>
  <c r="AE213" i="5" s="1"/>
  <c r="AD40" i="5"/>
  <c r="AD213" i="5" s="1"/>
  <c r="AC40" i="5"/>
  <c r="AC213" i="5" s="1"/>
  <c r="AB40" i="5"/>
  <c r="AB213" i="5" s="1"/>
  <c r="AA40" i="5"/>
  <c r="AA213" i="5" s="1"/>
  <c r="Z40" i="5"/>
  <c r="Z213" i="5" s="1"/>
  <c r="Y40" i="5"/>
  <c r="Y213" i="5" s="1"/>
  <c r="X40" i="5"/>
  <c r="X213" i="5" s="1"/>
  <c r="W40" i="5"/>
  <c r="W213" i="5" s="1"/>
  <c r="V40" i="5"/>
  <c r="V213" i="5" s="1"/>
  <c r="U40" i="5"/>
  <c r="U213" i="5" s="1"/>
  <c r="T40" i="5"/>
  <c r="T213" i="5" s="1"/>
  <c r="S40" i="5"/>
  <c r="S213" i="5" s="1"/>
  <c r="R40" i="5"/>
  <c r="R213" i="5" s="1"/>
  <c r="Q40" i="5"/>
  <c r="Q213" i="5" s="1"/>
  <c r="P40" i="5"/>
  <c r="P213" i="5" s="1"/>
  <c r="O40" i="5"/>
  <c r="O213" i="5" s="1"/>
  <c r="N40" i="5"/>
  <c r="N213" i="5" s="1"/>
  <c r="M40" i="5"/>
  <c r="M213" i="5" s="1"/>
  <c r="L40" i="5"/>
  <c r="L213" i="5" s="1"/>
  <c r="K40" i="5"/>
  <c r="K213" i="5" s="1"/>
  <c r="J40" i="5"/>
  <c r="J213" i="5" s="1"/>
  <c r="I40" i="5"/>
  <c r="I213" i="5" s="1"/>
  <c r="H40" i="5"/>
  <c r="H213" i="5" s="1"/>
  <c r="G40" i="5"/>
  <c r="G213" i="5" s="1"/>
  <c r="F40" i="5"/>
  <c r="F213" i="5" s="1"/>
  <c r="E40" i="5"/>
  <c r="E213" i="5" s="1"/>
  <c r="D40" i="5"/>
  <c r="D213" i="5" s="1"/>
  <c r="FX36" i="5"/>
  <c r="FW36" i="5"/>
  <c r="FV36" i="5"/>
  <c r="FU36" i="5"/>
  <c r="FT36" i="5"/>
  <c r="FS36" i="5"/>
  <c r="FR36" i="5"/>
  <c r="FQ36" i="5"/>
  <c r="FP36" i="5"/>
  <c r="FO36" i="5"/>
  <c r="FN36" i="5"/>
  <c r="FM36" i="5"/>
  <c r="FL36" i="5"/>
  <c r="FK36" i="5"/>
  <c r="FJ36" i="5"/>
  <c r="FI36" i="5"/>
  <c r="FH36" i="5"/>
  <c r="FG36" i="5"/>
  <c r="FF36" i="5"/>
  <c r="FE36" i="5"/>
  <c r="FD36" i="5"/>
  <c r="FC36" i="5"/>
  <c r="FB36" i="5"/>
  <c r="FA36" i="5"/>
  <c r="EZ36" i="5"/>
  <c r="EY36" i="5"/>
  <c r="EX36" i="5"/>
  <c r="EW36" i="5"/>
  <c r="EV36" i="5"/>
  <c r="EU36" i="5"/>
  <c r="ET36" i="5"/>
  <c r="ES36" i="5"/>
  <c r="ER36" i="5"/>
  <c r="EQ36" i="5"/>
  <c r="EP36" i="5"/>
  <c r="EO36" i="5"/>
  <c r="EN36" i="5"/>
  <c r="EM36" i="5"/>
  <c r="EL36" i="5"/>
  <c r="EK36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FZ36" i="5" s="1"/>
  <c r="FX35" i="5"/>
  <c r="FX100" i="5" s="1"/>
  <c r="FW35" i="5"/>
  <c r="FW100" i="5" s="1"/>
  <c r="FV35" i="5"/>
  <c r="FV100" i="5" s="1"/>
  <c r="FU35" i="5"/>
  <c r="FU100" i="5" s="1"/>
  <c r="FT35" i="5"/>
  <c r="FT100" i="5" s="1"/>
  <c r="FS35" i="5"/>
  <c r="FS100" i="5" s="1"/>
  <c r="FR35" i="5"/>
  <c r="FR100" i="5" s="1"/>
  <c r="FQ35" i="5"/>
  <c r="FQ100" i="5" s="1"/>
  <c r="FP35" i="5"/>
  <c r="FP100" i="5" s="1"/>
  <c r="FO35" i="5"/>
  <c r="FO100" i="5" s="1"/>
  <c r="FN35" i="5"/>
  <c r="FN100" i="5" s="1"/>
  <c r="FM35" i="5"/>
  <c r="FM100" i="5" s="1"/>
  <c r="FL35" i="5"/>
  <c r="FL100" i="5" s="1"/>
  <c r="FK35" i="5"/>
  <c r="FK100" i="5" s="1"/>
  <c r="FJ35" i="5"/>
  <c r="FJ100" i="5" s="1"/>
  <c r="FI35" i="5"/>
  <c r="FI100" i="5" s="1"/>
  <c r="FH35" i="5"/>
  <c r="FH100" i="5" s="1"/>
  <c r="FG35" i="5"/>
  <c r="FG100" i="5" s="1"/>
  <c r="FF35" i="5"/>
  <c r="FF100" i="5" s="1"/>
  <c r="FE35" i="5"/>
  <c r="FE100" i="5" s="1"/>
  <c r="FD35" i="5"/>
  <c r="FD100" i="5" s="1"/>
  <c r="FC35" i="5"/>
  <c r="FC100" i="5" s="1"/>
  <c r="FB35" i="5"/>
  <c r="FB100" i="5" s="1"/>
  <c r="FA35" i="5"/>
  <c r="FA100" i="5" s="1"/>
  <c r="EZ35" i="5"/>
  <c r="EZ100" i="5" s="1"/>
  <c r="EY35" i="5"/>
  <c r="EY100" i="5" s="1"/>
  <c r="EX35" i="5"/>
  <c r="EX100" i="5" s="1"/>
  <c r="EW35" i="5"/>
  <c r="EW100" i="5" s="1"/>
  <c r="EV35" i="5"/>
  <c r="EV100" i="5" s="1"/>
  <c r="EU35" i="5"/>
  <c r="EU100" i="5" s="1"/>
  <c r="ET35" i="5"/>
  <c r="ET100" i="5" s="1"/>
  <c r="ES35" i="5"/>
  <c r="ES100" i="5" s="1"/>
  <c r="ER35" i="5"/>
  <c r="ER100" i="5" s="1"/>
  <c r="EQ35" i="5"/>
  <c r="EQ100" i="5" s="1"/>
  <c r="EP35" i="5"/>
  <c r="EP100" i="5" s="1"/>
  <c r="EO35" i="5"/>
  <c r="EO100" i="5" s="1"/>
  <c r="EN35" i="5"/>
  <c r="EN100" i="5" s="1"/>
  <c r="EM35" i="5"/>
  <c r="EM100" i="5" s="1"/>
  <c r="EL35" i="5"/>
  <c r="EL100" i="5" s="1"/>
  <c r="EK35" i="5"/>
  <c r="EK100" i="5" s="1"/>
  <c r="EJ35" i="5"/>
  <c r="EJ100" i="5" s="1"/>
  <c r="EI35" i="5"/>
  <c r="EI100" i="5" s="1"/>
  <c r="EH35" i="5"/>
  <c r="EH100" i="5" s="1"/>
  <c r="EG35" i="5"/>
  <c r="EG100" i="5" s="1"/>
  <c r="EF35" i="5"/>
  <c r="EF100" i="5" s="1"/>
  <c r="EE35" i="5"/>
  <c r="EE100" i="5" s="1"/>
  <c r="ED35" i="5"/>
  <c r="ED100" i="5" s="1"/>
  <c r="EC35" i="5"/>
  <c r="EC100" i="5" s="1"/>
  <c r="EB35" i="5"/>
  <c r="EB100" i="5" s="1"/>
  <c r="EA35" i="5"/>
  <c r="EA100" i="5" s="1"/>
  <c r="DZ35" i="5"/>
  <c r="DZ100" i="5" s="1"/>
  <c r="DY35" i="5"/>
  <c r="DY100" i="5" s="1"/>
  <c r="DX35" i="5"/>
  <c r="DX100" i="5" s="1"/>
  <c r="DW35" i="5"/>
  <c r="DW100" i="5" s="1"/>
  <c r="DV35" i="5"/>
  <c r="DV100" i="5" s="1"/>
  <c r="DU35" i="5"/>
  <c r="DT35" i="5"/>
  <c r="DT100" i="5" s="1"/>
  <c r="DS35" i="5"/>
  <c r="DS100" i="5" s="1"/>
  <c r="DR35" i="5"/>
  <c r="DR100" i="5" s="1"/>
  <c r="DQ35" i="5"/>
  <c r="DQ100" i="5" s="1"/>
  <c r="DP35" i="5"/>
  <c r="DP100" i="5" s="1"/>
  <c r="DO35" i="5"/>
  <c r="DO100" i="5" s="1"/>
  <c r="DN35" i="5"/>
  <c r="DN100" i="5" s="1"/>
  <c r="DM35" i="5"/>
  <c r="DM100" i="5" s="1"/>
  <c r="DL35" i="5"/>
  <c r="DL100" i="5" s="1"/>
  <c r="DK35" i="5"/>
  <c r="DK100" i="5" s="1"/>
  <c r="DJ35" i="5"/>
  <c r="DJ100" i="5" s="1"/>
  <c r="DI35" i="5"/>
  <c r="DI100" i="5" s="1"/>
  <c r="DH35" i="5"/>
  <c r="DH100" i="5" s="1"/>
  <c r="DG35" i="5"/>
  <c r="DG100" i="5" s="1"/>
  <c r="DF35" i="5"/>
  <c r="DF100" i="5" s="1"/>
  <c r="DE35" i="5"/>
  <c r="DE100" i="5" s="1"/>
  <c r="DD35" i="5"/>
  <c r="DD100" i="5" s="1"/>
  <c r="DC35" i="5"/>
  <c r="DC100" i="5" s="1"/>
  <c r="DB35" i="5"/>
  <c r="DB100" i="5" s="1"/>
  <c r="DA35" i="5"/>
  <c r="DA100" i="5" s="1"/>
  <c r="CZ35" i="5"/>
  <c r="CZ100" i="5" s="1"/>
  <c r="CY35" i="5"/>
  <c r="CY100" i="5" s="1"/>
  <c r="CX35" i="5"/>
  <c r="CX100" i="5" s="1"/>
  <c r="CW35" i="5"/>
  <c r="CW100" i="5" s="1"/>
  <c r="CV35" i="5"/>
  <c r="CV100" i="5" s="1"/>
  <c r="CU35" i="5"/>
  <c r="CU100" i="5" s="1"/>
  <c r="CT35" i="5"/>
  <c r="CT100" i="5" s="1"/>
  <c r="CS35" i="5"/>
  <c r="CS100" i="5" s="1"/>
  <c r="CR35" i="5"/>
  <c r="CR100" i="5" s="1"/>
  <c r="CQ35" i="5"/>
  <c r="CQ100" i="5" s="1"/>
  <c r="CP35" i="5"/>
  <c r="CP100" i="5" s="1"/>
  <c r="CO35" i="5"/>
  <c r="CO100" i="5" s="1"/>
  <c r="CN35" i="5"/>
  <c r="CN100" i="5" s="1"/>
  <c r="CM35" i="5"/>
  <c r="CM100" i="5" s="1"/>
  <c r="CL35" i="5"/>
  <c r="CL100" i="5" s="1"/>
  <c r="CK35" i="5"/>
  <c r="CK100" i="5" s="1"/>
  <c r="CJ35" i="5"/>
  <c r="CJ100" i="5" s="1"/>
  <c r="CI35" i="5"/>
  <c r="CI100" i="5" s="1"/>
  <c r="CH35" i="5"/>
  <c r="CH100" i="5" s="1"/>
  <c r="CG35" i="5"/>
  <c r="CG100" i="5" s="1"/>
  <c r="CF35" i="5"/>
  <c r="CF100" i="5" s="1"/>
  <c r="CE35" i="5"/>
  <c r="CE100" i="5" s="1"/>
  <c r="CD35" i="5"/>
  <c r="CD100" i="5" s="1"/>
  <c r="CC35" i="5"/>
  <c r="CC100" i="5" s="1"/>
  <c r="CB35" i="5"/>
  <c r="CB100" i="5" s="1"/>
  <c r="CA35" i="5"/>
  <c r="CA100" i="5" s="1"/>
  <c r="BZ35" i="5"/>
  <c r="BZ100" i="5" s="1"/>
  <c r="BY35" i="5"/>
  <c r="BY100" i="5" s="1"/>
  <c r="BX35" i="5"/>
  <c r="BX100" i="5" s="1"/>
  <c r="BW35" i="5"/>
  <c r="BW100" i="5" s="1"/>
  <c r="BV35" i="5"/>
  <c r="BV100" i="5" s="1"/>
  <c r="BU35" i="5"/>
  <c r="BU100" i="5" s="1"/>
  <c r="BT35" i="5"/>
  <c r="BT100" i="5" s="1"/>
  <c r="BS35" i="5"/>
  <c r="BS100" i="5" s="1"/>
  <c r="BR35" i="5"/>
  <c r="BR100" i="5" s="1"/>
  <c r="BQ35" i="5"/>
  <c r="BQ100" i="5" s="1"/>
  <c r="BP35" i="5"/>
  <c r="BP100" i="5" s="1"/>
  <c r="BO35" i="5"/>
  <c r="BO100" i="5" s="1"/>
  <c r="BN35" i="5"/>
  <c r="BN100" i="5" s="1"/>
  <c r="BM35" i="5"/>
  <c r="BM100" i="5" s="1"/>
  <c r="BL35" i="5"/>
  <c r="BL100" i="5" s="1"/>
  <c r="BK35" i="5"/>
  <c r="BK100" i="5" s="1"/>
  <c r="BJ35" i="5"/>
  <c r="BJ100" i="5" s="1"/>
  <c r="BI35" i="5"/>
  <c r="BI100" i="5" s="1"/>
  <c r="BH35" i="5"/>
  <c r="BH100" i="5" s="1"/>
  <c r="BG35" i="5"/>
  <c r="BG100" i="5" s="1"/>
  <c r="BF35" i="5"/>
  <c r="BF100" i="5" s="1"/>
  <c r="BE35" i="5"/>
  <c r="BE100" i="5" s="1"/>
  <c r="BD35" i="5"/>
  <c r="BD100" i="5" s="1"/>
  <c r="BC35" i="5"/>
  <c r="BC100" i="5" s="1"/>
  <c r="BB35" i="5"/>
  <c r="BB100" i="5" s="1"/>
  <c r="BA35" i="5"/>
  <c r="BA100" i="5" s="1"/>
  <c r="AZ35" i="5"/>
  <c r="AZ100" i="5" s="1"/>
  <c r="AY35" i="5"/>
  <c r="AY100" i="5" s="1"/>
  <c r="AX35" i="5"/>
  <c r="AX100" i="5" s="1"/>
  <c r="AW35" i="5"/>
  <c r="AW100" i="5" s="1"/>
  <c r="AV35" i="5"/>
  <c r="AV100" i="5" s="1"/>
  <c r="AU35" i="5"/>
  <c r="AU100" i="5" s="1"/>
  <c r="AT35" i="5"/>
  <c r="AT100" i="5" s="1"/>
  <c r="AS35" i="5"/>
  <c r="AS100" i="5" s="1"/>
  <c r="AR35" i="5"/>
  <c r="AR100" i="5" s="1"/>
  <c r="AQ35" i="5"/>
  <c r="AQ100" i="5" s="1"/>
  <c r="AP35" i="5"/>
  <c r="AP100" i="5" s="1"/>
  <c r="AO35" i="5"/>
  <c r="AO100" i="5" s="1"/>
  <c r="AN35" i="5"/>
  <c r="AN100" i="5" s="1"/>
  <c r="AM35" i="5"/>
  <c r="AM100" i="5" s="1"/>
  <c r="AL35" i="5"/>
  <c r="AL100" i="5" s="1"/>
  <c r="AK35" i="5"/>
  <c r="AK100" i="5" s="1"/>
  <c r="AJ35" i="5"/>
  <c r="AJ100" i="5" s="1"/>
  <c r="AI35" i="5"/>
  <c r="AI100" i="5" s="1"/>
  <c r="AH35" i="5"/>
  <c r="AH100" i="5" s="1"/>
  <c r="AG35" i="5"/>
  <c r="AG100" i="5" s="1"/>
  <c r="AF35" i="5"/>
  <c r="AF100" i="5" s="1"/>
  <c r="AE35" i="5"/>
  <c r="AE100" i="5" s="1"/>
  <c r="AD35" i="5"/>
  <c r="AD100" i="5" s="1"/>
  <c r="AC35" i="5"/>
  <c r="AC100" i="5" s="1"/>
  <c r="AB35" i="5"/>
  <c r="AB100" i="5" s="1"/>
  <c r="AA35" i="5"/>
  <c r="AA100" i="5" s="1"/>
  <c r="Z35" i="5"/>
  <c r="Z100" i="5" s="1"/>
  <c r="Y35" i="5"/>
  <c r="Y100" i="5" s="1"/>
  <c r="X35" i="5"/>
  <c r="X100" i="5" s="1"/>
  <c r="W35" i="5"/>
  <c r="W100" i="5" s="1"/>
  <c r="V35" i="5"/>
  <c r="V100" i="5" s="1"/>
  <c r="U35" i="5"/>
  <c r="U100" i="5" s="1"/>
  <c r="T35" i="5"/>
  <c r="T100" i="5" s="1"/>
  <c r="S35" i="5"/>
  <c r="S100" i="5" s="1"/>
  <c r="R35" i="5"/>
  <c r="R100" i="5" s="1"/>
  <c r="Q35" i="5"/>
  <c r="Q100" i="5" s="1"/>
  <c r="P35" i="5"/>
  <c r="P100" i="5" s="1"/>
  <c r="O35" i="5"/>
  <c r="O100" i="5" s="1"/>
  <c r="N35" i="5"/>
  <c r="N100" i="5" s="1"/>
  <c r="M35" i="5"/>
  <c r="M100" i="5" s="1"/>
  <c r="L35" i="5"/>
  <c r="L100" i="5" s="1"/>
  <c r="K35" i="5"/>
  <c r="K100" i="5" s="1"/>
  <c r="J35" i="5"/>
  <c r="J100" i="5" s="1"/>
  <c r="I35" i="5"/>
  <c r="I100" i="5" s="1"/>
  <c r="H35" i="5"/>
  <c r="H100" i="5" s="1"/>
  <c r="G35" i="5"/>
  <c r="G100" i="5" s="1"/>
  <c r="F35" i="5"/>
  <c r="F100" i="5" s="1"/>
  <c r="E35" i="5"/>
  <c r="E100" i="5" s="1"/>
  <c r="D35" i="5"/>
  <c r="D100" i="5" s="1"/>
  <c r="C35" i="5"/>
  <c r="C100" i="5" s="1"/>
  <c r="FX34" i="5"/>
  <c r="FX98" i="5" s="1"/>
  <c r="FW34" i="5"/>
  <c r="FW98" i="5" s="1"/>
  <c r="FV34" i="5"/>
  <c r="FV98" i="5" s="1"/>
  <c r="FU34" i="5"/>
  <c r="FU98" i="5" s="1"/>
  <c r="FT34" i="5"/>
  <c r="FT98" i="5" s="1"/>
  <c r="FS34" i="5"/>
  <c r="FS98" i="5" s="1"/>
  <c r="FR34" i="5"/>
  <c r="FR98" i="5" s="1"/>
  <c r="FQ34" i="5"/>
  <c r="FQ98" i="5" s="1"/>
  <c r="FP34" i="5"/>
  <c r="FP98" i="5" s="1"/>
  <c r="FO34" i="5"/>
  <c r="FO98" i="5" s="1"/>
  <c r="FN34" i="5"/>
  <c r="FN98" i="5" s="1"/>
  <c r="FM34" i="5"/>
  <c r="FM98" i="5" s="1"/>
  <c r="FL34" i="5"/>
  <c r="FL98" i="5" s="1"/>
  <c r="FK34" i="5"/>
  <c r="FK98" i="5" s="1"/>
  <c r="FJ34" i="5"/>
  <c r="FJ98" i="5" s="1"/>
  <c r="FI34" i="5"/>
  <c r="FI98" i="5" s="1"/>
  <c r="FH34" i="5"/>
  <c r="FH98" i="5" s="1"/>
  <c r="FG34" i="5"/>
  <c r="FG98" i="5" s="1"/>
  <c r="FF34" i="5"/>
  <c r="FF98" i="5" s="1"/>
  <c r="FE34" i="5"/>
  <c r="FE98" i="5" s="1"/>
  <c r="FD34" i="5"/>
  <c r="FD98" i="5" s="1"/>
  <c r="FC34" i="5"/>
  <c r="FC98" i="5" s="1"/>
  <c r="FB34" i="5"/>
  <c r="FB98" i="5" s="1"/>
  <c r="FA34" i="5"/>
  <c r="FA98" i="5" s="1"/>
  <c r="EZ34" i="5"/>
  <c r="EZ98" i="5" s="1"/>
  <c r="EY34" i="5"/>
  <c r="EY98" i="5" s="1"/>
  <c r="EX34" i="5"/>
  <c r="EX98" i="5" s="1"/>
  <c r="EW34" i="5"/>
  <c r="EW98" i="5" s="1"/>
  <c r="EV34" i="5"/>
  <c r="EV98" i="5" s="1"/>
  <c r="EU34" i="5"/>
  <c r="EU98" i="5" s="1"/>
  <c r="ET34" i="5"/>
  <c r="ET98" i="5" s="1"/>
  <c r="ES34" i="5"/>
  <c r="ES98" i="5" s="1"/>
  <c r="ER34" i="5"/>
  <c r="ER98" i="5" s="1"/>
  <c r="EQ34" i="5"/>
  <c r="EQ98" i="5" s="1"/>
  <c r="EP34" i="5"/>
  <c r="EP98" i="5" s="1"/>
  <c r="EO34" i="5"/>
  <c r="EO98" i="5" s="1"/>
  <c r="EN34" i="5"/>
  <c r="EN98" i="5" s="1"/>
  <c r="EM34" i="5"/>
  <c r="EM98" i="5" s="1"/>
  <c r="EL34" i="5"/>
  <c r="EL98" i="5" s="1"/>
  <c r="EK34" i="5"/>
  <c r="EK98" i="5" s="1"/>
  <c r="EJ34" i="5"/>
  <c r="EJ98" i="5" s="1"/>
  <c r="EI34" i="5"/>
  <c r="EI98" i="5" s="1"/>
  <c r="EH34" i="5"/>
  <c r="EH98" i="5" s="1"/>
  <c r="EG34" i="5"/>
  <c r="EG98" i="5" s="1"/>
  <c r="EF34" i="5"/>
  <c r="EF98" i="5" s="1"/>
  <c r="EE34" i="5"/>
  <c r="EE98" i="5" s="1"/>
  <c r="ED34" i="5"/>
  <c r="ED98" i="5" s="1"/>
  <c r="EC34" i="5"/>
  <c r="EC98" i="5" s="1"/>
  <c r="EB34" i="5"/>
  <c r="EB98" i="5" s="1"/>
  <c r="EA34" i="5"/>
  <c r="DZ34" i="5"/>
  <c r="DZ98" i="5" s="1"/>
  <c r="DY34" i="5"/>
  <c r="DY98" i="5" s="1"/>
  <c r="DX34" i="5"/>
  <c r="DX98" i="5" s="1"/>
  <c r="DW34" i="5"/>
  <c r="DW98" i="5" s="1"/>
  <c r="DV34" i="5"/>
  <c r="DV98" i="5" s="1"/>
  <c r="DU34" i="5"/>
  <c r="DU98" i="5" s="1"/>
  <c r="DT34" i="5"/>
  <c r="DT98" i="5" s="1"/>
  <c r="DS34" i="5"/>
  <c r="DS98" i="5" s="1"/>
  <c r="DR34" i="5"/>
  <c r="DR98" i="5" s="1"/>
  <c r="DQ34" i="5"/>
  <c r="DQ98" i="5" s="1"/>
  <c r="DP34" i="5"/>
  <c r="DP98" i="5" s="1"/>
  <c r="DO34" i="5"/>
  <c r="DO98" i="5" s="1"/>
  <c r="DN34" i="5"/>
  <c r="DN98" i="5" s="1"/>
  <c r="DM34" i="5"/>
  <c r="DM98" i="5" s="1"/>
  <c r="DL34" i="5"/>
  <c r="DL98" i="5" s="1"/>
  <c r="DK34" i="5"/>
  <c r="DK98" i="5" s="1"/>
  <c r="DJ34" i="5"/>
  <c r="DJ98" i="5" s="1"/>
  <c r="DI34" i="5"/>
  <c r="DI98" i="5" s="1"/>
  <c r="DH34" i="5"/>
  <c r="DH98" i="5" s="1"/>
  <c r="DG34" i="5"/>
  <c r="DG98" i="5" s="1"/>
  <c r="DF34" i="5"/>
  <c r="DF98" i="5" s="1"/>
  <c r="DE34" i="5"/>
  <c r="DE98" i="5" s="1"/>
  <c r="DD34" i="5"/>
  <c r="DD98" i="5" s="1"/>
  <c r="DC34" i="5"/>
  <c r="DC98" i="5" s="1"/>
  <c r="DB34" i="5"/>
  <c r="DB98" i="5" s="1"/>
  <c r="DA34" i="5"/>
  <c r="DA98" i="5" s="1"/>
  <c r="CZ34" i="5"/>
  <c r="CZ98" i="5" s="1"/>
  <c r="CY34" i="5"/>
  <c r="CY98" i="5" s="1"/>
  <c r="CX34" i="5"/>
  <c r="CX98" i="5" s="1"/>
  <c r="CW34" i="5"/>
  <c r="CW98" i="5" s="1"/>
  <c r="CV34" i="5"/>
  <c r="CV98" i="5" s="1"/>
  <c r="CU34" i="5"/>
  <c r="CU98" i="5" s="1"/>
  <c r="CT34" i="5"/>
  <c r="CT98" i="5" s="1"/>
  <c r="CS34" i="5"/>
  <c r="CS98" i="5" s="1"/>
  <c r="CR34" i="5"/>
  <c r="CR98" i="5" s="1"/>
  <c r="CQ34" i="5"/>
  <c r="CQ98" i="5" s="1"/>
  <c r="CP34" i="5"/>
  <c r="CP98" i="5" s="1"/>
  <c r="CO34" i="5"/>
  <c r="CO98" i="5" s="1"/>
  <c r="CN34" i="5"/>
  <c r="CN98" i="5" s="1"/>
  <c r="CM34" i="5"/>
  <c r="CM98" i="5" s="1"/>
  <c r="CL34" i="5"/>
  <c r="CL98" i="5" s="1"/>
  <c r="CK34" i="5"/>
  <c r="CK98" i="5" s="1"/>
  <c r="CJ34" i="5"/>
  <c r="CJ98" i="5" s="1"/>
  <c r="CI34" i="5"/>
  <c r="CI98" i="5" s="1"/>
  <c r="CH34" i="5"/>
  <c r="CH98" i="5" s="1"/>
  <c r="CG34" i="5"/>
  <c r="CG98" i="5" s="1"/>
  <c r="CF34" i="5"/>
  <c r="CF98" i="5" s="1"/>
  <c r="CE34" i="5"/>
  <c r="CE98" i="5" s="1"/>
  <c r="CD34" i="5"/>
  <c r="CD98" i="5" s="1"/>
  <c r="CC34" i="5"/>
  <c r="CC98" i="5" s="1"/>
  <c r="CB34" i="5"/>
  <c r="CB98" i="5" s="1"/>
  <c r="CA34" i="5"/>
  <c r="CA98" i="5" s="1"/>
  <c r="BZ34" i="5"/>
  <c r="BZ98" i="5" s="1"/>
  <c r="BY34" i="5"/>
  <c r="BY98" i="5" s="1"/>
  <c r="BX34" i="5"/>
  <c r="BX98" i="5" s="1"/>
  <c r="BW34" i="5"/>
  <c r="BW98" i="5" s="1"/>
  <c r="BV34" i="5"/>
  <c r="BV98" i="5" s="1"/>
  <c r="BU34" i="5"/>
  <c r="BU98" i="5" s="1"/>
  <c r="BT34" i="5"/>
  <c r="BT98" i="5" s="1"/>
  <c r="BS34" i="5"/>
  <c r="BS98" i="5" s="1"/>
  <c r="BR34" i="5"/>
  <c r="BR98" i="5" s="1"/>
  <c r="BQ34" i="5"/>
  <c r="BQ98" i="5" s="1"/>
  <c r="BP34" i="5"/>
  <c r="BP98" i="5" s="1"/>
  <c r="BO34" i="5"/>
  <c r="BO98" i="5" s="1"/>
  <c r="BN34" i="5"/>
  <c r="BN98" i="5" s="1"/>
  <c r="BM34" i="5"/>
  <c r="BM98" i="5" s="1"/>
  <c r="BL34" i="5"/>
  <c r="BL98" i="5" s="1"/>
  <c r="BK34" i="5"/>
  <c r="BK98" i="5" s="1"/>
  <c r="BJ34" i="5"/>
  <c r="BJ98" i="5" s="1"/>
  <c r="BI34" i="5"/>
  <c r="BI98" i="5" s="1"/>
  <c r="BH34" i="5"/>
  <c r="BH98" i="5" s="1"/>
  <c r="BG34" i="5"/>
  <c r="BG98" i="5" s="1"/>
  <c r="BF34" i="5"/>
  <c r="BF98" i="5" s="1"/>
  <c r="BE34" i="5"/>
  <c r="BE98" i="5" s="1"/>
  <c r="BD34" i="5"/>
  <c r="BD98" i="5" s="1"/>
  <c r="BC34" i="5"/>
  <c r="BC98" i="5" s="1"/>
  <c r="BB34" i="5"/>
  <c r="BB98" i="5" s="1"/>
  <c r="BA34" i="5"/>
  <c r="BA98" i="5" s="1"/>
  <c r="AZ34" i="5"/>
  <c r="AZ98" i="5" s="1"/>
  <c r="AY34" i="5"/>
  <c r="AY98" i="5" s="1"/>
  <c r="AX34" i="5"/>
  <c r="AX98" i="5" s="1"/>
  <c r="AW34" i="5"/>
  <c r="AW98" i="5" s="1"/>
  <c r="AV34" i="5"/>
  <c r="AV98" i="5" s="1"/>
  <c r="AU34" i="5"/>
  <c r="AU98" i="5" s="1"/>
  <c r="AT34" i="5"/>
  <c r="AT98" i="5" s="1"/>
  <c r="AS34" i="5"/>
  <c r="AS98" i="5" s="1"/>
  <c r="AR34" i="5"/>
  <c r="AR98" i="5" s="1"/>
  <c r="AQ34" i="5"/>
  <c r="AQ98" i="5" s="1"/>
  <c r="AP34" i="5"/>
  <c r="AP98" i="5" s="1"/>
  <c r="AO34" i="5"/>
  <c r="AO98" i="5" s="1"/>
  <c r="AN34" i="5"/>
  <c r="AN98" i="5" s="1"/>
  <c r="AM34" i="5"/>
  <c r="AM98" i="5" s="1"/>
  <c r="AL34" i="5"/>
  <c r="AL98" i="5" s="1"/>
  <c r="AK34" i="5"/>
  <c r="AK98" i="5" s="1"/>
  <c r="AJ34" i="5"/>
  <c r="AJ98" i="5" s="1"/>
  <c r="AI34" i="5"/>
  <c r="AI98" i="5" s="1"/>
  <c r="AH34" i="5"/>
  <c r="AH98" i="5" s="1"/>
  <c r="AG34" i="5"/>
  <c r="AG98" i="5" s="1"/>
  <c r="AF34" i="5"/>
  <c r="AF98" i="5" s="1"/>
  <c r="AE34" i="5"/>
  <c r="AE98" i="5" s="1"/>
  <c r="AD34" i="5"/>
  <c r="AD98" i="5" s="1"/>
  <c r="AC34" i="5"/>
  <c r="AC98" i="5" s="1"/>
  <c r="AB34" i="5"/>
  <c r="AB98" i="5" s="1"/>
  <c r="AA34" i="5"/>
  <c r="AA98" i="5" s="1"/>
  <c r="Z34" i="5"/>
  <c r="Z98" i="5" s="1"/>
  <c r="Y34" i="5"/>
  <c r="Y98" i="5" s="1"/>
  <c r="X34" i="5"/>
  <c r="X98" i="5" s="1"/>
  <c r="W34" i="5"/>
  <c r="W98" i="5" s="1"/>
  <c r="V34" i="5"/>
  <c r="V98" i="5" s="1"/>
  <c r="U34" i="5"/>
  <c r="U98" i="5" s="1"/>
  <c r="T34" i="5"/>
  <c r="T98" i="5" s="1"/>
  <c r="S34" i="5"/>
  <c r="S98" i="5" s="1"/>
  <c r="R34" i="5"/>
  <c r="R98" i="5" s="1"/>
  <c r="Q34" i="5"/>
  <c r="Q98" i="5" s="1"/>
  <c r="P34" i="5"/>
  <c r="P98" i="5" s="1"/>
  <c r="O34" i="5"/>
  <c r="O98" i="5" s="1"/>
  <c r="N34" i="5"/>
  <c r="N98" i="5" s="1"/>
  <c r="M34" i="5"/>
  <c r="M98" i="5" s="1"/>
  <c r="L34" i="5"/>
  <c r="L98" i="5" s="1"/>
  <c r="K34" i="5"/>
  <c r="K98" i="5" s="1"/>
  <c r="J34" i="5"/>
  <c r="J98" i="5" s="1"/>
  <c r="I34" i="5"/>
  <c r="I98" i="5" s="1"/>
  <c r="H34" i="5"/>
  <c r="H98" i="5" s="1"/>
  <c r="G34" i="5"/>
  <c r="G98" i="5" s="1"/>
  <c r="F34" i="5"/>
  <c r="F98" i="5" s="1"/>
  <c r="E34" i="5"/>
  <c r="E98" i="5" s="1"/>
  <c r="D34" i="5"/>
  <c r="D98" i="5" s="1"/>
  <c r="C34" i="5"/>
  <c r="C98" i="5" s="1"/>
  <c r="FX33" i="5"/>
  <c r="FX102" i="5" s="1"/>
  <c r="FW33" i="5"/>
  <c r="FW102" i="5" s="1"/>
  <c r="FV33" i="5"/>
  <c r="FV102" i="5" s="1"/>
  <c r="FU33" i="5"/>
  <c r="FU102" i="5" s="1"/>
  <c r="FT33" i="5"/>
  <c r="FT102" i="5" s="1"/>
  <c r="FS33" i="5"/>
  <c r="FS102" i="5" s="1"/>
  <c r="FR33" i="5"/>
  <c r="FR102" i="5" s="1"/>
  <c r="FQ33" i="5"/>
  <c r="FQ102" i="5" s="1"/>
  <c r="FP33" i="5"/>
  <c r="FP102" i="5" s="1"/>
  <c r="FO33" i="5"/>
  <c r="FO102" i="5" s="1"/>
  <c r="FN33" i="5"/>
  <c r="FN102" i="5" s="1"/>
  <c r="FM33" i="5"/>
  <c r="FM102" i="5" s="1"/>
  <c r="FL33" i="5"/>
  <c r="FL102" i="5" s="1"/>
  <c r="FK33" i="5"/>
  <c r="FK102" i="5" s="1"/>
  <c r="FJ33" i="5"/>
  <c r="FJ102" i="5" s="1"/>
  <c r="FI33" i="5"/>
  <c r="FI102" i="5" s="1"/>
  <c r="FH33" i="5"/>
  <c r="FH102" i="5" s="1"/>
  <c r="FG33" i="5"/>
  <c r="FG102" i="5" s="1"/>
  <c r="FF33" i="5"/>
  <c r="FF102" i="5" s="1"/>
  <c r="FE33" i="5"/>
  <c r="FE102" i="5" s="1"/>
  <c r="FD33" i="5"/>
  <c r="FD102" i="5" s="1"/>
  <c r="FC33" i="5"/>
  <c r="FC102" i="5" s="1"/>
  <c r="FB33" i="5"/>
  <c r="FB102" i="5" s="1"/>
  <c r="FA33" i="5"/>
  <c r="FA102" i="5" s="1"/>
  <c r="EZ33" i="5"/>
  <c r="EZ102" i="5" s="1"/>
  <c r="EY33" i="5"/>
  <c r="EY102" i="5" s="1"/>
  <c r="EX33" i="5"/>
  <c r="EX102" i="5" s="1"/>
  <c r="EW33" i="5"/>
  <c r="EW102" i="5" s="1"/>
  <c r="EV33" i="5"/>
  <c r="EV102" i="5" s="1"/>
  <c r="EU33" i="5"/>
  <c r="EU102" i="5" s="1"/>
  <c r="ET33" i="5"/>
  <c r="ET102" i="5" s="1"/>
  <c r="ES33" i="5"/>
  <c r="ES102" i="5" s="1"/>
  <c r="ER33" i="5"/>
  <c r="ER102" i="5" s="1"/>
  <c r="EQ33" i="5"/>
  <c r="EQ102" i="5" s="1"/>
  <c r="EP33" i="5"/>
  <c r="EP102" i="5" s="1"/>
  <c r="EO33" i="5"/>
  <c r="EO102" i="5" s="1"/>
  <c r="EN33" i="5"/>
  <c r="EN102" i="5" s="1"/>
  <c r="EM33" i="5"/>
  <c r="EM102" i="5" s="1"/>
  <c r="EL33" i="5"/>
  <c r="EL102" i="5" s="1"/>
  <c r="EK33" i="5"/>
  <c r="EK102" i="5" s="1"/>
  <c r="EJ33" i="5"/>
  <c r="EJ102" i="5" s="1"/>
  <c r="EI33" i="5"/>
  <c r="EI102" i="5" s="1"/>
  <c r="EH33" i="5"/>
  <c r="EH102" i="5" s="1"/>
  <c r="EG33" i="5"/>
  <c r="EG102" i="5" s="1"/>
  <c r="EF33" i="5"/>
  <c r="EF102" i="5" s="1"/>
  <c r="EE33" i="5"/>
  <c r="EE102" i="5" s="1"/>
  <c r="ED33" i="5"/>
  <c r="ED102" i="5" s="1"/>
  <c r="EC33" i="5"/>
  <c r="EC102" i="5" s="1"/>
  <c r="EB33" i="5"/>
  <c r="EB102" i="5" s="1"/>
  <c r="EA33" i="5"/>
  <c r="EA102" i="5" s="1"/>
  <c r="DZ33" i="5"/>
  <c r="DZ102" i="5" s="1"/>
  <c r="DY33" i="5"/>
  <c r="DY102" i="5" s="1"/>
  <c r="DX33" i="5"/>
  <c r="DX102" i="5" s="1"/>
  <c r="DW33" i="5"/>
  <c r="DW102" i="5" s="1"/>
  <c r="DV33" i="5"/>
  <c r="DV102" i="5" s="1"/>
  <c r="DU33" i="5"/>
  <c r="DU102" i="5" s="1"/>
  <c r="DT33" i="5"/>
  <c r="DT102" i="5" s="1"/>
  <c r="DS33" i="5"/>
  <c r="DS102" i="5" s="1"/>
  <c r="DR33" i="5"/>
  <c r="DR102" i="5" s="1"/>
  <c r="DQ33" i="5"/>
  <c r="DQ102" i="5" s="1"/>
  <c r="DP33" i="5"/>
  <c r="DP102" i="5" s="1"/>
  <c r="DO33" i="5"/>
  <c r="DO102" i="5" s="1"/>
  <c r="DN33" i="5"/>
  <c r="DN102" i="5" s="1"/>
  <c r="DM33" i="5"/>
  <c r="DM102" i="5" s="1"/>
  <c r="DL33" i="5"/>
  <c r="DL102" i="5" s="1"/>
  <c r="DK33" i="5"/>
  <c r="DK102" i="5" s="1"/>
  <c r="DJ33" i="5"/>
  <c r="DJ102" i="5" s="1"/>
  <c r="DI33" i="5"/>
  <c r="DI102" i="5" s="1"/>
  <c r="DH33" i="5"/>
  <c r="DH102" i="5" s="1"/>
  <c r="DG33" i="5"/>
  <c r="DG102" i="5" s="1"/>
  <c r="DF33" i="5"/>
  <c r="DF102" i="5" s="1"/>
  <c r="DE33" i="5"/>
  <c r="DE102" i="5" s="1"/>
  <c r="DD33" i="5"/>
  <c r="DD102" i="5" s="1"/>
  <c r="DC33" i="5"/>
  <c r="DC102" i="5" s="1"/>
  <c r="DB33" i="5"/>
  <c r="DB102" i="5" s="1"/>
  <c r="DA33" i="5"/>
  <c r="DA102" i="5" s="1"/>
  <c r="CZ33" i="5"/>
  <c r="CZ102" i="5" s="1"/>
  <c r="CY33" i="5"/>
  <c r="CY102" i="5" s="1"/>
  <c r="CX33" i="5"/>
  <c r="CX102" i="5" s="1"/>
  <c r="CW33" i="5"/>
  <c r="CW102" i="5" s="1"/>
  <c r="CV33" i="5"/>
  <c r="CV102" i="5" s="1"/>
  <c r="CU33" i="5"/>
  <c r="CU102" i="5" s="1"/>
  <c r="CT33" i="5"/>
  <c r="CT102" i="5" s="1"/>
  <c r="CS33" i="5"/>
  <c r="CS102" i="5" s="1"/>
  <c r="CR33" i="5"/>
  <c r="CR102" i="5" s="1"/>
  <c r="CQ33" i="5"/>
  <c r="CQ102" i="5" s="1"/>
  <c r="CP33" i="5"/>
  <c r="CP102" i="5" s="1"/>
  <c r="CO33" i="5"/>
  <c r="CO102" i="5" s="1"/>
  <c r="CN33" i="5"/>
  <c r="CM33" i="5"/>
  <c r="CM102" i="5" s="1"/>
  <c r="CL33" i="5"/>
  <c r="CL102" i="5" s="1"/>
  <c r="CK33" i="5"/>
  <c r="CK102" i="5" s="1"/>
  <c r="CJ33" i="5"/>
  <c r="CJ102" i="5" s="1"/>
  <c r="CI33" i="5"/>
  <c r="CI102" i="5" s="1"/>
  <c r="CH33" i="5"/>
  <c r="CH102" i="5" s="1"/>
  <c r="CG33" i="5"/>
  <c r="CG102" i="5" s="1"/>
  <c r="CF33" i="5"/>
  <c r="CF102" i="5" s="1"/>
  <c r="CE33" i="5"/>
  <c r="CE102" i="5" s="1"/>
  <c r="CD33" i="5"/>
  <c r="CD102" i="5" s="1"/>
  <c r="CC33" i="5"/>
  <c r="CC102" i="5" s="1"/>
  <c r="CB33" i="5"/>
  <c r="CB102" i="5" s="1"/>
  <c r="CA33" i="5"/>
  <c r="CA102" i="5" s="1"/>
  <c r="BZ33" i="5"/>
  <c r="BZ102" i="5" s="1"/>
  <c r="BY33" i="5"/>
  <c r="BY102" i="5" s="1"/>
  <c r="BX33" i="5"/>
  <c r="BX102" i="5" s="1"/>
  <c r="BW33" i="5"/>
  <c r="BW102" i="5" s="1"/>
  <c r="BV33" i="5"/>
  <c r="BV102" i="5" s="1"/>
  <c r="BU33" i="5"/>
  <c r="BU102" i="5" s="1"/>
  <c r="BT33" i="5"/>
  <c r="BT102" i="5" s="1"/>
  <c r="BS33" i="5"/>
  <c r="BS102" i="5" s="1"/>
  <c r="BR33" i="5"/>
  <c r="BR102" i="5" s="1"/>
  <c r="BQ33" i="5"/>
  <c r="BQ102" i="5" s="1"/>
  <c r="BP33" i="5"/>
  <c r="BP102" i="5" s="1"/>
  <c r="BO33" i="5"/>
  <c r="BO102" i="5" s="1"/>
  <c r="BN33" i="5"/>
  <c r="BN102" i="5" s="1"/>
  <c r="BM33" i="5"/>
  <c r="BM102" i="5" s="1"/>
  <c r="BL33" i="5"/>
  <c r="BL102" i="5" s="1"/>
  <c r="BK33" i="5"/>
  <c r="BK102" i="5" s="1"/>
  <c r="BJ33" i="5"/>
  <c r="BJ102" i="5" s="1"/>
  <c r="BI33" i="5"/>
  <c r="BI102" i="5" s="1"/>
  <c r="BH33" i="5"/>
  <c r="BH102" i="5" s="1"/>
  <c r="BG33" i="5"/>
  <c r="BG102" i="5" s="1"/>
  <c r="BF33" i="5"/>
  <c r="BF102" i="5" s="1"/>
  <c r="BE33" i="5"/>
  <c r="BE102" i="5" s="1"/>
  <c r="BD33" i="5"/>
  <c r="BD102" i="5" s="1"/>
  <c r="BC33" i="5"/>
  <c r="BC102" i="5" s="1"/>
  <c r="BB33" i="5"/>
  <c r="BB102" i="5" s="1"/>
  <c r="BA33" i="5"/>
  <c r="BA102" i="5" s="1"/>
  <c r="AZ33" i="5"/>
  <c r="AZ102" i="5" s="1"/>
  <c r="AY33" i="5"/>
  <c r="AY102" i="5" s="1"/>
  <c r="AX33" i="5"/>
  <c r="AX102" i="5" s="1"/>
  <c r="AW33" i="5"/>
  <c r="AW102" i="5" s="1"/>
  <c r="AV33" i="5"/>
  <c r="AV102" i="5" s="1"/>
  <c r="AU33" i="5"/>
  <c r="AU102" i="5" s="1"/>
  <c r="AT33" i="5"/>
  <c r="AT102" i="5" s="1"/>
  <c r="AS33" i="5"/>
  <c r="AS102" i="5" s="1"/>
  <c r="AR33" i="5"/>
  <c r="AR102" i="5" s="1"/>
  <c r="AQ33" i="5"/>
  <c r="AQ102" i="5" s="1"/>
  <c r="AP33" i="5"/>
  <c r="AP102" i="5" s="1"/>
  <c r="AO33" i="5"/>
  <c r="AO102" i="5" s="1"/>
  <c r="AN33" i="5"/>
  <c r="AN102" i="5" s="1"/>
  <c r="AM33" i="5"/>
  <c r="AM102" i="5" s="1"/>
  <c r="AL33" i="5"/>
  <c r="AL102" i="5" s="1"/>
  <c r="AK33" i="5"/>
  <c r="AK102" i="5" s="1"/>
  <c r="AJ33" i="5"/>
  <c r="AJ102" i="5" s="1"/>
  <c r="AI33" i="5"/>
  <c r="AI102" i="5" s="1"/>
  <c r="AH33" i="5"/>
  <c r="AH102" i="5" s="1"/>
  <c r="AG33" i="5"/>
  <c r="AG102" i="5" s="1"/>
  <c r="AF33" i="5"/>
  <c r="AF102" i="5" s="1"/>
  <c r="AE33" i="5"/>
  <c r="AE102" i="5" s="1"/>
  <c r="AD33" i="5"/>
  <c r="AD102" i="5" s="1"/>
  <c r="AC33" i="5"/>
  <c r="AC102" i="5" s="1"/>
  <c r="AB33" i="5"/>
  <c r="AB102" i="5" s="1"/>
  <c r="AA33" i="5"/>
  <c r="AA102" i="5" s="1"/>
  <c r="Z33" i="5"/>
  <c r="Z102" i="5" s="1"/>
  <c r="Y33" i="5"/>
  <c r="Y102" i="5" s="1"/>
  <c r="X33" i="5"/>
  <c r="X102" i="5" s="1"/>
  <c r="W33" i="5"/>
  <c r="W102" i="5" s="1"/>
  <c r="V33" i="5"/>
  <c r="V102" i="5" s="1"/>
  <c r="U33" i="5"/>
  <c r="U102" i="5" s="1"/>
  <c r="T33" i="5"/>
  <c r="T102" i="5" s="1"/>
  <c r="S33" i="5"/>
  <c r="S102" i="5" s="1"/>
  <c r="R33" i="5"/>
  <c r="R102" i="5" s="1"/>
  <c r="Q33" i="5"/>
  <c r="Q102" i="5" s="1"/>
  <c r="P33" i="5"/>
  <c r="P102" i="5" s="1"/>
  <c r="O33" i="5"/>
  <c r="O102" i="5" s="1"/>
  <c r="N33" i="5"/>
  <c r="N102" i="5" s="1"/>
  <c r="M33" i="5"/>
  <c r="M102" i="5" s="1"/>
  <c r="L33" i="5"/>
  <c r="L102" i="5" s="1"/>
  <c r="K33" i="5"/>
  <c r="K102" i="5" s="1"/>
  <c r="J33" i="5"/>
  <c r="J102" i="5" s="1"/>
  <c r="I33" i="5"/>
  <c r="I102" i="5" s="1"/>
  <c r="H33" i="5"/>
  <c r="H102" i="5" s="1"/>
  <c r="G33" i="5"/>
  <c r="G102" i="5" s="1"/>
  <c r="F33" i="5"/>
  <c r="F102" i="5" s="1"/>
  <c r="E33" i="5"/>
  <c r="E102" i="5" s="1"/>
  <c r="D33" i="5"/>
  <c r="D102" i="5" s="1"/>
  <c r="C33" i="5"/>
  <c r="C102" i="5" s="1"/>
  <c r="FX32" i="5"/>
  <c r="FX95" i="5" s="1"/>
  <c r="FW32" i="5"/>
  <c r="FW95" i="5" s="1"/>
  <c r="FV32" i="5"/>
  <c r="FV95" i="5" s="1"/>
  <c r="FU32" i="5"/>
  <c r="FU95" i="5" s="1"/>
  <c r="FT32" i="5"/>
  <c r="FT95" i="5" s="1"/>
  <c r="FS32" i="5"/>
  <c r="FS95" i="5" s="1"/>
  <c r="FR32" i="5"/>
  <c r="FR95" i="5" s="1"/>
  <c r="FQ32" i="5"/>
  <c r="FQ95" i="5" s="1"/>
  <c r="FP32" i="5"/>
  <c r="FP95" i="5" s="1"/>
  <c r="FO32" i="5"/>
  <c r="FO95" i="5" s="1"/>
  <c r="FN32" i="5"/>
  <c r="FN95" i="5" s="1"/>
  <c r="FM32" i="5"/>
  <c r="FM95" i="5" s="1"/>
  <c r="FL32" i="5"/>
  <c r="FL95" i="5" s="1"/>
  <c r="FK32" i="5"/>
  <c r="FK95" i="5" s="1"/>
  <c r="FJ32" i="5"/>
  <c r="FJ95" i="5" s="1"/>
  <c r="FI32" i="5"/>
  <c r="FI95" i="5" s="1"/>
  <c r="FH32" i="5"/>
  <c r="FH95" i="5" s="1"/>
  <c r="FG32" i="5"/>
  <c r="FG95" i="5" s="1"/>
  <c r="FF32" i="5"/>
  <c r="FF95" i="5" s="1"/>
  <c r="FE32" i="5"/>
  <c r="FE95" i="5" s="1"/>
  <c r="FD32" i="5"/>
  <c r="FD95" i="5" s="1"/>
  <c r="FC32" i="5"/>
  <c r="FC95" i="5" s="1"/>
  <c r="FB32" i="5"/>
  <c r="FB95" i="5" s="1"/>
  <c r="FA32" i="5"/>
  <c r="FA95" i="5" s="1"/>
  <c r="EZ32" i="5"/>
  <c r="EZ95" i="5" s="1"/>
  <c r="EY32" i="5"/>
  <c r="EY95" i="5" s="1"/>
  <c r="EX32" i="5"/>
  <c r="EX95" i="5" s="1"/>
  <c r="EW32" i="5"/>
  <c r="EW95" i="5" s="1"/>
  <c r="EV32" i="5"/>
  <c r="EV95" i="5" s="1"/>
  <c r="EU32" i="5"/>
  <c r="EU95" i="5" s="1"/>
  <c r="ET32" i="5"/>
  <c r="ET95" i="5" s="1"/>
  <c r="ES32" i="5"/>
  <c r="ES95" i="5" s="1"/>
  <c r="ER32" i="5"/>
  <c r="ER95" i="5" s="1"/>
  <c r="EQ32" i="5"/>
  <c r="EQ95" i="5" s="1"/>
  <c r="EP32" i="5"/>
  <c r="EP95" i="5" s="1"/>
  <c r="EO32" i="5"/>
  <c r="EO95" i="5" s="1"/>
  <c r="EN32" i="5"/>
  <c r="EN95" i="5" s="1"/>
  <c r="EM32" i="5"/>
  <c r="EM95" i="5" s="1"/>
  <c r="EL32" i="5"/>
  <c r="EL95" i="5" s="1"/>
  <c r="EK32" i="5"/>
  <c r="EK95" i="5" s="1"/>
  <c r="EJ32" i="5"/>
  <c r="EJ95" i="5" s="1"/>
  <c r="EI32" i="5"/>
  <c r="EI95" i="5" s="1"/>
  <c r="EH32" i="5"/>
  <c r="EH95" i="5" s="1"/>
  <c r="EG32" i="5"/>
  <c r="EG95" i="5" s="1"/>
  <c r="EF32" i="5"/>
  <c r="EF95" i="5" s="1"/>
  <c r="EE32" i="5"/>
  <c r="EE95" i="5" s="1"/>
  <c r="ED32" i="5"/>
  <c r="ED95" i="5" s="1"/>
  <c r="EC32" i="5"/>
  <c r="EC95" i="5" s="1"/>
  <c r="EB32" i="5"/>
  <c r="EB95" i="5" s="1"/>
  <c r="EA32" i="5"/>
  <c r="EA95" i="5" s="1"/>
  <c r="DZ32" i="5"/>
  <c r="DZ95" i="5" s="1"/>
  <c r="DY32" i="5"/>
  <c r="DY95" i="5" s="1"/>
  <c r="DX32" i="5"/>
  <c r="DX95" i="5" s="1"/>
  <c r="DW32" i="5"/>
  <c r="DW95" i="5" s="1"/>
  <c r="DV32" i="5"/>
  <c r="DV95" i="5" s="1"/>
  <c r="DU32" i="5"/>
  <c r="DU95" i="5" s="1"/>
  <c r="DT32" i="5"/>
  <c r="DT95" i="5" s="1"/>
  <c r="DS32" i="5"/>
  <c r="DS95" i="5" s="1"/>
  <c r="DR32" i="5"/>
  <c r="DR95" i="5" s="1"/>
  <c r="DQ32" i="5"/>
  <c r="DQ95" i="5" s="1"/>
  <c r="DP32" i="5"/>
  <c r="DP95" i="5" s="1"/>
  <c r="DO32" i="5"/>
  <c r="DO95" i="5" s="1"/>
  <c r="DN32" i="5"/>
  <c r="DN95" i="5" s="1"/>
  <c r="DM32" i="5"/>
  <c r="DM95" i="5" s="1"/>
  <c r="DL32" i="5"/>
  <c r="DL95" i="5" s="1"/>
  <c r="DK32" i="5"/>
  <c r="DK95" i="5" s="1"/>
  <c r="DJ32" i="5"/>
  <c r="DJ95" i="5" s="1"/>
  <c r="DI32" i="5"/>
  <c r="DI95" i="5" s="1"/>
  <c r="DH32" i="5"/>
  <c r="DH95" i="5" s="1"/>
  <c r="DG32" i="5"/>
  <c r="DF32" i="5"/>
  <c r="DF95" i="5" s="1"/>
  <c r="DE32" i="5"/>
  <c r="DE95" i="5" s="1"/>
  <c r="DD32" i="5"/>
  <c r="DD95" i="5" s="1"/>
  <c r="DC32" i="5"/>
  <c r="DC95" i="5" s="1"/>
  <c r="DB32" i="5"/>
  <c r="DB95" i="5" s="1"/>
  <c r="DA32" i="5"/>
  <c r="DA95" i="5" s="1"/>
  <c r="CZ32" i="5"/>
  <c r="CZ95" i="5" s="1"/>
  <c r="CY32" i="5"/>
  <c r="CY95" i="5" s="1"/>
  <c r="CX32" i="5"/>
  <c r="CX95" i="5" s="1"/>
  <c r="CW32" i="5"/>
  <c r="CW95" i="5" s="1"/>
  <c r="CV32" i="5"/>
  <c r="CV95" i="5" s="1"/>
  <c r="CU32" i="5"/>
  <c r="CU95" i="5" s="1"/>
  <c r="CT32" i="5"/>
  <c r="CT95" i="5" s="1"/>
  <c r="CS32" i="5"/>
  <c r="CS95" i="5" s="1"/>
  <c r="CR32" i="5"/>
  <c r="CR95" i="5" s="1"/>
  <c r="CQ32" i="5"/>
  <c r="CQ95" i="5" s="1"/>
  <c r="CP32" i="5"/>
  <c r="CP95" i="5" s="1"/>
  <c r="CO32" i="5"/>
  <c r="CO95" i="5" s="1"/>
  <c r="CN32" i="5"/>
  <c r="CN95" i="5" s="1"/>
  <c r="CM32" i="5"/>
  <c r="CM95" i="5" s="1"/>
  <c r="CL32" i="5"/>
  <c r="CL95" i="5" s="1"/>
  <c r="CK32" i="5"/>
  <c r="CK95" i="5" s="1"/>
  <c r="CJ32" i="5"/>
  <c r="CJ95" i="5" s="1"/>
  <c r="CI32" i="5"/>
  <c r="CI95" i="5" s="1"/>
  <c r="CH32" i="5"/>
  <c r="CH95" i="5" s="1"/>
  <c r="CG32" i="5"/>
  <c r="CG95" i="5" s="1"/>
  <c r="CF32" i="5"/>
  <c r="CF95" i="5" s="1"/>
  <c r="CE32" i="5"/>
  <c r="CE95" i="5" s="1"/>
  <c r="CD32" i="5"/>
  <c r="CD95" i="5" s="1"/>
  <c r="CC32" i="5"/>
  <c r="CC95" i="5" s="1"/>
  <c r="CB32" i="5"/>
  <c r="CB95" i="5" s="1"/>
  <c r="CA32" i="5"/>
  <c r="CA95" i="5" s="1"/>
  <c r="BZ32" i="5"/>
  <c r="BZ95" i="5" s="1"/>
  <c r="BY32" i="5"/>
  <c r="BY95" i="5" s="1"/>
  <c r="BX32" i="5"/>
  <c r="BX95" i="5" s="1"/>
  <c r="BW32" i="5"/>
  <c r="BW95" i="5" s="1"/>
  <c r="BV32" i="5"/>
  <c r="BV95" i="5" s="1"/>
  <c r="BU32" i="5"/>
  <c r="BU95" i="5" s="1"/>
  <c r="BT32" i="5"/>
  <c r="BT95" i="5" s="1"/>
  <c r="BS32" i="5"/>
  <c r="BS95" i="5" s="1"/>
  <c r="BR32" i="5"/>
  <c r="BR95" i="5" s="1"/>
  <c r="BQ32" i="5"/>
  <c r="BQ95" i="5" s="1"/>
  <c r="BP32" i="5"/>
  <c r="BP95" i="5" s="1"/>
  <c r="BO32" i="5"/>
  <c r="BO95" i="5" s="1"/>
  <c r="BN32" i="5"/>
  <c r="BN95" i="5" s="1"/>
  <c r="BM32" i="5"/>
  <c r="BM95" i="5" s="1"/>
  <c r="BL32" i="5"/>
  <c r="BL95" i="5" s="1"/>
  <c r="BK32" i="5"/>
  <c r="BK95" i="5" s="1"/>
  <c r="BJ32" i="5"/>
  <c r="BJ95" i="5" s="1"/>
  <c r="BI32" i="5"/>
  <c r="BI95" i="5" s="1"/>
  <c r="BH32" i="5"/>
  <c r="BH95" i="5" s="1"/>
  <c r="BG32" i="5"/>
  <c r="BG95" i="5" s="1"/>
  <c r="BF32" i="5"/>
  <c r="BF95" i="5" s="1"/>
  <c r="BE32" i="5"/>
  <c r="BE95" i="5" s="1"/>
  <c r="BD32" i="5"/>
  <c r="BD95" i="5" s="1"/>
  <c r="BC32" i="5"/>
  <c r="BC95" i="5" s="1"/>
  <c r="BB32" i="5"/>
  <c r="BB95" i="5" s="1"/>
  <c r="BA32" i="5"/>
  <c r="BA95" i="5" s="1"/>
  <c r="AZ32" i="5"/>
  <c r="AZ95" i="5" s="1"/>
  <c r="AY32" i="5"/>
  <c r="AY95" i="5" s="1"/>
  <c r="AX32" i="5"/>
  <c r="AX95" i="5" s="1"/>
  <c r="AW32" i="5"/>
  <c r="AW95" i="5" s="1"/>
  <c r="AV32" i="5"/>
  <c r="AV95" i="5" s="1"/>
  <c r="AU32" i="5"/>
  <c r="AU95" i="5" s="1"/>
  <c r="AT32" i="5"/>
  <c r="AT95" i="5" s="1"/>
  <c r="AS32" i="5"/>
  <c r="AS95" i="5" s="1"/>
  <c r="AR32" i="5"/>
  <c r="AR95" i="5" s="1"/>
  <c r="AQ32" i="5"/>
  <c r="AQ95" i="5" s="1"/>
  <c r="AP32" i="5"/>
  <c r="AP95" i="5" s="1"/>
  <c r="AO32" i="5"/>
  <c r="AO95" i="5" s="1"/>
  <c r="AN32" i="5"/>
  <c r="AN95" i="5" s="1"/>
  <c r="AM32" i="5"/>
  <c r="AM95" i="5" s="1"/>
  <c r="AL32" i="5"/>
  <c r="AL95" i="5" s="1"/>
  <c r="AK32" i="5"/>
  <c r="AK95" i="5" s="1"/>
  <c r="AJ32" i="5"/>
  <c r="AJ95" i="5" s="1"/>
  <c r="AI32" i="5"/>
  <c r="AI95" i="5" s="1"/>
  <c r="AH32" i="5"/>
  <c r="AH95" i="5" s="1"/>
  <c r="AG32" i="5"/>
  <c r="AG95" i="5" s="1"/>
  <c r="AF32" i="5"/>
  <c r="AF95" i="5" s="1"/>
  <c r="AE32" i="5"/>
  <c r="AE95" i="5" s="1"/>
  <c r="AD32" i="5"/>
  <c r="AD95" i="5" s="1"/>
  <c r="AC32" i="5"/>
  <c r="AC95" i="5" s="1"/>
  <c r="AB32" i="5"/>
  <c r="AB95" i="5" s="1"/>
  <c r="AA32" i="5"/>
  <c r="AA95" i="5" s="1"/>
  <c r="Z32" i="5"/>
  <c r="Z95" i="5" s="1"/>
  <c r="Y32" i="5"/>
  <c r="Y95" i="5" s="1"/>
  <c r="X32" i="5"/>
  <c r="X95" i="5" s="1"/>
  <c r="W32" i="5"/>
  <c r="W95" i="5" s="1"/>
  <c r="V32" i="5"/>
  <c r="V95" i="5" s="1"/>
  <c r="U32" i="5"/>
  <c r="U95" i="5" s="1"/>
  <c r="T32" i="5"/>
  <c r="T95" i="5" s="1"/>
  <c r="S32" i="5"/>
  <c r="S95" i="5" s="1"/>
  <c r="R32" i="5"/>
  <c r="R95" i="5" s="1"/>
  <c r="Q32" i="5"/>
  <c r="Q95" i="5" s="1"/>
  <c r="P32" i="5"/>
  <c r="P95" i="5" s="1"/>
  <c r="O32" i="5"/>
  <c r="O95" i="5" s="1"/>
  <c r="N32" i="5"/>
  <c r="N95" i="5" s="1"/>
  <c r="M32" i="5"/>
  <c r="M95" i="5" s="1"/>
  <c r="L32" i="5"/>
  <c r="L95" i="5" s="1"/>
  <c r="K32" i="5"/>
  <c r="K95" i="5" s="1"/>
  <c r="J32" i="5"/>
  <c r="J95" i="5" s="1"/>
  <c r="I32" i="5"/>
  <c r="I95" i="5" s="1"/>
  <c r="H32" i="5"/>
  <c r="H95" i="5" s="1"/>
  <c r="G32" i="5"/>
  <c r="G95" i="5" s="1"/>
  <c r="F32" i="5"/>
  <c r="F95" i="5" s="1"/>
  <c r="E32" i="5"/>
  <c r="E95" i="5" s="1"/>
  <c r="D32" i="5"/>
  <c r="D95" i="5" s="1"/>
  <c r="C32" i="5"/>
  <c r="C95" i="5" s="1"/>
  <c r="FZ95" i="5" s="1"/>
  <c r="FX31" i="5"/>
  <c r="FW31" i="5"/>
  <c r="FV31" i="5"/>
  <c r="FU31" i="5"/>
  <c r="FT31" i="5"/>
  <c r="FS31" i="5"/>
  <c r="FR31" i="5"/>
  <c r="FQ31" i="5"/>
  <c r="FP31" i="5"/>
  <c r="FO31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FZ31" i="5" s="1"/>
  <c r="FX30" i="5"/>
  <c r="FX94" i="5" s="1"/>
  <c r="FW30" i="5"/>
  <c r="FW94" i="5" s="1"/>
  <c r="FV30" i="5"/>
  <c r="FV94" i="5" s="1"/>
  <c r="FV105" i="5" s="1"/>
  <c r="FU30" i="5"/>
  <c r="FU94" i="5" s="1"/>
  <c r="FU105" i="5" s="1"/>
  <c r="FT30" i="5"/>
  <c r="FT94" i="5" s="1"/>
  <c r="FT105" i="5" s="1"/>
  <c r="FS30" i="5"/>
  <c r="FS94" i="5" s="1"/>
  <c r="FS105" i="5" s="1"/>
  <c r="FR30" i="5"/>
  <c r="FR94" i="5" s="1"/>
  <c r="FR105" i="5" s="1"/>
  <c r="FQ30" i="5"/>
  <c r="FQ94" i="5" s="1"/>
  <c r="FQ105" i="5" s="1"/>
  <c r="FP30" i="5"/>
  <c r="FP94" i="5" s="1"/>
  <c r="FP105" i="5" s="1"/>
  <c r="FO30" i="5"/>
  <c r="FN30" i="5"/>
  <c r="FN94" i="5" s="1"/>
  <c r="FN105" i="5" s="1"/>
  <c r="FM30" i="5"/>
  <c r="FM94" i="5" s="1"/>
  <c r="FM105" i="5" s="1"/>
  <c r="FL30" i="5"/>
  <c r="FL94" i="5" s="1"/>
  <c r="FK30" i="5"/>
  <c r="FK94" i="5" s="1"/>
  <c r="FJ30" i="5"/>
  <c r="FJ94" i="5" s="1"/>
  <c r="FJ105" i="5" s="1"/>
  <c r="FI30" i="5"/>
  <c r="FI94" i="5" s="1"/>
  <c r="FI105" i="5" s="1"/>
  <c r="FH30" i="5"/>
  <c r="FH94" i="5" s="1"/>
  <c r="FG30" i="5"/>
  <c r="FG94" i="5" s="1"/>
  <c r="FG105" i="5" s="1"/>
  <c r="FF30" i="5"/>
  <c r="FF94" i="5" s="1"/>
  <c r="FF105" i="5" s="1"/>
  <c r="FE30" i="5"/>
  <c r="FE94" i="5" s="1"/>
  <c r="FD30" i="5"/>
  <c r="FD94" i="5" s="1"/>
  <c r="FD105" i="5" s="1"/>
  <c r="FC30" i="5"/>
  <c r="FB30" i="5"/>
  <c r="FB94" i="5" s="1"/>
  <c r="FB105" i="5" s="1"/>
  <c r="FA30" i="5"/>
  <c r="FA94" i="5" s="1"/>
  <c r="FA105" i="5" s="1"/>
  <c r="EZ30" i="5"/>
  <c r="EZ94" i="5" s="1"/>
  <c r="EY30" i="5"/>
  <c r="EY94" i="5" s="1"/>
  <c r="EX30" i="5"/>
  <c r="EX94" i="5" s="1"/>
  <c r="EX105" i="5" s="1"/>
  <c r="EW30" i="5"/>
  <c r="EW94" i="5" s="1"/>
  <c r="EW105" i="5" s="1"/>
  <c r="EV30" i="5"/>
  <c r="EV94" i="5" s="1"/>
  <c r="EV105" i="5" s="1"/>
  <c r="EU30" i="5"/>
  <c r="EU94" i="5" s="1"/>
  <c r="EU105" i="5" s="1"/>
  <c r="ET30" i="5"/>
  <c r="ET94" i="5" s="1"/>
  <c r="ET105" i="5" s="1"/>
  <c r="ES30" i="5"/>
  <c r="ES94" i="5" s="1"/>
  <c r="ES105" i="5" s="1"/>
  <c r="ER30" i="5"/>
  <c r="ER94" i="5" s="1"/>
  <c r="ER105" i="5" s="1"/>
  <c r="EQ30" i="5"/>
  <c r="EP30" i="5"/>
  <c r="EO30" i="5"/>
  <c r="EO94" i="5" s="1"/>
  <c r="EO105" i="5" s="1"/>
  <c r="EN30" i="5"/>
  <c r="EN94" i="5" s="1"/>
  <c r="EM30" i="5"/>
  <c r="EM94" i="5" s="1"/>
  <c r="EL30" i="5"/>
  <c r="EL94" i="5" s="1"/>
  <c r="EL105" i="5" s="1"/>
  <c r="EK30" i="5"/>
  <c r="EK94" i="5" s="1"/>
  <c r="EK105" i="5" s="1"/>
  <c r="EJ30" i="5"/>
  <c r="EJ94" i="5" s="1"/>
  <c r="EJ105" i="5" s="1"/>
  <c r="EI30" i="5"/>
  <c r="EI94" i="5" s="1"/>
  <c r="EI105" i="5" s="1"/>
  <c r="EH30" i="5"/>
  <c r="EH94" i="5" s="1"/>
  <c r="EH105" i="5" s="1"/>
  <c r="EG30" i="5"/>
  <c r="EG94" i="5" s="1"/>
  <c r="EG105" i="5" s="1"/>
  <c r="EF30" i="5"/>
  <c r="EF94" i="5" s="1"/>
  <c r="EF105" i="5" s="1"/>
  <c r="EE30" i="5"/>
  <c r="ED30" i="5"/>
  <c r="ED94" i="5" s="1"/>
  <c r="ED105" i="5" s="1"/>
  <c r="EC30" i="5"/>
  <c r="EC94" i="5" s="1"/>
  <c r="EC105" i="5" s="1"/>
  <c r="EB30" i="5"/>
  <c r="EB94" i="5" s="1"/>
  <c r="EA30" i="5"/>
  <c r="EA94" i="5" s="1"/>
  <c r="DZ30" i="5"/>
  <c r="DZ94" i="5" s="1"/>
  <c r="DZ105" i="5" s="1"/>
  <c r="DY30" i="5"/>
  <c r="DY94" i="5" s="1"/>
  <c r="DY105" i="5" s="1"/>
  <c r="DX30" i="5"/>
  <c r="DX94" i="5" s="1"/>
  <c r="DX105" i="5" s="1"/>
  <c r="DW30" i="5"/>
  <c r="DW94" i="5" s="1"/>
  <c r="DW105" i="5" s="1"/>
  <c r="DV30" i="5"/>
  <c r="DV94" i="5" s="1"/>
  <c r="DV105" i="5" s="1"/>
  <c r="DU30" i="5"/>
  <c r="DU94" i="5" s="1"/>
  <c r="DT30" i="5"/>
  <c r="DT94" i="5" s="1"/>
  <c r="DT105" i="5" s="1"/>
  <c r="DS30" i="5"/>
  <c r="DR30" i="5"/>
  <c r="DR94" i="5" s="1"/>
  <c r="DR105" i="5" s="1"/>
  <c r="DQ30" i="5"/>
  <c r="DQ94" i="5" s="1"/>
  <c r="DQ105" i="5" s="1"/>
  <c r="DP30" i="5"/>
  <c r="DP94" i="5" s="1"/>
  <c r="DO30" i="5"/>
  <c r="DO94" i="5" s="1"/>
  <c r="DN30" i="5"/>
  <c r="DN94" i="5" s="1"/>
  <c r="DN105" i="5" s="1"/>
  <c r="DM30" i="5"/>
  <c r="DM94" i="5" s="1"/>
  <c r="DM105" i="5" s="1"/>
  <c r="DL30" i="5"/>
  <c r="DL94" i="5" s="1"/>
  <c r="DL105" i="5" s="1"/>
  <c r="DK30" i="5"/>
  <c r="DK94" i="5" s="1"/>
  <c r="DK105" i="5" s="1"/>
  <c r="DJ30" i="5"/>
  <c r="DJ94" i="5" s="1"/>
  <c r="DJ105" i="5" s="1"/>
  <c r="DI30" i="5"/>
  <c r="DI94" i="5" s="1"/>
  <c r="DI105" i="5" s="1"/>
  <c r="DH30" i="5"/>
  <c r="DH94" i="5" s="1"/>
  <c r="DH105" i="5" s="1"/>
  <c r="DG30" i="5"/>
  <c r="DF30" i="5"/>
  <c r="DF94" i="5" s="1"/>
  <c r="DF105" i="5" s="1"/>
  <c r="DE30" i="5"/>
  <c r="DE94" i="5" s="1"/>
  <c r="DE105" i="5" s="1"/>
  <c r="DD30" i="5"/>
  <c r="DD94" i="5" s="1"/>
  <c r="DC30" i="5"/>
  <c r="DC94" i="5" s="1"/>
  <c r="DB30" i="5"/>
  <c r="DB94" i="5" s="1"/>
  <c r="DB105" i="5" s="1"/>
  <c r="DA30" i="5"/>
  <c r="DA94" i="5" s="1"/>
  <c r="DA105" i="5" s="1"/>
  <c r="CZ30" i="5"/>
  <c r="CZ94" i="5" s="1"/>
  <c r="CZ105" i="5" s="1"/>
  <c r="CY30" i="5"/>
  <c r="CY94" i="5" s="1"/>
  <c r="CY105" i="5" s="1"/>
  <c r="CX30" i="5"/>
  <c r="CX94" i="5" s="1"/>
  <c r="CX105" i="5" s="1"/>
  <c r="CW30" i="5"/>
  <c r="CW94" i="5" s="1"/>
  <c r="CW105" i="5" s="1"/>
  <c r="CV30" i="5"/>
  <c r="CV94" i="5" s="1"/>
  <c r="CV105" i="5" s="1"/>
  <c r="CU30" i="5"/>
  <c r="CT30" i="5"/>
  <c r="CT94" i="5" s="1"/>
  <c r="CT105" i="5" s="1"/>
  <c r="CS30" i="5"/>
  <c r="CS94" i="5" s="1"/>
  <c r="CS105" i="5" s="1"/>
  <c r="CR30" i="5"/>
  <c r="CR94" i="5" s="1"/>
  <c r="CQ30" i="5"/>
  <c r="CQ94" i="5" s="1"/>
  <c r="CP30" i="5"/>
  <c r="CP94" i="5" s="1"/>
  <c r="CP105" i="5" s="1"/>
  <c r="CO30" i="5"/>
  <c r="CO94" i="5" s="1"/>
  <c r="CO105" i="5" s="1"/>
  <c r="CN30" i="5"/>
  <c r="CN94" i="5" s="1"/>
  <c r="CN105" i="5" s="1"/>
  <c r="CM30" i="5"/>
  <c r="CM94" i="5" s="1"/>
  <c r="CL30" i="5"/>
  <c r="CL94" i="5" s="1"/>
  <c r="CL105" i="5" s="1"/>
  <c r="CK30" i="5"/>
  <c r="CK94" i="5" s="1"/>
  <c r="CJ30" i="5"/>
  <c r="CJ94" i="5" s="1"/>
  <c r="CJ105" i="5" s="1"/>
  <c r="CI30" i="5"/>
  <c r="CH30" i="5"/>
  <c r="CH94" i="5" s="1"/>
  <c r="CH105" i="5" s="1"/>
  <c r="CG30" i="5"/>
  <c r="CG94" i="5" s="1"/>
  <c r="CG105" i="5" s="1"/>
  <c r="CF30" i="5"/>
  <c r="CF94" i="5" s="1"/>
  <c r="CE30" i="5"/>
  <c r="CE94" i="5" s="1"/>
  <c r="CD30" i="5"/>
  <c r="CD94" i="5" s="1"/>
  <c r="CD105" i="5" s="1"/>
  <c r="CC30" i="5"/>
  <c r="CC94" i="5" s="1"/>
  <c r="CC105" i="5" s="1"/>
  <c r="CB30" i="5"/>
  <c r="CB94" i="5" s="1"/>
  <c r="CB105" i="5" s="1"/>
  <c r="CA30" i="5"/>
  <c r="CA94" i="5" s="1"/>
  <c r="CA105" i="5" s="1"/>
  <c r="BZ30" i="5"/>
  <c r="BZ94" i="5" s="1"/>
  <c r="BZ105" i="5" s="1"/>
  <c r="BY30" i="5"/>
  <c r="BY94" i="5" s="1"/>
  <c r="BY105" i="5" s="1"/>
  <c r="BX30" i="5"/>
  <c r="BX94" i="5" s="1"/>
  <c r="BX105" i="5" s="1"/>
  <c r="BW30" i="5"/>
  <c r="BV30" i="5"/>
  <c r="BV94" i="5" s="1"/>
  <c r="BV105" i="5" s="1"/>
  <c r="BU30" i="5"/>
  <c r="BU94" i="5" s="1"/>
  <c r="BU105" i="5" s="1"/>
  <c r="BT30" i="5"/>
  <c r="BT94" i="5" s="1"/>
  <c r="BS30" i="5"/>
  <c r="BS94" i="5" s="1"/>
  <c r="BR30" i="5"/>
  <c r="BR94" i="5" s="1"/>
  <c r="BR105" i="5" s="1"/>
  <c r="BQ30" i="5"/>
  <c r="BQ94" i="5" s="1"/>
  <c r="BQ105" i="5" s="1"/>
  <c r="BP30" i="5"/>
  <c r="BP94" i="5" s="1"/>
  <c r="BP105" i="5" s="1"/>
  <c r="BO30" i="5"/>
  <c r="BO94" i="5" s="1"/>
  <c r="BO105" i="5" s="1"/>
  <c r="BN30" i="5"/>
  <c r="BN94" i="5" s="1"/>
  <c r="BN105" i="5" s="1"/>
  <c r="BM30" i="5"/>
  <c r="BM94" i="5" s="1"/>
  <c r="BM105" i="5" s="1"/>
  <c r="BL30" i="5"/>
  <c r="BL94" i="5" s="1"/>
  <c r="BL105" i="5" s="1"/>
  <c r="BK30" i="5"/>
  <c r="BJ30" i="5"/>
  <c r="BJ94" i="5" s="1"/>
  <c r="BJ105" i="5" s="1"/>
  <c r="BI30" i="5"/>
  <c r="BI94" i="5" s="1"/>
  <c r="BI105" i="5" s="1"/>
  <c r="BH30" i="5"/>
  <c r="BH94" i="5" s="1"/>
  <c r="BG30" i="5"/>
  <c r="BG94" i="5" s="1"/>
  <c r="BF30" i="5"/>
  <c r="BF94" i="5" s="1"/>
  <c r="BE30" i="5"/>
  <c r="BE94" i="5" s="1"/>
  <c r="BE105" i="5" s="1"/>
  <c r="BD30" i="5"/>
  <c r="BD94" i="5" s="1"/>
  <c r="BD105" i="5" s="1"/>
  <c r="BC30" i="5"/>
  <c r="BC94" i="5" s="1"/>
  <c r="BC105" i="5" s="1"/>
  <c r="BB30" i="5"/>
  <c r="BB94" i="5" s="1"/>
  <c r="BB105" i="5" s="1"/>
  <c r="BA30" i="5"/>
  <c r="BA94" i="5" s="1"/>
  <c r="AZ30" i="5"/>
  <c r="AZ94" i="5" s="1"/>
  <c r="AZ105" i="5" s="1"/>
  <c r="AY30" i="5"/>
  <c r="AX30" i="5"/>
  <c r="AX94" i="5" s="1"/>
  <c r="AX105" i="5" s="1"/>
  <c r="AW30" i="5"/>
  <c r="AW94" i="5" s="1"/>
  <c r="AW105" i="5" s="1"/>
  <c r="AV30" i="5"/>
  <c r="AV94" i="5" s="1"/>
  <c r="AU30" i="5"/>
  <c r="AU94" i="5" s="1"/>
  <c r="AT30" i="5"/>
  <c r="AT94" i="5" s="1"/>
  <c r="AT105" i="5" s="1"/>
  <c r="AS30" i="5"/>
  <c r="AS94" i="5" s="1"/>
  <c r="AS105" i="5" s="1"/>
  <c r="AR30" i="5"/>
  <c r="AR94" i="5" s="1"/>
  <c r="AR105" i="5" s="1"/>
  <c r="AQ30" i="5"/>
  <c r="AQ94" i="5" s="1"/>
  <c r="AQ105" i="5" s="1"/>
  <c r="AP30" i="5"/>
  <c r="AP94" i="5" s="1"/>
  <c r="AP105" i="5" s="1"/>
  <c r="AO30" i="5"/>
  <c r="AO94" i="5" s="1"/>
  <c r="AO105" i="5" s="1"/>
  <c r="AN30" i="5"/>
  <c r="AN94" i="5" s="1"/>
  <c r="AN105" i="5" s="1"/>
  <c r="AM30" i="5"/>
  <c r="AL30" i="5"/>
  <c r="AL94" i="5" s="1"/>
  <c r="AL105" i="5" s="1"/>
  <c r="AK30" i="5"/>
  <c r="AK94" i="5" s="1"/>
  <c r="AK105" i="5" s="1"/>
  <c r="AJ30" i="5"/>
  <c r="AJ94" i="5" s="1"/>
  <c r="AI30" i="5"/>
  <c r="AI94" i="5" s="1"/>
  <c r="AH30" i="5"/>
  <c r="AH94" i="5" s="1"/>
  <c r="AH105" i="5" s="1"/>
  <c r="AG30" i="5"/>
  <c r="AG94" i="5" s="1"/>
  <c r="AG105" i="5" s="1"/>
  <c r="AF30" i="5"/>
  <c r="AF94" i="5" s="1"/>
  <c r="AF105" i="5" s="1"/>
  <c r="AE30" i="5"/>
  <c r="AE94" i="5" s="1"/>
  <c r="AE105" i="5" s="1"/>
  <c r="AD30" i="5"/>
  <c r="AD94" i="5" s="1"/>
  <c r="AD105" i="5" s="1"/>
  <c r="AC30" i="5"/>
  <c r="AC94" i="5" s="1"/>
  <c r="AC105" i="5" s="1"/>
  <c r="AB30" i="5"/>
  <c r="AB94" i="5" s="1"/>
  <c r="AB105" i="5" s="1"/>
  <c r="AA30" i="5"/>
  <c r="Z30" i="5"/>
  <c r="Z94" i="5" s="1"/>
  <c r="Z105" i="5" s="1"/>
  <c r="Y30" i="5"/>
  <c r="Y94" i="5" s="1"/>
  <c r="Y105" i="5" s="1"/>
  <c r="X30" i="5"/>
  <c r="X94" i="5" s="1"/>
  <c r="W30" i="5"/>
  <c r="W94" i="5" s="1"/>
  <c r="V30" i="5"/>
  <c r="V94" i="5" s="1"/>
  <c r="V105" i="5" s="1"/>
  <c r="U30" i="5"/>
  <c r="U94" i="5" s="1"/>
  <c r="U105" i="5" s="1"/>
  <c r="T30" i="5"/>
  <c r="T94" i="5" s="1"/>
  <c r="T105" i="5" s="1"/>
  <c r="S30" i="5"/>
  <c r="S94" i="5" s="1"/>
  <c r="R30" i="5"/>
  <c r="R94" i="5" s="1"/>
  <c r="R105" i="5" s="1"/>
  <c r="Q30" i="5"/>
  <c r="Q94" i="5" s="1"/>
  <c r="P30" i="5"/>
  <c r="P94" i="5" s="1"/>
  <c r="P105" i="5" s="1"/>
  <c r="O30" i="5"/>
  <c r="N30" i="5"/>
  <c r="N94" i="5" s="1"/>
  <c r="N105" i="5" s="1"/>
  <c r="M30" i="5"/>
  <c r="M94" i="5" s="1"/>
  <c r="M105" i="5" s="1"/>
  <c r="L30" i="5"/>
  <c r="L94" i="5" s="1"/>
  <c r="K30" i="5"/>
  <c r="K94" i="5" s="1"/>
  <c r="J30" i="5"/>
  <c r="J94" i="5" s="1"/>
  <c r="J105" i="5" s="1"/>
  <c r="I30" i="5"/>
  <c r="I94" i="5" s="1"/>
  <c r="I105" i="5" s="1"/>
  <c r="H30" i="5"/>
  <c r="H94" i="5" s="1"/>
  <c r="H105" i="5" s="1"/>
  <c r="G30" i="5"/>
  <c r="G94" i="5" s="1"/>
  <c r="G105" i="5" s="1"/>
  <c r="F30" i="5"/>
  <c r="F94" i="5" s="1"/>
  <c r="F105" i="5" s="1"/>
  <c r="E30" i="5"/>
  <c r="E94" i="5" s="1"/>
  <c r="E105" i="5" s="1"/>
  <c r="D30" i="5"/>
  <c r="D94" i="5" s="1"/>
  <c r="D105" i="5" s="1"/>
  <c r="C30" i="5"/>
  <c r="FZ30" i="5" s="1"/>
  <c r="FX29" i="5"/>
  <c r="FX166" i="5" s="1"/>
  <c r="FW29" i="5"/>
  <c r="FW166" i="5" s="1"/>
  <c r="FV29" i="5"/>
  <c r="FV166" i="5" s="1"/>
  <c r="FU29" i="5"/>
  <c r="FU166" i="5" s="1"/>
  <c r="FS29" i="5"/>
  <c r="FS166" i="5" s="1"/>
  <c r="FR29" i="5"/>
  <c r="FR166" i="5" s="1"/>
  <c r="FQ29" i="5"/>
  <c r="FQ166" i="5" s="1"/>
  <c r="FP29" i="5"/>
  <c r="FP166" i="5" s="1"/>
  <c r="FO29" i="5"/>
  <c r="FO166" i="5" s="1"/>
  <c r="FN29" i="5"/>
  <c r="FN166" i="5" s="1"/>
  <c r="FM29" i="5"/>
  <c r="FM166" i="5" s="1"/>
  <c r="FL29" i="5"/>
  <c r="FL166" i="5" s="1"/>
  <c r="FK29" i="5"/>
  <c r="FK166" i="5" s="1"/>
  <c r="FJ29" i="5"/>
  <c r="FJ166" i="5" s="1"/>
  <c r="FI29" i="5"/>
  <c r="FI166" i="5" s="1"/>
  <c r="FH29" i="5"/>
  <c r="FH166" i="5" s="1"/>
  <c r="FG29" i="5"/>
  <c r="FG166" i="5" s="1"/>
  <c r="FF29" i="5"/>
  <c r="FF166" i="5" s="1"/>
  <c r="FE29" i="5"/>
  <c r="FE166" i="5" s="1"/>
  <c r="FD29" i="5"/>
  <c r="FD166" i="5" s="1"/>
  <c r="FC29" i="5"/>
  <c r="FC166" i="5" s="1"/>
  <c r="FB29" i="5"/>
  <c r="FB166" i="5" s="1"/>
  <c r="FA29" i="5"/>
  <c r="FA166" i="5" s="1"/>
  <c r="EZ29" i="5"/>
  <c r="EZ166" i="5" s="1"/>
  <c r="EY29" i="5"/>
  <c r="EY166" i="5" s="1"/>
  <c r="EX29" i="5"/>
  <c r="EX166" i="5" s="1"/>
  <c r="EW29" i="5"/>
  <c r="EW166" i="5" s="1"/>
  <c r="EV29" i="5"/>
  <c r="EV166" i="5" s="1"/>
  <c r="EU29" i="5"/>
  <c r="EU166" i="5" s="1"/>
  <c r="ET29" i="5"/>
  <c r="ET166" i="5" s="1"/>
  <c r="ES29" i="5"/>
  <c r="ES166" i="5" s="1"/>
  <c r="ER29" i="5"/>
  <c r="ER166" i="5" s="1"/>
  <c r="EQ29" i="5"/>
  <c r="EQ166" i="5" s="1"/>
  <c r="EP29" i="5"/>
  <c r="EP166" i="5" s="1"/>
  <c r="EO29" i="5"/>
  <c r="EO166" i="5" s="1"/>
  <c r="EN29" i="5"/>
  <c r="EN166" i="5" s="1"/>
  <c r="EM29" i="5"/>
  <c r="EM166" i="5" s="1"/>
  <c r="EL29" i="5"/>
  <c r="EL166" i="5" s="1"/>
  <c r="EK29" i="5"/>
  <c r="EK166" i="5" s="1"/>
  <c r="EJ29" i="5"/>
  <c r="EJ166" i="5" s="1"/>
  <c r="EI29" i="5"/>
  <c r="EI166" i="5" s="1"/>
  <c r="EH29" i="5"/>
  <c r="EH166" i="5" s="1"/>
  <c r="EG29" i="5"/>
  <c r="EG166" i="5" s="1"/>
  <c r="EF29" i="5"/>
  <c r="EF166" i="5" s="1"/>
  <c r="EE29" i="5"/>
  <c r="EE166" i="5" s="1"/>
  <c r="ED29" i="5"/>
  <c r="ED166" i="5" s="1"/>
  <c r="EC29" i="5"/>
  <c r="EC166" i="5" s="1"/>
  <c r="EB29" i="5"/>
  <c r="EB166" i="5" s="1"/>
  <c r="EA29" i="5"/>
  <c r="EA166" i="5" s="1"/>
  <c r="DZ29" i="5"/>
  <c r="DZ166" i="5" s="1"/>
  <c r="DY29" i="5"/>
  <c r="DY166" i="5" s="1"/>
  <c r="DX29" i="5"/>
  <c r="DX166" i="5" s="1"/>
  <c r="DW29" i="5"/>
  <c r="DW166" i="5" s="1"/>
  <c r="DV29" i="5"/>
  <c r="DV166" i="5" s="1"/>
  <c r="DU29" i="5"/>
  <c r="DU166" i="5" s="1"/>
  <c r="DT29" i="5"/>
  <c r="DT166" i="5" s="1"/>
  <c r="DS29" i="5"/>
  <c r="DS166" i="5" s="1"/>
  <c r="DR29" i="5"/>
  <c r="DR166" i="5" s="1"/>
  <c r="DQ29" i="5"/>
  <c r="DQ166" i="5" s="1"/>
  <c r="DP29" i="5"/>
  <c r="DP166" i="5" s="1"/>
  <c r="DO29" i="5"/>
  <c r="DO166" i="5" s="1"/>
  <c r="DN29" i="5"/>
  <c r="DN166" i="5" s="1"/>
  <c r="DM29" i="5"/>
  <c r="DM166" i="5" s="1"/>
  <c r="DL29" i="5"/>
  <c r="DL166" i="5" s="1"/>
  <c r="DK29" i="5"/>
  <c r="DK166" i="5" s="1"/>
  <c r="DJ29" i="5"/>
  <c r="DJ166" i="5" s="1"/>
  <c r="DI29" i="5"/>
  <c r="DI166" i="5" s="1"/>
  <c r="DH29" i="5"/>
  <c r="DH166" i="5" s="1"/>
  <c r="DG29" i="5"/>
  <c r="DG166" i="5" s="1"/>
  <c r="DF29" i="5"/>
  <c r="DF166" i="5" s="1"/>
  <c r="DE29" i="5"/>
  <c r="DE166" i="5" s="1"/>
  <c r="DD29" i="5"/>
  <c r="DD166" i="5" s="1"/>
  <c r="DC29" i="5"/>
  <c r="DC166" i="5" s="1"/>
  <c r="DB29" i="5"/>
  <c r="DB166" i="5" s="1"/>
  <c r="DA29" i="5"/>
  <c r="DA166" i="5" s="1"/>
  <c r="CZ29" i="5"/>
  <c r="CZ166" i="5" s="1"/>
  <c r="CY29" i="5"/>
  <c r="CY166" i="5" s="1"/>
  <c r="CX29" i="5"/>
  <c r="CX166" i="5" s="1"/>
  <c r="CW29" i="5"/>
  <c r="CW166" i="5" s="1"/>
  <c r="CV29" i="5"/>
  <c r="CV166" i="5" s="1"/>
  <c r="CU29" i="5"/>
  <c r="CU166" i="5" s="1"/>
  <c r="CT29" i="5"/>
  <c r="CT166" i="5" s="1"/>
  <c r="CS29" i="5"/>
  <c r="CS166" i="5" s="1"/>
  <c r="CR29" i="5"/>
  <c r="CR166" i="5" s="1"/>
  <c r="CQ29" i="5"/>
  <c r="CQ166" i="5" s="1"/>
  <c r="CP29" i="5"/>
  <c r="CP166" i="5" s="1"/>
  <c r="CO29" i="5"/>
  <c r="CO166" i="5" s="1"/>
  <c r="CN29" i="5"/>
  <c r="CN166" i="5" s="1"/>
  <c r="CM29" i="5"/>
  <c r="CM166" i="5" s="1"/>
  <c r="CL29" i="5"/>
  <c r="CL166" i="5" s="1"/>
  <c r="CK29" i="5"/>
  <c r="CK166" i="5" s="1"/>
  <c r="CJ29" i="5"/>
  <c r="CJ166" i="5" s="1"/>
  <c r="CI29" i="5"/>
  <c r="CI166" i="5" s="1"/>
  <c r="CH29" i="5"/>
  <c r="CH166" i="5" s="1"/>
  <c r="CG29" i="5"/>
  <c r="CG166" i="5" s="1"/>
  <c r="CF29" i="5"/>
  <c r="CF166" i="5" s="1"/>
  <c r="CE29" i="5"/>
  <c r="CE166" i="5" s="1"/>
  <c r="CD29" i="5"/>
  <c r="CD166" i="5" s="1"/>
  <c r="CC29" i="5"/>
  <c r="CC166" i="5" s="1"/>
  <c r="CB29" i="5"/>
  <c r="CB166" i="5" s="1"/>
  <c r="CA29" i="5"/>
  <c r="CA166" i="5" s="1"/>
  <c r="BZ29" i="5"/>
  <c r="BZ166" i="5" s="1"/>
  <c r="BY29" i="5"/>
  <c r="BY166" i="5" s="1"/>
  <c r="BX29" i="5"/>
  <c r="BX166" i="5" s="1"/>
  <c r="BW29" i="5"/>
  <c r="BW166" i="5" s="1"/>
  <c r="BV29" i="5"/>
  <c r="BV166" i="5" s="1"/>
  <c r="BU29" i="5"/>
  <c r="BU166" i="5" s="1"/>
  <c r="BT29" i="5"/>
  <c r="BT166" i="5" s="1"/>
  <c r="BS29" i="5"/>
  <c r="BS166" i="5" s="1"/>
  <c r="BR29" i="5"/>
  <c r="BR166" i="5" s="1"/>
  <c r="BQ29" i="5"/>
  <c r="BQ166" i="5" s="1"/>
  <c r="BP29" i="5"/>
  <c r="BP166" i="5" s="1"/>
  <c r="BO29" i="5"/>
  <c r="BO166" i="5" s="1"/>
  <c r="BN29" i="5"/>
  <c r="BN166" i="5" s="1"/>
  <c r="BM29" i="5"/>
  <c r="BM166" i="5" s="1"/>
  <c r="BL29" i="5"/>
  <c r="BL166" i="5" s="1"/>
  <c r="BK29" i="5"/>
  <c r="BK166" i="5" s="1"/>
  <c r="BJ29" i="5"/>
  <c r="BJ166" i="5" s="1"/>
  <c r="BI29" i="5"/>
  <c r="BI166" i="5" s="1"/>
  <c r="BH29" i="5"/>
  <c r="BH166" i="5" s="1"/>
  <c r="BG29" i="5"/>
  <c r="BG166" i="5" s="1"/>
  <c r="BF29" i="5"/>
  <c r="BF166" i="5" s="1"/>
  <c r="BE29" i="5"/>
  <c r="BE166" i="5" s="1"/>
  <c r="BD29" i="5"/>
  <c r="BD166" i="5" s="1"/>
  <c r="BC29" i="5"/>
  <c r="BC166" i="5" s="1"/>
  <c r="BB29" i="5"/>
  <c r="BB166" i="5" s="1"/>
  <c r="BA29" i="5"/>
  <c r="BA166" i="5" s="1"/>
  <c r="AZ29" i="5"/>
  <c r="AZ166" i="5" s="1"/>
  <c r="AY29" i="5"/>
  <c r="AY166" i="5" s="1"/>
  <c r="AX29" i="5"/>
  <c r="AX166" i="5" s="1"/>
  <c r="AW29" i="5"/>
  <c r="AW166" i="5" s="1"/>
  <c r="AV29" i="5"/>
  <c r="AV166" i="5" s="1"/>
  <c r="AU29" i="5"/>
  <c r="AU166" i="5" s="1"/>
  <c r="AT29" i="5"/>
  <c r="AT166" i="5" s="1"/>
  <c r="AS29" i="5"/>
  <c r="AS166" i="5" s="1"/>
  <c r="AR29" i="5"/>
  <c r="AR166" i="5" s="1"/>
  <c r="AQ29" i="5"/>
  <c r="AQ166" i="5" s="1"/>
  <c r="AP29" i="5"/>
  <c r="AP166" i="5" s="1"/>
  <c r="AO29" i="5"/>
  <c r="AO166" i="5" s="1"/>
  <c r="AN29" i="5"/>
  <c r="AN166" i="5" s="1"/>
  <c r="AM29" i="5"/>
  <c r="AM166" i="5" s="1"/>
  <c r="AL29" i="5"/>
  <c r="AL166" i="5" s="1"/>
  <c r="AK29" i="5"/>
  <c r="AK166" i="5" s="1"/>
  <c r="AJ29" i="5"/>
  <c r="AJ166" i="5" s="1"/>
  <c r="AI29" i="5"/>
  <c r="AI166" i="5" s="1"/>
  <c r="AH29" i="5"/>
  <c r="AH166" i="5" s="1"/>
  <c r="AG29" i="5"/>
  <c r="AG166" i="5" s="1"/>
  <c r="AF29" i="5"/>
  <c r="AF166" i="5" s="1"/>
  <c r="AE29" i="5"/>
  <c r="AE166" i="5" s="1"/>
  <c r="AD29" i="5"/>
  <c r="AD166" i="5" s="1"/>
  <c r="AC29" i="5"/>
  <c r="AC166" i="5" s="1"/>
  <c r="AB29" i="5"/>
  <c r="AB166" i="5" s="1"/>
  <c r="AA29" i="5"/>
  <c r="AA166" i="5" s="1"/>
  <c r="Z29" i="5"/>
  <c r="Z166" i="5" s="1"/>
  <c r="Y29" i="5"/>
  <c r="Y166" i="5" s="1"/>
  <c r="X29" i="5"/>
  <c r="X166" i="5" s="1"/>
  <c r="W29" i="5"/>
  <c r="W166" i="5" s="1"/>
  <c r="V29" i="5"/>
  <c r="V166" i="5" s="1"/>
  <c r="U29" i="5"/>
  <c r="U166" i="5" s="1"/>
  <c r="T29" i="5"/>
  <c r="T166" i="5" s="1"/>
  <c r="S29" i="5"/>
  <c r="S166" i="5" s="1"/>
  <c r="R29" i="5"/>
  <c r="R166" i="5" s="1"/>
  <c r="Q29" i="5"/>
  <c r="Q166" i="5" s="1"/>
  <c r="P29" i="5"/>
  <c r="P166" i="5" s="1"/>
  <c r="O29" i="5"/>
  <c r="O166" i="5" s="1"/>
  <c r="N29" i="5"/>
  <c r="N166" i="5" s="1"/>
  <c r="M29" i="5"/>
  <c r="M166" i="5" s="1"/>
  <c r="L29" i="5"/>
  <c r="L166" i="5" s="1"/>
  <c r="K29" i="5"/>
  <c r="K166" i="5" s="1"/>
  <c r="J29" i="5"/>
  <c r="J166" i="5" s="1"/>
  <c r="I29" i="5"/>
  <c r="I166" i="5" s="1"/>
  <c r="H29" i="5"/>
  <c r="H166" i="5" s="1"/>
  <c r="G29" i="5"/>
  <c r="G166" i="5" s="1"/>
  <c r="F29" i="5"/>
  <c r="F166" i="5" s="1"/>
  <c r="E29" i="5"/>
  <c r="E166" i="5" s="1"/>
  <c r="D29" i="5"/>
  <c r="D166" i="5" s="1"/>
  <c r="C29" i="5"/>
  <c r="C166" i="5" s="1"/>
  <c r="FX28" i="5"/>
  <c r="FW28" i="5"/>
  <c r="FV28" i="5"/>
  <c r="FU28" i="5"/>
  <c r="FT28" i="5"/>
  <c r="FS28" i="5"/>
  <c r="FR28" i="5"/>
  <c r="FQ28" i="5"/>
  <c r="FP28" i="5"/>
  <c r="FO28" i="5"/>
  <c r="FN28" i="5"/>
  <c r="FM28" i="5"/>
  <c r="FL28" i="5"/>
  <c r="FK28" i="5"/>
  <c r="FJ28" i="5"/>
  <c r="FI28" i="5"/>
  <c r="FH28" i="5"/>
  <c r="FG28" i="5"/>
  <c r="FF28" i="5"/>
  <c r="FE28" i="5"/>
  <c r="FD28" i="5"/>
  <c r="FC28" i="5"/>
  <c r="FB28" i="5"/>
  <c r="FA28" i="5"/>
  <c r="EZ28" i="5"/>
  <c r="EY28" i="5"/>
  <c r="EX28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FZ28" i="5" s="1"/>
  <c r="FX27" i="5"/>
  <c r="FX89" i="5" s="1"/>
  <c r="FW27" i="5"/>
  <c r="FW89" i="5" s="1"/>
  <c r="FV27" i="5"/>
  <c r="FV89" i="5" s="1"/>
  <c r="FU27" i="5"/>
  <c r="FU89" i="5" s="1"/>
  <c r="FT27" i="5"/>
  <c r="FT89" i="5" s="1"/>
  <c r="FS27" i="5"/>
  <c r="FS89" i="5" s="1"/>
  <c r="FR27" i="5"/>
  <c r="FR89" i="5" s="1"/>
  <c r="FQ27" i="5"/>
  <c r="FQ89" i="5" s="1"/>
  <c r="FP27" i="5"/>
  <c r="FP89" i="5" s="1"/>
  <c r="FO27" i="5"/>
  <c r="FO89" i="5" s="1"/>
  <c r="FN27" i="5"/>
  <c r="FN89" i="5" s="1"/>
  <c r="FM27" i="5"/>
  <c r="FM89" i="5" s="1"/>
  <c r="FL27" i="5"/>
  <c r="FL89" i="5" s="1"/>
  <c r="FK27" i="5"/>
  <c r="FK89" i="5" s="1"/>
  <c r="FJ27" i="5"/>
  <c r="FJ89" i="5" s="1"/>
  <c r="FI27" i="5"/>
  <c r="FI89" i="5" s="1"/>
  <c r="FH27" i="5"/>
  <c r="FH89" i="5" s="1"/>
  <c r="FG27" i="5"/>
  <c r="FG89" i="5" s="1"/>
  <c r="FF27" i="5"/>
  <c r="FF89" i="5" s="1"/>
  <c r="FE27" i="5"/>
  <c r="FE89" i="5" s="1"/>
  <c r="FD27" i="5"/>
  <c r="FD89" i="5" s="1"/>
  <c r="FC27" i="5"/>
  <c r="FC89" i="5" s="1"/>
  <c r="FB27" i="5"/>
  <c r="FB89" i="5" s="1"/>
  <c r="FA27" i="5"/>
  <c r="FA89" i="5" s="1"/>
  <c r="EZ27" i="5"/>
  <c r="EZ89" i="5" s="1"/>
  <c r="EY27" i="5"/>
  <c r="EY89" i="5" s="1"/>
  <c r="EX27" i="5"/>
  <c r="EX89" i="5" s="1"/>
  <c r="EW27" i="5"/>
  <c r="EW89" i="5" s="1"/>
  <c r="EV27" i="5"/>
  <c r="EV89" i="5" s="1"/>
  <c r="EU27" i="5"/>
  <c r="EU89" i="5" s="1"/>
  <c r="ET27" i="5"/>
  <c r="ET89" i="5" s="1"/>
  <c r="ES27" i="5"/>
  <c r="ES89" i="5" s="1"/>
  <c r="ER27" i="5"/>
  <c r="ER89" i="5" s="1"/>
  <c r="EQ27" i="5"/>
  <c r="EQ89" i="5" s="1"/>
  <c r="EP27" i="5"/>
  <c r="EP89" i="5" s="1"/>
  <c r="EO27" i="5"/>
  <c r="EO89" i="5" s="1"/>
  <c r="EN27" i="5"/>
  <c r="EN89" i="5" s="1"/>
  <c r="EM27" i="5"/>
  <c r="EM89" i="5" s="1"/>
  <c r="EL27" i="5"/>
  <c r="EL89" i="5" s="1"/>
  <c r="EK27" i="5"/>
  <c r="EK89" i="5" s="1"/>
  <c r="EJ27" i="5"/>
  <c r="EJ89" i="5" s="1"/>
  <c r="EI27" i="5"/>
  <c r="EI89" i="5" s="1"/>
  <c r="EH27" i="5"/>
  <c r="EH89" i="5" s="1"/>
  <c r="EG27" i="5"/>
  <c r="EG89" i="5" s="1"/>
  <c r="EF27" i="5"/>
  <c r="EF89" i="5" s="1"/>
  <c r="EE27" i="5"/>
  <c r="EE89" i="5" s="1"/>
  <c r="ED27" i="5"/>
  <c r="ED89" i="5" s="1"/>
  <c r="EC27" i="5"/>
  <c r="EC89" i="5" s="1"/>
  <c r="EB27" i="5"/>
  <c r="EB89" i="5" s="1"/>
  <c r="EA27" i="5"/>
  <c r="EA89" i="5" s="1"/>
  <c r="DZ27" i="5"/>
  <c r="DZ89" i="5" s="1"/>
  <c r="DY27" i="5"/>
  <c r="DY89" i="5" s="1"/>
  <c r="DX27" i="5"/>
  <c r="DX89" i="5" s="1"/>
  <c r="DW27" i="5"/>
  <c r="DW89" i="5" s="1"/>
  <c r="DV27" i="5"/>
  <c r="DV89" i="5" s="1"/>
  <c r="DU27" i="5"/>
  <c r="DU89" i="5" s="1"/>
  <c r="DT27" i="5"/>
  <c r="DT89" i="5" s="1"/>
  <c r="DS27" i="5"/>
  <c r="DS89" i="5" s="1"/>
  <c r="DR27" i="5"/>
  <c r="DR89" i="5" s="1"/>
  <c r="DQ27" i="5"/>
  <c r="DQ89" i="5" s="1"/>
  <c r="DP27" i="5"/>
  <c r="DP89" i="5" s="1"/>
  <c r="DO27" i="5"/>
  <c r="DO89" i="5" s="1"/>
  <c r="DN27" i="5"/>
  <c r="DN89" i="5" s="1"/>
  <c r="DM27" i="5"/>
  <c r="DM89" i="5" s="1"/>
  <c r="DL27" i="5"/>
  <c r="DL89" i="5" s="1"/>
  <c r="DK27" i="5"/>
  <c r="DK89" i="5" s="1"/>
  <c r="DJ27" i="5"/>
  <c r="DJ89" i="5" s="1"/>
  <c r="DI27" i="5"/>
  <c r="DI89" i="5" s="1"/>
  <c r="DH27" i="5"/>
  <c r="DH89" i="5" s="1"/>
  <c r="DG27" i="5"/>
  <c r="DG89" i="5" s="1"/>
  <c r="DF27" i="5"/>
  <c r="DF89" i="5" s="1"/>
  <c r="DE27" i="5"/>
  <c r="DE89" i="5" s="1"/>
  <c r="DD27" i="5"/>
  <c r="DD89" i="5" s="1"/>
  <c r="DC27" i="5"/>
  <c r="DC89" i="5" s="1"/>
  <c r="DB27" i="5"/>
  <c r="DB89" i="5" s="1"/>
  <c r="DA27" i="5"/>
  <c r="DA89" i="5" s="1"/>
  <c r="CZ27" i="5"/>
  <c r="CZ89" i="5" s="1"/>
  <c r="CY27" i="5"/>
  <c r="CY89" i="5" s="1"/>
  <c r="CX27" i="5"/>
  <c r="CX89" i="5" s="1"/>
  <c r="CW27" i="5"/>
  <c r="CW89" i="5" s="1"/>
  <c r="CV27" i="5"/>
  <c r="CV89" i="5" s="1"/>
  <c r="CU27" i="5"/>
  <c r="CU89" i="5" s="1"/>
  <c r="CT27" i="5"/>
  <c r="CT89" i="5" s="1"/>
  <c r="CS27" i="5"/>
  <c r="CS89" i="5" s="1"/>
  <c r="CR27" i="5"/>
  <c r="CR89" i="5" s="1"/>
  <c r="CQ27" i="5"/>
  <c r="CQ89" i="5" s="1"/>
  <c r="CP27" i="5"/>
  <c r="CP89" i="5" s="1"/>
  <c r="CO27" i="5"/>
  <c r="CO89" i="5" s="1"/>
  <c r="CN27" i="5"/>
  <c r="CN89" i="5" s="1"/>
  <c r="CM27" i="5"/>
  <c r="CM89" i="5" s="1"/>
  <c r="CL27" i="5"/>
  <c r="CL89" i="5" s="1"/>
  <c r="CK27" i="5"/>
  <c r="CK89" i="5" s="1"/>
  <c r="CJ27" i="5"/>
  <c r="CJ89" i="5" s="1"/>
  <c r="CI27" i="5"/>
  <c r="CI89" i="5" s="1"/>
  <c r="CH27" i="5"/>
  <c r="CH89" i="5" s="1"/>
  <c r="CG27" i="5"/>
  <c r="CG89" i="5" s="1"/>
  <c r="CF27" i="5"/>
  <c r="CF89" i="5" s="1"/>
  <c r="CE27" i="5"/>
  <c r="CE89" i="5" s="1"/>
  <c r="CD27" i="5"/>
  <c r="CD89" i="5" s="1"/>
  <c r="CC27" i="5"/>
  <c r="CC89" i="5" s="1"/>
  <c r="CB27" i="5"/>
  <c r="CB89" i="5" s="1"/>
  <c r="CA27" i="5"/>
  <c r="CA89" i="5" s="1"/>
  <c r="BZ27" i="5"/>
  <c r="BZ89" i="5" s="1"/>
  <c r="BY27" i="5"/>
  <c r="BY89" i="5" s="1"/>
  <c r="BX27" i="5"/>
  <c r="BX89" i="5" s="1"/>
  <c r="BW27" i="5"/>
  <c r="BW89" i="5" s="1"/>
  <c r="BV27" i="5"/>
  <c r="BV89" i="5" s="1"/>
  <c r="BU27" i="5"/>
  <c r="BU89" i="5" s="1"/>
  <c r="BT27" i="5"/>
  <c r="BT89" i="5" s="1"/>
  <c r="BS27" i="5"/>
  <c r="BS89" i="5" s="1"/>
  <c r="BR27" i="5"/>
  <c r="BR89" i="5" s="1"/>
  <c r="BQ27" i="5"/>
  <c r="BQ89" i="5" s="1"/>
  <c r="BP27" i="5"/>
  <c r="BP89" i="5" s="1"/>
  <c r="BO27" i="5"/>
  <c r="BO89" i="5" s="1"/>
  <c r="BN27" i="5"/>
  <c r="BN89" i="5" s="1"/>
  <c r="BM27" i="5"/>
  <c r="BM89" i="5" s="1"/>
  <c r="BL27" i="5"/>
  <c r="BL89" i="5" s="1"/>
  <c r="BK27" i="5"/>
  <c r="BK89" i="5" s="1"/>
  <c r="BJ27" i="5"/>
  <c r="BJ89" i="5" s="1"/>
  <c r="BI27" i="5"/>
  <c r="BI89" i="5" s="1"/>
  <c r="BH27" i="5"/>
  <c r="BH89" i="5" s="1"/>
  <c r="BG27" i="5"/>
  <c r="BG89" i="5" s="1"/>
  <c r="BF27" i="5"/>
  <c r="BF89" i="5" s="1"/>
  <c r="BE27" i="5"/>
  <c r="BE89" i="5" s="1"/>
  <c r="BD27" i="5"/>
  <c r="BD89" i="5" s="1"/>
  <c r="BC27" i="5"/>
  <c r="BC89" i="5" s="1"/>
  <c r="BB27" i="5"/>
  <c r="BB89" i="5" s="1"/>
  <c r="BA27" i="5"/>
  <c r="BA89" i="5" s="1"/>
  <c r="AZ27" i="5"/>
  <c r="AZ89" i="5" s="1"/>
  <c r="AY27" i="5"/>
  <c r="AY89" i="5" s="1"/>
  <c r="AX27" i="5"/>
  <c r="AX89" i="5" s="1"/>
  <c r="AW27" i="5"/>
  <c r="AW89" i="5" s="1"/>
  <c r="AV27" i="5"/>
  <c r="AV89" i="5" s="1"/>
  <c r="AU27" i="5"/>
  <c r="AU89" i="5" s="1"/>
  <c r="AT27" i="5"/>
  <c r="AT89" i="5" s="1"/>
  <c r="AS27" i="5"/>
  <c r="AS89" i="5" s="1"/>
  <c r="AR27" i="5"/>
  <c r="AR89" i="5" s="1"/>
  <c r="AQ27" i="5"/>
  <c r="AQ89" i="5" s="1"/>
  <c r="AP27" i="5"/>
  <c r="AP89" i="5" s="1"/>
  <c r="AO27" i="5"/>
  <c r="AO89" i="5" s="1"/>
  <c r="AN27" i="5"/>
  <c r="AN89" i="5" s="1"/>
  <c r="AM27" i="5"/>
  <c r="AM89" i="5" s="1"/>
  <c r="AL27" i="5"/>
  <c r="AL89" i="5" s="1"/>
  <c r="AK27" i="5"/>
  <c r="AK89" i="5" s="1"/>
  <c r="AJ27" i="5"/>
  <c r="AJ89" i="5" s="1"/>
  <c r="AI27" i="5"/>
  <c r="AI89" i="5" s="1"/>
  <c r="AH27" i="5"/>
  <c r="AH89" i="5" s="1"/>
  <c r="AG27" i="5"/>
  <c r="AG89" i="5" s="1"/>
  <c r="AF27" i="5"/>
  <c r="AF89" i="5" s="1"/>
  <c r="AE27" i="5"/>
  <c r="AE89" i="5" s="1"/>
  <c r="AD27" i="5"/>
  <c r="AD89" i="5" s="1"/>
  <c r="AC27" i="5"/>
  <c r="AC89" i="5" s="1"/>
  <c r="AB27" i="5"/>
  <c r="AB89" i="5" s="1"/>
  <c r="AA27" i="5"/>
  <c r="AA89" i="5" s="1"/>
  <c r="Z27" i="5"/>
  <c r="Z89" i="5" s="1"/>
  <c r="Y27" i="5"/>
  <c r="Y89" i="5" s="1"/>
  <c r="X27" i="5"/>
  <c r="X89" i="5" s="1"/>
  <c r="W27" i="5"/>
  <c r="W89" i="5" s="1"/>
  <c r="V27" i="5"/>
  <c r="V89" i="5" s="1"/>
  <c r="U27" i="5"/>
  <c r="U89" i="5" s="1"/>
  <c r="T27" i="5"/>
  <c r="T89" i="5" s="1"/>
  <c r="S27" i="5"/>
  <c r="S89" i="5" s="1"/>
  <c r="R27" i="5"/>
  <c r="R89" i="5" s="1"/>
  <c r="Q27" i="5"/>
  <c r="Q89" i="5" s="1"/>
  <c r="P27" i="5"/>
  <c r="P89" i="5" s="1"/>
  <c r="O27" i="5"/>
  <c r="O89" i="5" s="1"/>
  <c r="N27" i="5"/>
  <c r="N89" i="5" s="1"/>
  <c r="M27" i="5"/>
  <c r="M89" i="5" s="1"/>
  <c r="L27" i="5"/>
  <c r="L89" i="5" s="1"/>
  <c r="K27" i="5"/>
  <c r="K89" i="5" s="1"/>
  <c r="J27" i="5"/>
  <c r="J89" i="5" s="1"/>
  <c r="I27" i="5"/>
  <c r="I89" i="5" s="1"/>
  <c r="H27" i="5"/>
  <c r="H89" i="5" s="1"/>
  <c r="G27" i="5"/>
  <c r="G89" i="5" s="1"/>
  <c r="F27" i="5"/>
  <c r="F89" i="5" s="1"/>
  <c r="E27" i="5"/>
  <c r="E89" i="5" s="1"/>
  <c r="D27" i="5"/>
  <c r="D89" i="5" s="1"/>
  <c r="C27" i="5"/>
  <c r="C89" i="5" s="1"/>
  <c r="FX23" i="5"/>
  <c r="FW23" i="5"/>
  <c r="FV23" i="5"/>
  <c r="FU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Y23" i="5"/>
  <c r="EX23" i="5"/>
  <c r="EW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FX22" i="5"/>
  <c r="FW22" i="5"/>
  <c r="FV22" i="5"/>
  <c r="FU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FX21" i="5"/>
  <c r="FW21" i="5"/>
  <c r="FV21" i="5"/>
  <c r="FU21" i="5"/>
  <c r="FU135" i="5" s="1"/>
  <c r="FS21" i="5"/>
  <c r="FR21" i="5"/>
  <c r="FQ21" i="5"/>
  <c r="FP21" i="5"/>
  <c r="FO21" i="5"/>
  <c r="FN21" i="5"/>
  <c r="FN135" i="5" s="1"/>
  <c r="FM21" i="5"/>
  <c r="FL21" i="5"/>
  <c r="FL135" i="5" s="1"/>
  <c r="FL137" i="5" s="1"/>
  <c r="FL139" i="5" s="1"/>
  <c r="FK21" i="5"/>
  <c r="FJ21" i="5"/>
  <c r="FI21" i="5"/>
  <c r="FI135" i="5" s="1"/>
  <c r="FH21" i="5"/>
  <c r="FH135" i="5" s="1"/>
  <c r="FH137" i="5" s="1"/>
  <c r="FH139" i="5" s="1"/>
  <c r="FG21" i="5"/>
  <c r="FF21" i="5"/>
  <c r="FE21" i="5"/>
  <c r="FD21" i="5"/>
  <c r="FC21" i="5"/>
  <c r="FB21" i="5"/>
  <c r="FB135" i="5" s="1"/>
  <c r="FA21" i="5"/>
  <c r="EZ21" i="5"/>
  <c r="EZ135" i="5" s="1"/>
  <c r="EZ137" i="5" s="1"/>
  <c r="EZ139" i="5" s="1"/>
  <c r="EY21" i="5"/>
  <c r="EX21" i="5"/>
  <c r="EW21" i="5"/>
  <c r="EW135" i="5" s="1"/>
  <c r="EV21" i="5"/>
  <c r="EV135" i="5" s="1"/>
  <c r="EV137" i="5" s="1"/>
  <c r="EV139" i="5" s="1"/>
  <c r="EU21" i="5"/>
  <c r="ET21" i="5"/>
  <c r="ES21" i="5"/>
  <c r="ER21" i="5"/>
  <c r="EQ21" i="5"/>
  <c r="EP21" i="5"/>
  <c r="EP135" i="5" s="1"/>
  <c r="EO21" i="5"/>
  <c r="EN21" i="5"/>
  <c r="EM21" i="5"/>
  <c r="EL21" i="5"/>
  <c r="EK21" i="5"/>
  <c r="EK135" i="5" s="1"/>
  <c r="EJ21" i="5"/>
  <c r="EJ135" i="5" s="1"/>
  <c r="EJ137" i="5" s="1"/>
  <c r="EJ139" i="5" s="1"/>
  <c r="EI21" i="5"/>
  <c r="EH21" i="5"/>
  <c r="EG21" i="5"/>
  <c r="EF21" i="5"/>
  <c r="EE21" i="5"/>
  <c r="ED21" i="5"/>
  <c r="ED135" i="5" s="1"/>
  <c r="EC21" i="5"/>
  <c r="EB21" i="5"/>
  <c r="EB135" i="5" s="1"/>
  <c r="EB137" i="5" s="1"/>
  <c r="EB139" i="5" s="1"/>
  <c r="EA21" i="5"/>
  <c r="DZ21" i="5"/>
  <c r="DY21" i="5"/>
  <c r="DY135" i="5" s="1"/>
  <c r="DX21" i="5"/>
  <c r="DX135" i="5" s="1"/>
  <c r="DX137" i="5" s="1"/>
  <c r="DX139" i="5" s="1"/>
  <c r="DW21" i="5"/>
  <c r="DV21" i="5"/>
  <c r="DU21" i="5"/>
  <c r="DT21" i="5"/>
  <c r="DS21" i="5"/>
  <c r="DR21" i="5"/>
  <c r="DR135" i="5" s="1"/>
  <c r="DQ21" i="5"/>
  <c r="DP21" i="5"/>
  <c r="DP135" i="5" s="1"/>
  <c r="DP137" i="5" s="1"/>
  <c r="DP139" i="5" s="1"/>
  <c r="DO21" i="5"/>
  <c r="DN21" i="5"/>
  <c r="DM21" i="5"/>
  <c r="DM135" i="5" s="1"/>
  <c r="DL21" i="5"/>
  <c r="DL135" i="5" s="1"/>
  <c r="DL137" i="5" s="1"/>
  <c r="DL139" i="5" s="1"/>
  <c r="DK21" i="5"/>
  <c r="DJ21" i="5"/>
  <c r="DI21" i="5"/>
  <c r="DH21" i="5"/>
  <c r="DG21" i="5"/>
  <c r="DF21" i="5"/>
  <c r="DF135" i="5" s="1"/>
  <c r="DE21" i="5"/>
  <c r="DD21" i="5"/>
  <c r="DC21" i="5"/>
  <c r="DB21" i="5"/>
  <c r="DA21" i="5"/>
  <c r="DA135" i="5" s="1"/>
  <c r="CZ21" i="5"/>
  <c r="CZ135" i="5" s="1"/>
  <c r="CZ137" i="5" s="1"/>
  <c r="CZ139" i="5" s="1"/>
  <c r="CY21" i="5"/>
  <c r="CX21" i="5"/>
  <c r="CW21" i="5"/>
  <c r="CV21" i="5"/>
  <c r="CU21" i="5"/>
  <c r="CT21" i="5"/>
  <c r="CT135" i="5" s="1"/>
  <c r="CS21" i="5"/>
  <c r="CR21" i="5"/>
  <c r="CR135" i="5" s="1"/>
  <c r="CR137" i="5" s="1"/>
  <c r="CR139" i="5" s="1"/>
  <c r="CQ21" i="5"/>
  <c r="CP21" i="5"/>
  <c r="CO21" i="5"/>
  <c r="CO135" i="5" s="1"/>
  <c r="CN21" i="5"/>
  <c r="CN135" i="5" s="1"/>
  <c r="CN137" i="5" s="1"/>
  <c r="CN139" i="5" s="1"/>
  <c r="CM21" i="5"/>
  <c r="CL21" i="5"/>
  <c r="CK21" i="5"/>
  <c r="CJ21" i="5"/>
  <c r="CI21" i="5"/>
  <c r="CH21" i="5"/>
  <c r="CH135" i="5" s="1"/>
  <c r="CG21" i="5"/>
  <c r="CF21" i="5"/>
  <c r="CF135" i="5" s="1"/>
  <c r="CF137" i="5" s="1"/>
  <c r="CF139" i="5" s="1"/>
  <c r="CE21" i="5"/>
  <c r="CD21" i="5"/>
  <c r="CC21" i="5"/>
  <c r="CC135" i="5" s="1"/>
  <c r="CB21" i="5"/>
  <c r="CB135" i="5" s="1"/>
  <c r="CB137" i="5" s="1"/>
  <c r="CB139" i="5" s="1"/>
  <c r="CA21" i="5"/>
  <c r="BZ21" i="5"/>
  <c r="BY21" i="5"/>
  <c r="BX21" i="5"/>
  <c r="BW21" i="5"/>
  <c r="BV21" i="5"/>
  <c r="BV135" i="5" s="1"/>
  <c r="BU21" i="5"/>
  <c r="BT21" i="5"/>
  <c r="BS21" i="5"/>
  <c r="BR21" i="5"/>
  <c r="BQ21" i="5"/>
  <c r="BQ135" i="5" s="1"/>
  <c r="BP21" i="5"/>
  <c r="BP135" i="5" s="1"/>
  <c r="BP137" i="5" s="1"/>
  <c r="BP139" i="5" s="1"/>
  <c r="BO21" i="5"/>
  <c r="BN21" i="5"/>
  <c r="BM21" i="5"/>
  <c r="BL21" i="5"/>
  <c r="BK21" i="5"/>
  <c r="BJ21" i="5"/>
  <c r="BJ135" i="5" s="1"/>
  <c r="BI21" i="5"/>
  <c r="BH21" i="5"/>
  <c r="BH135" i="5" s="1"/>
  <c r="BH137" i="5" s="1"/>
  <c r="BH139" i="5" s="1"/>
  <c r="BG21" i="5"/>
  <c r="BF21" i="5"/>
  <c r="BE21" i="5"/>
  <c r="BE135" i="5" s="1"/>
  <c r="BD21" i="5"/>
  <c r="BD135" i="5" s="1"/>
  <c r="BD137" i="5" s="1"/>
  <c r="BD139" i="5" s="1"/>
  <c r="BC21" i="5"/>
  <c r="BB21" i="5"/>
  <c r="BA21" i="5"/>
  <c r="AZ21" i="5"/>
  <c r="AY21" i="5"/>
  <c r="AX21" i="5"/>
  <c r="AX135" i="5" s="1"/>
  <c r="AW21" i="5"/>
  <c r="AV21" i="5"/>
  <c r="AV135" i="5" s="1"/>
  <c r="AV137" i="5" s="1"/>
  <c r="AV139" i="5" s="1"/>
  <c r="AU21" i="5"/>
  <c r="AT21" i="5"/>
  <c r="AS21" i="5"/>
  <c r="AS135" i="5" s="1"/>
  <c r="AR21" i="5"/>
  <c r="AR135" i="5" s="1"/>
  <c r="AR137" i="5" s="1"/>
  <c r="AR139" i="5" s="1"/>
  <c r="AQ21" i="5"/>
  <c r="AP21" i="5"/>
  <c r="AO21" i="5"/>
  <c r="AN21" i="5"/>
  <c r="AM21" i="5"/>
  <c r="AL21" i="5"/>
  <c r="AL135" i="5" s="1"/>
  <c r="AK21" i="5"/>
  <c r="AJ21" i="5"/>
  <c r="AI21" i="5"/>
  <c r="AH21" i="5"/>
  <c r="AG21" i="5"/>
  <c r="AG135" i="5" s="1"/>
  <c r="AF21" i="5"/>
  <c r="AF135" i="5" s="1"/>
  <c r="AF137" i="5" s="1"/>
  <c r="AF139" i="5" s="1"/>
  <c r="AE21" i="5"/>
  <c r="AD21" i="5"/>
  <c r="AC21" i="5"/>
  <c r="AB21" i="5"/>
  <c r="AA21" i="5"/>
  <c r="Z21" i="5"/>
  <c r="Z135" i="5" s="1"/>
  <c r="Y21" i="5"/>
  <c r="X21" i="5"/>
  <c r="X135" i="5" s="1"/>
  <c r="X137" i="5" s="1"/>
  <c r="X139" i="5" s="1"/>
  <c r="W21" i="5"/>
  <c r="V21" i="5"/>
  <c r="U21" i="5"/>
  <c r="U135" i="5" s="1"/>
  <c r="T21" i="5"/>
  <c r="T135" i="5" s="1"/>
  <c r="T137" i="5" s="1"/>
  <c r="T139" i="5" s="1"/>
  <c r="S21" i="5"/>
  <c r="R21" i="5"/>
  <c r="Q21" i="5"/>
  <c r="P21" i="5"/>
  <c r="O21" i="5"/>
  <c r="N21" i="5"/>
  <c r="N135" i="5" s="1"/>
  <c r="M21" i="5"/>
  <c r="L21" i="5"/>
  <c r="L135" i="5" s="1"/>
  <c r="L137" i="5" s="1"/>
  <c r="L139" i="5" s="1"/>
  <c r="K21" i="5"/>
  <c r="J21" i="5"/>
  <c r="I21" i="5"/>
  <c r="I135" i="5" s="1"/>
  <c r="H21" i="5"/>
  <c r="H135" i="5" s="1"/>
  <c r="H137" i="5" s="1"/>
  <c r="H139" i="5" s="1"/>
  <c r="G21" i="5"/>
  <c r="F21" i="5"/>
  <c r="E21" i="5"/>
  <c r="D21" i="5"/>
  <c r="C21" i="5"/>
  <c r="FX20" i="5"/>
  <c r="FW20" i="5"/>
  <c r="FV20" i="5"/>
  <c r="FU20" i="5"/>
  <c r="FS20" i="5"/>
  <c r="FR20" i="5"/>
  <c r="FQ20" i="5"/>
  <c r="FP20" i="5"/>
  <c r="FO20" i="5"/>
  <c r="FN20" i="5"/>
  <c r="FM20" i="5"/>
  <c r="FL20" i="5"/>
  <c r="FK20" i="5"/>
  <c r="FJ20" i="5"/>
  <c r="FI20" i="5"/>
  <c r="FH20" i="5"/>
  <c r="FG20" i="5"/>
  <c r="FF20" i="5"/>
  <c r="FE20" i="5"/>
  <c r="FD20" i="5"/>
  <c r="FC20" i="5"/>
  <c r="FB20" i="5"/>
  <c r="FA20" i="5"/>
  <c r="EZ20" i="5"/>
  <c r="EY20" i="5"/>
  <c r="EX20" i="5"/>
  <c r="EW20" i="5"/>
  <c r="EV20" i="5"/>
  <c r="EU20" i="5"/>
  <c r="ET20" i="5"/>
  <c r="ES20" i="5"/>
  <c r="ER20" i="5"/>
  <c r="EQ20" i="5"/>
  <c r="EP20" i="5"/>
  <c r="EO20" i="5"/>
  <c r="EN20" i="5"/>
  <c r="EM20" i="5"/>
  <c r="EL20" i="5"/>
  <c r="EK20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C133" i="5" s="1"/>
  <c r="FX18" i="5"/>
  <c r="FX136" i="5" s="1"/>
  <c r="FW18" i="5"/>
  <c r="FW136" i="5" s="1"/>
  <c r="FV18" i="5"/>
  <c r="FV136" i="5" s="1"/>
  <c r="FU18" i="5"/>
  <c r="FU136" i="5" s="1"/>
  <c r="FS18" i="5"/>
  <c r="FS136" i="5" s="1"/>
  <c r="FR18" i="5"/>
  <c r="FR136" i="5" s="1"/>
  <c r="FQ18" i="5"/>
  <c r="FQ136" i="5" s="1"/>
  <c r="FP18" i="5"/>
  <c r="FP136" i="5" s="1"/>
  <c r="FO18" i="5"/>
  <c r="FO136" i="5" s="1"/>
  <c r="FN18" i="5"/>
  <c r="FN136" i="5" s="1"/>
  <c r="FM18" i="5"/>
  <c r="FM136" i="5" s="1"/>
  <c r="FL18" i="5"/>
  <c r="FL136" i="5" s="1"/>
  <c r="FK18" i="5"/>
  <c r="FK136" i="5" s="1"/>
  <c r="FJ18" i="5"/>
  <c r="FJ136" i="5" s="1"/>
  <c r="FI18" i="5"/>
  <c r="FI136" i="5" s="1"/>
  <c r="FH18" i="5"/>
  <c r="FH136" i="5" s="1"/>
  <c r="FG18" i="5"/>
  <c r="FG136" i="5" s="1"/>
  <c r="FF18" i="5"/>
  <c r="FF136" i="5" s="1"/>
  <c r="FE18" i="5"/>
  <c r="FE136" i="5" s="1"/>
  <c r="FD18" i="5"/>
  <c r="FD136" i="5" s="1"/>
  <c r="FC18" i="5"/>
  <c r="FC136" i="5" s="1"/>
  <c r="FB18" i="5"/>
  <c r="FB136" i="5" s="1"/>
  <c r="FA18" i="5"/>
  <c r="FA136" i="5" s="1"/>
  <c r="EZ18" i="5"/>
  <c r="EZ136" i="5" s="1"/>
  <c r="EY18" i="5"/>
  <c r="EY136" i="5" s="1"/>
  <c r="EX18" i="5"/>
  <c r="EX136" i="5" s="1"/>
  <c r="EW18" i="5"/>
  <c r="EW136" i="5" s="1"/>
  <c r="EV18" i="5"/>
  <c r="EV136" i="5" s="1"/>
  <c r="EU18" i="5"/>
  <c r="EU136" i="5" s="1"/>
  <c r="ET18" i="5"/>
  <c r="ET136" i="5" s="1"/>
  <c r="ES18" i="5"/>
  <c r="ES136" i="5" s="1"/>
  <c r="ER18" i="5"/>
  <c r="ER136" i="5" s="1"/>
  <c r="EQ18" i="5"/>
  <c r="EQ136" i="5" s="1"/>
  <c r="EP18" i="5"/>
  <c r="EP136" i="5" s="1"/>
  <c r="EO18" i="5"/>
  <c r="EO136" i="5" s="1"/>
  <c r="EN18" i="5"/>
  <c r="EN136" i="5" s="1"/>
  <c r="EM18" i="5"/>
  <c r="EM136" i="5" s="1"/>
  <c r="EL18" i="5"/>
  <c r="EL136" i="5" s="1"/>
  <c r="EK18" i="5"/>
  <c r="EK136" i="5" s="1"/>
  <c r="EJ18" i="5"/>
  <c r="EJ136" i="5" s="1"/>
  <c r="EI18" i="5"/>
  <c r="EI136" i="5" s="1"/>
  <c r="EH18" i="5"/>
  <c r="EH136" i="5" s="1"/>
  <c r="EG18" i="5"/>
  <c r="EG136" i="5" s="1"/>
  <c r="EF18" i="5"/>
  <c r="EF136" i="5" s="1"/>
  <c r="EE18" i="5"/>
  <c r="EE136" i="5" s="1"/>
  <c r="ED18" i="5"/>
  <c r="ED136" i="5" s="1"/>
  <c r="EC18" i="5"/>
  <c r="EC136" i="5" s="1"/>
  <c r="EB18" i="5"/>
  <c r="EB136" i="5" s="1"/>
  <c r="EA18" i="5"/>
  <c r="EA136" i="5" s="1"/>
  <c r="DZ18" i="5"/>
  <c r="DZ136" i="5" s="1"/>
  <c r="DY18" i="5"/>
  <c r="DY136" i="5" s="1"/>
  <c r="DX18" i="5"/>
  <c r="DX136" i="5" s="1"/>
  <c r="DW18" i="5"/>
  <c r="DW136" i="5" s="1"/>
  <c r="DV18" i="5"/>
  <c r="DV136" i="5" s="1"/>
  <c r="DU18" i="5"/>
  <c r="DU136" i="5" s="1"/>
  <c r="DT18" i="5"/>
  <c r="DT136" i="5" s="1"/>
  <c r="DS18" i="5"/>
  <c r="DS136" i="5" s="1"/>
  <c r="DR18" i="5"/>
  <c r="DR136" i="5" s="1"/>
  <c r="DQ18" i="5"/>
  <c r="DQ136" i="5" s="1"/>
  <c r="DP18" i="5"/>
  <c r="DP136" i="5" s="1"/>
  <c r="DO18" i="5"/>
  <c r="DO136" i="5" s="1"/>
  <c r="DN18" i="5"/>
  <c r="DN136" i="5" s="1"/>
  <c r="DM18" i="5"/>
  <c r="DM136" i="5" s="1"/>
  <c r="DL18" i="5"/>
  <c r="DL136" i="5" s="1"/>
  <c r="DK18" i="5"/>
  <c r="DK136" i="5" s="1"/>
  <c r="DJ18" i="5"/>
  <c r="DJ136" i="5" s="1"/>
  <c r="DI18" i="5"/>
  <c r="DI136" i="5" s="1"/>
  <c r="DH18" i="5"/>
  <c r="DH136" i="5" s="1"/>
  <c r="DG18" i="5"/>
  <c r="DG136" i="5" s="1"/>
  <c r="DF18" i="5"/>
  <c r="DF136" i="5" s="1"/>
  <c r="DE18" i="5"/>
  <c r="DE136" i="5" s="1"/>
  <c r="DD18" i="5"/>
  <c r="DD136" i="5" s="1"/>
  <c r="DC18" i="5"/>
  <c r="DC136" i="5" s="1"/>
  <c r="DB18" i="5"/>
  <c r="DB136" i="5" s="1"/>
  <c r="DA18" i="5"/>
  <c r="DA136" i="5" s="1"/>
  <c r="CZ18" i="5"/>
  <c r="CZ136" i="5" s="1"/>
  <c r="CY18" i="5"/>
  <c r="CY136" i="5" s="1"/>
  <c r="CX18" i="5"/>
  <c r="CX136" i="5" s="1"/>
  <c r="CW18" i="5"/>
  <c r="CW136" i="5" s="1"/>
  <c r="CV18" i="5"/>
  <c r="CV136" i="5" s="1"/>
  <c r="CU18" i="5"/>
  <c r="CU136" i="5" s="1"/>
  <c r="CT18" i="5"/>
  <c r="CT136" i="5" s="1"/>
  <c r="CS18" i="5"/>
  <c r="CS136" i="5" s="1"/>
  <c r="CR18" i="5"/>
  <c r="CR136" i="5" s="1"/>
  <c r="CQ18" i="5"/>
  <c r="CQ136" i="5" s="1"/>
  <c r="CP18" i="5"/>
  <c r="CP136" i="5" s="1"/>
  <c r="CO18" i="5"/>
  <c r="CO136" i="5" s="1"/>
  <c r="CN18" i="5"/>
  <c r="CN136" i="5" s="1"/>
  <c r="CM18" i="5"/>
  <c r="CM136" i="5" s="1"/>
  <c r="CL18" i="5"/>
  <c r="CL136" i="5" s="1"/>
  <c r="CK18" i="5"/>
  <c r="CK136" i="5" s="1"/>
  <c r="CJ18" i="5"/>
  <c r="CJ136" i="5" s="1"/>
  <c r="CI18" i="5"/>
  <c r="CI136" i="5" s="1"/>
  <c r="CH18" i="5"/>
  <c r="CH136" i="5" s="1"/>
  <c r="CG18" i="5"/>
  <c r="CG136" i="5" s="1"/>
  <c r="CF18" i="5"/>
  <c r="CF136" i="5" s="1"/>
  <c r="CE18" i="5"/>
  <c r="CE136" i="5" s="1"/>
  <c r="CD18" i="5"/>
  <c r="CD136" i="5" s="1"/>
  <c r="CC18" i="5"/>
  <c r="CC136" i="5" s="1"/>
  <c r="CB18" i="5"/>
  <c r="CB136" i="5" s="1"/>
  <c r="CA18" i="5"/>
  <c r="CA136" i="5" s="1"/>
  <c r="BZ18" i="5"/>
  <c r="BZ136" i="5" s="1"/>
  <c r="BY18" i="5"/>
  <c r="BY136" i="5" s="1"/>
  <c r="BX18" i="5"/>
  <c r="BX136" i="5" s="1"/>
  <c r="BW18" i="5"/>
  <c r="BW136" i="5" s="1"/>
  <c r="BV18" i="5"/>
  <c r="BV136" i="5" s="1"/>
  <c r="BU18" i="5"/>
  <c r="BU136" i="5" s="1"/>
  <c r="BT18" i="5"/>
  <c r="BT136" i="5" s="1"/>
  <c r="BS18" i="5"/>
  <c r="BS136" i="5" s="1"/>
  <c r="BR18" i="5"/>
  <c r="BR136" i="5" s="1"/>
  <c r="BQ18" i="5"/>
  <c r="BQ136" i="5" s="1"/>
  <c r="BP18" i="5"/>
  <c r="BP136" i="5" s="1"/>
  <c r="BO18" i="5"/>
  <c r="BO136" i="5" s="1"/>
  <c r="BN18" i="5"/>
  <c r="BN136" i="5" s="1"/>
  <c r="BM18" i="5"/>
  <c r="BM136" i="5" s="1"/>
  <c r="BL18" i="5"/>
  <c r="BL136" i="5" s="1"/>
  <c r="BK18" i="5"/>
  <c r="BK136" i="5" s="1"/>
  <c r="BJ18" i="5"/>
  <c r="BJ136" i="5" s="1"/>
  <c r="BI18" i="5"/>
  <c r="BI136" i="5" s="1"/>
  <c r="BH18" i="5"/>
  <c r="BH136" i="5" s="1"/>
  <c r="BG18" i="5"/>
  <c r="BG136" i="5" s="1"/>
  <c r="BF18" i="5"/>
  <c r="BF136" i="5" s="1"/>
  <c r="BE18" i="5"/>
  <c r="BE136" i="5" s="1"/>
  <c r="BD18" i="5"/>
  <c r="BD136" i="5" s="1"/>
  <c r="BC18" i="5"/>
  <c r="BC136" i="5" s="1"/>
  <c r="BB18" i="5"/>
  <c r="BB136" i="5" s="1"/>
  <c r="BA18" i="5"/>
  <c r="BA136" i="5" s="1"/>
  <c r="AZ18" i="5"/>
  <c r="AZ136" i="5" s="1"/>
  <c r="AY18" i="5"/>
  <c r="AY136" i="5" s="1"/>
  <c r="AX18" i="5"/>
  <c r="AX136" i="5" s="1"/>
  <c r="AW18" i="5"/>
  <c r="AW136" i="5" s="1"/>
  <c r="AV18" i="5"/>
  <c r="AV136" i="5" s="1"/>
  <c r="AU18" i="5"/>
  <c r="AU136" i="5" s="1"/>
  <c r="AT18" i="5"/>
  <c r="AT136" i="5" s="1"/>
  <c r="AS18" i="5"/>
  <c r="AS136" i="5" s="1"/>
  <c r="AR18" i="5"/>
  <c r="AR136" i="5" s="1"/>
  <c r="AQ18" i="5"/>
  <c r="AQ136" i="5" s="1"/>
  <c r="AP18" i="5"/>
  <c r="AP136" i="5" s="1"/>
  <c r="AO18" i="5"/>
  <c r="AO136" i="5" s="1"/>
  <c r="AN18" i="5"/>
  <c r="AN136" i="5" s="1"/>
  <c r="AM18" i="5"/>
  <c r="AM136" i="5" s="1"/>
  <c r="AL18" i="5"/>
  <c r="AL136" i="5" s="1"/>
  <c r="AK18" i="5"/>
  <c r="AK136" i="5" s="1"/>
  <c r="AJ18" i="5"/>
  <c r="AJ136" i="5" s="1"/>
  <c r="AI18" i="5"/>
  <c r="AI136" i="5" s="1"/>
  <c r="AH18" i="5"/>
  <c r="AH136" i="5" s="1"/>
  <c r="AG18" i="5"/>
  <c r="AG136" i="5" s="1"/>
  <c r="AF18" i="5"/>
  <c r="AF136" i="5" s="1"/>
  <c r="AE18" i="5"/>
  <c r="AE136" i="5" s="1"/>
  <c r="AD18" i="5"/>
  <c r="AD136" i="5" s="1"/>
  <c r="AC18" i="5"/>
  <c r="AC136" i="5" s="1"/>
  <c r="AB18" i="5"/>
  <c r="AB136" i="5" s="1"/>
  <c r="AA18" i="5"/>
  <c r="AA136" i="5" s="1"/>
  <c r="Z18" i="5"/>
  <c r="Z136" i="5" s="1"/>
  <c r="Y18" i="5"/>
  <c r="Y136" i="5" s="1"/>
  <c r="X18" i="5"/>
  <c r="X136" i="5" s="1"/>
  <c r="W18" i="5"/>
  <c r="W136" i="5" s="1"/>
  <c r="V18" i="5"/>
  <c r="V136" i="5" s="1"/>
  <c r="U18" i="5"/>
  <c r="U136" i="5" s="1"/>
  <c r="T18" i="5"/>
  <c r="T136" i="5" s="1"/>
  <c r="S18" i="5"/>
  <c r="S136" i="5" s="1"/>
  <c r="R18" i="5"/>
  <c r="R136" i="5" s="1"/>
  <c r="Q18" i="5"/>
  <c r="Q136" i="5" s="1"/>
  <c r="P18" i="5"/>
  <c r="P136" i="5" s="1"/>
  <c r="O18" i="5"/>
  <c r="O136" i="5" s="1"/>
  <c r="N18" i="5"/>
  <c r="N136" i="5" s="1"/>
  <c r="M18" i="5"/>
  <c r="M136" i="5" s="1"/>
  <c r="L18" i="5"/>
  <c r="L136" i="5" s="1"/>
  <c r="K18" i="5"/>
  <c r="K136" i="5" s="1"/>
  <c r="J18" i="5"/>
  <c r="J136" i="5" s="1"/>
  <c r="I18" i="5"/>
  <c r="I136" i="5" s="1"/>
  <c r="H18" i="5"/>
  <c r="H136" i="5" s="1"/>
  <c r="G18" i="5"/>
  <c r="G136" i="5" s="1"/>
  <c r="F18" i="5"/>
  <c r="F136" i="5" s="1"/>
  <c r="E18" i="5"/>
  <c r="E136" i="5" s="1"/>
  <c r="D18" i="5"/>
  <c r="D136" i="5" s="1"/>
  <c r="C18" i="5"/>
  <c r="C136" i="5" s="1"/>
  <c r="FX17" i="5"/>
  <c r="FW17" i="5"/>
  <c r="FV17" i="5"/>
  <c r="FU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EZ17" i="5"/>
  <c r="EY17" i="5"/>
  <c r="EX17" i="5"/>
  <c r="EW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C132" i="5" s="1"/>
  <c r="C134" i="5" s="1"/>
  <c r="C135" i="5" s="1"/>
  <c r="ET16" i="5"/>
  <c r="ET85" i="5" s="1"/>
  <c r="BZ16" i="5"/>
  <c r="BZ85" i="5" s="1"/>
  <c r="F16" i="5"/>
  <c r="F85" i="5" s="1"/>
  <c r="FX15" i="5"/>
  <c r="FW15" i="5"/>
  <c r="FV15" i="5"/>
  <c r="FU15" i="5"/>
  <c r="FS15" i="5"/>
  <c r="FR15" i="5"/>
  <c r="FQ15" i="5"/>
  <c r="FP15" i="5"/>
  <c r="FO15" i="5"/>
  <c r="FN15" i="5"/>
  <c r="FM15" i="5"/>
  <c r="FL15" i="5"/>
  <c r="FK15" i="5"/>
  <c r="FJ15" i="5"/>
  <c r="FI15" i="5"/>
  <c r="FH15" i="5"/>
  <c r="FG15" i="5"/>
  <c r="FF15" i="5"/>
  <c r="FE15" i="5"/>
  <c r="FD15" i="5"/>
  <c r="FC15" i="5"/>
  <c r="FB15" i="5"/>
  <c r="FA15" i="5"/>
  <c r="EZ15" i="5"/>
  <c r="EY15" i="5"/>
  <c r="EX15" i="5"/>
  <c r="EW15" i="5"/>
  <c r="EV15" i="5"/>
  <c r="EU15" i="5"/>
  <c r="ET15" i="5"/>
  <c r="ES15" i="5"/>
  <c r="ER15" i="5"/>
  <c r="EQ15" i="5"/>
  <c r="EP15" i="5"/>
  <c r="EO15" i="5"/>
  <c r="EN15" i="5"/>
  <c r="EM15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U99" i="5" s="1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W99" i="5" s="1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Y99" i="5" s="1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FX14" i="5"/>
  <c r="FW14" i="5"/>
  <c r="FV14" i="5"/>
  <c r="FU14" i="5"/>
  <c r="FS14" i="5"/>
  <c r="FR14" i="5"/>
  <c r="FQ14" i="5"/>
  <c r="FP14" i="5"/>
  <c r="FO14" i="5"/>
  <c r="FN14" i="5"/>
  <c r="FM14" i="5"/>
  <c r="FL14" i="5"/>
  <c r="FK14" i="5"/>
  <c r="FJ14" i="5"/>
  <c r="FI14" i="5"/>
  <c r="FH14" i="5"/>
  <c r="FG14" i="5"/>
  <c r="FF14" i="5"/>
  <c r="FE14" i="5"/>
  <c r="FD14" i="5"/>
  <c r="FC14" i="5"/>
  <c r="FB14" i="5"/>
  <c r="FA14" i="5"/>
  <c r="EZ14" i="5"/>
  <c r="EY14" i="5"/>
  <c r="EX14" i="5"/>
  <c r="EW14" i="5"/>
  <c r="EV14" i="5"/>
  <c r="EU14" i="5"/>
  <c r="ET14" i="5"/>
  <c r="ES14" i="5"/>
  <c r="ER14" i="5"/>
  <c r="EQ14" i="5"/>
  <c r="EP14" i="5"/>
  <c r="EO14" i="5"/>
  <c r="EN14" i="5"/>
  <c r="EM14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FX13" i="5"/>
  <c r="FW13" i="5"/>
  <c r="FV13" i="5"/>
  <c r="FU13" i="5"/>
  <c r="FS13" i="5"/>
  <c r="FR13" i="5"/>
  <c r="FQ13" i="5"/>
  <c r="FP13" i="5"/>
  <c r="FO13" i="5"/>
  <c r="FN13" i="5"/>
  <c r="FM13" i="5"/>
  <c r="FL13" i="5"/>
  <c r="FK13" i="5"/>
  <c r="FJ13" i="5"/>
  <c r="FI13" i="5"/>
  <c r="FH13" i="5"/>
  <c r="FH176" i="5" s="1"/>
  <c r="FG13" i="5"/>
  <c r="FF13" i="5"/>
  <c r="FE13" i="5"/>
  <c r="FD13" i="5"/>
  <c r="FC13" i="5"/>
  <c r="FB13" i="5"/>
  <c r="FA13" i="5"/>
  <c r="EZ13" i="5"/>
  <c r="EY13" i="5"/>
  <c r="EX13" i="5"/>
  <c r="EW13" i="5"/>
  <c r="EV13" i="5"/>
  <c r="EU13" i="5"/>
  <c r="ET13" i="5"/>
  <c r="ES13" i="5"/>
  <c r="ER13" i="5"/>
  <c r="EQ13" i="5"/>
  <c r="EP13" i="5"/>
  <c r="EO13" i="5"/>
  <c r="EN13" i="5"/>
  <c r="EN176" i="5" s="1"/>
  <c r="EM13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W176" i="5" s="1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R176" i="5" s="1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CA176" i="5" s="1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V176" i="5" s="1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E176" i="5" s="1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FX12" i="5"/>
  <c r="FW12" i="5"/>
  <c r="FV12" i="5"/>
  <c r="FU12" i="5"/>
  <c r="FS12" i="5"/>
  <c r="FR12" i="5"/>
  <c r="FQ12" i="5"/>
  <c r="FP12" i="5"/>
  <c r="FO12" i="5"/>
  <c r="FN12" i="5"/>
  <c r="FM12" i="5"/>
  <c r="FL12" i="5"/>
  <c r="FK12" i="5"/>
  <c r="FJ12" i="5"/>
  <c r="FI12" i="5"/>
  <c r="FH12" i="5"/>
  <c r="FG12" i="5"/>
  <c r="FF12" i="5"/>
  <c r="FE12" i="5"/>
  <c r="FD12" i="5"/>
  <c r="FC12" i="5"/>
  <c r="FB12" i="5"/>
  <c r="FA12" i="5"/>
  <c r="EZ12" i="5"/>
  <c r="EY12" i="5"/>
  <c r="EX12" i="5"/>
  <c r="EW12" i="5"/>
  <c r="EV12" i="5"/>
  <c r="EU12" i="5"/>
  <c r="ET12" i="5"/>
  <c r="ES12" i="5"/>
  <c r="ER12" i="5"/>
  <c r="EQ12" i="5"/>
  <c r="EP12" i="5"/>
  <c r="EO12" i="5"/>
  <c r="EN12" i="5"/>
  <c r="EM12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V172" i="5" s="1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B172" i="5" s="1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FO11" i="5"/>
  <c r="FO16" i="5" s="1"/>
  <c r="FO85" i="5" s="1"/>
  <c r="FH11" i="5"/>
  <c r="FH16" i="5" s="1"/>
  <c r="FH85" i="5" s="1"/>
  <c r="FC11" i="5"/>
  <c r="FC16" i="5" s="1"/>
  <c r="FC85" i="5" s="1"/>
  <c r="FA11" i="5"/>
  <c r="FA16" i="5" s="1"/>
  <c r="FA85" i="5" s="1"/>
  <c r="EV11" i="5"/>
  <c r="EV16" i="5" s="1"/>
  <c r="EV85" i="5" s="1"/>
  <c r="EQ11" i="5"/>
  <c r="EQ16" i="5" s="1"/>
  <c r="EQ85" i="5" s="1"/>
  <c r="EO11" i="5"/>
  <c r="EO16" i="5" s="1"/>
  <c r="EO85" i="5" s="1"/>
  <c r="EJ11" i="5"/>
  <c r="EJ16" i="5" s="1"/>
  <c r="EJ85" i="5" s="1"/>
  <c r="EE11" i="5"/>
  <c r="EE16" i="5" s="1"/>
  <c r="EE85" i="5" s="1"/>
  <c r="DX11" i="5"/>
  <c r="DX16" i="5" s="1"/>
  <c r="DX85" i="5" s="1"/>
  <c r="DS11" i="5"/>
  <c r="DS16" i="5" s="1"/>
  <c r="DS85" i="5" s="1"/>
  <c r="DL11" i="5"/>
  <c r="DL16" i="5" s="1"/>
  <c r="DL85" i="5" s="1"/>
  <c r="DG11" i="5"/>
  <c r="DG16" i="5" s="1"/>
  <c r="DG85" i="5" s="1"/>
  <c r="DE11" i="5"/>
  <c r="DE16" i="5" s="1"/>
  <c r="DE85" i="5" s="1"/>
  <c r="CZ11" i="5"/>
  <c r="CZ16" i="5" s="1"/>
  <c r="CZ85" i="5" s="1"/>
  <c r="CU11" i="5"/>
  <c r="CU16" i="5" s="1"/>
  <c r="CU85" i="5" s="1"/>
  <c r="CS11" i="5"/>
  <c r="CS16" i="5" s="1"/>
  <c r="CS85" i="5" s="1"/>
  <c r="CN11" i="5"/>
  <c r="CN16" i="5" s="1"/>
  <c r="CN85" i="5" s="1"/>
  <c r="CI11" i="5"/>
  <c r="CI16" i="5" s="1"/>
  <c r="CI85" i="5" s="1"/>
  <c r="CB11" i="5"/>
  <c r="CB16" i="5" s="1"/>
  <c r="CB85" i="5" s="1"/>
  <c r="BW11" i="5"/>
  <c r="BW16" i="5" s="1"/>
  <c r="BW85" i="5" s="1"/>
  <c r="BP11" i="5"/>
  <c r="BP16" i="5" s="1"/>
  <c r="BP85" i="5" s="1"/>
  <c r="BK11" i="5"/>
  <c r="BK16" i="5" s="1"/>
  <c r="BK85" i="5" s="1"/>
  <c r="BI11" i="5"/>
  <c r="BI16" i="5" s="1"/>
  <c r="BI85" i="5" s="1"/>
  <c r="BD11" i="5"/>
  <c r="BD16" i="5" s="1"/>
  <c r="BD85" i="5" s="1"/>
  <c r="AY11" i="5"/>
  <c r="AY16" i="5" s="1"/>
  <c r="AY85" i="5" s="1"/>
  <c r="AW11" i="5"/>
  <c r="AW16" i="5" s="1"/>
  <c r="AW85" i="5" s="1"/>
  <c r="AR11" i="5"/>
  <c r="AR16" i="5" s="1"/>
  <c r="AR85" i="5" s="1"/>
  <c r="AM11" i="5"/>
  <c r="AM16" i="5" s="1"/>
  <c r="AM85" i="5" s="1"/>
  <c r="AF11" i="5"/>
  <c r="AF16" i="5" s="1"/>
  <c r="AF85" i="5" s="1"/>
  <c r="AA11" i="5"/>
  <c r="AA16" i="5" s="1"/>
  <c r="AA85" i="5" s="1"/>
  <c r="T11" i="5"/>
  <c r="T16" i="5" s="1"/>
  <c r="T85" i="5" s="1"/>
  <c r="O11" i="5"/>
  <c r="O16" i="5" s="1"/>
  <c r="O85" i="5" s="1"/>
  <c r="H11" i="5"/>
  <c r="H16" i="5" s="1"/>
  <c r="H85" i="5" s="1"/>
  <c r="C11" i="5"/>
  <c r="C16" i="5" s="1"/>
  <c r="C85" i="5" s="1"/>
  <c r="FX10" i="5"/>
  <c r="FX93" i="5" s="1"/>
  <c r="FW10" i="5"/>
  <c r="FW93" i="5" s="1"/>
  <c r="FV10" i="5"/>
  <c r="FV93" i="5" s="1"/>
  <c r="FU10" i="5"/>
  <c r="FU93" i="5" s="1"/>
  <c r="FS10" i="5"/>
  <c r="FS93" i="5" s="1"/>
  <c r="FR10" i="5"/>
  <c r="FR93" i="5" s="1"/>
  <c r="FQ10" i="5"/>
  <c r="FQ93" i="5" s="1"/>
  <c r="FP10" i="5"/>
  <c r="FP93" i="5" s="1"/>
  <c r="FO10" i="5"/>
  <c r="FO93" i="5" s="1"/>
  <c r="FN10" i="5"/>
  <c r="FN93" i="5" s="1"/>
  <c r="FM10" i="5"/>
  <c r="FM93" i="5" s="1"/>
  <c r="FL10" i="5"/>
  <c r="FL93" i="5" s="1"/>
  <c r="FK10" i="5"/>
  <c r="FK93" i="5" s="1"/>
  <c r="FJ10" i="5"/>
  <c r="FJ93" i="5" s="1"/>
  <c r="FI10" i="5"/>
  <c r="FI93" i="5" s="1"/>
  <c r="FH10" i="5"/>
  <c r="FH93" i="5" s="1"/>
  <c r="FG10" i="5"/>
  <c r="FG93" i="5" s="1"/>
  <c r="FF10" i="5"/>
  <c r="FF93" i="5" s="1"/>
  <c r="FE10" i="5"/>
  <c r="FE93" i="5" s="1"/>
  <c r="FD10" i="5"/>
  <c r="FD93" i="5" s="1"/>
  <c r="FC10" i="5"/>
  <c r="FC93" i="5" s="1"/>
  <c r="FB10" i="5"/>
  <c r="FB93" i="5" s="1"/>
  <c r="FA10" i="5"/>
  <c r="FA93" i="5" s="1"/>
  <c r="EZ10" i="5"/>
  <c r="EZ93" i="5" s="1"/>
  <c r="EY10" i="5"/>
  <c r="EY93" i="5" s="1"/>
  <c r="EX10" i="5"/>
  <c r="EX93" i="5" s="1"/>
  <c r="EW10" i="5"/>
  <c r="EW93" i="5" s="1"/>
  <c r="EV10" i="5"/>
  <c r="EV93" i="5" s="1"/>
  <c r="EU10" i="5"/>
  <c r="EU93" i="5" s="1"/>
  <c r="ET10" i="5"/>
  <c r="ET93" i="5" s="1"/>
  <c r="ES10" i="5"/>
  <c r="ES93" i="5" s="1"/>
  <c r="ER10" i="5"/>
  <c r="ER93" i="5" s="1"/>
  <c r="EQ10" i="5"/>
  <c r="EQ93" i="5" s="1"/>
  <c r="EP10" i="5"/>
  <c r="EP93" i="5" s="1"/>
  <c r="EO10" i="5"/>
  <c r="EO93" i="5" s="1"/>
  <c r="EN10" i="5"/>
  <c r="EN93" i="5" s="1"/>
  <c r="EM10" i="5"/>
  <c r="EM93" i="5" s="1"/>
  <c r="EL10" i="5"/>
  <c r="EL93" i="5" s="1"/>
  <c r="EK10" i="5"/>
  <c r="EK93" i="5" s="1"/>
  <c r="EJ10" i="5"/>
  <c r="EJ93" i="5" s="1"/>
  <c r="EI10" i="5"/>
  <c r="EI93" i="5" s="1"/>
  <c r="EH10" i="5"/>
  <c r="EH93" i="5" s="1"/>
  <c r="EG10" i="5"/>
  <c r="EG93" i="5" s="1"/>
  <c r="EF10" i="5"/>
  <c r="EF93" i="5" s="1"/>
  <c r="EE10" i="5"/>
  <c r="EE93" i="5" s="1"/>
  <c r="ED10" i="5"/>
  <c r="ED93" i="5" s="1"/>
  <c r="EC10" i="5"/>
  <c r="EC93" i="5" s="1"/>
  <c r="EB10" i="5"/>
  <c r="EB93" i="5" s="1"/>
  <c r="EA10" i="5"/>
  <c r="EA93" i="5" s="1"/>
  <c r="DZ10" i="5"/>
  <c r="DZ93" i="5" s="1"/>
  <c r="DY10" i="5"/>
  <c r="DY93" i="5" s="1"/>
  <c r="DX10" i="5"/>
  <c r="DX93" i="5" s="1"/>
  <c r="DW10" i="5"/>
  <c r="DW93" i="5" s="1"/>
  <c r="DV10" i="5"/>
  <c r="DV93" i="5" s="1"/>
  <c r="DU10" i="5"/>
  <c r="DU93" i="5" s="1"/>
  <c r="DT10" i="5"/>
  <c r="DT93" i="5" s="1"/>
  <c r="DS10" i="5"/>
  <c r="DS93" i="5" s="1"/>
  <c r="DR10" i="5"/>
  <c r="DR93" i="5" s="1"/>
  <c r="DQ10" i="5"/>
  <c r="DQ93" i="5" s="1"/>
  <c r="DP10" i="5"/>
  <c r="DP93" i="5" s="1"/>
  <c r="DO10" i="5"/>
  <c r="DO93" i="5" s="1"/>
  <c r="DN10" i="5"/>
  <c r="DN93" i="5" s="1"/>
  <c r="DM10" i="5"/>
  <c r="DM93" i="5" s="1"/>
  <c r="DL10" i="5"/>
  <c r="DL93" i="5" s="1"/>
  <c r="DK10" i="5"/>
  <c r="DK93" i="5" s="1"/>
  <c r="DJ10" i="5"/>
  <c r="DJ93" i="5" s="1"/>
  <c r="DI10" i="5"/>
  <c r="DI93" i="5" s="1"/>
  <c r="DH10" i="5"/>
  <c r="DH93" i="5" s="1"/>
  <c r="DG10" i="5"/>
  <c r="DG93" i="5" s="1"/>
  <c r="DF10" i="5"/>
  <c r="DF93" i="5" s="1"/>
  <c r="DE10" i="5"/>
  <c r="DE93" i="5" s="1"/>
  <c r="DD10" i="5"/>
  <c r="DD93" i="5" s="1"/>
  <c r="DC10" i="5"/>
  <c r="DC93" i="5" s="1"/>
  <c r="DB10" i="5"/>
  <c r="DB93" i="5" s="1"/>
  <c r="DA10" i="5"/>
  <c r="DA93" i="5" s="1"/>
  <c r="CZ10" i="5"/>
  <c r="CZ93" i="5" s="1"/>
  <c r="CY10" i="5"/>
  <c r="CY93" i="5" s="1"/>
  <c r="CX10" i="5"/>
  <c r="CX93" i="5" s="1"/>
  <c r="CW10" i="5"/>
  <c r="CW93" i="5" s="1"/>
  <c r="CV10" i="5"/>
  <c r="CV93" i="5" s="1"/>
  <c r="CU10" i="5"/>
  <c r="CU93" i="5" s="1"/>
  <c r="CT10" i="5"/>
  <c r="CT93" i="5" s="1"/>
  <c r="CS10" i="5"/>
  <c r="CS93" i="5" s="1"/>
  <c r="CR10" i="5"/>
  <c r="CR93" i="5" s="1"/>
  <c r="CQ10" i="5"/>
  <c r="CQ93" i="5" s="1"/>
  <c r="CP10" i="5"/>
  <c r="CP93" i="5" s="1"/>
  <c r="CO10" i="5"/>
  <c r="CO93" i="5" s="1"/>
  <c r="CN10" i="5"/>
  <c r="CN93" i="5" s="1"/>
  <c r="CM10" i="5"/>
  <c r="CM93" i="5" s="1"/>
  <c r="CL10" i="5"/>
  <c r="CL93" i="5" s="1"/>
  <c r="CK10" i="5"/>
  <c r="CK93" i="5" s="1"/>
  <c r="CJ10" i="5"/>
  <c r="CJ93" i="5" s="1"/>
  <c r="CI10" i="5"/>
  <c r="CI93" i="5" s="1"/>
  <c r="CH10" i="5"/>
  <c r="CH93" i="5" s="1"/>
  <c r="CG10" i="5"/>
  <c r="CG93" i="5" s="1"/>
  <c r="CF10" i="5"/>
  <c r="CF93" i="5" s="1"/>
  <c r="CE10" i="5"/>
  <c r="CE93" i="5" s="1"/>
  <c r="CD10" i="5"/>
  <c r="CD93" i="5" s="1"/>
  <c r="CC10" i="5"/>
  <c r="CC93" i="5" s="1"/>
  <c r="CB10" i="5"/>
  <c r="CB93" i="5" s="1"/>
  <c r="CA10" i="5"/>
  <c r="CA93" i="5" s="1"/>
  <c r="BZ10" i="5"/>
  <c r="BZ93" i="5" s="1"/>
  <c r="BY10" i="5"/>
  <c r="BY93" i="5" s="1"/>
  <c r="BX10" i="5"/>
  <c r="BX93" i="5" s="1"/>
  <c r="BW10" i="5"/>
  <c r="BW93" i="5" s="1"/>
  <c r="BV10" i="5"/>
  <c r="BV93" i="5" s="1"/>
  <c r="BU10" i="5"/>
  <c r="BU93" i="5" s="1"/>
  <c r="BT10" i="5"/>
  <c r="BT93" i="5" s="1"/>
  <c r="BS10" i="5"/>
  <c r="BS93" i="5" s="1"/>
  <c r="BR10" i="5"/>
  <c r="BR93" i="5" s="1"/>
  <c r="BQ10" i="5"/>
  <c r="BQ93" i="5" s="1"/>
  <c r="BP10" i="5"/>
  <c r="BP93" i="5" s="1"/>
  <c r="BO10" i="5"/>
  <c r="BO93" i="5" s="1"/>
  <c r="BN10" i="5"/>
  <c r="BN93" i="5" s="1"/>
  <c r="BM10" i="5"/>
  <c r="BM93" i="5" s="1"/>
  <c r="BL10" i="5"/>
  <c r="BL93" i="5" s="1"/>
  <c r="BK10" i="5"/>
  <c r="BK93" i="5" s="1"/>
  <c r="BJ10" i="5"/>
  <c r="BJ93" i="5" s="1"/>
  <c r="BI10" i="5"/>
  <c r="BI93" i="5" s="1"/>
  <c r="BH10" i="5"/>
  <c r="BH93" i="5" s="1"/>
  <c r="BG10" i="5"/>
  <c r="BG93" i="5" s="1"/>
  <c r="BF10" i="5"/>
  <c r="BF93" i="5" s="1"/>
  <c r="BE10" i="5"/>
  <c r="BE93" i="5" s="1"/>
  <c r="BD10" i="5"/>
  <c r="BD93" i="5" s="1"/>
  <c r="BC10" i="5"/>
  <c r="BC93" i="5" s="1"/>
  <c r="BB10" i="5"/>
  <c r="BB93" i="5" s="1"/>
  <c r="BA10" i="5"/>
  <c r="BA93" i="5" s="1"/>
  <c r="AZ10" i="5"/>
  <c r="AZ93" i="5" s="1"/>
  <c r="AY10" i="5"/>
  <c r="AY93" i="5" s="1"/>
  <c r="AX10" i="5"/>
  <c r="AX93" i="5" s="1"/>
  <c r="AW10" i="5"/>
  <c r="AW93" i="5" s="1"/>
  <c r="AV10" i="5"/>
  <c r="AV93" i="5" s="1"/>
  <c r="AU10" i="5"/>
  <c r="AU93" i="5" s="1"/>
  <c r="AT10" i="5"/>
  <c r="AT93" i="5" s="1"/>
  <c r="AS10" i="5"/>
  <c r="AS93" i="5" s="1"/>
  <c r="AR10" i="5"/>
  <c r="AR93" i="5" s="1"/>
  <c r="AQ10" i="5"/>
  <c r="AQ93" i="5" s="1"/>
  <c r="AP10" i="5"/>
  <c r="AP93" i="5" s="1"/>
  <c r="AO10" i="5"/>
  <c r="AO93" i="5" s="1"/>
  <c r="AN10" i="5"/>
  <c r="AN93" i="5" s="1"/>
  <c r="AM10" i="5"/>
  <c r="AM93" i="5" s="1"/>
  <c r="AL10" i="5"/>
  <c r="AL93" i="5" s="1"/>
  <c r="AK10" i="5"/>
  <c r="AK93" i="5" s="1"/>
  <c r="AJ10" i="5"/>
  <c r="AJ93" i="5" s="1"/>
  <c r="AI10" i="5"/>
  <c r="AI93" i="5" s="1"/>
  <c r="AH10" i="5"/>
  <c r="AH93" i="5" s="1"/>
  <c r="AG10" i="5"/>
  <c r="AG93" i="5" s="1"/>
  <c r="AF10" i="5"/>
  <c r="AF93" i="5" s="1"/>
  <c r="AE10" i="5"/>
  <c r="AE93" i="5" s="1"/>
  <c r="AD10" i="5"/>
  <c r="AD93" i="5" s="1"/>
  <c r="AC10" i="5"/>
  <c r="AC93" i="5" s="1"/>
  <c r="AB10" i="5"/>
  <c r="AB93" i="5" s="1"/>
  <c r="AA10" i="5"/>
  <c r="AA93" i="5" s="1"/>
  <c r="Z10" i="5"/>
  <c r="Z93" i="5" s="1"/>
  <c r="Y10" i="5"/>
  <c r="Y93" i="5" s="1"/>
  <c r="X10" i="5"/>
  <c r="X93" i="5" s="1"/>
  <c r="W10" i="5"/>
  <c r="W93" i="5" s="1"/>
  <c r="V10" i="5"/>
  <c r="V93" i="5" s="1"/>
  <c r="U10" i="5"/>
  <c r="U93" i="5" s="1"/>
  <c r="T10" i="5"/>
  <c r="T93" i="5" s="1"/>
  <c r="S10" i="5"/>
  <c r="S93" i="5" s="1"/>
  <c r="R10" i="5"/>
  <c r="R93" i="5" s="1"/>
  <c r="Q10" i="5"/>
  <c r="Q93" i="5" s="1"/>
  <c r="P10" i="5"/>
  <c r="P93" i="5" s="1"/>
  <c r="O10" i="5"/>
  <c r="O93" i="5" s="1"/>
  <c r="N10" i="5"/>
  <c r="N93" i="5" s="1"/>
  <c r="M10" i="5"/>
  <c r="M93" i="5" s="1"/>
  <c r="L10" i="5"/>
  <c r="L93" i="5" s="1"/>
  <c r="K10" i="5"/>
  <c r="K93" i="5" s="1"/>
  <c r="J10" i="5"/>
  <c r="J93" i="5" s="1"/>
  <c r="I10" i="5"/>
  <c r="I93" i="5" s="1"/>
  <c r="H10" i="5"/>
  <c r="H93" i="5" s="1"/>
  <c r="G10" i="5"/>
  <c r="G93" i="5" s="1"/>
  <c r="F10" i="5"/>
  <c r="F93" i="5" s="1"/>
  <c r="E10" i="5"/>
  <c r="E93" i="5" s="1"/>
  <c r="D10" i="5"/>
  <c r="D93" i="5" s="1"/>
  <c r="C10" i="5"/>
  <c r="C93" i="5" s="1"/>
  <c r="FX9" i="5"/>
  <c r="FW9" i="5"/>
  <c r="FW11" i="5" s="1"/>
  <c r="FW16" i="5" s="1"/>
  <c r="FW85" i="5" s="1"/>
  <c r="FV9" i="5"/>
  <c r="FU9" i="5"/>
  <c r="FS9" i="5"/>
  <c r="FR9" i="5"/>
  <c r="FQ9" i="5"/>
  <c r="FP9" i="5"/>
  <c r="FO9" i="5"/>
  <c r="FN9" i="5"/>
  <c r="FM9" i="5"/>
  <c r="FM11" i="5" s="1"/>
  <c r="FM16" i="5" s="1"/>
  <c r="FM85" i="5" s="1"/>
  <c r="FL9" i="5"/>
  <c r="FK9" i="5"/>
  <c r="FK11" i="5" s="1"/>
  <c r="FK16" i="5" s="1"/>
  <c r="FK85" i="5" s="1"/>
  <c r="FJ9" i="5"/>
  <c r="FI9" i="5"/>
  <c r="FH9" i="5"/>
  <c r="FG9" i="5"/>
  <c r="FF9" i="5"/>
  <c r="FE9" i="5"/>
  <c r="FD9" i="5"/>
  <c r="FC9" i="5"/>
  <c r="FB9" i="5"/>
  <c r="FA9" i="5"/>
  <c r="EZ9" i="5"/>
  <c r="EY9" i="5"/>
  <c r="EY11" i="5" s="1"/>
  <c r="EY16" i="5" s="1"/>
  <c r="EY85" i="5" s="1"/>
  <c r="EX9" i="5"/>
  <c r="EW9" i="5"/>
  <c r="EV9" i="5"/>
  <c r="EU9" i="5"/>
  <c r="ET9" i="5"/>
  <c r="ES9" i="5"/>
  <c r="ER9" i="5"/>
  <c r="EQ9" i="5"/>
  <c r="EP9" i="5"/>
  <c r="EO9" i="5"/>
  <c r="EN9" i="5"/>
  <c r="EM9" i="5"/>
  <c r="EM11" i="5" s="1"/>
  <c r="EM16" i="5" s="1"/>
  <c r="EM85" i="5" s="1"/>
  <c r="EL9" i="5"/>
  <c r="EK9" i="5"/>
  <c r="EJ9" i="5"/>
  <c r="EI9" i="5"/>
  <c r="EH9" i="5"/>
  <c r="EG9" i="5"/>
  <c r="EF9" i="5"/>
  <c r="EE9" i="5"/>
  <c r="ED9" i="5"/>
  <c r="EC9" i="5"/>
  <c r="EC11" i="5" s="1"/>
  <c r="EC16" i="5" s="1"/>
  <c r="EC85" i="5" s="1"/>
  <c r="EB9" i="5"/>
  <c r="EA9" i="5"/>
  <c r="EA11" i="5" s="1"/>
  <c r="EA16" i="5" s="1"/>
  <c r="EA85" i="5" s="1"/>
  <c r="DZ9" i="5"/>
  <c r="DY9" i="5"/>
  <c r="DX9" i="5"/>
  <c r="DW9" i="5"/>
  <c r="DV9" i="5"/>
  <c r="DU9" i="5"/>
  <c r="DT9" i="5"/>
  <c r="DS9" i="5"/>
  <c r="DR9" i="5"/>
  <c r="DQ9" i="5"/>
  <c r="DQ11" i="5" s="1"/>
  <c r="DQ16" i="5" s="1"/>
  <c r="DQ85" i="5" s="1"/>
  <c r="DP9" i="5"/>
  <c r="DO9" i="5"/>
  <c r="DO11" i="5" s="1"/>
  <c r="DO16" i="5" s="1"/>
  <c r="DO85" i="5" s="1"/>
  <c r="DN9" i="5"/>
  <c r="DM9" i="5"/>
  <c r="DL9" i="5"/>
  <c r="DK9" i="5"/>
  <c r="DJ9" i="5"/>
  <c r="DI9" i="5"/>
  <c r="DH9" i="5"/>
  <c r="DG9" i="5"/>
  <c r="DF9" i="5"/>
  <c r="DE9" i="5"/>
  <c r="DD9" i="5"/>
  <c r="DC9" i="5"/>
  <c r="DC11" i="5" s="1"/>
  <c r="DC16" i="5" s="1"/>
  <c r="DC85" i="5" s="1"/>
  <c r="DB9" i="5"/>
  <c r="DA9" i="5"/>
  <c r="CZ9" i="5"/>
  <c r="CY9" i="5"/>
  <c r="CX9" i="5"/>
  <c r="CW9" i="5"/>
  <c r="CV9" i="5"/>
  <c r="CU9" i="5"/>
  <c r="CT9" i="5"/>
  <c r="CS9" i="5"/>
  <c r="CR9" i="5"/>
  <c r="CQ9" i="5"/>
  <c r="CQ11" i="5" s="1"/>
  <c r="CQ16" i="5" s="1"/>
  <c r="CQ85" i="5" s="1"/>
  <c r="CP9" i="5"/>
  <c r="CO9" i="5"/>
  <c r="CN9" i="5"/>
  <c r="CM9" i="5"/>
  <c r="CL9" i="5"/>
  <c r="CK9" i="5"/>
  <c r="CJ9" i="5"/>
  <c r="CI9" i="5"/>
  <c r="CH9" i="5"/>
  <c r="CG9" i="5"/>
  <c r="CG11" i="5" s="1"/>
  <c r="CG16" i="5" s="1"/>
  <c r="CG85" i="5" s="1"/>
  <c r="CF9" i="5"/>
  <c r="CE9" i="5"/>
  <c r="CE11" i="5" s="1"/>
  <c r="CE16" i="5" s="1"/>
  <c r="CE85" i="5" s="1"/>
  <c r="CD9" i="5"/>
  <c r="CC9" i="5"/>
  <c r="CB9" i="5"/>
  <c r="CA9" i="5"/>
  <c r="BZ9" i="5"/>
  <c r="BY9" i="5"/>
  <c r="BX9" i="5"/>
  <c r="BW9" i="5"/>
  <c r="BV9" i="5"/>
  <c r="BU9" i="5"/>
  <c r="BU11" i="5" s="1"/>
  <c r="BU16" i="5" s="1"/>
  <c r="BU85" i="5" s="1"/>
  <c r="BT9" i="5"/>
  <c r="BS9" i="5"/>
  <c r="BS11" i="5" s="1"/>
  <c r="BS16" i="5" s="1"/>
  <c r="BS85" i="5" s="1"/>
  <c r="BR9" i="5"/>
  <c r="BQ9" i="5"/>
  <c r="BP9" i="5"/>
  <c r="BO9" i="5"/>
  <c r="BN9" i="5"/>
  <c r="BM9" i="5"/>
  <c r="BL9" i="5"/>
  <c r="BK9" i="5"/>
  <c r="BJ9" i="5"/>
  <c r="BI9" i="5"/>
  <c r="BH9" i="5"/>
  <c r="BG9" i="5"/>
  <c r="BG11" i="5" s="1"/>
  <c r="BG16" i="5" s="1"/>
  <c r="BG85" i="5" s="1"/>
  <c r="BF9" i="5"/>
  <c r="BE9" i="5"/>
  <c r="BD9" i="5"/>
  <c r="BC9" i="5"/>
  <c r="BB9" i="5"/>
  <c r="BA9" i="5"/>
  <c r="AZ9" i="5"/>
  <c r="AY9" i="5"/>
  <c r="AX9" i="5"/>
  <c r="AW9" i="5"/>
  <c r="AV9" i="5"/>
  <c r="AU9" i="5"/>
  <c r="AU11" i="5" s="1"/>
  <c r="AU16" i="5" s="1"/>
  <c r="AU85" i="5" s="1"/>
  <c r="AT9" i="5"/>
  <c r="AS9" i="5"/>
  <c r="AR9" i="5"/>
  <c r="AQ9" i="5"/>
  <c r="AP9" i="5"/>
  <c r="AO9" i="5"/>
  <c r="AN9" i="5"/>
  <c r="AM9" i="5"/>
  <c r="AL9" i="5"/>
  <c r="AK9" i="5"/>
  <c r="AK11" i="5" s="1"/>
  <c r="AK16" i="5" s="1"/>
  <c r="AK85" i="5" s="1"/>
  <c r="AJ9" i="5"/>
  <c r="AI9" i="5"/>
  <c r="AI11" i="5" s="1"/>
  <c r="AI16" i="5" s="1"/>
  <c r="AI85" i="5" s="1"/>
  <c r="AH9" i="5"/>
  <c r="AG9" i="5"/>
  <c r="AF9" i="5"/>
  <c r="AE9" i="5"/>
  <c r="AD9" i="5"/>
  <c r="AC9" i="5"/>
  <c r="AB9" i="5"/>
  <c r="AA9" i="5"/>
  <c r="Z9" i="5"/>
  <c r="Y9" i="5"/>
  <c r="Y11" i="5" s="1"/>
  <c r="Y16" i="5" s="1"/>
  <c r="Y85" i="5" s="1"/>
  <c r="X9" i="5"/>
  <c r="W9" i="5"/>
  <c r="W11" i="5" s="1"/>
  <c r="W16" i="5" s="1"/>
  <c r="W85" i="5" s="1"/>
  <c r="V9" i="5"/>
  <c r="U9" i="5"/>
  <c r="T9" i="5"/>
  <c r="S9" i="5"/>
  <c r="R9" i="5"/>
  <c r="Q9" i="5"/>
  <c r="P9" i="5"/>
  <c r="O9" i="5"/>
  <c r="N9" i="5"/>
  <c r="M9" i="5"/>
  <c r="M11" i="5" s="1"/>
  <c r="M16" i="5" s="1"/>
  <c r="M85" i="5" s="1"/>
  <c r="L9" i="5"/>
  <c r="K9" i="5"/>
  <c r="K11" i="5" s="1"/>
  <c r="K16" i="5" s="1"/>
  <c r="K85" i="5" s="1"/>
  <c r="J9" i="5"/>
  <c r="I9" i="5"/>
  <c r="H9" i="5"/>
  <c r="G9" i="5"/>
  <c r="F9" i="5"/>
  <c r="E9" i="5"/>
  <c r="D9" i="5"/>
  <c r="C9" i="5"/>
  <c r="FX8" i="5"/>
  <c r="FX11" i="5" s="1"/>
  <c r="FX16" i="5" s="1"/>
  <c r="FX85" i="5" s="1"/>
  <c r="FW8" i="5"/>
  <c r="FV8" i="5"/>
  <c r="FV11" i="5" s="1"/>
  <c r="FV16" i="5" s="1"/>
  <c r="FV85" i="5" s="1"/>
  <c r="FU8" i="5"/>
  <c r="FU11" i="5" s="1"/>
  <c r="FU16" i="5" s="1"/>
  <c r="FU85" i="5" s="1"/>
  <c r="FS8" i="5"/>
  <c r="FS11" i="5" s="1"/>
  <c r="FS16" i="5" s="1"/>
  <c r="FS85" i="5" s="1"/>
  <c r="FR8" i="5"/>
  <c r="FR11" i="5" s="1"/>
  <c r="FR16" i="5" s="1"/>
  <c r="FR85" i="5" s="1"/>
  <c r="FQ8" i="5"/>
  <c r="FQ11" i="5" s="1"/>
  <c r="FQ16" i="5" s="1"/>
  <c r="FQ85" i="5" s="1"/>
  <c r="FP8" i="5"/>
  <c r="FP11" i="5" s="1"/>
  <c r="FP16" i="5" s="1"/>
  <c r="FP85" i="5" s="1"/>
  <c r="FO8" i="5"/>
  <c r="FN8" i="5"/>
  <c r="FN11" i="5" s="1"/>
  <c r="FN16" i="5" s="1"/>
  <c r="FN85" i="5" s="1"/>
  <c r="FM8" i="5"/>
  <c r="FL8" i="5"/>
  <c r="FL11" i="5" s="1"/>
  <c r="FK8" i="5"/>
  <c r="FJ8" i="5"/>
  <c r="FJ11" i="5" s="1"/>
  <c r="FJ16" i="5" s="1"/>
  <c r="FJ85" i="5" s="1"/>
  <c r="FI8" i="5"/>
  <c r="FI11" i="5" s="1"/>
  <c r="FI16" i="5" s="1"/>
  <c r="FI85" i="5" s="1"/>
  <c r="FH8" i="5"/>
  <c r="FG8" i="5"/>
  <c r="FG11" i="5" s="1"/>
  <c r="FG16" i="5" s="1"/>
  <c r="FG85" i="5" s="1"/>
  <c r="FF8" i="5"/>
  <c r="FF11" i="5" s="1"/>
  <c r="FF16" i="5" s="1"/>
  <c r="FF85" i="5" s="1"/>
  <c r="FE8" i="5"/>
  <c r="FE11" i="5" s="1"/>
  <c r="FE16" i="5" s="1"/>
  <c r="FE85" i="5" s="1"/>
  <c r="FD8" i="5"/>
  <c r="FD11" i="5" s="1"/>
  <c r="FD16" i="5" s="1"/>
  <c r="FD85" i="5" s="1"/>
  <c r="FC8" i="5"/>
  <c r="FB8" i="5"/>
  <c r="FB11" i="5" s="1"/>
  <c r="FB16" i="5" s="1"/>
  <c r="FB85" i="5" s="1"/>
  <c r="FA8" i="5"/>
  <c r="EZ8" i="5"/>
  <c r="EZ11" i="5" s="1"/>
  <c r="EY8" i="5"/>
  <c r="EX8" i="5"/>
  <c r="EX11" i="5" s="1"/>
  <c r="EX16" i="5" s="1"/>
  <c r="EX85" i="5" s="1"/>
  <c r="EW8" i="5"/>
  <c r="EW11" i="5" s="1"/>
  <c r="EW16" i="5" s="1"/>
  <c r="EW85" i="5" s="1"/>
  <c r="EV8" i="5"/>
  <c r="EU8" i="5"/>
  <c r="EU11" i="5" s="1"/>
  <c r="EU16" i="5" s="1"/>
  <c r="EU85" i="5" s="1"/>
  <c r="ET8" i="5"/>
  <c r="ET11" i="5" s="1"/>
  <c r="ES8" i="5"/>
  <c r="ES11" i="5" s="1"/>
  <c r="ES16" i="5" s="1"/>
  <c r="ES85" i="5" s="1"/>
  <c r="ER8" i="5"/>
  <c r="ER11" i="5" s="1"/>
  <c r="ER16" i="5" s="1"/>
  <c r="ER85" i="5" s="1"/>
  <c r="EQ8" i="5"/>
  <c r="EP8" i="5"/>
  <c r="EP11" i="5" s="1"/>
  <c r="EP16" i="5" s="1"/>
  <c r="EP85" i="5" s="1"/>
  <c r="EO8" i="5"/>
  <c r="EN8" i="5"/>
  <c r="EN11" i="5" s="1"/>
  <c r="EM8" i="5"/>
  <c r="EL8" i="5"/>
  <c r="EL11" i="5" s="1"/>
  <c r="EL16" i="5" s="1"/>
  <c r="EL85" i="5" s="1"/>
  <c r="EK8" i="5"/>
  <c r="EK11" i="5" s="1"/>
  <c r="EK16" i="5" s="1"/>
  <c r="EK85" i="5" s="1"/>
  <c r="EJ8" i="5"/>
  <c r="EI8" i="5"/>
  <c r="EI11" i="5" s="1"/>
  <c r="EI16" i="5" s="1"/>
  <c r="EI85" i="5" s="1"/>
  <c r="EH8" i="5"/>
  <c r="EH11" i="5" s="1"/>
  <c r="EH16" i="5" s="1"/>
  <c r="EH85" i="5" s="1"/>
  <c r="EG8" i="5"/>
  <c r="EG11" i="5" s="1"/>
  <c r="EG16" i="5" s="1"/>
  <c r="EG85" i="5" s="1"/>
  <c r="EF8" i="5"/>
  <c r="EF11" i="5" s="1"/>
  <c r="EF16" i="5" s="1"/>
  <c r="EF85" i="5" s="1"/>
  <c r="EE8" i="5"/>
  <c r="ED8" i="5"/>
  <c r="ED11" i="5" s="1"/>
  <c r="ED16" i="5" s="1"/>
  <c r="ED85" i="5" s="1"/>
  <c r="EC8" i="5"/>
  <c r="EB8" i="5"/>
  <c r="EB11" i="5" s="1"/>
  <c r="EA8" i="5"/>
  <c r="DZ8" i="5"/>
  <c r="DZ11" i="5" s="1"/>
  <c r="DZ16" i="5" s="1"/>
  <c r="DZ85" i="5" s="1"/>
  <c r="DY8" i="5"/>
  <c r="DY11" i="5" s="1"/>
  <c r="DY16" i="5" s="1"/>
  <c r="DY85" i="5" s="1"/>
  <c r="DX8" i="5"/>
  <c r="DW8" i="5"/>
  <c r="DW11" i="5" s="1"/>
  <c r="DW16" i="5" s="1"/>
  <c r="DW85" i="5" s="1"/>
  <c r="DV8" i="5"/>
  <c r="DV11" i="5" s="1"/>
  <c r="DV16" i="5" s="1"/>
  <c r="DV85" i="5" s="1"/>
  <c r="DU8" i="5"/>
  <c r="DU11" i="5" s="1"/>
  <c r="DU16" i="5" s="1"/>
  <c r="DU85" i="5" s="1"/>
  <c r="DT8" i="5"/>
  <c r="DT11" i="5" s="1"/>
  <c r="DT16" i="5" s="1"/>
  <c r="DT85" i="5" s="1"/>
  <c r="DS8" i="5"/>
  <c r="DR8" i="5"/>
  <c r="DR11" i="5" s="1"/>
  <c r="DR16" i="5" s="1"/>
  <c r="DR85" i="5" s="1"/>
  <c r="DQ8" i="5"/>
  <c r="DP8" i="5"/>
  <c r="DP11" i="5" s="1"/>
  <c r="DO8" i="5"/>
  <c r="DN8" i="5"/>
  <c r="DN11" i="5" s="1"/>
  <c r="DN16" i="5" s="1"/>
  <c r="DN85" i="5" s="1"/>
  <c r="DM8" i="5"/>
  <c r="DM11" i="5" s="1"/>
  <c r="DM16" i="5" s="1"/>
  <c r="DM85" i="5" s="1"/>
  <c r="DL8" i="5"/>
  <c r="DK8" i="5"/>
  <c r="DK11" i="5" s="1"/>
  <c r="DK16" i="5" s="1"/>
  <c r="DK85" i="5" s="1"/>
  <c r="DJ8" i="5"/>
  <c r="DJ11" i="5" s="1"/>
  <c r="DJ16" i="5" s="1"/>
  <c r="DJ85" i="5" s="1"/>
  <c r="DI8" i="5"/>
  <c r="DI11" i="5" s="1"/>
  <c r="DI16" i="5" s="1"/>
  <c r="DI85" i="5" s="1"/>
  <c r="DH8" i="5"/>
  <c r="DH11" i="5" s="1"/>
  <c r="DH16" i="5" s="1"/>
  <c r="DH85" i="5" s="1"/>
  <c r="DG8" i="5"/>
  <c r="DF8" i="5"/>
  <c r="DF11" i="5" s="1"/>
  <c r="DF16" i="5" s="1"/>
  <c r="DF85" i="5" s="1"/>
  <c r="DE8" i="5"/>
  <c r="DD8" i="5"/>
  <c r="DD11" i="5" s="1"/>
  <c r="DC8" i="5"/>
  <c r="DB8" i="5"/>
  <c r="DB11" i="5" s="1"/>
  <c r="DB16" i="5" s="1"/>
  <c r="DB85" i="5" s="1"/>
  <c r="DA8" i="5"/>
  <c r="DA11" i="5" s="1"/>
  <c r="DA16" i="5" s="1"/>
  <c r="DA85" i="5" s="1"/>
  <c r="CZ8" i="5"/>
  <c r="CY8" i="5"/>
  <c r="CY11" i="5" s="1"/>
  <c r="CY16" i="5" s="1"/>
  <c r="CY85" i="5" s="1"/>
  <c r="CX8" i="5"/>
  <c r="CX11" i="5" s="1"/>
  <c r="CX16" i="5" s="1"/>
  <c r="CX85" i="5" s="1"/>
  <c r="CW8" i="5"/>
  <c r="CW11" i="5" s="1"/>
  <c r="CW16" i="5" s="1"/>
  <c r="CW85" i="5" s="1"/>
  <c r="CV8" i="5"/>
  <c r="CV11" i="5" s="1"/>
  <c r="CV16" i="5" s="1"/>
  <c r="CV85" i="5" s="1"/>
  <c r="CU8" i="5"/>
  <c r="CT8" i="5"/>
  <c r="CT11" i="5" s="1"/>
  <c r="CT16" i="5" s="1"/>
  <c r="CT85" i="5" s="1"/>
  <c r="CS8" i="5"/>
  <c r="CR8" i="5"/>
  <c r="CR11" i="5" s="1"/>
  <c r="CQ8" i="5"/>
  <c r="CP8" i="5"/>
  <c r="CP11" i="5" s="1"/>
  <c r="CP16" i="5" s="1"/>
  <c r="CP85" i="5" s="1"/>
  <c r="CO8" i="5"/>
  <c r="CO11" i="5" s="1"/>
  <c r="CO16" i="5" s="1"/>
  <c r="CO85" i="5" s="1"/>
  <c r="CN8" i="5"/>
  <c r="CM8" i="5"/>
  <c r="CM11" i="5" s="1"/>
  <c r="CM16" i="5" s="1"/>
  <c r="CM85" i="5" s="1"/>
  <c r="CL8" i="5"/>
  <c r="CL11" i="5" s="1"/>
  <c r="CL16" i="5" s="1"/>
  <c r="CL85" i="5" s="1"/>
  <c r="CK8" i="5"/>
  <c r="CK11" i="5" s="1"/>
  <c r="CK16" i="5" s="1"/>
  <c r="CK85" i="5" s="1"/>
  <c r="CJ8" i="5"/>
  <c r="CJ11" i="5" s="1"/>
  <c r="CJ16" i="5" s="1"/>
  <c r="CJ85" i="5" s="1"/>
  <c r="CI8" i="5"/>
  <c r="CH8" i="5"/>
  <c r="CH11" i="5" s="1"/>
  <c r="CH16" i="5" s="1"/>
  <c r="CH85" i="5" s="1"/>
  <c r="CG8" i="5"/>
  <c r="CF8" i="5"/>
  <c r="CF11" i="5" s="1"/>
  <c r="CE8" i="5"/>
  <c r="CD8" i="5"/>
  <c r="CD11" i="5" s="1"/>
  <c r="CD16" i="5" s="1"/>
  <c r="CD85" i="5" s="1"/>
  <c r="CC8" i="5"/>
  <c r="CC11" i="5" s="1"/>
  <c r="CC16" i="5" s="1"/>
  <c r="CC85" i="5" s="1"/>
  <c r="CB8" i="5"/>
  <c r="CA8" i="5"/>
  <c r="CA11" i="5" s="1"/>
  <c r="CA16" i="5" s="1"/>
  <c r="CA85" i="5" s="1"/>
  <c r="BZ8" i="5"/>
  <c r="BZ11" i="5" s="1"/>
  <c r="BY8" i="5"/>
  <c r="BY11" i="5" s="1"/>
  <c r="BY16" i="5" s="1"/>
  <c r="BY85" i="5" s="1"/>
  <c r="BX8" i="5"/>
  <c r="BX11" i="5" s="1"/>
  <c r="BX16" i="5" s="1"/>
  <c r="BX85" i="5" s="1"/>
  <c r="BW8" i="5"/>
  <c r="BV8" i="5"/>
  <c r="BV11" i="5" s="1"/>
  <c r="BV16" i="5" s="1"/>
  <c r="BV85" i="5" s="1"/>
  <c r="BU8" i="5"/>
  <c r="BT8" i="5"/>
  <c r="BT11" i="5" s="1"/>
  <c r="BS8" i="5"/>
  <c r="BR8" i="5"/>
  <c r="BR11" i="5" s="1"/>
  <c r="BR16" i="5" s="1"/>
  <c r="BR85" i="5" s="1"/>
  <c r="BQ8" i="5"/>
  <c r="BQ11" i="5" s="1"/>
  <c r="BQ16" i="5" s="1"/>
  <c r="BQ85" i="5" s="1"/>
  <c r="BP8" i="5"/>
  <c r="BO8" i="5"/>
  <c r="BO11" i="5" s="1"/>
  <c r="BO16" i="5" s="1"/>
  <c r="BO85" i="5" s="1"/>
  <c r="BN8" i="5"/>
  <c r="BN11" i="5" s="1"/>
  <c r="BN16" i="5" s="1"/>
  <c r="BN85" i="5" s="1"/>
  <c r="BM8" i="5"/>
  <c r="BM11" i="5" s="1"/>
  <c r="BM16" i="5" s="1"/>
  <c r="BM85" i="5" s="1"/>
  <c r="BL8" i="5"/>
  <c r="BL11" i="5" s="1"/>
  <c r="BL16" i="5" s="1"/>
  <c r="BL85" i="5" s="1"/>
  <c r="BK8" i="5"/>
  <c r="BJ8" i="5"/>
  <c r="BJ11" i="5" s="1"/>
  <c r="BJ16" i="5" s="1"/>
  <c r="BJ85" i="5" s="1"/>
  <c r="BI8" i="5"/>
  <c r="BH8" i="5"/>
  <c r="BH11" i="5" s="1"/>
  <c r="BG8" i="5"/>
  <c r="BF8" i="5"/>
  <c r="BF11" i="5" s="1"/>
  <c r="BF16" i="5" s="1"/>
  <c r="BF85" i="5" s="1"/>
  <c r="BE8" i="5"/>
  <c r="BE11" i="5" s="1"/>
  <c r="BE16" i="5" s="1"/>
  <c r="BE85" i="5" s="1"/>
  <c r="BD8" i="5"/>
  <c r="BC8" i="5"/>
  <c r="BC11" i="5" s="1"/>
  <c r="BC16" i="5" s="1"/>
  <c r="BC85" i="5" s="1"/>
  <c r="BB8" i="5"/>
  <c r="BB11" i="5" s="1"/>
  <c r="BB16" i="5" s="1"/>
  <c r="BB85" i="5" s="1"/>
  <c r="BA8" i="5"/>
  <c r="BA11" i="5" s="1"/>
  <c r="BA16" i="5" s="1"/>
  <c r="BA85" i="5" s="1"/>
  <c r="AZ8" i="5"/>
  <c r="AZ11" i="5" s="1"/>
  <c r="AZ16" i="5" s="1"/>
  <c r="AZ85" i="5" s="1"/>
  <c r="AY8" i="5"/>
  <c r="AX8" i="5"/>
  <c r="AX11" i="5" s="1"/>
  <c r="AX16" i="5" s="1"/>
  <c r="AX85" i="5" s="1"/>
  <c r="AW8" i="5"/>
  <c r="AV8" i="5"/>
  <c r="AV11" i="5" s="1"/>
  <c r="AU8" i="5"/>
  <c r="AT8" i="5"/>
  <c r="AT11" i="5" s="1"/>
  <c r="AT16" i="5" s="1"/>
  <c r="AT85" i="5" s="1"/>
  <c r="AS8" i="5"/>
  <c r="AS11" i="5" s="1"/>
  <c r="AS16" i="5" s="1"/>
  <c r="AS85" i="5" s="1"/>
  <c r="AR8" i="5"/>
  <c r="AQ8" i="5"/>
  <c r="AQ11" i="5" s="1"/>
  <c r="AQ16" i="5" s="1"/>
  <c r="AQ85" i="5" s="1"/>
  <c r="AP8" i="5"/>
  <c r="AP11" i="5" s="1"/>
  <c r="AP16" i="5" s="1"/>
  <c r="AP85" i="5" s="1"/>
  <c r="AO8" i="5"/>
  <c r="AO11" i="5" s="1"/>
  <c r="AO16" i="5" s="1"/>
  <c r="AO85" i="5" s="1"/>
  <c r="AN8" i="5"/>
  <c r="AN11" i="5" s="1"/>
  <c r="AN16" i="5" s="1"/>
  <c r="AN85" i="5" s="1"/>
  <c r="AM8" i="5"/>
  <c r="AL8" i="5"/>
  <c r="AL11" i="5" s="1"/>
  <c r="AL16" i="5" s="1"/>
  <c r="AL85" i="5" s="1"/>
  <c r="AK8" i="5"/>
  <c r="AJ8" i="5"/>
  <c r="AJ11" i="5" s="1"/>
  <c r="AI8" i="5"/>
  <c r="AH8" i="5"/>
  <c r="AH11" i="5" s="1"/>
  <c r="AH16" i="5" s="1"/>
  <c r="AH85" i="5" s="1"/>
  <c r="AG8" i="5"/>
  <c r="AG11" i="5" s="1"/>
  <c r="AG16" i="5" s="1"/>
  <c r="AG85" i="5" s="1"/>
  <c r="AF8" i="5"/>
  <c r="AE8" i="5"/>
  <c r="AE11" i="5" s="1"/>
  <c r="AE16" i="5" s="1"/>
  <c r="AE85" i="5" s="1"/>
  <c r="AD8" i="5"/>
  <c r="AD11" i="5" s="1"/>
  <c r="AD16" i="5" s="1"/>
  <c r="AD85" i="5" s="1"/>
  <c r="AC8" i="5"/>
  <c r="AC11" i="5" s="1"/>
  <c r="AC16" i="5" s="1"/>
  <c r="AC85" i="5" s="1"/>
  <c r="AB8" i="5"/>
  <c r="AB11" i="5" s="1"/>
  <c r="AB16" i="5" s="1"/>
  <c r="AB85" i="5" s="1"/>
  <c r="AA8" i="5"/>
  <c r="Z8" i="5"/>
  <c r="Z11" i="5" s="1"/>
  <c r="Z16" i="5" s="1"/>
  <c r="Z85" i="5" s="1"/>
  <c r="Y8" i="5"/>
  <c r="X8" i="5"/>
  <c r="X11" i="5" s="1"/>
  <c r="W8" i="5"/>
  <c r="V8" i="5"/>
  <c r="V11" i="5" s="1"/>
  <c r="V16" i="5" s="1"/>
  <c r="V85" i="5" s="1"/>
  <c r="U8" i="5"/>
  <c r="U11" i="5" s="1"/>
  <c r="U16" i="5" s="1"/>
  <c r="U85" i="5" s="1"/>
  <c r="T8" i="5"/>
  <c r="S8" i="5"/>
  <c r="S11" i="5" s="1"/>
  <c r="S16" i="5" s="1"/>
  <c r="S85" i="5" s="1"/>
  <c r="R8" i="5"/>
  <c r="R11" i="5" s="1"/>
  <c r="R16" i="5" s="1"/>
  <c r="R85" i="5" s="1"/>
  <c r="Q8" i="5"/>
  <c r="Q11" i="5" s="1"/>
  <c r="Q16" i="5" s="1"/>
  <c r="Q85" i="5" s="1"/>
  <c r="P8" i="5"/>
  <c r="P11" i="5" s="1"/>
  <c r="P16" i="5" s="1"/>
  <c r="P85" i="5" s="1"/>
  <c r="O8" i="5"/>
  <c r="N8" i="5"/>
  <c r="N11" i="5" s="1"/>
  <c r="N16" i="5" s="1"/>
  <c r="N85" i="5" s="1"/>
  <c r="M8" i="5"/>
  <c r="L8" i="5"/>
  <c r="L11" i="5" s="1"/>
  <c r="K8" i="5"/>
  <c r="J8" i="5"/>
  <c r="J11" i="5" s="1"/>
  <c r="J16" i="5" s="1"/>
  <c r="J85" i="5" s="1"/>
  <c r="I8" i="5"/>
  <c r="I11" i="5" s="1"/>
  <c r="I16" i="5" s="1"/>
  <c r="I85" i="5" s="1"/>
  <c r="H8" i="5"/>
  <c r="G8" i="5"/>
  <c r="G11" i="5" s="1"/>
  <c r="G16" i="5" s="1"/>
  <c r="G85" i="5" s="1"/>
  <c r="F8" i="5"/>
  <c r="F11" i="5" s="1"/>
  <c r="E8" i="5"/>
  <c r="E11" i="5" s="1"/>
  <c r="E16" i="5" s="1"/>
  <c r="E85" i="5" s="1"/>
  <c r="D8" i="5"/>
  <c r="D11" i="5" s="1"/>
  <c r="C8" i="5"/>
  <c r="D2" i="5"/>
  <c r="B1" i="5"/>
  <c r="D177" i="4"/>
  <c r="C177" i="4"/>
  <c r="D171" i="4" a="1"/>
  <c r="D171" i="4" s="1"/>
  <c r="C171" i="4" a="1"/>
  <c r="C171" i="4" s="1"/>
  <c r="D144" i="4" a="1"/>
  <c r="D144" i="4" s="1"/>
  <c r="C144" i="4" a="1"/>
  <c r="C144" i="4" s="1"/>
  <c r="C143" i="4" a="1"/>
  <c r="C143" i="4" s="1"/>
  <c r="D143" i="4" s="1"/>
  <c r="D147" i="4" s="1"/>
  <c r="C131" i="4" a="1"/>
  <c r="C131" i="4" s="1"/>
  <c r="D125" i="4" a="1"/>
  <c r="D125" i="4" s="1"/>
  <c r="D126" i="4" s="1"/>
  <c r="C125" i="4" a="1"/>
  <c r="C125" i="4" s="1"/>
  <c r="C126" i="4" s="1"/>
  <c r="I93" i="4"/>
  <c r="H93" i="4"/>
  <c r="I92" i="4"/>
  <c r="H92" i="4"/>
  <c r="I91" i="4"/>
  <c r="H91" i="4"/>
  <c r="I90" i="4"/>
  <c r="H90" i="4"/>
  <c r="I89" i="4"/>
  <c r="H89" i="4"/>
  <c r="I87" i="4" a="1"/>
  <c r="I87" i="4" s="1"/>
  <c r="H87" i="4" a="1"/>
  <c r="H87" i="4" s="1"/>
  <c r="I85" i="4"/>
  <c r="H85" i="4"/>
  <c r="I84" i="4"/>
  <c r="H84" i="4"/>
  <c r="I82" i="4"/>
  <c r="H82" i="4"/>
  <c r="I81" i="4"/>
  <c r="H81" i="4"/>
  <c r="I80" i="4"/>
  <c r="H80" i="4"/>
  <c r="I78" i="4"/>
  <c r="H78" i="4"/>
  <c r="I77" i="4"/>
  <c r="H77" i="4"/>
  <c r="I76" i="4"/>
  <c r="H76" i="4"/>
  <c r="I74" i="4" a="1"/>
  <c r="I74" i="4" s="1"/>
  <c r="H74" i="4" a="1"/>
  <c r="H74" i="4" s="1"/>
  <c r="I72" i="4"/>
  <c r="H72" i="4"/>
  <c r="I71" i="4"/>
  <c r="H71" i="4"/>
  <c r="I70" i="4"/>
  <c r="H70" i="4"/>
  <c r="I68" i="4"/>
  <c r="H68" i="4"/>
  <c r="I67" i="4"/>
  <c r="H67" i="4"/>
  <c r="I66" i="4"/>
  <c r="H66" i="4"/>
  <c r="I65" i="4"/>
  <c r="H65" i="4"/>
  <c r="I64" i="4"/>
  <c r="H64" i="4"/>
  <c r="I63" i="4"/>
  <c r="H63" i="4"/>
  <c r="I61" i="4"/>
  <c r="H61" i="4"/>
  <c r="I60" i="4"/>
  <c r="H60" i="4"/>
  <c r="I59" i="4"/>
  <c r="H59" i="4"/>
  <c r="I58" i="4"/>
  <c r="H58" i="4"/>
  <c r="C58" i="4" a="1"/>
  <c r="C58" i="4" s="1"/>
  <c r="D58" i="4" s="1"/>
  <c r="C57" i="4" a="1"/>
  <c r="C57" i="4" s="1"/>
  <c r="D57" i="4" s="1"/>
  <c r="I56" i="4"/>
  <c r="H56" i="4"/>
  <c r="C56" i="4" a="1"/>
  <c r="C56" i="4" s="1"/>
  <c r="D56" i="4" s="1"/>
  <c r="I55" i="4"/>
  <c r="H55" i="4"/>
  <c r="C55" i="4" a="1"/>
  <c r="C55" i="4" s="1"/>
  <c r="D55" i="4" s="1"/>
  <c r="I54" i="4"/>
  <c r="H54" i="4"/>
  <c r="C54" i="4" a="1"/>
  <c r="C54" i="4" s="1"/>
  <c r="D54" i="4" s="1"/>
  <c r="I53" i="4"/>
  <c r="H53" i="4"/>
  <c r="C53" i="4" a="1"/>
  <c r="C53" i="4" s="1"/>
  <c r="I51" i="4"/>
  <c r="H51" i="4"/>
  <c r="I50" i="4"/>
  <c r="H50" i="4"/>
  <c r="C50" i="4" a="1"/>
  <c r="C50" i="4" s="1"/>
  <c r="D50" i="4" s="1"/>
  <c r="I49" i="4"/>
  <c r="H49" i="4"/>
  <c r="C49" i="4" a="1"/>
  <c r="C49" i="4" s="1"/>
  <c r="D49" i="4" s="1"/>
  <c r="I48" i="4"/>
  <c r="H48" i="4"/>
  <c r="C48" i="4" a="1"/>
  <c r="C48" i="4" s="1"/>
  <c r="D48" i="4" s="1"/>
  <c r="C47" i="4" a="1"/>
  <c r="C47" i="4" s="1"/>
  <c r="D47" i="4" s="1"/>
  <c r="I46" i="4"/>
  <c r="H46" i="4"/>
  <c r="C46" i="4" a="1"/>
  <c r="C46" i="4" s="1"/>
  <c r="D46" i="4" s="1"/>
  <c r="I45" i="4"/>
  <c r="H45" i="4"/>
  <c r="I44" i="4"/>
  <c r="H44" i="4"/>
  <c r="C43" i="4" a="1"/>
  <c r="C43" i="4" s="1"/>
  <c r="D43" i="4" s="1"/>
  <c r="I42" i="4"/>
  <c r="H42" i="4"/>
  <c r="C42" i="4" a="1"/>
  <c r="C42" i="4" s="1"/>
  <c r="C150" i="4" s="1"/>
  <c r="I41" i="4"/>
  <c r="H41" i="4"/>
  <c r="C41" i="4" a="1"/>
  <c r="C41" i="4" s="1"/>
  <c r="D41" i="4" s="1"/>
  <c r="I40" i="4"/>
  <c r="H40" i="4"/>
  <c r="C40" i="4" a="1"/>
  <c r="C40" i="4" s="1"/>
  <c r="I38" i="4"/>
  <c r="H38" i="4"/>
  <c r="I37" i="4"/>
  <c r="H37" i="4"/>
  <c r="I36" i="4"/>
  <c r="H36" i="4"/>
  <c r="C36" i="4" a="1"/>
  <c r="C36" i="4" s="1"/>
  <c r="D36" i="4" s="1"/>
  <c r="C35" i="4" a="1"/>
  <c r="C35" i="4" s="1"/>
  <c r="C76" i="4" s="1"/>
  <c r="I34" i="4"/>
  <c r="H34" i="4"/>
  <c r="C34" i="4" a="1"/>
  <c r="C34" i="4" s="1"/>
  <c r="C74" i="4" s="1"/>
  <c r="I33" i="4"/>
  <c r="H33" i="4"/>
  <c r="C33" i="4" a="1"/>
  <c r="C33" i="4" s="1"/>
  <c r="I32" i="4"/>
  <c r="H32" i="4"/>
  <c r="C32" i="4" a="1"/>
  <c r="C32" i="4" s="1"/>
  <c r="I31" i="4"/>
  <c r="H31" i="4"/>
  <c r="C31" i="4" a="1"/>
  <c r="C31" i="4" s="1"/>
  <c r="D31" i="4" s="1"/>
  <c r="I30" i="4"/>
  <c r="H30" i="4"/>
  <c r="C30" i="4" a="1"/>
  <c r="C30" i="4" s="1"/>
  <c r="C29" i="4" a="1"/>
  <c r="C29" i="4" s="1"/>
  <c r="I28" i="4"/>
  <c r="H28" i="4"/>
  <c r="C28" i="4" a="1"/>
  <c r="C28" i="4" s="1"/>
  <c r="I27" i="4"/>
  <c r="H27" i="4"/>
  <c r="C27" i="4" a="1"/>
  <c r="C27" i="4" s="1"/>
  <c r="D27" i="4" s="1"/>
  <c r="I26" i="4"/>
  <c r="H26" i="4"/>
  <c r="C26" i="4" a="1"/>
  <c r="C26" i="4" s="1"/>
  <c r="C66" i="4" s="1"/>
  <c r="C25" i="4" a="1"/>
  <c r="C25" i="4" s="1"/>
  <c r="D25" i="4" s="1"/>
  <c r="D65" i="4" s="1"/>
  <c r="I24" i="4"/>
  <c r="H24" i="4"/>
  <c r="C24" i="4" a="1"/>
  <c r="C24" i="4" s="1"/>
  <c r="I23" i="4"/>
  <c r="H23" i="4"/>
  <c r="C23" i="4" a="1"/>
  <c r="C23" i="4" s="1"/>
  <c r="D23" i="4" s="1"/>
  <c r="FT23" i="5" s="1"/>
  <c r="I22" i="4"/>
  <c r="H22" i="4"/>
  <c r="C22" i="4" a="1"/>
  <c r="C22" i="4" s="1"/>
  <c r="D22" i="4" s="1"/>
  <c r="FT22" i="5" s="1"/>
  <c r="I21" i="4"/>
  <c r="H21" i="4"/>
  <c r="C21" i="4" a="1"/>
  <c r="C21" i="4" s="1"/>
  <c r="I20" i="4"/>
  <c r="H20" i="4"/>
  <c r="C20" i="4" a="1"/>
  <c r="C20" i="4" s="1"/>
  <c r="I19" i="4"/>
  <c r="H19" i="4"/>
  <c r="C19" i="4" a="1"/>
  <c r="C19" i="4" s="1"/>
  <c r="D19" i="4" s="1"/>
  <c r="I18" i="4"/>
  <c r="H18" i="4"/>
  <c r="C18" i="4" a="1"/>
  <c r="C18" i="4" s="1"/>
  <c r="I17" i="4"/>
  <c r="H17" i="4"/>
  <c r="C17" i="4" a="1"/>
  <c r="C17" i="4" s="1"/>
  <c r="C89" i="4" s="1"/>
  <c r="I16" i="4"/>
  <c r="H16" i="4"/>
  <c r="C16" i="4" a="1"/>
  <c r="C16" i="4" s="1"/>
  <c r="C63" i="4" s="1"/>
  <c r="C67" i="4" s="1"/>
  <c r="I15" i="4"/>
  <c r="H15" i="4"/>
  <c r="C15" i="4" a="1"/>
  <c r="C15" i="4" s="1"/>
  <c r="I14" i="4"/>
  <c r="H14" i="4"/>
  <c r="C14" i="4" a="1"/>
  <c r="C14" i="4" s="1"/>
  <c r="D14" i="4" s="1"/>
  <c r="FT14" i="5" s="1"/>
  <c r="I13" i="4"/>
  <c r="H13" i="4"/>
  <c r="C13" i="4" a="1"/>
  <c r="C13" i="4" s="1"/>
  <c r="I12" i="4"/>
  <c r="H12" i="4"/>
  <c r="C12" i="4" a="1"/>
  <c r="C12" i="4" s="1"/>
  <c r="I11" i="4"/>
  <c r="H11" i="4"/>
  <c r="C11" i="4" a="1"/>
  <c r="C11" i="4" s="1"/>
  <c r="I10" i="4"/>
  <c r="H10" i="4"/>
  <c r="C10" i="4" a="1"/>
  <c r="C10" i="4" s="1"/>
  <c r="D10" i="4" s="1"/>
  <c r="I9" i="4"/>
  <c r="H9" i="4"/>
  <c r="C9" i="4" a="1"/>
  <c r="C9" i="4" s="1"/>
  <c r="D9" i="4" s="1"/>
  <c r="I8" i="4"/>
  <c r="H8" i="4"/>
  <c r="C8" i="4" a="1"/>
  <c r="C8" i="4" s="1"/>
  <c r="D8" i="4" s="1"/>
  <c r="FT8" i="5" s="1"/>
  <c r="C6" i="4" a="1"/>
  <c r="C6" i="4" s="1"/>
  <c r="D6" i="4" s="1"/>
  <c r="C5" i="4" a="1"/>
  <c r="C5" i="4" s="1"/>
  <c r="D5" i="4" s="1"/>
  <c r="D4" i="4"/>
  <c r="B4" i="4"/>
  <c r="B1" i="4"/>
  <c r="FX332" i="3"/>
  <c r="FW332" i="3"/>
  <c r="FV332" i="3"/>
  <c r="FU332" i="3"/>
  <c r="FT332" i="3"/>
  <c r="FS332" i="3"/>
  <c r="FR332" i="3"/>
  <c r="FQ332" i="3"/>
  <c r="FP332" i="3"/>
  <c r="FO332" i="3"/>
  <c r="FN332" i="3"/>
  <c r="FM332" i="3"/>
  <c r="FL332" i="3"/>
  <c r="FK332" i="3"/>
  <c r="FJ332" i="3"/>
  <c r="FI332" i="3"/>
  <c r="FH332" i="3"/>
  <c r="FG332" i="3"/>
  <c r="FF332" i="3"/>
  <c r="FE332" i="3"/>
  <c r="FD332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FX330" i="3"/>
  <c r="FW330" i="3"/>
  <c r="FV330" i="3"/>
  <c r="FU330" i="3"/>
  <c r="FT330" i="3"/>
  <c r="FS330" i="3"/>
  <c r="FR330" i="3"/>
  <c r="FQ330" i="3"/>
  <c r="FP330" i="3"/>
  <c r="FO330" i="3"/>
  <c r="FN330" i="3"/>
  <c r="FM330" i="3"/>
  <c r="FL330" i="3"/>
  <c r="FK330" i="3"/>
  <c r="FJ330" i="3"/>
  <c r="FI330" i="3"/>
  <c r="FH330" i="3"/>
  <c r="FG330" i="3"/>
  <c r="FF330" i="3"/>
  <c r="FE330" i="3"/>
  <c r="FD330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FX328" i="3"/>
  <c r="FW328" i="3"/>
  <c r="FV328" i="3"/>
  <c r="FU328" i="3"/>
  <c r="FT328" i="3"/>
  <c r="FS328" i="3"/>
  <c r="FR328" i="3"/>
  <c r="FQ328" i="3"/>
  <c r="FP328" i="3"/>
  <c r="FO328" i="3"/>
  <c r="FN328" i="3"/>
  <c r="FM328" i="3"/>
  <c r="FL328" i="3"/>
  <c r="FK328" i="3"/>
  <c r="FJ328" i="3"/>
  <c r="FI328" i="3"/>
  <c r="FH328" i="3"/>
  <c r="FG328" i="3"/>
  <c r="FF328" i="3"/>
  <c r="FE328" i="3"/>
  <c r="FD328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FX327" i="3"/>
  <c r="FW327" i="3"/>
  <c r="FV327" i="3"/>
  <c r="FU327" i="3"/>
  <c r="FT327" i="3"/>
  <c r="FS327" i="3"/>
  <c r="FR327" i="3"/>
  <c r="FQ327" i="3"/>
  <c r="FP327" i="3"/>
  <c r="FO327" i="3"/>
  <c r="FN327" i="3"/>
  <c r="FM327" i="3"/>
  <c r="FL327" i="3"/>
  <c r="FK327" i="3"/>
  <c r="FJ327" i="3"/>
  <c r="FI327" i="3"/>
  <c r="FH327" i="3"/>
  <c r="FG327" i="3"/>
  <c r="FF327" i="3"/>
  <c r="FE327" i="3"/>
  <c r="FD327" i="3"/>
  <c r="FC327" i="3"/>
  <c r="FB327" i="3"/>
  <c r="FA327" i="3"/>
  <c r="EZ327" i="3"/>
  <c r="EY327" i="3"/>
  <c r="EX327" i="3"/>
  <c r="EW327" i="3"/>
  <c r="EV327" i="3"/>
  <c r="EU327" i="3"/>
  <c r="ET327" i="3"/>
  <c r="ES327" i="3"/>
  <c r="ER327" i="3"/>
  <c r="EQ327" i="3"/>
  <c r="EP327" i="3"/>
  <c r="EO327" i="3"/>
  <c r="EN327" i="3"/>
  <c r="EM327" i="3"/>
  <c r="EL327" i="3"/>
  <c r="EK327" i="3"/>
  <c r="EJ327" i="3"/>
  <c r="EI327" i="3"/>
  <c r="EH327" i="3"/>
  <c r="EG327" i="3"/>
  <c r="EF327" i="3"/>
  <c r="EE327" i="3"/>
  <c r="ED327" i="3"/>
  <c r="EC327" i="3"/>
  <c r="EB327" i="3"/>
  <c r="EA327" i="3"/>
  <c r="DZ327" i="3"/>
  <c r="DY327" i="3"/>
  <c r="DX327" i="3"/>
  <c r="DW327" i="3"/>
  <c r="DV327" i="3"/>
  <c r="DU327" i="3"/>
  <c r="DT327" i="3"/>
  <c r="DS327" i="3"/>
  <c r="DR327" i="3"/>
  <c r="DQ327" i="3"/>
  <c r="DP327" i="3"/>
  <c r="DO327" i="3"/>
  <c r="DN327" i="3"/>
  <c r="DM327" i="3"/>
  <c r="DL327" i="3"/>
  <c r="DK327" i="3"/>
  <c r="DJ327" i="3"/>
  <c r="DI327" i="3"/>
  <c r="DH327" i="3"/>
  <c r="DG327" i="3"/>
  <c r="DF327" i="3"/>
  <c r="DE327" i="3"/>
  <c r="DD327" i="3"/>
  <c r="DC327" i="3"/>
  <c r="DB327" i="3"/>
  <c r="DA327" i="3"/>
  <c r="CZ327" i="3"/>
  <c r="CY327" i="3"/>
  <c r="CX327" i="3"/>
  <c r="CW327" i="3"/>
  <c r="CV327" i="3"/>
  <c r="CU327" i="3"/>
  <c r="CT327" i="3"/>
  <c r="CS327" i="3"/>
  <c r="CR327" i="3"/>
  <c r="CQ327" i="3"/>
  <c r="CP327" i="3"/>
  <c r="CO327" i="3"/>
  <c r="CN327" i="3"/>
  <c r="CM327" i="3"/>
  <c r="CL327" i="3"/>
  <c r="CK327" i="3"/>
  <c r="CJ327" i="3"/>
  <c r="CI327" i="3"/>
  <c r="CH327" i="3"/>
  <c r="CG327" i="3"/>
  <c r="CF327" i="3"/>
  <c r="CE327" i="3"/>
  <c r="CD327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FX326" i="3"/>
  <c r="FW326" i="3"/>
  <c r="FV326" i="3"/>
  <c r="FU326" i="3"/>
  <c r="FT326" i="3"/>
  <c r="FS326" i="3"/>
  <c r="FR326" i="3"/>
  <c r="FQ326" i="3"/>
  <c r="FP326" i="3"/>
  <c r="FO326" i="3"/>
  <c r="FN326" i="3"/>
  <c r="FM326" i="3"/>
  <c r="FL326" i="3"/>
  <c r="FK326" i="3"/>
  <c r="FJ326" i="3"/>
  <c r="FI326" i="3"/>
  <c r="FH326" i="3"/>
  <c r="FG326" i="3"/>
  <c r="FF326" i="3"/>
  <c r="FE326" i="3"/>
  <c r="FD326" i="3"/>
  <c r="FC326" i="3"/>
  <c r="FB326" i="3"/>
  <c r="FA326" i="3"/>
  <c r="EZ326" i="3"/>
  <c r="EY326" i="3"/>
  <c r="EX326" i="3"/>
  <c r="EW326" i="3"/>
  <c r="EV326" i="3"/>
  <c r="EU326" i="3"/>
  <c r="ET326" i="3"/>
  <c r="ES326" i="3"/>
  <c r="ER326" i="3"/>
  <c r="EQ326" i="3"/>
  <c r="EP326" i="3"/>
  <c r="EO326" i="3"/>
  <c r="EN326" i="3"/>
  <c r="EM326" i="3"/>
  <c r="EL326" i="3"/>
  <c r="EK326" i="3"/>
  <c r="EJ326" i="3"/>
  <c r="EI326" i="3"/>
  <c r="EH326" i="3"/>
  <c r="EG326" i="3"/>
  <c r="EF326" i="3"/>
  <c r="EE326" i="3"/>
  <c r="ED326" i="3"/>
  <c r="EC326" i="3"/>
  <c r="EB326" i="3"/>
  <c r="EA326" i="3"/>
  <c r="DZ326" i="3"/>
  <c r="DY326" i="3"/>
  <c r="DX326" i="3"/>
  <c r="DW326" i="3"/>
  <c r="DV326" i="3"/>
  <c r="DU326" i="3"/>
  <c r="DT326" i="3"/>
  <c r="DS326" i="3"/>
  <c r="DR326" i="3"/>
  <c r="DQ326" i="3"/>
  <c r="DP326" i="3"/>
  <c r="DO326" i="3"/>
  <c r="DN326" i="3"/>
  <c r="DM326" i="3"/>
  <c r="DL326" i="3"/>
  <c r="DK326" i="3"/>
  <c r="DJ326" i="3"/>
  <c r="DI326" i="3"/>
  <c r="DH326" i="3"/>
  <c r="DG326" i="3"/>
  <c r="DF326" i="3"/>
  <c r="DE326" i="3"/>
  <c r="DD326" i="3"/>
  <c r="DC326" i="3"/>
  <c r="DB326" i="3"/>
  <c r="DA326" i="3"/>
  <c r="CZ326" i="3"/>
  <c r="CY326" i="3"/>
  <c r="CX326" i="3"/>
  <c r="CW326" i="3"/>
  <c r="CV326" i="3"/>
  <c r="CU326" i="3"/>
  <c r="CT326" i="3"/>
  <c r="CS326" i="3"/>
  <c r="CR326" i="3"/>
  <c r="CQ326" i="3"/>
  <c r="CP326" i="3"/>
  <c r="CO326" i="3"/>
  <c r="CN326" i="3"/>
  <c r="CM326" i="3"/>
  <c r="CL326" i="3"/>
  <c r="CK326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FY322" i="3"/>
  <c r="FX322" i="3"/>
  <c r="FW322" i="3"/>
  <c r="FV322" i="3"/>
  <c r="FU322" i="3"/>
  <c r="FT322" i="3"/>
  <c r="FS322" i="3"/>
  <c r="FR322" i="3"/>
  <c r="FQ322" i="3"/>
  <c r="FP322" i="3"/>
  <c r="FO322" i="3"/>
  <c r="FN322" i="3"/>
  <c r="FM322" i="3"/>
  <c r="FL322" i="3"/>
  <c r="FK322" i="3"/>
  <c r="FJ322" i="3"/>
  <c r="FI322" i="3"/>
  <c r="FH322" i="3"/>
  <c r="FG322" i="3"/>
  <c r="FF322" i="3"/>
  <c r="FE322" i="3"/>
  <c r="FD322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FY319" i="3"/>
  <c r="FM319" i="3"/>
  <c r="FA319" i="3"/>
  <c r="EO319" i="3"/>
  <c r="EC319" i="3"/>
  <c r="DQ319" i="3"/>
  <c r="DE319" i="3"/>
  <c r="CS319" i="3"/>
  <c r="CG319" i="3"/>
  <c r="BU319" i="3"/>
  <c r="BI319" i="3"/>
  <c r="AW319" i="3"/>
  <c r="AK319" i="3"/>
  <c r="Y319" i="3"/>
  <c r="M319" i="3"/>
  <c r="FY318" i="3"/>
  <c r="FY317" i="3"/>
  <c r="FX315" i="3"/>
  <c r="FW315" i="3"/>
  <c r="FV315" i="3"/>
  <c r="FU315" i="3"/>
  <c r="FT315" i="3"/>
  <c r="FS315" i="3"/>
  <c r="FR315" i="3"/>
  <c r="FQ315" i="3"/>
  <c r="FP315" i="3"/>
  <c r="FO315" i="3"/>
  <c r="FN315" i="3"/>
  <c r="FM315" i="3"/>
  <c r="FL315" i="3"/>
  <c r="FK315" i="3"/>
  <c r="FJ315" i="3"/>
  <c r="FI315" i="3"/>
  <c r="FH315" i="3"/>
  <c r="FG315" i="3"/>
  <c r="FF315" i="3"/>
  <c r="FE315" i="3"/>
  <c r="FD315" i="3"/>
  <c r="FC315" i="3"/>
  <c r="FB315" i="3"/>
  <c r="FA315" i="3"/>
  <c r="EZ315" i="3"/>
  <c r="EY315" i="3"/>
  <c r="EX315" i="3"/>
  <c r="EW315" i="3"/>
  <c r="EV315" i="3"/>
  <c r="EU315" i="3"/>
  <c r="ET315" i="3"/>
  <c r="ES315" i="3"/>
  <c r="ER315" i="3"/>
  <c r="EQ315" i="3"/>
  <c r="EP315" i="3"/>
  <c r="EO315" i="3"/>
  <c r="EN315" i="3"/>
  <c r="EM315" i="3"/>
  <c r="EL315" i="3"/>
  <c r="EK315" i="3"/>
  <c r="EJ315" i="3"/>
  <c r="EI315" i="3"/>
  <c r="EH315" i="3"/>
  <c r="EG315" i="3"/>
  <c r="EF315" i="3"/>
  <c r="EE315" i="3"/>
  <c r="ED315" i="3"/>
  <c r="EC315" i="3"/>
  <c r="EB315" i="3"/>
  <c r="EA315" i="3"/>
  <c r="DZ315" i="3"/>
  <c r="DY315" i="3"/>
  <c r="DX315" i="3"/>
  <c r="DW315" i="3"/>
  <c r="DV315" i="3"/>
  <c r="DU315" i="3"/>
  <c r="DT315" i="3"/>
  <c r="DS315" i="3"/>
  <c r="DR315" i="3"/>
  <c r="DQ315" i="3"/>
  <c r="DP315" i="3"/>
  <c r="DO315" i="3"/>
  <c r="DN315" i="3"/>
  <c r="DM315" i="3"/>
  <c r="DL315" i="3"/>
  <c r="DK315" i="3"/>
  <c r="DJ315" i="3"/>
  <c r="DI315" i="3"/>
  <c r="DH315" i="3"/>
  <c r="DG315" i="3"/>
  <c r="DF315" i="3"/>
  <c r="DE315" i="3"/>
  <c r="DD315" i="3"/>
  <c r="DC315" i="3"/>
  <c r="DB315" i="3"/>
  <c r="DA315" i="3"/>
  <c r="CZ315" i="3"/>
  <c r="CY315" i="3"/>
  <c r="CX315" i="3"/>
  <c r="CW315" i="3"/>
  <c r="CV315" i="3"/>
  <c r="CU315" i="3"/>
  <c r="CT315" i="3"/>
  <c r="CS315" i="3"/>
  <c r="CR315" i="3"/>
  <c r="CQ315" i="3"/>
  <c r="CP315" i="3"/>
  <c r="CO315" i="3"/>
  <c r="CN315" i="3"/>
  <c r="CM315" i="3"/>
  <c r="CL315" i="3"/>
  <c r="CK315" i="3"/>
  <c r="CJ315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FB308" i="3"/>
  <c r="FZ307" i="3"/>
  <c r="GB307" i="3" s="1"/>
  <c r="FX305" i="3"/>
  <c r="FX319" i="3" s="1"/>
  <c r="FN305" i="3"/>
  <c r="FN319" i="3" s="1"/>
  <c r="FM305" i="3"/>
  <c r="FL305" i="3"/>
  <c r="FL319" i="3" s="1"/>
  <c r="FB305" i="3"/>
  <c r="FB319" i="3" s="1"/>
  <c r="FA305" i="3"/>
  <c r="EZ305" i="3"/>
  <c r="EZ319" i="3" s="1"/>
  <c r="EP305" i="3"/>
  <c r="EP319" i="3" s="1"/>
  <c r="EO305" i="3"/>
  <c r="EN305" i="3"/>
  <c r="EN319" i="3" s="1"/>
  <c r="ED305" i="3"/>
  <c r="ED319" i="3" s="1"/>
  <c r="EC305" i="3"/>
  <c r="EB305" i="3"/>
  <c r="EB319" i="3" s="1"/>
  <c r="DY305" i="3"/>
  <c r="DY319" i="3" s="1"/>
  <c r="DR305" i="3"/>
  <c r="DR319" i="3" s="1"/>
  <c r="DQ305" i="3"/>
  <c r="DP305" i="3"/>
  <c r="DP319" i="3" s="1"/>
  <c r="DF305" i="3"/>
  <c r="DF319" i="3" s="1"/>
  <c r="DE305" i="3"/>
  <c r="DD305" i="3"/>
  <c r="DD319" i="3" s="1"/>
  <c r="DA305" i="3"/>
  <c r="DA319" i="3" s="1"/>
  <c r="CT305" i="3"/>
  <c r="CT319" i="3" s="1"/>
  <c r="CS305" i="3"/>
  <c r="CR305" i="3"/>
  <c r="CR319" i="3" s="1"/>
  <c r="CH305" i="3"/>
  <c r="CH319" i="3" s="1"/>
  <c r="CG305" i="3"/>
  <c r="CF305" i="3"/>
  <c r="CF319" i="3" s="1"/>
  <c r="BV305" i="3"/>
  <c r="BV319" i="3" s="1"/>
  <c r="BU305" i="3"/>
  <c r="BT305" i="3"/>
  <c r="BT319" i="3" s="1"/>
  <c r="BS305" i="3"/>
  <c r="BS319" i="3" s="1"/>
  <c r="BJ305" i="3"/>
  <c r="BJ319" i="3" s="1"/>
  <c r="BI305" i="3"/>
  <c r="BH305" i="3"/>
  <c r="BH319" i="3" s="1"/>
  <c r="AX305" i="3"/>
  <c r="AX319" i="3" s="1"/>
  <c r="AW305" i="3"/>
  <c r="AV305" i="3"/>
  <c r="AV319" i="3" s="1"/>
  <c r="AU305" i="3"/>
  <c r="AU319" i="3" s="1"/>
  <c r="AL305" i="3"/>
  <c r="AL319" i="3" s="1"/>
  <c r="AK305" i="3"/>
  <c r="AJ305" i="3"/>
  <c r="AJ319" i="3" s="1"/>
  <c r="Z305" i="3"/>
  <c r="Z319" i="3" s="1"/>
  <c r="Y305" i="3"/>
  <c r="X305" i="3"/>
  <c r="X319" i="3" s="1"/>
  <c r="N305" i="3"/>
  <c r="N319" i="3" s="1"/>
  <c r="M305" i="3"/>
  <c r="L305" i="3"/>
  <c r="L319" i="3" s="1"/>
  <c r="FZ300" i="3"/>
  <c r="FY297" i="3"/>
  <c r="GB295" i="3"/>
  <c r="FX291" i="3"/>
  <c r="FW291" i="3"/>
  <c r="FW305" i="3" s="1"/>
  <c r="FW319" i="3" s="1"/>
  <c r="FV291" i="3"/>
  <c r="FV305" i="3" s="1"/>
  <c r="FV319" i="3" s="1"/>
  <c r="FU291" i="3"/>
  <c r="FU305" i="3" s="1"/>
  <c r="FU319" i="3" s="1"/>
  <c r="FT291" i="3"/>
  <c r="FT305" i="3" s="1"/>
  <c r="FT319" i="3" s="1"/>
  <c r="FS291" i="3"/>
  <c r="FS305" i="3" s="1"/>
  <c r="FS319" i="3" s="1"/>
  <c r="FR291" i="3"/>
  <c r="FR305" i="3" s="1"/>
  <c r="FR319" i="3" s="1"/>
  <c r="FQ291" i="3"/>
  <c r="FQ305" i="3" s="1"/>
  <c r="FQ319" i="3" s="1"/>
  <c r="FP291" i="3"/>
  <c r="FP305" i="3" s="1"/>
  <c r="FP319" i="3" s="1"/>
  <c r="FO291" i="3"/>
  <c r="FO305" i="3" s="1"/>
  <c r="FO319" i="3" s="1"/>
  <c r="FN291" i="3"/>
  <c r="FM291" i="3"/>
  <c r="FL291" i="3"/>
  <c r="FK291" i="3"/>
  <c r="FK305" i="3" s="1"/>
  <c r="FK319" i="3" s="1"/>
  <c r="FJ291" i="3"/>
  <c r="FJ305" i="3" s="1"/>
  <c r="FJ319" i="3" s="1"/>
  <c r="FI291" i="3"/>
  <c r="FI305" i="3" s="1"/>
  <c r="FI319" i="3" s="1"/>
  <c r="FH291" i="3"/>
  <c r="FH305" i="3" s="1"/>
  <c r="FH319" i="3" s="1"/>
  <c r="FG291" i="3"/>
  <c r="FG305" i="3" s="1"/>
  <c r="FG319" i="3" s="1"/>
  <c r="FF291" i="3"/>
  <c r="FF305" i="3" s="1"/>
  <c r="FF319" i="3" s="1"/>
  <c r="FE291" i="3"/>
  <c r="FE305" i="3" s="1"/>
  <c r="FE319" i="3" s="1"/>
  <c r="FD291" i="3"/>
  <c r="FD305" i="3" s="1"/>
  <c r="FD319" i="3" s="1"/>
  <c r="FC291" i="3"/>
  <c r="FC305" i="3" s="1"/>
  <c r="FC319" i="3" s="1"/>
  <c r="FB291" i="3"/>
  <c r="FA291" i="3"/>
  <c r="EZ291" i="3"/>
  <c r="EY291" i="3"/>
  <c r="EY305" i="3" s="1"/>
  <c r="EY319" i="3" s="1"/>
  <c r="EX291" i="3"/>
  <c r="EX305" i="3" s="1"/>
  <c r="EX319" i="3" s="1"/>
  <c r="EW291" i="3"/>
  <c r="EW305" i="3" s="1"/>
  <c r="EW319" i="3" s="1"/>
  <c r="EV291" i="3"/>
  <c r="EV305" i="3" s="1"/>
  <c r="EV319" i="3" s="1"/>
  <c r="EU291" i="3"/>
  <c r="EU305" i="3" s="1"/>
  <c r="EU319" i="3" s="1"/>
  <c r="ET291" i="3"/>
  <c r="ET305" i="3" s="1"/>
  <c r="ET319" i="3" s="1"/>
  <c r="ES291" i="3"/>
  <c r="ES305" i="3" s="1"/>
  <c r="ES319" i="3" s="1"/>
  <c r="ER291" i="3"/>
  <c r="ER305" i="3" s="1"/>
  <c r="ER319" i="3" s="1"/>
  <c r="EQ291" i="3"/>
  <c r="EQ305" i="3" s="1"/>
  <c r="EQ319" i="3" s="1"/>
  <c r="EP291" i="3"/>
  <c r="EO291" i="3"/>
  <c r="EN291" i="3"/>
  <c r="EM291" i="3"/>
  <c r="EM305" i="3" s="1"/>
  <c r="EM319" i="3" s="1"/>
  <c r="EL291" i="3"/>
  <c r="EL305" i="3" s="1"/>
  <c r="EL319" i="3" s="1"/>
  <c r="EK291" i="3"/>
  <c r="EK305" i="3" s="1"/>
  <c r="EK319" i="3" s="1"/>
  <c r="EJ291" i="3"/>
  <c r="EJ305" i="3" s="1"/>
  <c r="EJ319" i="3" s="1"/>
  <c r="EI291" i="3"/>
  <c r="EI305" i="3" s="1"/>
  <c r="EI319" i="3" s="1"/>
  <c r="EH291" i="3"/>
  <c r="EH305" i="3" s="1"/>
  <c r="EH319" i="3" s="1"/>
  <c r="EG291" i="3"/>
  <c r="EG305" i="3" s="1"/>
  <c r="EG319" i="3" s="1"/>
  <c r="EF291" i="3"/>
  <c r="EF305" i="3" s="1"/>
  <c r="EF319" i="3" s="1"/>
  <c r="EE291" i="3"/>
  <c r="EE305" i="3" s="1"/>
  <c r="EE319" i="3" s="1"/>
  <c r="ED291" i="3"/>
  <c r="EC291" i="3"/>
  <c r="EB291" i="3"/>
  <c r="EA291" i="3"/>
  <c r="EA305" i="3" s="1"/>
  <c r="EA319" i="3" s="1"/>
  <c r="DZ291" i="3"/>
  <c r="DZ305" i="3" s="1"/>
  <c r="DZ319" i="3" s="1"/>
  <c r="DY291" i="3"/>
  <c r="DX291" i="3"/>
  <c r="DX305" i="3" s="1"/>
  <c r="DX319" i="3" s="1"/>
  <c r="DW291" i="3"/>
  <c r="DW305" i="3" s="1"/>
  <c r="DW319" i="3" s="1"/>
  <c r="DV291" i="3"/>
  <c r="DV305" i="3" s="1"/>
  <c r="DV319" i="3" s="1"/>
  <c r="DU291" i="3"/>
  <c r="DU305" i="3" s="1"/>
  <c r="DU319" i="3" s="1"/>
  <c r="DT291" i="3"/>
  <c r="DT305" i="3" s="1"/>
  <c r="DT319" i="3" s="1"/>
  <c r="DS291" i="3"/>
  <c r="DS305" i="3" s="1"/>
  <c r="DS319" i="3" s="1"/>
  <c r="DR291" i="3"/>
  <c r="DQ291" i="3"/>
  <c r="DP291" i="3"/>
  <c r="DO291" i="3"/>
  <c r="DO305" i="3" s="1"/>
  <c r="DO319" i="3" s="1"/>
  <c r="DN291" i="3"/>
  <c r="DN305" i="3" s="1"/>
  <c r="DN319" i="3" s="1"/>
  <c r="DM291" i="3"/>
  <c r="DM305" i="3" s="1"/>
  <c r="DM319" i="3" s="1"/>
  <c r="DL291" i="3"/>
  <c r="DL305" i="3" s="1"/>
  <c r="DL319" i="3" s="1"/>
  <c r="DK291" i="3"/>
  <c r="DK305" i="3" s="1"/>
  <c r="DK319" i="3" s="1"/>
  <c r="DJ291" i="3"/>
  <c r="DJ305" i="3" s="1"/>
  <c r="DJ319" i="3" s="1"/>
  <c r="DI291" i="3"/>
  <c r="DI305" i="3" s="1"/>
  <c r="DI319" i="3" s="1"/>
  <c r="DH291" i="3"/>
  <c r="DH305" i="3" s="1"/>
  <c r="DH319" i="3" s="1"/>
  <c r="DG291" i="3"/>
  <c r="DG305" i="3" s="1"/>
  <c r="DG319" i="3" s="1"/>
  <c r="DF291" i="3"/>
  <c r="DE291" i="3"/>
  <c r="DD291" i="3"/>
  <c r="DC291" i="3"/>
  <c r="DC305" i="3" s="1"/>
  <c r="DC319" i="3" s="1"/>
  <c r="DB291" i="3"/>
  <c r="DB305" i="3" s="1"/>
  <c r="DB319" i="3" s="1"/>
  <c r="DA291" i="3"/>
  <c r="CZ291" i="3"/>
  <c r="CZ305" i="3" s="1"/>
  <c r="CZ319" i="3" s="1"/>
  <c r="CY291" i="3"/>
  <c r="CY305" i="3" s="1"/>
  <c r="CY319" i="3" s="1"/>
  <c r="CX291" i="3"/>
  <c r="CX305" i="3" s="1"/>
  <c r="CX319" i="3" s="1"/>
  <c r="CW291" i="3"/>
  <c r="CW305" i="3" s="1"/>
  <c r="CW319" i="3" s="1"/>
  <c r="CV291" i="3"/>
  <c r="CV305" i="3" s="1"/>
  <c r="CV319" i="3" s="1"/>
  <c r="CU291" i="3"/>
  <c r="CU305" i="3" s="1"/>
  <c r="CU319" i="3" s="1"/>
  <c r="CT291" i="3"/>
  <c r="CS291" i="3"/>
  <c r="CR291" i="3"/>
  <c r="CQ291" i="3"/>
  <c r="CQ305" i="3" s="1"/>
  <c r="CQ319" i="3" s="1"/>
  <c r="CP291" i="3"/>
  <c r="CP305" i="3" s="1"/>
  <c r="CP319" i="3" s="1"/>
  <c r="CO291" i="3"/>
  <c r="CO305" i="3" s="1"/>
  <c r="CO319" i="3" s="1"/>
  <c r="CN291" i="3"/>
  <c r="CN305" i="3" s="1"/>
  <c r="CN319" i="3" s="1"/>
  <c r="CM291" i="3"/>
  <c r="CM305" i="3" s="1"/>
  <c r="CM319" i="3" s="1"/>
  <c r="CL291" i="3"/>
  <c r="CL305" i="3" s="1"/>
  <c r="CL319" i="3" s="1"/>
  <c r="CK291" i="3"/>
  <c r="CK305" i="3" s="1"/>
  <c r="CK319" i="3" s="1"/>
  <c r="CJ291" i="3"/>
  <c r="CJ305" i="3" s="1"/>
  <c r="CJ319" i="3" s="1"/>
  <c r="CI291" i="3"/>
  <c r="CI305" i="3" s="1"/>
  <c r="CI319" i="3" s="1"/>
  <c r="CH291" i="3"/>
  <c r="CG291" i="3"/>
  <c r="CF291" i="3"/>
  <c r="CE291" i="3"/>
  <c r="CE305" i="3" s="1"/>
  <c r="CE319" i="3" s="1"/>
  <c r="CD291" i="3"/>
  <c r="CD305" i="3" s="1"/>
  <c r="CD319" i="3" s="1"/>
  <c r="CC291" i="3"/>
  <c r="CC305" i="3" s="1"/>
  <c r="CC319" i="3" s="1"/>
  <c r="CB291" i="3"/>
  <c r="CB305" i="3" s="1"/>
  <c r="CB319" i="3" s="1"/>
  <c r="CA291" i="3"/>
  <c r="CA305" i="3" s="1"/>
  <c r="CA319" i="3" s="1"/>
  <c r="BZ291" i="3"/>
  <c r="BZ305" i="3" s="1"/>
  <c r="BZ319" i="3" s="1"/>
  <c r="BY291" i="3"/>
  <c r="BY305" i="3" s="1"/>
  <c r="BY319" i="3" s="1"/>
  <c r="BX291" i="3"/>
  <c r="BX305" i="3" s="1"/>
  <c r="BX319" i="3" s="1"/>
  <c r="BW291" i="3"/>
  <c r="BW305" i="3" s="1"/>
  <c r="BW319" i="3" s="1"/>
  <c r="BV291" i="3"/>
  <c r="BU291" i="3"/>
  <c r="BT291" i="3"/>
  <c r="BS291" i="3"/>
  <c r="BR291" i="3"/>
  <c r="BR305" i="3" s="1"/>
  <c r="BR319" i="3" s="1"/>
  <c r="BQ291" i="3"/>
  <c r="BQ305" i="3" s="1"/>
  <c r="BQ319" i="3" s="1"/>
  <c r="BP291" i="3"/>
  <c r="BP305" i="3" s="1"/>
  <c r="BP319" i="3" s="1"/>
  <c r="BO291" i="3"/>
  <c r="BO305" i="3" s="1"/>
  <c r="BO319" i="3" s="1"/>
  <c r="BN291" i="3"/>
  <c r="BN305" i="3" s="1"/>
  <c r="BN319" i="3" s="1"/>
  <c r="BM291" i="3"/>
  <c r="BM305" i="3" s="1"/>
  <c r="BM319" i="3" s="1"/>
  <c r="BL291" i="3"/>
  <c r="BL305" i="3" s="1"/>
  <c r="BL319" i="3" s="1"/>
  <c r="BK291" i="3"/>
  <c r="BK305" i="3" s="1"/>
  <c r="BK319" i="3" s="1"/>
  <c r="BJ291" i="3"/>
  <c r="BI291" i="3"/>
  <c r="BH291" i="3"/>
  <c r="BG291" i="3"/>
  <c r="BG305" i="3" s="1"/>
  <c r="BG319" i="3" s="1"/>
  <c r="BF291" i="3"/>
  <c r="BF305" i="3" s="1"/>
  <c r="BF319" i="3" s="1"/>
  <c r="BE291" i="3"/>
  <c r="BE305" i="3" s="1"/>
  <c r="BE319" i="3" s="1"/>
  <c r="BD291" i="3"/>
  <c r="BD305" i="3" s="1"/>
  <c r="BD319" i="3" s="1"/>
  <c r="BC291" i="3"/>
  <c r="BC305" i="3" s="1"/>
  <c r="BC319" i="3" s="1"/>
  <c r="BB291" i="3"/>
  <c r="BB305" i="3" s="1"/>
  <c r="BB319" i="3" s="1"/>
  <c r="BA291" i="3"/>
  <c r="BA305" i="3" s="1"/>
  <c r="BA319" i="3" s="1"/>
  <c r="AZ291" i="3"/>
  <c r="AZ305" i="3" s="1"/>
  <c r="AZ319" i="3" s="1"/>
  <c r="AY291" i="3"/>
  <c r="AY305" i="3" s="1"/>
  <c r="AY319" i="3" s="1"/>
  <c r="AX291" i="3"/>
  <c r="AW291" i="3"/>
  <c r="AV291" i="3"/>
  <c r="AU291" i="3"/>
  <c r="AT291" i="3"/>
  <c r="AT305" i="3" s="1"/>
  <c r="AT319" i="3" s="1"/>
  <c r="AS291" i="3"/>
  <c r="AS305" i="3" s="1"/>
  <c r="AS319" i="3" s="1"/>
  <c r="AR291" i="3"/>
  <c r="AR305" i="3" s="1"/>
  <c r="AR319" i="3" s="1"/>
  <c r="AQ291" i="3"/>
  <c r="AQ305" i="3" s="1"/>
  <c r="AQ319" i="3" s="1"/>
  <c r="AP291" i="3"/>
  <c r="AP305" i="3" s="1"/>
  <c r="AP319" i="3" s="1"/>
  <c r="AO291" i="3"/>
  <c r="AO305" i="3" s="1"/>
  <c r="AO319" i="3" s="1"/>
  <c r="AN291" i="3"/>
  <c r="AN305" i="3" s="1"/>
  <c r="AN319" i="3" s="1"/>
  <c r="AM291" i="3"/>
  <c r="AM305" i="3" s="1"/>
  <c r="AM319" i="3" s="1"/>
  <c r="AL291" i="3"/>
  <c r="AK291" i="3"/>
  <c r="AJ291" i="3"/>
  <c r="AI291" i="3"/>
  <c r="AI305" i="3" s="1"/>
  <c r="AI319" i="3" s="1"/>
  <c r="AH291" i="3"/>
  <c r="AH305" i="3" s="1"/>
  <c r="AH319" i="3" s="1"/>
  <c r="AG291" i="3"/>
  <c r="AG305" i="3" s="1"/>
  <c r="AG319" i="3" s="1"/>
  <c r="AF291" i="3"/>
  <c r="AF305" i="3" s="1"/>
  <c r="AF319" i="3" s="1"/>
  <c r="AE291" i="3"/>
  <c r="AE305" i="3" s="1"/>
  <c r="AE319" i="3" s="1"/>
  <c r="AD291" i="3"/>
  <c r="AD305" i="3" s="1"/>
  <c r="AD319" i="3" s="1"/>
  <c r="AC291" i="3"/>
  <c r="AC305" i="3" s="1"/>
  <c r="AC319" i="3" s="1"/>
  <c r="AB291" i="3"/>
  <c r="AB305" i="3" s="1"/>
  <c r="AB319" i="3" s="1"/>
  <c r="AA291" i="3"/>
  <c r="AA305" i="3" s="1"/>
  <c r="AA319" i="3" s="1"/>
  <c r="Z291" i="3"/>
  <c r="Y291" i="3"/>
  <c r="X291" i="3"/>
  <c r="W291" i="3"/>
  <c r="W305" i="3" s="1"/>
  <c r="W319" i="3" s="1"/>
  <c r="V291" i="3"/>
  <c r="V305" i="3" s="1"/>
  <c r="V319" i="3" s="1"/>
  <c r="U291" i="3"/>
  <c r="U305" i="3" s="1"/>
  <c r="U319" i="3" s="1"/>
  <c r="T291" i="3"/>
  <c r="T305" i="3" s="1"/>
  <c r="T319" i="3" s="1"/>
  <c r="S291" i="3"/>
  <c r="S305" i="3" s="1"/>
  <c r="S319" i="3" s="1"/>
  <c r="R291" i="3"/>
  <c r="R305" i="3" s="1"/>
  <c r="R319" i="3" s="1"/>
  <c r="Q291" i="3"/>
  <c r="Q305" i="3" s="1"/>
  <c r="Q319" i="3" s="1"/>
  <c r="P291" i="3"/>
  <c r="P305" i="3" s="1"/>
  <c r="P319" i="3" s="1"/>
  <c r="O291" i="3"/>
  <c r="O305" i="3" s="1"/>
  <c r="O319" i="3" s="1"/>
  <c r="N291" i="3"/>
  <c r="M291" i="3"/>
  <c r="L291" i="3"/>
  <c r="K291" i="3"/>
  <c r="K305" i="3" s="1"/>
  <c r="K319" i="3" s="1"/>
  <c r="J291" i="3"/>
  <c r="J305" i="3" s="1"/>
  <c r="J319" i="3" s="1"/>
  <c r="I291" i="3"/>
  <c r="I305" i="3" s="1"/>
  <c r="I319" i="3" s="1"/>
  <c r="H291" i="3"/>
  <c r="H305" i="3" s="1"/>
  <c r="H319" i="3" s="1"/>
  <c r="G291" i="3"/>
  <c r="G305" i="3" s="1"/>
  <c r="G319" i="3" s="1"/>
  <c r="F291" i="3"/>
  <c r="F305" i="3" s="1"/>
  <c r="F319" i="3" s="1"/>
  <c r="E291" i="3"/>
  <c r="E305" i="3" s="1"/>
  <c r="E319" i="3" s="1"/>
  <c r="D291" i="3"/>
  <c r="D305" i="3" s="1"/>
  <c r="D319" i="3" s="1"/>
  <c r="GC289" i="3"/>
  <c r="FX262" i="3"/>
  <c r="FW262" i="3"/>
  <c r="FV262" i="3"/>
  <c r="FU262" i="3"/>
  <c r="FT262" i="3"/>
  <c r="FS262" i="3"/>
  <c r="FR262" i="3"/>
  <c r="FQ262" i="3"/>
  <c r="FP262" i="3"/>
  <c r="FO262" i="3"/>
  <c r="FN262" i="3"/>
  <c r="FM262" i="3"/>
  <c r="FL262" i="3"/>
  <c r="FK262" i="3"/>
  <c r="FH262" i="3"/>
  <c r="FG262" i="3"/>
  <c r="FF262" i="3"/>
  <c r="FE262" i="3"/>
  <c r="FD262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P262" i="3"/>
  <c r="DO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FX257" i="3"/>
  <c r="FW257" i="3"/>
  <c r="FV257" i="3"/>
  <c r="FU257" i="3"/>
  <c r="FT257" i="3"/>
  <c r="FS257" i="3"/>
  <c r="FR257" i="3"/>
  <c r="FQ257" i="3"/>
  <c r="FP257" i="3"/>
  <c r="FO257" i="3"/>
  <c r="FN257" i="3"/>
  <c r="FM257" i="3"/>
  <c r="FL257" i="3"/>
  <c r="FK257" i="3"/>
  <c r="FJ257" i="3"/>
  <c r="FI257" i="3"/>
  <c r="FH257" i="3"/>
  <c r="FG257" i="3"/>
  <c r="FF257" i="3"/>
  <c r="FE257" i="3"/>
  <c r="FD257" i="3"/>
  <c r="FC257" i="3"/>
  <c r="FB257" i="3"/>
  <c r="FA257" i="3"/>
  <c r="EZ257" i="3"/>
  <c r="EY257" i="3"/>
  <c r="EX257" i="3"/>
  <c r="EW257" i="3"/>
  <c r="EV257" i="3"/>
  <c r="EU257" i="3"/>
  <c r="ET257" i="3"/>
  <c r="ES257" i="3"/>
  <c r="ER257" i="3"/>
  <c r="EQ257" i="3"/>
  <c r="EP257" i="3"/>
  <c r="EO257" i="3"/>
  <c r="EN257" i="3"/>
  <c r="EM257" i="3"/>
  <c r="EL257" i="3"/>
  <c r="EK257" i="3"/>
  <c r="EJ257" i="3"/>
  <c r="EI257" i="3"/>
  <c r="EH257" i="3"/>
  <c r="EG257" i="3"/>
  <c r="EF257" i="3"/>
  <c r="EE257" i="3"/>
  <c r="ED257" i="3"/>
  <c r="EC257" i="3"/>
  <c r="EB257" i="3"/>
  <c r="EA257" i="3"/>
  <c r="DZ257" i="3"/>
  <c r="DY257" i="3"/>
  <c r="DX257" i="3"/>
  <c r="DW257" i="3"/>
  <c r="DV257" i="3"/>
  <c r="DU257" i="3"/>
  <c r="DT257" i="3"/>
  <c r="DS257" i="3"/>
  <c r="DR257" i="3"/>
  <c r="DQ257" i="3"/>
  <c r="DP257" i="3"/>
  <c r="DO257" i="3"/>
  <c r="DN257" i="3"/>
  <c r="DM257" i="3"/>
  <c r="DL257" i="3"/>
  <c r="DK257" i="3"/>
  <c r="DJ257" i="3"/>
  <c r="DI257" i="3"/>
  <c r="DH257" i="3"/>
  <c r="DG257" i="3"/>
  <c r="DF257" i="3"/>
  <c r="DE257" i="3"/>
  <c r="DD257" i="3"/>
  <c r="DC257" i="3"/>
  <c r="DB257" i="3"/>
  <c r="DA257" i="3"/>
  <c r="CZ257" i="3"/>
  <c r="CY257" i="3"/>
  <c r="CX257" i="3"/>
  <c r="CW257" i="3"/>
  <c r="CV257" i="3"/>
  <c r="CU257" i="3"/>
  <c r="CT257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FZ244" i="3"/>
  <c r="FX236" i="3"/>
  <c r="FW236" i="3"/>
  <c r="FV236" i="3"/>
  <c r="FU236" i="3"/>
  <c r="FT236" i="3"/>
  <c r="FS236" i="3"/>
  <c r="FR236" i="3"/>
  <c r="FQ236" i="3"/>
  <c r="FP236" i="3"/>
  <c r="FO236" i="3"/>
  <c r="FN236" i="3"/>
  <c r="FM236" i="3"/>
  <c r="FL236" i="3"/>
  <c r="FK236" i="3"/>
  <c r="FJ236" i="3"/>
  <c r="FI236" i="3"/>
  <c r="FH236" i="3"/>
  <c r="FG236" i="3"/>
  <c r="FF236" i="3"/>
  <c r="FE236" i="3"/>
  <c r="FD236" i="3"/>
  <c r="FC236" i="3"/>
  <c r="FB236" i="3"/>
  <c r="FA236" i="3"/>
  <c r="EZ236" i="3"/>
  <c r="EY236" i="3"/>
  <c r="EX236" i="3"/>
  <c r="EW236" i="3"/>
  <c r="EV236" i="3"/>
  <c r="EU236" i="3"/>
  <c r="ET236" i="3"/>
  <c r="ES236" i="3"/>
  <c r="ER236" i="3"/>
  <c r="EQ236" i="3"/>
  <c r="EP236" i="3"/>
  <c r="EO236" i="3"/>
  <c r="EN236" i="3"/>
  <c r="EM236" i="3"/>
  <c r="EL236" i="3"/>
  <c r="EK236" i="3"/>
  <c r="EJ236" i="3"/>
  <c r="EI236" i="3"/>
  <c r="EH236" i="3"/>
  <c r="EG236" i="3"/>
  <c r="EF236" i="3"/>
  <c r="EE236" i="3"/>
  <c r="ED236" i="3"/>
  <c r="EC236" i="3"/>
  <c r="EB236" i="3"/>
  <c r="EA236" i="3"/>
  <c r="DZ236" i="3"/>
  <c r="DY236" i="3"/>
  <c r="DX236" i="3"/>
  <c r="DW236" i="3"/>
  <c r="DV236" i="3"/>
  <c r="DU236" i="3"/>
  <c r="DT236" i="3"/>
  <c r="DS236" i="3"/>
  <c r="DR236" i="3"/>
  <c r="DQ236" i="3"/>
  <c r="DP236" i="3"/>
  <c r="DO236" i="3"/>
  <c r="DN236" i="3"/>
  <c r="DM236" i="3"/>
  <c r="DL236" i="3"/>
  <c r="DK236" i="3"/>
  <c r="DJ236" i="3"/>
  <c r="DI236" i="3"/>
  <c r="DH236" i="3"/>
  <c r="DG236" i="3"/>
  <c r="DF236" i="3"/>
  <c r="DE236" i="3"/>
  <c r="DD236" i="3"/>
  <c r="DC236" i="3"/>
  <c r="DB236" i="3"/>
  <c r="DA236" i="3"/>
  <c r="CZ236" i="3"/>
  <c r="CY236" i="3"/>
  <c r="CX236" i="3"/>
  <c r="CW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FZ234" i="3"/>
  <c r="FX224" i="3"/>
  <c r="FW224" i="3"/>
  <c r="FV224" i="3"/>
  <c r="FU224" i="3"/>
  <c r="FT224" i="3"/>
  <c r="FS224" i="3"/>
  <c r="FR224" i="3"/>
  <c r="FQ224" i="3"/>
  <c r="FP224" i="3"/>
  <c r="FO224" i="3"/>
  <c r="FN224" i="3"/>
  <c r="FM224" i="3"/>
  <c r="FL224" i="3"/>
  <c r="FK224" i="3"/>
  <c r="FJ224" i="3"/>
  <c r="FI224" i="3"/>
  <c r="FH224" i="3"/>
  <c r="FG224" i="3"/>
  <c r="FF224" i="3"/>
  <c r="FE224" i="3"/>
  <c r="FD224" i="3"/>
  <c r="FC224" i="3"/>
  <c r="FB224" i="3"/>
  <c r="FA224" i="3"/>
  <c r="EZ224" i="3"/>
  <c r="EY224" i="3"/>
  <c r="EX224" i="3"/>
  <c r="EW224" i="3"/>
  <c r="EV224" i="3"/>
  <c r="EU224" i="3"/>
  <c r="ET224" i="3"/>
  <c r="ES224" i="3"/>
  <c r="ER224" i="3"/>
  <c r="EQ224" i="3"/>
  <c r="EP224" i="3"/>
  <c r="EO224" i="3"/>
  <c r="EN224" i="3"/>
  <c r="EM224" i="3"/>
  <c r="EL224" i="3"/>
  <c r="EK224" i="3"/>
  <c r="EJ224" i="3"/>
  <c r="EI224" i="3"/>
  <c r="EH224" i="3"/>
  <c r="EG224" i="3"/>
  <c r="EF224" i="3"/>
  <c r="EE224" i="3"/>
  <c r="ED224" i="3"/>
  <c r="EC224" i="3"/>
  <c r="EB224" i="3"/>
  <c r="EA224" i="3"/>
  <c r="DZ224" i="3"/>
  <c r="DY224" i="3"/>
  <c r="DX224" i="3"/>
  <c r="DW224" i="3"/>
  <c r="DV224" i="3"/>
  <c r="DU224" i="3"/>
  <c r="DT224" i="3"/>
  <c r="DS224" i="3"/>
  <c r="DR224" i="3"/>
  <c r="DQ224" i="3"/>
  <c r="DP224" i="3"/>
  <c r="DO224" i="3"/>
  <c r="DN224" i="3"/>
  <c r="DM224" i="3"/>
  <c r="DL224" i="3"/>
  <c r="DK224" i="3"/>
  <c r="DJ224" i="3"/>
  <c r="DI224" i="3"/>
  <c r="DH224" i="3"/>
  <c r="DG224" i="3"/>
  <c r="DF224" i="3"/>
  <c r="DE224" i="3"/>
  <c r="DD224" i="3"/>
  <c r="DC224" i="3"/>
  <c r="DB224" i="3"/>
  <c r="DA224" i="3"/>
  <c r="CZ224" i="3"/>
  <c r="CY224" i="3"/>
  <c r="CX224" i="3"/>
  <c r="CW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FX223" i="3"/>
  <c r="FW223" i="3"/>
  <c r="FV223" i="3"/>
  <c r="FU223" i="3"/>
  <c r="FT223" i="3"/>
  <c r="FS223" i="3"/>
  <c r="FR223" i="3"/>
  <c r="FQ223" i="3"/>
  <c r="FP223" i="3"/>
  <c r="FO223" i="3"/>
  <c r="FN223" i="3"/>
  <c r="FM223" i="3"/>
  <c r="FL223" i="3"/>
  <c r="FK223" i="3"/>
  <c r="FJ223" i="3"/>
  <c r="FI223" i="3"/>
  <c r="FH223" i="3"/>
  <c r="FG223" i="3"/>
  <c r="FF223" i="3"/>
  <c r="FE223" i="3"/>
  <c r="FD223" i="3"/>
  <c r="FC223" i="3"/>
  <c r="FB223" i="3"/>
  <c r="FA223" i="3"/>
  <c r="EZ223" i="3"/>
  <c r="EY223" i="3"/>
  <c r="EX223" i="3"/>
  <c r="EW223" i="3"/>
  <c r="EV223" i="3"/>
  <c r="EU223" i="3"/>
  <c r="ET223" i="3"/>
  <c r="ES223" i="3"/>
  <c r="ER223" i="3"/>
  <c r="EQ223" i="3"/>
  <c r="EP223" i="3"/>
  <c r="EO223" i="3"/>
  <c r="EN223" i="3"/>
  <c r="EM223" i="3"/>
  <c r="EL223" i="3"/>
  <c r="EK223" i="3"/>
  <c r="EJ223" i="3"/>
  <c r="EI223" i="3"/>
  <c r="EH223" i="3"/>
  <c r="EG223" i="3"/>
  <c r="EF223" i="3"/>
  <c r="EE223" i="3"/>
  <c r="ED223" i="3"/>
  <c r="EC223" i="3"/>
  <c r="EB223" i="3"/>
  <c r="EA223" i="3"/>
  <c r="DZ223" i="3"/>
  <c r="DY223" i="3"/>
  <c r="DX223" i="3"/>
  <c r="DW223" i="3"/>
  <c r="DV223" i="3"/>
  <c r="DU223" i="3"/>
  <c r="DT223" i="3"/>
  <c r="DS223" i="3"/>
  <c r="DR223" i="3"/>
  <c r="DQ223" i="3"/>
  <c r="DP223" i="3"/>
  <c r="DO223" i="3"/>
  <c r="DN223" i="3"/>
  <c r="DM223" i="3"/>
  <c r="DL223" i="3"/>
  <c r="DK223" i="3"/>
  <c r="DJ223" i="3"/>
  <c r="DI223" i="3"/>
  <c r="DH223" i="3"/>
  <c r="DG223" i="3"/>
  <c r="DF223" i="3"/>
  <c r="DE223" i="3"/>
  <c r="DD223" i="3"/>
  <c r="DC223" i="3"/>
  <c r="DB223" i="3"/>
  <c r="DA223" i="3"/>
  <c r="CZ223" i="3"/>
  <c r="CY223" i="3"/>
  <c r="CX223" i="3"/>
  <c r="CW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FX222" i="3"/>
  <c r="FW222" i="3"/>
  <c r="FV222" i="3"/>
  <c r="FU222" i="3"/>
  <c r="FT222" i="3"/>
  <c r="FS222" i="3"/>
  <c r="FR222" i="3"/>
  <c r="FQ222" i="3"/>
  <c r="FP222" i="3"/>
  <c r="FO222" i="3"/>
  <c r="FN222" i="3"/>
  <c r="FM222" i="3"/>
  <c r="FL222" i="3"/>
  <c r="FK222" i="3"/>
  <c r="FJ222" i="3"/>
  <c r="FI222" i="3"/>
  <c r="FH222" i="3"/>
  <c r="FG222" i="3"/>
  <c r="FF222" i="3"/>
  <c r="FE222" i="3"/>
  <c r="FD222" i="3"/>
  <c r="FC222" i="3"/>
  <c r="FB222" i="3"/>
  <c r="FA222" i="3"/>
  <c r="EZ222" i="3"/>
  <c r="EY222" i="3"/>
  <c r="EX222" i="3"/>
  <c r="EW222" i="3"/>
  <c r="EV222" i="3"/>
  <c r="EU222" i="3"/>
  <c r="ET222" i="3"/>
  <c r="ES222" i="3"/>
  <c r="ER222" i="3"/>
  <c r="EQ222" i="3"/>
  <c r="EP222" i="3"/>
  <c r="EO222" i="3"/>
  <c r="EN222" i="3"/>
  <c r="EM222" i="3"/>
  <c r="EL222" i="3"/>
  <c r="EK222" i="3"/>
  <c r="EJ222" i="3"/>
  <c r="EI222" i="3"/>
  <c r="EH222" i="3"/>
  <c r="EG222" i="3"/>
  <c r="EF222" i="3"/>
  <c r="EE222" i="3"/>
  <c r="ED222" i="3"/>
  <c r="EC222" i="3"/>
  <c r="EB222" i="3"/>
  <c r="EA222" i="3"/>
  <c r="DZ222" i="3"/>
  <c r="DY222" i="3"/>
  <c r="DX222" i="3"/>
  <c r="DW222" i="3"/>
  <c r="DV222" i="3"/>
  <c r="DU222" i="3"/>
  <c r="DT222" i="3"/>
  <c r="DS222" i="3"/>
  <c r="DR222" i="3"/>
  <c r="DQ222" i="3"/>
  <c r="DP222" i="3"/>
  <c r="DO222" i="3"/>
  <c r="DN222" i="3"/>
  <c r="DM222" i="3"/>
  <c r="DL222" i="3"/>
  <c r="DK222" i="3"/>
  <c r="DJ222" i="3"/>
  <c r="DI222" i="3"/>
  <c r="DH222" i="3"/>
  <c r="DG222" i="3"/>
  <c r="DF222" i="3"/>
  <c r="DE222" i="3"/>
  <c r="DD222" i="3"/>
  <c r="DC222" i="3"/>
  <c r="DB222" i="3"/>
  <c r="DA222" i="3"/>
  <c r="CZ222" i="3"/>
  <c r="CY222" i="3"/>
  <c r="CX222" i="3"/>
  <c r="CW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FZ216" i="3"/>
  <c r="C213" i="3"/>
  <c r="FX205" i="3"/>
  <c r="FW205" i="3"/>
  <c r="FV205" i="3"/>
  <c r="FU205" i="3"/>
  <c r="FT205" i="3"/>
  <c r="FS205" i="3"/>
  <c r="FR205" i="3"/>
  <c r="FQ205" i="3"/>
  <c r="FP205" i="3"/>
  <c r="FO205" i="3"/>
  <c r="FN205" i="3"/>
  <c r="FM205" i="3"/>
  <c r="FL205" i="3"/>
  <c r="FK205" i="3"/>
  <c r="FJ205" i="3"/>
  <c r="FI205" i="3"/>
  <c r="FH205" i="3"/>
  <c r="FG205" i="3"/>
  <c r="FF205" i="3"/>
  <c r="FE205" i="3"/>
  <c r="FD205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FX160" i="3"/>
  <c r="FW160" i="3"/>
  <c r="FV160" i="3"/>
  <c r="FU160" i="3"/>
  <c r="FT160" i="3"/>
  <c r="FS160" i="3"/>
  <c r="FR160" i="3"/>
  <c r="FQ160" i="3"/>
  <c r="FP160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FX139" i="3"/>
  <c r="FW139" i="3"/>
  <c r="FV139" i="3"/>
  <c r="FU139" i="3"/>
  <c r="FT139" i="3"/>
  <c r="FS139" i="3"/>
  <c r="FR139" i="3"/>
  <c r="FQ139" i="3"/>
  <c r="FP139" i="3"/>
  <c r="FO139" i="3"/>
  <c r="FN139" i="3"/>
  <c r="FM139" i="3"/>
  <c r="FL139" i="3"/>
  <c r="FK139" i="3"/>
  <c r="FJ139" i="3"/>
  <c r="FI139" i="3"/>
  <c r="FH139" i="3"/>
  <c r="FG139" i="3"/>
  <c r="FF139" i="3"/>
  <c r="FE139" i="3"/>
  <c r="FD139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GB137" i="3"/>
  <c r="FZ137" i="3"/>
  <c r="Q136" i="3"/>
  <c r="CH134" i="3"/>
  <c r="CH135" i="3" s="1"/>
  <c r="EX132" i="3"/>
  <c r="FX121" i="3"/>
  <c r="FW121" i="3"/>
  <c r="FV121" i="3"/>
  <c r="FU121" i="3"/>
  <c r="FT121" i="3"/>
  <c r="FS121" i="3"/>
  <c r="FR121" i="3"/>
  <c r="FQ121" i="3"/>
  <c r="FP121" i="3"/>
  <c r="FO121" i="3"/>
  <c r="FN121" i="3"/>
  <c r="FM121" i="3"/>
  <c r="FL121" i="3"/>
  <c r="FK121" i="3"/>
  <c r="FJ121" i="3"/>
  <c r="FI121" i="3"/>
  <c r="FH121" i="3"/>
  <c r="FG121" i="3"/>
  <c r="FF121" i="3"/>
  <c r="FE121" i="3"/>
  <c r="FD121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FX118" i="3"/>
  <c r="FW118" i="3"/>
  <c r="FV118" i="3"/>
  <c r="FU118" i="3"/>
  <c r="FT118" i="3"/>
  <c r="FS118" i="3"/>
  <c r="FR118" i="3"/>
  <c r="FQ118" i="3"/>
  <c r="FP118" i="3"/>
  <c r="FO118" i="3"/>
  <c r="FN118" i="3"/>
  <c r="FM118" i="3"/>
  <c r="FL118" i="3"/>
  <c r="FK118" i="3"/>
  <c r="FJ118" i="3"/>
  <c r="FI118" i="3"/>
  <c r="FH118" i="3"/>
  <c r="FG118" i="3"/>
  <c r="FF118" i="3"/>
  <c r="FE118" i="3"/>
  <c r="FD118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J105" i="3"/>
  <c r="EY102" i="3"/>
  <c r="DC102" i="3"/>
  <c r="BG102" i="3"/>
  <c r="K102" i="3"/>
  <c r="EL101" i="3"/>
  <c r="CP101" i="3"/>
  <c r="AT101" i="3"/>
  <c r="EI100" i="3"/>
  <c r="CM100" i="3"/>
  <c r="CC100" i="3"/>
  <c r="AQ100" i="3"/>
  <c r="BO99" i="3"/>
  <c r="FE98" i="3"/>
  <c r="FC98" i="3"/>
  <c r="ES98" i="3"/>
  <c r="DI98" i="3"/>
  <c r="DG98" i="3"/>
  <c r="CW98" i="3"/>
  <c r="BM98" i="3"/>
  <c r="BK98" i="3"/>
  <c r="BA98" i="3"/>
  <c r="Q98" i="3"/>
  <c r="O98" i="3"/>
  <c r="E98" i="3"/>
  <c r="AN97" i="3"/>
  <c r="FO95" i="3"/>
  <c r="FM95" i="3"/>
  <c r="FC95" i="3"/>
  <c r="DS95" i="3"/>
  <c r="DQ95" i="3"/>
  <c r="DG95" i="3"/>
  <c r="BW95" i="3"/>
  <c r="BU95" i="3"/>
  <c r="BK95" i="3"/>
  <c r="AA95" i="3"/>
  <c r="Y95" i="3"/>
  <c r="O95" i="3"/>
  <c r="FB94" i="3"/>
  <c r="EZ94" i="3"/>
  <c r="EP94" i="3"/>
  <c r="DF94" i="3"/>
  <c r="DD94" i="3"/>
  <c r="CT94" i="3"/>
  <c r="CT105" i="3" s="1"/>
  <c r="BJ94" i="3"/>
  <c r="BH94" i="3"/>
  <c r="AX94" i="3"/>
  <c r="N94" i="3"/>
  <c r="L94" i="3"/>
  <c r="FJ89" i="3"/>
  <c r="EZ89" i="3"/>
  <c r="DN89" i="3"/>
  <c r="DD89" i="3"/>
  <c r="BH89" i="3"/>
  <c r="L89" i="3"/>
  <c r="AW85" i="3"/>
  <c r="CG81" i="3"/>
  <c r="FZ81" i="3" s="1"/>
  <c r="FZ80" i="3"/>
  <c r="FZ79" i="3"/>
  <c r="FZ78" i="3"/>
  <c r="FZ73" i="3"/>
  <c r="FZ68" i="3"/>
  <c r="FX63" i="3"/>
  <c r="FX278" i="3" s="1"/>
  <c r="FX279" i="3" s="1"/>
  <c r="FW63" i="3"/>
  <c r="FW278" i="3" s="1"/>
  <c r="FW279" i="3" s="1"/>
  <c r="FV63" i="3"/>
  <c r="FV278" i="3" s="1"/>
  <c r="FV279" i="3" s="1"/>
  <c r="FU63" i="3"/>
  <c r="FU278" i="3" s="1"/>
  <c r="FU279" i="3" s="1"/>
  <c r="FT63" i="3"/>
  <c r="FT278" i="3" s="1"/>
  <c r="FT279" i="3" s="1"/>
  <c r="FS63" i="3"/>
  <c r="FS278" i="3" s="1"/>
  <c r="FS279" i="3" s="1"/>
  <c r="FR63" i="3"/>
  <c r="FR278" i="3" s="1"/>
  <c r="FR279" i="3" s="1"/>
  <c r="FQ63" i="3"/>
  <c r="FQ278" i="3" s="1"/>
  <c r="FQ279" i="3" s="1"/>
  <c r="FP63" i="3"/>
  <c r="FP278" i="3" s="1"/>
  <c r="FP279" i="3" s="1"/>
  <c r="FO63" i="3"/>
  <c r="FO278" i="3" s="1"/>
  <c r="FO279" i="3" s="1"/>
  <c r="FN63" i="3"/>
  <c r="FN278" i="3" s="1"/>
  <c r="FN279" i="3" s="1"/>
  <c r="FM63" i="3"/>
  <c r="FM278" i="3" s="1"/>
  <c r="FM279" i="3" s="1"/>
  <c r="FL63" i="3"/>
  <c r="FL278" i="3" s="1"/>
  <c r="FL279" i="3" s="1"/>
  <c r="FK63" i="3"/>
  <c r="FK278" i="3" s="1"/>
  <c r="FK279" i="3" s="1"/>
  <c r="FJ63" i="3"/>
  <c r="FJ278" i="3" s="1"/>
  <c r="FJ279" i="3" s="1"/>
  <c r="FI63" i="3"/>
  <c r="FI278" i="3" s="1"/>
  <c r="FI279" i="3" s="1"/>
  <c r="FH63" i="3"/>
  <c r="FH278" i="3" s="1"/>
  <c r="FH279" i="3" s="1"/>
  <c r="FG63" i="3"/>
  <c r="FG278" i="3" s="1"/>
  <c r="FG279" i="3" s="1"/>
  <c r="FF63" i="3"/>
  <c r="FF278" i="3" s="1"/>
  <c r="FF279" i="3" s="1"/>
  <c r="FE63" i="3"/>
  <c r="FE278" i="3" s="1"/>
  <c r="FE279" i="3" s="1"/>
  <c r="FD63" i="3"/>
  <c r="FD278" i="3" s="1"/>
  <c r="FD279" i="3" s="1"/>
  <c r="FC63" i="3"/>
  <c r="FC278" i="3" s="1"/>
  <c r="FC279" i="3" s="1"/>
  <c r="FB63" i="3"/>
  <c r="FB278" i="3" s="1"/>
  <c r="FB279" i="3" s="1"/>
  <c r="FA63" i="3"/>
  <c r="FA278" i="3" s="1"/>
  <c r="FA279" i="3" s="1"/>
  <c r="EZ63" i="3"/>
  <c r="EZ278" i="3" s="1"/>
  <c r="EZ279" i="3" s="1"/>
  <c r="EY63" i="3"/>
  <c r="EY278" i="3" s="1"/>
  <c r="EY279" i="3" s="1"/>
  <c r="EX63" i="3"/>
  <c r="EX278" i="3" s="1"/>
  <c r="EX279" i="3" s="1"/>
  <c r="EW63" i="3"/>
  <c r="EW278" i="3" s="1"/>
  <c r="EW279" i="3" s="1"/>
  <c r="EV63" i="3"/>
  <c r="EV278" i="3" s="1"/>
  <c r="EV279" i="3" s="1"/>
  <c r="EU63" i="3"/>
  <c r="EU278" i="3" s="1"/>
  <c r="EU279" i="3" s="1"/>
  <c r="ET63" i="3"/>
  <c r="ET278" i="3" s="1"/>
  <c r="ET279" i="3" s="1"/>
  <c r="ES63" i="3"/>
  <c r="ES278" i="3" s="1"/>
  <c r="ES279" i="3" s="1"/>
  <c r="ER63" i="3"/>
  <c r="ER278" i="3" s="1"/>
  <c r="ER279" i="3" s="1"/>
  <c r="EQ63" i="3"/>
  <c r="EQ278" i="3" s="1"/>
  <c r="EQ279" i="3" s="1"/>
  <c r="EP63" i="3"/>
  <c r="EP278" i="3" s="1"/>
  <c r="EP279" i="3" s="1"/>
  <c r="EO63" i="3"/>
  <c r="EO278" i="3" s="1"/>
  <c r="EO279" i="3" s="1"/>
  <c r="EN63" i="3"/>
  <c r="EN278" i="3" s="1"/>
  <c r="EN279" i="3" s="1"/>
  <c r="EM63" i="3"/>
  <c r="EM278" i="3" s="1"/>
  <c r="EM279" i="3" s="1"/>
  <c r="EL63" i="3"/>
  <c r="EL278" i="3" s="1"/>
  <c r="EL279" i="3" s="1"/>
  <c r="EK63" i="3"/>
  <c r="EK278" i="3" s="1"/>
  <c r="EK279" i="3" s="1"/>
  <c r="EJ63" i="3"/>
  <c r="EJ278" i="3" s="1"/>
  <c r="EJ279" i="3" s="1"/>
  <c r="EI63" i="3"/>
  <c r="EI278" i="3" s="1"/>
  <c r="EI279" i="3" s="1"/>
  <c r="EH63" i="3"/>
  <c r="EH278" i="3" s="1"/>
  <c r="EH279" i="3" s="1"/>
  <c r="EG63" i="3"/>
  <c r="EG278" i="3" s="1"/>
  <c r="EG279" i="3" s="1"/>
  <c r="EF63" i="3"/>
  <c r="EF278" i="3" s="1"/>
  <c r="EF279" i="3" s="1"/>
  <c r="EE63" i="3"/>
  <c r="EE278" i="3" s="1"/>
  <c r="EE279" i="3" s="1"/>
  <c r="ED63" i="3"/>
  <c r="ED278" i="3" s="1"/>
  <c r="ED279" i="3" s="1"/>
  <c r="EC63" i="3"/>
  <c r="EC278" i="3" s="1"/>
  <c r="EC279" i="3" s="1"/>
  <c r="EB63" i="3"/>
  <c r="EB278" i="3" s="1"/>
  <c r="EB279" i="3" s="1"/>
  <c r="EA63" i="3"/>
  <c r="EA278" i="3" s="1"/>
  <c r="EA279" i="3" s="1"/>
  <c r="DZ63" i="3"/>
  <c r="DZ278" i="3" s="1"/>
  <c r="DZ279" i="3" s="1"/>
  <c r="DY63" i="3"/>
  <c r="DY278" i="3" s="1"/>
  <c r="DY279" i="3" s="1"/>
  <c r="DX63" i="3"/>
  <c r="DX278" i="3" s="1"/>
  <c r="DX279" i="3" s="1"/>
  <c r="DW63" i="3"/>
  <c r="DW278" i="3" s="1"/>
  <c r="DW279" i="3" s="1"/>
  <c r="DV63" i="3"/>
  <c r="DV278" i="3" s="1"/>
  <c r="DV279" i="3" s="1"/>
  <c r="DU63" i="3"/>
  <c r="DU278" i="3" s="1"/>
  <c r="DU279" i="3" s="1"/>
  <c r="DT63" i="3"/>
  <c r="DT278" i="3" s="1"/>
  <c r="DT279" i="3" s="1"/>
  <c r="DS63" i="3"/>
  <c r="DS278" i="3" s="1"/>
  <c r="DS279" i="3" s="1"/>
  <c r="DR63" i="3"/>
  <c r="DR278" i="3" s="1"/>
  <c r="DR279" i="3" s="1"/>
  <c r="DQ63" i="3"/>
  <c r="DQ278" i="3" s="1"/>
  <c r="DQ279" i="3" s="1"/>
  <c r="DP63" i="3"/>
  <c r="DP278" i="3" s="1"/>
  <c r="DP279" i="3" s="1"/>
  <c r="DO63" i="3"/>
  <c r="DO278" i="3" s="1"/>
  <c r="DO279" i="3" s="1"/>
  <c r="DN63" i="3"/>
  <c r="DN278" i="3" s="1"/>
  <c r="DN279" i="3" s="1"/>
  <c r="DM63" i="3"/>
  <c r="DM278" i="3" s="1"/>
  <c r="DM279" i="3" s="1"/>
  <c r="DL63" i="3"/>
  <c r="DL278" i="3" s="1"/>
  <c r="DL279" i="3" s="1"/>
  <c r="DK63" i="3"/>
  <c r="DK278" i="3" s="1"/>
  <c r="DK279" i="3" s="1"/>
  <c r="DJ63" i="3"/>
  <c r="DJ278" i="3" s="1"/>
  <c r="DJ279" i="3" s="1"/>
  <c r="DI63" i="3"/>
  <c r="DI278" i="3" s="1"/>
  <c r="DI279" i="3" s="1"/>
  <c r="DH63" i="3"/>
  <c r="DH278" i="3" s="1"/>
  <c r="DH279" i="3" s="1"/>
  <c r="DG63" i="3"/>
  <c r="DG278" i="3" s="1"/>
  <c r="DG279" i="3" s="1"/>
  <c r="DF63" i="3"/>
  <c r="DF278" i="3" s="1"/>
  <c r="DF279" i="3" s="1"/>
  <c r="DE63" i="3"/>
  <c r="DE278" i="3" s="1"/>
  <c r="DE279" i="3" s="1"/>
  <c r="DD63" i="3"/>
  <c r="DD278" i="3" s="1"/>
  <c r="DD279" i="3" s="1"/>
  <c r="DC63" i="3"/>
  <c r="DC278" i="3" s="1"/>
  <c r="DC279" i="3" s="1"/>
  <c r="DB63" i="3"/>
  <c r="DB278" i="3" s="1"/>
  <c r="DB279" i="3" s="1"/>
  <c r="DA63" i="3"/>
  <c r="DA278" i="3" s="1"/>
  <c r="DA279" i="3" s="1"/>
  <c r="CZ63" i="3"/>
  <c r="CZ278" i="3" s="1"/>
  <c r="CZ279" i="3" s="1"/>
  <c r="CY63" i="3"/>
  <c r="CY278" i="3" s="1"/>
  <c r="CY279" i="3" s="1"/>
  <c r="CX63" i="3"/>
  <c r="CX278" i="3" s="1"/>
  <c r="CX279" i="3" s="1"/>
  <c r="CW63" i="3"/>
  <c r="CW278" i="3" s="1"/>
  <c r="CW279" i="3" s="1"/>
  <c r="CV63" i="3"/>
  <c r="CV278" i="3" s="1"/>
  <c r="CV279" i="3" s="1"/>
  <c r="CU63" i="3"/>
  <c r="CU278" i="3" s="1"/>
  <c r="CU279" i="3" s="1"/>
  <c r="CT63" i="3"/>
  <c r="CT278" i="3" s="1"/>
  <c r="CT279" i="3" s="1"/>
  <c r="CS63" i="3"/>
  <c r="CS278" i="3" s="1"/>
  <c r="CS279" i="3" s="1"/>
  <c r="CR63" i="3"/>
  <c r="CR278" i="3" s="1"/>
  <c r="CR279" i="3" s="1"/>
  <c r="CQ63" i="3"/>
  <c r="CQ278" i="3" s="1"/>
  <c r="CQ279" i="3" s="1"/>
  <c r="CP63" i="3"/>
  <c r="CP278" i="3" s="1"/>
  <c r="CP279" i="3" s="1"/>
  <c r="CO63" i="3"/>
  <c r="CO278" i="3" s="1"/>
  <c r="CO279" i="3" s="1"/>
  <c r="CN63" i="3"/>
  <c r="CN278" i="3" s="1"/>
  <c r="CN279" i="3" s="1"/>
  <c r="CM63" i="3"/>
  <c r="CM278" i="3" s="1"/>
  <c r="CM279" i="3" s="1"/>
  <c r="CL63" i="3"/>
  <c r="CL278" i="3" s="1"/>
  <c r="CL279" i="3" s="1"/>
  <c r="CK63" i="3"/>
  <c r="CK278" i="3" s="1"/>
  <c r="CK279" i="3" s="1"/>
  <c r="CJ63" i="3"/>
  <c r="CJ278" i="3" s="1"/>
  <c r="CJ279" i="3" s="1"/>
  <c r="CI63" i="3"/>
  <c r="CI278" i="3" s="1"/>
  <c r="CI279" i="3" s="1"/>
  <c r="CH63" i="3"/>
  <c r="CH278" i="3" s="1"/>
  <c r="CH279" i="3" s="1"/>
  <c r="CG63" i="3"/>
  <c r="CG278" i="3" s="1"/>
  <c r="CG279" i="3" s="1"/>
  <c r="CF63" i="3"/>
  <c r="CF278" i="3" s="1"/>
  <c r="CF279" i="3" s="1"/>
  <c r="CE63" i="3"/>
  <c r="CE278" i="3" s="1"/>
  <c r="CE279" i="3" s="1"/>
  <c r="CD63" i="3"/>
  <c r="CD278" i="3" s="1"/>
  <c r="CD279" i="3" s="1"/>
  <c r="CC63" i="3"/>
  <c r="CC278" i="3" s="1"/>
  <c r="CC279" i="3" s="1"/>
  <c r="CB63" i="3"/>
  <c r="CB278" i="3" s="1"/>
  <c r="CB279" i="3" s="1"/>
  <c r="CA63" i="3"/>
  <c r="CA278" i="3" s="1"/>
  <c r="CA279" i="3" s="1"/>
  <c r="BZ63" i="3"/>
  <c r="BZ278" i="3" s="1"/>
  <c r="BZ279" i="3" s="1"/>
  <c r="BY63" i="3"/>
  <c r="BY278" i="3" s="1"/>
  <c r="BY279" i="3" s="1"/>
  <c r="BX63" i="3"/>
  <c r="BX278" i="3" s="1"/>
  <c r="BX279" i="3" s="1"/>
  <c r="BW63" i="3"/>
  <c r="BW278" i="3" s="1"/>
  <c r="BW279" i="3" s="1"/>
  <c r="BV63" i="3"/>
  <c r="BV278" i="3" s="1"/>
  <c r="BV279" i="3" s="1"/>
  <c r="BU63" i="3"/>
  <c r="BU278" i="3" s="1"/>
  <c r="BU279" i="3" s="1"/>
  <c r="BT63" i="3"/>
  <c r="BT278" i="3" s="1"/>
  <c r="BT279" i="3" s="1"/>
  <c r="BS63" i="3"/>
  <c r="BS278" i="3" s="1"/>
  <c r="BS279" i="3" s="1"/>
  <c r="BR63" i="3"/>
  <c r="BR278" i="3" s="1"/>
  <c r="BR279" i="3" s="1"/>
  <c r="BQ63" i="3"/>
  <c r="BQ278" i="3" s="1"/>
  <c r="BQ279" i="3" s="1"/>
  <c r="BP63" i="3"/>
  <c r="BP278" i="3" s="1"/>
  <c r="BP279" i="3" s="1"/>
  <c r="BO63" i="3"/>
  <c r="BO278" i="3" s="1"/>
  <c r="BO279" i="3" s="1"/>
  <c r="BN63" i="3"/>
  <c r="BN278" i="3" s="1"/>
  <c r="BN279" i="3" s="1"/>
  <c r="BM63" i="3"/>
  <c r="BM278" i="3" s="1"/>
  <c r="BM279" i="3" s="1"/>
  <c r="BL63" i="3"/>
  <c r="BL278" i="3" s="1"/>
  <c r="BL279" i="3" s="1"/>
  <c r="BK63" i="3"/>
  <c r="BK278" i="3" s="1"/>
  <c r="BK279" i="3" s="1"/>
  <c r="BJ63" i="3"/>
  <c r="BJ278" i="3" s="1"/>
  <c r="BJ279" i="3" s="1"/>
  <c r="BI63" i="3"/>
  <c r="BI278" i="3" s="1"/>
  <c r="BI279" i="3" s="1"/>
  <c r="BH63" i="3"/>
  <c r="BH278" i="3" s="1"/>
  <c r="BH279" i="3" s="1"/>
  <c r="BG63" i="3"/>
  <c r="BG278" i="3" s="1"/>
  <c r="BG279" i="3" s="1"/>
  <c r="BF63" i="3"/>
  <c r="BF278" i="3" s="1"/>
  <c r="BF279" i="3" s="1"/>
  <c r="BE63" i="3"/>
  <c r="BE278" i="3" s="1"/>
  <c r="BE279" i="3" s="1"/>
  <c r="BD63" i="3"/>
  <c r="BD278" i="3" s="1"/>
  <c r="BD279" i="3" s="1"/>
  <c r="BC63" i="3"/>
  <c r="BC278" i="3" s="1"/>
  <c r="BC279" i="3" s="1"/>
  <c r="BB63" i="3"/>
  <c r="BB278" i="3" s="1"/>
  <c r="BB279" i="3" s="1"/>
  <c r="BA63" i="3"/>
  <c r="BA278" i="3" s="1"/>
  <c r="BA279" i="3" s="1"/>
  <c r="AZ63" i="3"/>
  <c r="AZ278" i="3" s="1"/>
  <c r="AZ279" i="3" s="1"/>
  <c r="AY63" i="3"/>
  <c r="AY278" i="3" s="1"/>
  <c r="AY279" i="3" s="1"/>
  <c r="AX63" i="3"/>
  <c r="AX278" i="3" s="1"/>
  <c r="AX279" i="3" s="1"/>
  <c r="AW63" i="3"/>
  <c r="AW278" i="3" s="1"/>
  <c r="AW279" i="3" s="1"/>
  <c r="AV63" i="3"/>
  <c r="AV278" i="3" s="1"/>
  <c r="AV279" i="3" s="1"/>
  <c r="AU63" i="3"/>
  <c r="AU278" i="3" s="1"/>
  <c r="AU279" i="3" s="1"/>
  <c r="AT63" i="3"/>
  <c r="AT278" i="3" s="1"/>
  <c r="AT279" i="3" s="1"/>
  <c r="AS63" i="3"/>
  <c r="AS278" i="3" s="1"/>
  <c r="AS279" i="3" s="1"/>
  <c r="AR63" i="3"/>
  <c r="AR278" i="3" s="1"/>
  <c r="AR279" i="3" s="1"/>
  <c r="AQ63" i="3"/>
  <c r="AQ278" i="3" s="1"/>
  <c r="AQ279" i="3" s="1"/>
  <c r="AP63" i="3"/>
  <c r="AP278" i="3" s="1"/>
  <c r="AP279" i="3" s="1"/>
  <c r="AO63" i="3"/>
  <c r="AO278" i="3" s="1"/>
  <c r="AO279" i="3" s="1"/>
  <c r="AN63" i="3"/>
  <c r="AN278" i="3" s="1"/>
  <c r="AN279" i="3" s="1"/>
  <c r="AM63" i="3"/>
  <c r="AM278" i="3" s="1"/>
  <c r="AM279" i="3" s="1"/>
  <c r="AL63" i="3"/>
  <c r="AL278" i="3" s="1"/>
  <c r="AL279" i="3" s="1"/>
  <c r="AK63" i="3"/>
  <c r="AK278" i="3" s="1"/>
  <c r="AK279" i="3" s="1"/>
  <c r="AJ63" i="3"/>
  <c r="AJ278" i="3" s="1"/>
  <c r="AJ279" i="3" s="1"/>
  <c r="AI63" i="3"/>
  <c r="AI278" i="3" s="1"/>
  <c r="AI279" i="3" s="1"/>
  <c r="AH63" i="3"/>
  <c r="AH278" i="3" s="1"/>
  <c r="AH279" i="3" s="1"/>
  <c r="AG63" i="3"/>
  <c r="AG278" i="3" s="1"/>
  <c r="AG279" i="3" s="1"/>
  <c r="AF63" i="3"/>
  <c r="AF278" i="3" s="1"/>
  <c r="AF279" i="3" s="1"/>
  <c r="AE63" i="3"/>
  <c r="AE278" i="3" s="1"/>
  <c r="AE279" i="3" s="1"/>
  <c r="AD63" i="3"/>
  <c r="AD278" i="3" s="1"/>
  <c r="AD279" i="3" s="1"/>
  <c r="AC63" i="3"/>
  <c r="AC278" i="3" s="1"/>
  <c r="AC279" i="3" s="1"/>
  <c r="AB63" i="3"/>
  <c r="AB278" i="3" s="1"/>
  <c r="AB279" i="3" s="1"/>
  <c r="AA63" i="3"/>
  <c r="AA278" i="3" s="1"/>
  <c r="AA279" i="3" s="1"/>
  <c r="Z63" i="3"/>
  <c r="Z278" i="3" s="1"/>
  <c r="Z279" i="3" s="1"/>
  <c r="Y63" i="3"/>
  <c r="Y278" i="3" s="1"/>
  <c r="Y279" i="3" s="1"/>
  <c r="X63" i="3"/>
  <c r="X278" i="3" s="1"/>
  <c r="X279" i="3" s="1"/>
  <c r="W63" i="3"/>
  <c r="W278" i="3" s="1"/>
  <c r="W279" i="3" s="1"/>
  <c r="V63" i="3"/>
  <c r="V278" i="3" s="1"/>
  <c r="V279" i="3" s="1"/>
  <c r="U63" i="3"/>
  <c r="U278" i="3" s="1"/>
  <c r="U279" i="3" s="1"/>
  <c r="T63" i="3"/>
  <c r="T278" i="3" s="1"/>
  <c r="T279" i="3" s="1"/>
  <c r="S63" i="3"/>
  <c r="S278" i="3" s="1"/>
  <c r="S279" i="3" s="1"/>
  <c r="R63" i="3"/>
  <c r="R278" i="3" s="1"/>
  <c r="R279" i="3" s="1"/>
  <c r="Q63" i="3"/>
  <c r="Q278" i="3" s="1"/>
  <c r="Q279" i="3" s="1"/>
  <c r="P63" i="3"/>
  <c r="P278" i="3" s="1"/>
  <c r="P279" i="3" s="1"/>
  <c r="O63" i="3"/>
  <c r="O278" i="3" s="1"/>
  <c r="O279" i="3" s="1"/>
  <c r="N63" i="3"/>
  <c r="N278" i="3" s="1"/>
  <c r="N279" i="3" s="1"/>
  <c r="M63" i="3"/>
  <c r="M278" i="3" s="1"/>
  <c r="M279" i="3" s="1"/>
  <c r="L63" i="3"/>
  <c r="L278" i="3" s="1"/>
  <c r="L279" i="3" s="1"/>
  <c r="K63" i="3"/>
  <c r="K278" i="3" s="1"/>
  <c r="K279" i="3" s="1"/>
  <c r="J63" i="3"/>
  <c r="J278" i="3" s="1"/>
  <c r="J279" i="3" s="1"/>
  <c r="I63" i="3"/>
  <c r="I278" i="3" s="1"/>
  <c r="I279" i="3" s="1"/>
  <c r="H63" i="3"/>
  <c r="H278" i="3" s="1"/>
  <c r="H279" i="3" s="1"/>
  <c r="G63" i="3"/>
  <c r="G278" i="3" s="1"/>
  <c r="G279" i="3" s="1"/>
  <c r="F63" i="3"/>
  <c r="F278" i="3" s="1"/>
  <c r="F279" i="3" s="1"/>
  <c r="E63" i="3"/>
  <c r="E278" i="3" s="1"/>
  <c r="E279" i="3" s="1"/>
  <c r="D63" i="3"/>
  <c r="D278" i="3" s="1"/>
  <c r="D279" i="3" s="1"/>
  <c r="C63" i="3"/>
  <c r="C278" i="3" s="1"/>
  <c r="FZ62" i="3"/>
  <c r="FZ61" i="3"/>
  <c r="FZ60" i="3"/>
  <c r="FZ59" i="3"/>
  <c r="FZ58" i="3"/>
  <c r="FZ57" i="3"/>
  <c r="FZ53" i="3"/>
  <c r="FZ50" i="3"/>
  <c r="FZ49" i="3"/>
  <c r="C48" i="3"/>
  <c r="C47" i="3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FX40" i="3"/>
  <c r="FX213" i="3" s="1"/>
  <c r="FW40" i="3"/>
  <c r="FW213" i="3" s="1"/>
  <c r="FV40" i="3"/>
  <c r="FV213" i="3" s="1"/>
  <c r="FU40" i="3"/>
  <c r="FU213" i="3" s="1"/>
  <c r="FT40" i="3"/>
  <c r="FT213" i="3" s="1"/>
  <c r="FS40" i="3"/>
  <c r="FS213" i="3" s="1"/>
  <c r="FR40" i="3"/>
  <c r="FR213" i="3" s="1"/>
  <c r="FQ40" i="3"/>
  <c r="FQ213" i="3" s="1"/>
  <c r="FP40" i="3"/>
  <c r="FP213" i="3" s="1"/>
  <c r="FO40" i="3"/>
  <c r="FO213" i="3" s="1"/>
  <c r="FN40" i="3"/>
  <c r="FN213" i="3" s="1"/>
  <c r="FM40" i="3"/>
  <c r="FM213" i="3" s="1"/>
  <c r="FL40" i="3"/>
  <c r="FL213" i="3" s="1"/>
  <c r="FK40" i="3"/>
  <c r="FK213" i="3" s="1"/>
  <c r="FJ40" i="3"/>
  <c r="FJ213" i="3" s="1"/>
  <c r="FI40" i="3"/>
  <c r="FI213" i="3" s="1"/>
  <c r="FH40" i="3"/>
  <c r="FH213" i="3" s="1"/>
  <c r="FG40" i="3"/>
  <c r="FG213" i="3" s="1"/>
  <c r="FF40" i="3"/>
  <c r="FF213" i="3" s="1"/>
  <c r="FE40" i="3"/>
  <c r="FE213" i="3" s="1"/>
  <c r="FD40" i="3"/>
  <c r="FD213" i="3" s="1"/>
  <c r="FC40" i="3"/>
  <c r="FC213" i="3" s="1"/>
  <c r="FB40" i="3"/>
  <c r="FB213" i="3" s="1"/>
  <c r="FA40" i="3"/>
  <c r="FA213" i="3" s="1"/>
  <c r="EZ40" i="3"/>
  <c r="EZ213" i="3" s="1"/>
  <c r="EY40" i="3"/>
  <c r="EY213" i="3" s="1"/>
  <c r="EX40" i="3"/>
  <c r="EX213" i="3" s="1"/>
  <c r="EW40" i="3"/>
  <c r="EW213" i="3" s="1"/>
  <c r="EV40" i="3"/>
  <c r="EV213" i="3" s="1"/>
  <c r="EU40" i="3"/>
  <c r="EU213" i="3" s="1"/>
  <c r="ET40" i="3"/>
  <c r="ET213" i="3" s="1"/>
  <c r="ES40" i="3"/>
  <c r="ES213" i="3" s="1"/>
  <c r="ER40" i="3"/>
  <c r="ER213" i="3" s="1"/>
  <c r="EQ40" i="3"/>
  <c r="EQ213" i="3" s="1"/>
  <c r="EP40" i="3"/>
  <c r="EP213" i="3" s="1"/>
  <c r="EO40" i="3"/>
  <c r="EO213" i="3" s="1"/>
  <c r="EN40" i="3"/>
  <c r="EN213" i="3" s="1"/>
  <c r="EM40" i="3"/>
  <c r="EM213" i="3" s="1"/>
  <c r="EL40" i="3"/>
  <c r="EL213" i="3" s="1"/>
  <c r="EK40" i="3"/>
  <c r="EK213" i="3" s="1"/>
  <c r="EJ40" i="3"/>
  <c r="EJ213" i="3" s="1"/>
  <c r="EI40" i="3"/>
  <c r="EI213" i="3" s="1"/>
  <c r="EH40" i="3"/>
  <c r="EH213" i="3" s="1"/>
  <c r="EG40" i="3"/>
  <c r="EG213" i="3" s="1"/>
  <c r="EF40" i="3"/>
  <c r="EF213" i="3" s="1"/>
  <c r="EE40" i="3"/>
  <c r="EE213" i="3" s="1"/>
  <c r="ED40" i="3"/>
  <c r="ED213" i="3" s="1"/>
  <c r="EC40" i="3"/>
  <c r="EC213" i="3" s="1"/>
  <c r="EB40" i="3"/>
  <c r="EB213" i="3" s="1"/>
  <c r="EA40" i="3"/>
  <c r="EA213" i="3" s="1"/>
  <c r="DZ40" i="3"/>
  <c r="DZ213" i="3" s="1"/>
  <c r="DY40" i="3"/>
  <c r="DY213" i="3" s="1"/>
  <c r="DX40" i="3"/>
  <c r="DX213" i="3" s="1"/>
  <c r="DW40" i="3"/>
  <c r="DW213" i="3" s="1"/>
  <c r="DV40" i="3"/>
  <c r="DV213" i="3" s="1"/>
  <c r="DU40" i="3"/>
  <c r="DU213" i="3" s="1"/>
  <c r="DT40" i="3"/>
  <c r="DT213" i="3" s="1"/>
  <c r="DS40" i="3"/>
  <c r="DS213" i="3" s="1"/>
  <c r="DR40" i="3"/>
  <c r="DR213" i="3" s="1"/>
  <c r="DQ40" i="3"/>
  <c r="DQ213" i="3" s="1"/>
  <c r="DP40" i="3"/>
  <c r="DP213" i="3" s="1"/>
  <c r="DO40" i="3"/>
  <c r="DO213" i="3" s="1"/>
  <c r="DN40" i="3"/>
  <c r="DN213" i="3" s="1"/>
  <c r="DM40" i="3"/>
  <c r="DM213" i="3" s="1"/>
  <c r="DL40" i="3"/>
  <c r="DL213" i="3" s="1"/>
  <c r="DK40" i="3"/>
  <c r="DK213" i="3" s="1"/>
  <c r="DJ40" i="3"/>
  <c r="DJ213" i="3" s="1"/>
  <c r="DI40" i="3"/>
  <c r="DI213" i="3" s="1"/>
  <c r="DH40" i="3"/>
  <c r="DH213" i="3" s="1"/>
  <c r="DG40" i="3"/>
  <c r="DG213" i="3" s="1"/>
  <c r="DF40" i="3"/>
  <c r="DF213" i="3" s="1"/>
  <c r="DE40" i="3"/>
  <c r="DE213" i="3" s="1"/>
  <c r="DD40" i="3"/>
  <c r="DD213" i="3" s="1"/>
  <c r="DC40" i="3"/>
  <c r="DC213" i="3" s="1"/>
  <c r="DB40" i="3"/>
  <c r="DB213" i="3" s="1"/>
  <c r="DA40" i="3"/>
  <c r="DA213" i="3" s="1"/>
  <c r="CZ40" i="3"/>
  <c r="CZ213" i="3" s="1"/>
  <c r="CY40" i="3"/>
  <c r="CY213" i="3" s="1"/>
  <c r="CX40" i="3"/>
  <c r="CX213" i="3" s="1"/>
  <c r="CW40" i="3"/>
  <c r="CW213" i="3" s="1"/>
  <c r="CV40" i="3"/>
  <c r="CV213" i="3" s="1"/>
  <c r="CU40" i="3"/>
  <c r="CU213" i="3" s="1"/>
  <c r="CT40" i="3"/>
  <c r="CT213" i="3" s="1"/>
  <c r="CS40" i="3"/>
  <c r="CS213" i="3" s="1"/>
  <c r="CR40" i="3"/>
  <c r="CR213" i="3" s="1"/>
  <c r="CQ40" i="3"/>
  <c r="CQ213" i="3" s="1"/>
  <c r="CP40" i="3"/>
  <c r="CP213" i="3" s="1"/>
  <c r="CO40" i="3"/>
  <c r="CO213" i="3" s="1"/>
  <c r="CN40" i="3"/>
  <c r="CN213" i="3" s="1"/>
  <c r="CM40" i="3"/>
  <c r="CM213" i="3" s="1"/>
  <c r="CL40" i="3"/>
  <c r="CL213" i="3" s="1"/>
  <c r="CK40" i="3"/>
  <c r="CK213" i="3" s="1"/>
  <c r="CJ40" i="3"/>
  <c r="CJ213" i="3" s="1"/>
  <c r="CI40" i="3"/>
  <c r="CI213" i="3" s="1"/>
  <c r="CH40" i="3"/>
  <c r="CH213" i="3" s="1"/>
  <c r="CG40" i="3"/>
  <c r="CG213" i="3" s="1"/>
  <c r="CF40" i="3"/>
  <c r="CF213" i="3" s="1"/>
  <c r="CE40" i="3"/>
  <c r="CE213" i="3" s="1"/>
  <c r="CD40" i="3"/>
  <c r="CD213" i="3" s="1"/>
  <c r="CC40" i="3"/>
  <c r="CC213" i="3" s="1"/>
  <c r="CB40" i="3"/>
  <c r="CB213" i="3" s="1"/>
  <c r="CA40" i="3"/>
  <c r="CA213" i="3" s="1"/>
  <c r="BZ40" i="3"/>
  <c r="BZ213" i="3" s="1"/>
  <c r="BY40" i="3"/>
  <c r="BY213" i="3" s="1"/>
  <c r="BX40" i="3"/>
  <c r="BX213" i="3" s="1"/>
  <c r="BW40" i="3"/>
  <c r="BW213" i="3" s="1"/>
  <c r="BV40" i="3"/>
  <c r="BV213" i="3" s="1"/>
  <c r="BU40" i="3"/>
  <c r="BU213" i="3" s="1"/>
  <c r="BT40" i="3"/>
  <c r="BT213" i="3" s="1"/>
  <c r="BS40" i="3"/>
  <c r="BS213" i="3" s="1"/>
  <c r="BR40" i="3"/>
  <c r="BR213" i="3" s="1"/>
  <c r="BQ40" i="3"/>
  <c r="BQ213" i="3" s="1"/>
  <c r="BP40" i="3"/>
  <c r="BP213" i="3" s="1"/>
  <c r="BO40" i="3"/>
  <c r="BO213" i="3" s="1"/>
  <c r="BN40" i="3"/>
  <c r="BN213" i="3" s="1"/>
  <c r="BM40" i="3"/>
  <c r="BM213" i="3" s="1"/>
  <c r="BL40" i="3"/>
  <c r="BL213" i="3" s="1"/>
  <c r="BK40" i="3"/>
  <c r="BK213" i="3" s="1"/>
  <c r="BJ40" i="3"/>
  <c r="BJ213" i="3" s="1"/>
  <c r="BI40" i="3"/>
  <c r="BI213" i="3" s="1"/>
  <c r="BH40" i="3"/>
  <c r="BH213" i="3" s="1"/>
  <c r="BG40" i="3"/>
  <c r="BG213" i="3" s="1"/>
  <c r="BF40" i="3"/>
  <c r="BF213" i="3" s="1"/>
  <c r="BE40" i="3"/>
  <c r="BE213" i="3" s="1"/>
  <c r="BD40" i="3"/>
  <c r="BD213" i="3" s="1"/>
  <c r="BC40" i="3"/>
  <c r="BC213" i="3" s="1"/>
  <c r="BB40" i="3"/>
  <c r="BB213" i="3" s="1"/>
  <c r="BA40" i="3"/>
  <c r="BA213" i="3" s="1"/>
  <c r="AZ40" i="3"/>
  <c r="AZ213" i="3" s="1"/>
  <c r="AY40" i="3"/>
  <c r="AY213" i="3" s="1"/>
  <c r="AX40" i="3"/>
  <c r="AX213" i="3" s="1"/>
  <c r="AW40" i="3"/>
  <c r="AW213" i="3" s="1"/>
  <c r="AV40" i="3"/>
  <c r="AV213" i="3" s="1"/>
  <c r="AU40" i="3"/>
  <c r="AU213" i="3" s="1"/>
  <c r="AT40" i="3"/>
  <c r="AT213" i="3" s="1"/>
  <c r="AS40" i="3"/>
  <c r="AS213" i="3" s="1"/>
  <c r="AR40" i="3"/>
  <c r="AR213" i="3" s="1"/>
  <c r="AQ40" i="3"/>
  <c r="AQ213" i="3" s="1"/>
  <c r="AP40" i="3"/>
  <c r="AP213" i="3" s="1"/>
  <c r="AO40" i="3"/>
  <c r="AO213" i="3" s="1"/>
  <c r="AN40" i="3"/>
  <c r="AN213" i="3" s="1"/>
  <c r="AM40" i="3"/>
  <c r="AM213" i="3" s="1"/>
  <c r="AL40" i="3"/>
  <c r="AL213" i="3" s="1"/>
  <c r="AK40" i="3"/>
  <c r="AK213" i="3" s="1"/>
  <c r="AJ40" i="3"/>
  <c r="AJ213" i="3" s="1"/>
  <c r="AI40" i="3"/>
  <c r="AI213" i="3" s="1"/>
  <c r="AH40" i="3"/>
  <c r="AH213" i="3" s="1"/>
  <c r="AG40" i="3"/>
  <c r="AG213" i="3" s="1"/>
  <c r="AF40" i="3"/>
  <c r="AF213" i="3" s="1"/>
  <c r="AE40" i="3"/>
  <c r="AE213" i="3" s="1"/>
  <c r="AD40" i="3"/>
  <c r="AD213" i="3" s="1"/>
  <c r="AC40" i="3"/>
  <c r="AC213" i="3" s="1"/>
  <c r="AB40" i="3"/>
  <c r="AB213" i="3" s="1"/>
  <c r="AA40" i="3"/>
  <c r="AA213" i="3" s="1"/>
  <c r="Z40" i="3"/>
  <c r="Z213" i="3" s="1"/>
  <c r="Y40" i="3"/>
  <c r="Y213" i="3" s="1"/>
  <c r="X40" i="3"/>
  <c r="X213" i="3" s="1"/>
  <c r="W40" i="3"/>
  <c r="W213" i="3" s="1"/>
  <c r="V40" i="3"/>
  <c r="V213" i="3" s="1"/>
  <c r="U40" i="3"/>
  <c r="U213" i="3" s="1"/>
  <c r="T40" i="3"/>
  <c r="T213" i="3" s="1"/>
  <c r="S40" i="3"/>
  <c r="S213" i="3" s="1"/>
  <c r="R40" i="3"/>
  <c r="R213" i="3" s="1"/>
  <c r="Q40" i="3"/>
  <c r="Q213" i="3" s="1"/>
  <c r="P40" i="3"/>
  <c r="P213" i="3" s="1"/>
  <c r="O40" i="3"/>
  <c r="O213" i="3" s="1"/>
  <c r="N40" i="3"/>
  <c r="N213" i="3" s="1"/>
  <c r="M40" i="3"/>
  <c r="M213" i="3" s="1"/>
  <c r="L40" i="3"/>
  <c r="L213" i="3" s="1"/>
  <c r="K40" i="3"/>
  <c r="J40" i="3"/>
  <c r="J213" i="3" s="1"/>
  <c r="I40" i="3"/>
  <c r="I213" i="3" s="1"/>
  <c r="H40" i="3"/>
  <c r="H213" i="3" s="1"/>
  <c r="G40" i="3"/>
  <c r="G213" i="3" s="1"/>
  <c r="F40" i="3"/>
  <c r="F213" i="3" s="1"/>
  <c r="E40" i="3"/>
  <c r="E213" i="3" s="1"/>
  <c r="D40" i="3"/>
  <c r="D213" i="3" s="1"/>
  <c r="FZ36" i="3"/>
  <c r="FX35" i="3"/>
  <c r="FX100" i="3" s="1"/>
  <c r="FW35" i="3"/>
  <c r="FW100" i="3" s="1"/>
  <c r="FV35" i="3"/>
  <c r="FV100" i="3" s="1"/>
  <c r="FU35" i="3"/>
  <c r="FU100" i="3" s="1"/>
  <c r="FT35" i="3"/>
  <c r="FT100" i="3" s="1"/>
  <c r="FS35" i="3"/>
  <c r="FS100" i="3" s="1"/>
  <c r="FR35" i="3"/>
  <c r="FR100" i="3" s="1"/>
  <c r="FQ35" i="3"/>
  <c r="FQ100" i="3" s="1"/>
  <c r="FP35" i="3"/>
  <c r="FP100" i="3" s="1"/>
  <c r="FO35" i="3"/>
  <c r="FO100" i="3" s="1"/>
  <c r="FN35" i="3"/>
  <c r="FN100" i="3" s="1"/>
  <c r="FM35" i="3"/>
  <c r="FM100" i="3" s="1"/>
  <c r="FL35" i="3"/>
  <c r="FL100" i="3" s="1"/>
  <c r="FK35" i="3"/>
  <c r="FK100" i="3" s="1"/>
  <c r="FJ35" i="3"/>
  <c r="FJ100" i="3" s="1"/>
  <c r="FI35" i="3"/>
  <c r="FI100" i="3" s="1"/>
  <c r="FH35" i="3"/>
  <c r="FH100" i="3" s="1"/>
  <c r="FG35" i="3"/>
  <c r="FG100" i="3" s="1"/>
  <c r="FF35" i="3"/>
  <c r="FF100" i="3" s="1"/>
  <c r="FE35" i="3"/>
  <c r="FE100" i="3" s="1"/>
  <c r="FD35" i="3"/>
  <c r="FD100" i="3" s="1"/>
  <c r="FC35" i="3"/>
  <c r="FC100" i="3" s="1"/>
  <c r="FB35" i="3"/>
  <c r="FB100" i="3" s="1"/>
  <c r="FA35" i="3"/>
  <c r="FA100" i="3" s="1"/>
  <c r="EZ35" i="3"/>
  <c r="EZ100" i="3" s="1"/>
  <c r="EY35" i="3"/>
  <c r="EY100" i="3" s="1"/>
  <c r="EX35" i="3"/>
  <c r="EX100" i="3" s="1"/>
  <c r="EW35" i="3"/>
  <c r="EW100" i="3" s="1"/>
  <c r="EV35" i="3"/>
  <c r="EV100" i="3" s="1"/>
  <c r="EU35" i="3"/>
  <c r="EU100" i="3" s="1"/>
  <c r="ET35" i="3"/>
  <c r="ET100" i="3" s="1"/>
  <c r="ES35" i="3"/>
  <c r="ES100" i="3" s="1"/>
  <c r="ER35" i="3"/>
  <c r="ER100" i="3" s="1"/>
  <c r="EQ35" i="3"/>
  <c r="EQ100" i="3" s="1"/>
  <c r="EP35" i="3"/>
  <c r="EP100" i="3" s="1"/>
  <c r="EO35" i="3"/>
  <c r="EO100" i="3" s="1"/>
  <c r="EN35" i="3"/>
  <c r="EN100" i="3" s="1"/>
  <c r="EM35" i="3"/>
  <c r="EM100" i="3" s="1"/>
  <c r="EL35" i="3"/>
  <c r="EL100" i="3" s="1"/>
  <c r="EK35" i="3"/>
  <c r="EK100" i="3" s="1"/>
  <c r="EJ35" i="3"/>
  <c r="EJ100" i="3" s="1"/>
  <c r="EI35" i="3"/>
  <c r="EH35" i="3"/>
  <c r="EH100" i="3" s="1"/>
  <c r="EG35" i="3"/>
  <c r="EG100" i="3" s="1"/>
  <c r="EF35" i="3"/>
  <c r="EF100" i="3" s="1"/>
  <c r="EE35" i="3"/>
  <c r="EE100" i="3" s="1"/>
  <c r="ED35" i="3"/>
  <c r="ED100" i="3" s="1"/>
  <c r="EC35" i="3"/>
  <c r="EC100" i="3" s="1"/>
  <c r="EB35" i="3"/>
  <c r="EB100" i="3" s="1"/>
  <c r="EA35" i="3"/>
  <c r="EA100" i="3" s="1"/>
  <c r="DZ35" i="3"/>
  <c r="DZ100" i="3" s="1"/>
  <c r="DY35" i="3"/>
  <c r="DY100" i="3" s="1"/>
  <c r="DX35" i="3"/>
  <c r="DX100" i="3" s="1"/>
  <c r="DW35" i="3"/>
  <c r="DW100" i="3" s="1"/>
  <c r="DV35" i="3"/>
  <c r="DV100" i="3" s="1"/>
  <c r="DU35" i="3"/>
  <c r="DU100" i="3" s="1"/>
  <c r="DT35" i="3"/>
  <c r="DT100" i="3" s="1"/>
  <c r="DS35" i="3"/>
  <c r="DS100" i="3" s="1"/>
  <c r="DR35" i="3"/>
  <c r="DR100" i="3" s="1"/>
  <c r="DQ35" i="3"/>
  <c r="DQ100" i="3" s="1"/>
  <c r="DP35" i="3"/>
  <c r="DP100" i="3" s="1"/>
  <c r="DO35" i="3"/>
  <c r="DO100" i="3" s="1"/>
  <c r="DN35" i="3"/>
  <c r="DN100" i="3" s="1"/>
  <c r="DM35" i="3"/>
  <c r="DM100" i="3" s="1"/>
  <c r="DL35" i="3"/>
  <c r="DL100" i="3" s="1"/>
  <c r="DK35" i="3"/>
  <c r="DK100" i="3" s="1"/>
  <c r="DJ35" i="3"/>
  <c r="DJ100" i="3" s="1"/>
  <c r="DI35" i="3"/>
  <c r="DI100" i="3" s="1"/>
  <c r="DH35" i="3"/>
  <c r="DH100" i="3" s="1"/>
  <c r="DG35" i="3"/>
  <c r="DG100" i="3" s="1"/>
  <c r="DF35" i="3"/>
  <c r="DF100" i="3" s="1"/>
  <c r="DE35" i="3"/>
  <c r="DE100" i="3" s="1"/>
  <c r="DD35" i="3"/>
  <c r="DD100" i="3" s="1"/>
  <c r="DC35" i="3"/>
  <c r="DC100" i="3" s="1"/>
  <c r="DB35" i="3"/>
  <c r="DB100" i="3" s="1"/>
  <c r="DA35" i="3"/>
  <c r="DA100" i="3" s="1"/>
  <c r="CZ35" i="3"/>
  <c r="CZ100" i="3" s="1"/>
  <c r="CY35" i="3"/>
  <c r="CY100" i="3" s="1"/>
  <c r="CX35" i="3"/>
  <c r="CX100" i="3" s="1"/>
  <c r="CW35" i="3"/>
  <c r="CW100" i="3" s="1"/>
  <c r="CV35" i="3"/>
  <c r="CV100" i="3" s="1"/>
  <c r="CU35" i="3"/>
  <c r="CU100" i="3" s="1"/>
  <c r="CT35" i="3"/>
  <c r="CT100" i="3" s="1"/>
  <c r="CS35" i="3"/>
  <c r="CS100" i="3" s="1"/>
  <c r="CR35" i="3"/>
  <c r="CR100" i="3" s="1"/>
  <c r="CQ35" i="3"/>
  <c r="CQ100" i="3" s="1"/>
  <c r="CP35" i="3"/>
  <c r="CP100" i="3" s="1"/>
  <c r="CO35" i="3"/>
  <c r="CO100" i="3" s="1"/>
  <c r="CN35" i="3"/>
  <c r="CN100" i="3" s="1"/>
  <c r="CM35" i="3"/>
  <c r="CL35" i="3"/>
  <c r="CL100" i="3" s="1"/>
  <c r="CK35" i="3"/>
  <c r="CK100" i="3" s="1"/>
  <c r="CJ35" i="3"/>
  <c r="CJ100" i="3" s="1"/>
  <c r="CI35" i="3"/>
  <c r="CI100" i="3" s="1"/>
  <c r="CH35" i="3"/>
  <c r="CH100" i="3" s="1"/>
  <c r="CG35" i="3"/>
  <c r="CG100" i="3" s="1"/>
  <c r="CF35" i="3"/>
  <c r="CF100" i="3" s="1"/>
  <c r="CE35" i="3"/>
  <c r="CE100" i="3" s="1"/>
  <c r="CD35" i="3"/>
  <c r="CD100" i="3" s="1"/>
  <c r="CC35" i="3"/>
  <c r="CB35" i="3"/>
  <c r="CB100" i="3" s="1"/>
  <c r="CA35" i="3"/>
  <c r="CA100" i="3" s="1"/>
  <c r="BZ35" i="3"/>
  <c r="BZ100" i="3" s="1"/>
  <c r="BY35" i="3"/>
  <c r="BY100" i="3" s="1"/>
  <c r="BX35" i="3"/>
  <c r="BX100" i="3" s="1"/>
  <c r="BW35" i="3"/>
  <c r="BW100" i="3" s="1"/>
  <c r="BV35" i="3"/>
  <c r="BV100" i="3" s="1"/>
  <c r="BU35" i="3"/>
  <c r="BU100" i="3" s="1"/>
  <c r="BT35" i="3"/>
  <c r="BT100" i="3" s="1"/>
  <c r="BS35" i="3"/>
  <c r="BS100" i="3" s="1"/>
  <c r="BR35" i="3"/>
  <c r="BR100" i="3" s="1"/>
  <c r="BQ35" i="3"/>
  <c r="BQ100" i="3" s="1"/>
  <c r="BP35" i="3"/>
  <c r="BP100" i="3" s="1"/>
  <c r="BO35" i="3"/>
  <c r="BO100" i="3" s="1"/>
  <c r="BN35" i="3"/>
  <c r="BN100" i="3" s="1"/>
  <c r="BM35" i="3"/>
  <c r="BM100" i="3" s="1"/>
  <c r="BL35" i="3"/>
  <c r="BL100" i="3" s="1"/>
  <c r="BK35" i="3"/>
  <c r="BK100" i="3" s="1"/>
  <c r="BJ35" i="3"/>
  <c r="BJ100" i="3" s="1"/>
  <c r="BI35" i="3"/>
  <c r="BI100" i="3" s="1"/>
  <c r="BH35" i="3"/>
  <c r="BH100" i="3" s="1"/>
  <c r="BG35" i="3"/>
  <c r="BG100" i="3" s="1"/>
  <c r="BF35" i="3"/>
  <c r="BF100" i="3" s="1"/>
  <c r="BE35" i="3"/>
  <c r="BE100" i="3" s="1"/>
  <c r="BD35" i="3"/>
  <c r="BD100" i="3" s="1"/>
  <c r="BC35" i="3"/>
  <c r="BC100" i="3" s="1"/>
  <c r="BB35" i="3"/>
  <c r="BB100" i="3" s="1"/>
  <c r="BA35" i="3"/>
  <c r="BA100" i="3" s="1"/>
  <c r="AZ35" i="3"/>
  <c r="AZ100" i="3" s="1"/>
  <c r="AY35" i="3"/>
  <c r="AY100" i="3" s="1"/>
  <c r="AX35" i="3"/>
  <c r="AX100" i="3" s="1"/>
  <c r="AW35" i="3"/>
  <c r="AW100" i="3" s="1"/>
  <c r="AV35" i="3"/>
  <c r="AV100" i="3" s="1"/>
  <c r="AU35" i="3"/>
  <c r="AU100" i="3" s="1"/>
  <c r="AT35" i="3"/>
  <c r="AT100" i="3" s="1"/>
  <c r="AS35" i="3"/>
  <c r="AS100" i="3" s="1"/>
  <c r="AR35" i="3"/>
  <c r="AR100" i="3" s="1"/>
  <c r="AQ35" i="3"/>
  <c r="AP35" i="3"/>
  <c r="AP100" i="3" s="1"/>
  <c r="AO35" i="3"/>
  <c r="AO100" i="3" s="1"/>
  <c r="AN35" i="3"/>
  <c r="AN100" i="3" s="1"/>
  <c r="AM35" i="3"/>
  <c r="AM100" i="3" s="1"/>
  <c r="AL35" i="3"/>
  <c r="AL100" i="3" s="1"/>
  <c r="AK35" i="3"/>
  <c r="AK100" i="3" s="1"/>
  <c r="AJ35" i="3"/>
  <c r="AJ100" i="3" s="1"/>
  <c r="AI35" i="3"/>
  <c r="AI100" i="3" s="1"/>
  <c r="AH35" i="3"/>
  <c r="AH100" i="3" s="1"/>
  <c r="AG35" i="3"/>
  <c r="AG100" i="3" s="1"/>
  <c r="AF35" i="3"/>
  <c r="AF100" i="3" s="1"/>
  <c r="AE35" i="3"/>
  <c r="AE100" i="3" s="1"/>
  <c r="AD35" i="3"/>
  <c r="AD100" i="3" s="1"/>
  <c r="AC35" i="3"/>
  <c r="AC100" i="3" s="1"/>
  <c r="AB35" i="3"/>
  <c r="AB100" i="3" s="1"/>
  <c r="AA35" i="3"/>
  <c r="AA100" i="3" s="1"/>
  <c r="Z35" i="3"/>
  <c r="Z100" i="3" s="1"/>
  <c r="Y35" i="3"/>
  <c r="Y100" i="3" s="1"/>
  <c r="X35" i="3"/>
  <c r="X100" i="3" s="1"/>
  <c r="W35" i="3"/>
  <c r="W100" i="3" s="1"/>
  <c r="V35" i="3"/>
  <c r="V100" i="3" s="1"/>
  <c r="U35" i="3"/>
  <c r="U100" i="3" s="1"/>
  <c r="T35" i="3"/>
  <c r="T100" i="3" s="1"/>
  <c r="S35" i="3"/>
  <c r="S100" i="3" s="1"/>
  <c r="R35" i="3"/>
  <c r="R100" i="3" s="1"/>
  <c r="Q35" i="3"/>
  <c r="Q100" i="3" s="1"/>
  <c r="P35" i="3"/>
  <c r="P100" i="3" s="1"/>
  <c r="O35" i="3"/>
  <c r="O100" i="3" s="1"/>
  <c r="N35" i="3"/>
  <c r="N100" i="3" s="1"/>
  <c r="M35" i="3"/>
  <c r="M100" i="3" s="1"/>
  <c r="L35" i="3"/>
  <c r="L100" i="3" s="1"/>
  <c r="K35" i="3"/>
  <c r="K100" i="3" s="1"/>
  <c r="J35" i="3"/>
  <c r="J100" i="3" s="1"/>
  <c r="I35" i="3"/>
  <c r="H35" i="3"/>
  <c r="H100" i="3" s="1"/>
  <c r="G35" i="3"/>
  <c r="G100" i="3" s="1"/>
  <c r="F35" i="3"/>
  <c r="F100" i="3" s="1"/>
  <c r="E35" i="3"/>
  <c r="E100" i="3" s="1"/>
  <c r="D35" i="3"/>
  <c r="D100" i="3" s="1"/>
  <c r="C35" i="3"/>
  <c r="C100" i="3" s="1"/>
  <c r="FX34" i="3"/>
  <c r="FX98" i="3" s="1"/>
  <c r="FW34" i="3"/>
  <c r="FW98" i="3" s="1"/>
  <c r="FV34" i="3"/>
  <c r="FV98" i="3" s="1"/>
  <c r="FU34" i="3"/>
  <c r="FU98" i="3" s="1"/>
  <c r="FT34" i="3"/>
  <c r="FT98" i="3" s="1"/>
  <c r="FS34" i="3"/>
  <c r="FS98" i="3" s="1"/>
  <c r="FR34" i="3"/>
  <c r="FR98" i="3" s="1"/>
  <c r="FQ34" i="3"/>
  <c r="FQ98" i="3" s="1"/>
  <c r="FP34" i="3"/>
  <c r="FP98" i="3" s="1"/>
  <c r="FO34" i="3"/>
  <c r="FO98" i="3" s="1"/>
  <c r="FN34" i="3"/>
  <c r="FN98" i="3" s="1"/>
  <c r="FM34" i="3"/>
  <c r="FM98" i="3" s="1"/>
  <c r="FL34" i="3"/>
  <c r="FL98" i="3" s="1"/>
  <c r="FK34" i="3"/>
  <c r="FK98" i="3" s="1"/>
  <c r="FJ34" i="3"/>
  <c r="FJ98" i="3" s="1"/>
  <c r="FI34" i="3"/>
  <c r="FI98" i="3" s="1"/>
  <c r="FH34" i="3"/>
  <c r="FH98" i="3" s="1"/>
  <c r="FG34" i="3"/>
  <c r="FG98" i="3" s="1"/>
  <c r="FF34" i="3"/>
  <c r="FF98" i="3" s="1"/>
  <c r="FE34" i="3"/>
  <c r="FD34" i="3"/>
  <c r="FD98" i="3" s="1"/>
  <c r="FC34" i="3"/>
  <c r="FB34" i="3"/>
  <c r="FB98" i="3" s="1"/>
  <c r="FA34" i="3"/>
  <c r="FA98" i="3" s="1"/>
  <c r="EZ34" i="3"/>
  <c r="EZ98" i="3" s="1"/>
  <c r="EY34" i="3"/>
  <c r="EY98" i="3" s="1"/>
  <c r="EX34" i="3"/>
  <c r="EX98" i="3" s="1"/>
  <c r="EW34" i="3"/>
  <c r="EW98" i="3" s="1"/>
  <c r="EV34" i="3"/>
  <c r="EV98" i="3" s="1"/>
  <c r="EU34" i="3"/>
  <c r="EU98" i="3" s="1"/>
  <c r="ET34" i="3"/>
  <c r="ET98" i="3" s="1"/>
  <c r="ES34" i="3"/>
  <c r="ER34" i="3"/>
  <c r="ER98" i="3" s="1"/>
  <c r="EQ34" i="3"/>
  <c r="EQ98" i="3" s="1"/>
  <c r="EP34" i="3"/>
  <c r="EP98" i="3" s="1"/>
  <c r="EO34" i="3"/>
  <c r="EO98" i="3" s="1"/>
  <c r="EN34" i="3"/>
  <c r="EN98" i="3" s="1"/>
  <c r="EM34" i="3"/>
  <c r="EM98" i="3" s="1"/>
  <c r="EL34" i="3"/>
  <c r="EL98" i="3" s="1"/>
  <c r="EK34" i="3"/>
  <c r="EK98" i="3" s="1"/>
  <c r="EJ34" i="3"/>
  <c r="EJ98" i="3" s="1"/>
  <c r="EI34" i="3"/>
  <c r="EI98" i="3" s="1"/>
  <c r="EH34" i="3"/>
  <c r="EH98" i="3" s="1"/>
  <c r="EG34" i="3"/>
  <c r="EG98" i="3" s="1"/>
  <c r="EF34" i="3"/>
  <c r="EF98" i="3" s="1"/>
  <c r="EE34" i="3"/>
  <c r="EE98" i="3" s="1"/>
  <c r="ED34" i="3"/>
  <c r="ED98" i="3" s="1"/>
  <c r="EC34" i="3"/>
  <c r="EC98" i="3" s="1"/>
  <c r="EB34" i="3"/>
  <c r="EB98" i="3" s="1"/>
  <c r="EA34" i="3"/>
  <c r="EA98" i="3" s="1"/>
  <c r="DZ34" i="3"/>
  <c r="DZ98" i="3" s="1"/>
  <c r="DY34" i="3"/>
  <c r="DY98" i="3" s="1"/>
  <c r="DX34" i="3"/>
  <c r="DX98" i="3" s="1"/>
  <c r="DW34" i="3"/>
  <c r="DW98" i="3" s="1"/>
  <c r="DV34" i="3"/>
  <c r="DV98" i="3" s="1"/>
  <c r="DU34" i="3"/>
  <c r="DU98" i="3" s="1"/>
  <c r="DT34" i="3"/>
  <c r="DT98" i="3" s="1"/>
  <c r="DS34" i="3"/>
  <c r="DS98" i="3" s="1"/>
  <c r="DR34" i="3"/>
  <c r="DR98" i="3" s="1"/>
  <c r="DQ34" i="3"/>
  <c r="DQ98" i="3" s="1"/>
  <c r="DP34" i="3"/>
  <c r="DP98" i="3" s="1"/>
  <c r="DO34" i="3"/>
  <c r="DO98" i="3" s="1"/>
  <c r="DN34" i="3"/>
  <c r="DN98" i="3" s="1"/>
  <c r="DM34" i="3"/>
  <c r="DM98" i="3" s="1"/>
  <c r="DL34" i="3"/>
  <c r="DL98" i="3" s="1"/>
  <c r="DK34" i="3"/>
  <c r="DK98" i="3" s="1"/>
  <c r="DJ34" i="3"/>
  <c r="DJ98" i="3" s="1"/>
  <c r="DI34" i="3"/>
  <c r="DH34" i="3"/>
  <c r="DH98" i="3" s="1"/>
  <c r="DG34" i="3"/>
  <c r="DF34" i="3"/>
  <c r="DF98" i="3" s="1"/>
  <c r="DE34" i="3"/>
  <c r="DE98" i="3" s="1"/>
  <c r="DD34" i="3"/>
  <c r="DD98" i="3" s="1"/>
  <c r="DC34" i="3"/>
  <c r="DC98" i="3" s="1"/>
  <c r="DB34" i="3"/>
  <c r="DB98" i="3" s="1"/>
  <c r="DA34" i="3"/>
  <c r="DA98" i="3" s="1"/>
  <c r="CZ34" i="3"/>
  <c r="CZ98" i="3" s="1"/>
  <c r="CY34" i="3"/>
  <c r="CY98" i="3" s="1"/>
  <c r="CX34" i="3"/>
  <c r="CX98" i="3" s="1"/>
  <c r="CW34" i="3"/>
  <c r="CV34" i="3"/>
  <c r="CV98" i="3" s="1"/>
  <c r="CU34" i="3"/>
  <c r="CU98" i="3" s="1"/>
  <c r="CT34" i="3"/>
  <c r="CT98" i="3" s="1"/>
  <c r="CS34" i="3"/>
  <c r="CS98" i="3" s="1"/>
  <c r="CR34" i="3"/>
  <c r="CR98" i="3" s="1"/>
  <c r="CQ34" i="3"/>
  <c r="CQ98" i="3" s="1"/>
  <c r="CP34" i="3"/>
  <c r="CP98" i="3" s="1"/>
  <c r="CO34" i="3"/>
  <c r="CO98" i="3" s="1"/>
  <c r="CN34" i="3"/>
  <c r="CN98" i="3" s="1"/>
  <c r="CM34" i="3"/>
  <c r="CM98" i="3" s="1"/>
  <c r="CL34" i="3"/>
  <c r="CL98" i="3" s="1"/>
  <c r="CK34" i="3"/>
  <c r="CK98" i="3" s="1"/>
  <c r="CJ34" i="3"/>
  <c r="CJ98" i="3" s="1"/>
  <c r="CI34" i="3"/>
  <c r="CI98" i="3" s="1"/>
  <c r="CH34" i="3"/>
  <c r="CH98" i="3" s="1"/>
  <c r="CG34" i="3"/>
  <c r="CG98" i="3" s="1"/>
  <c r="CF34" i="3"/>
  <c r="CF98" i="3" s="1"/>
  <c r="CE34" i="3"/>
  <c r="CE98" i="3" s="1"/>
  <c r="CD34" i="3"/>
  <c r="CD98" i="3" s="1"/>
  <c r="CC34" i="3"/>
  <c r="CC98" i="3" s="1"/>
  <c r="CB34" i="3"/>
  <c r="CB98" i="3" s="1"/>
  <c r="CA34" i="3"/>
  <c r="CA98" i="3" s="1"/>
  <c r="BZ34" i="3"/>
  <c r="BZ98" i="3" s="1"/>
  <c r="BY34" i="3"/>
  <c r="BY98" i="3" s="1"/>
  <c r="BX34" i="3"/>
  <c r="BX98" i="3" s="1"/>
  <c r="BW34" i="3"/>
  <c r="BW98" i="3" s="1"/>
  <c r="BV34" i="3"/>
  <c r="BV98" i="3" s="1"/>
  <c r="BU34" i="3"/>
  <c r="BU98" i="3" s="1"/>
  <c r="BT34" i="3"/>
  <c r="BT98" i="3" s="1"/>
  <c r="BS34" i="3"/>
  <c r="BS98" i="3" s="1"/>
  <c r="BR34" i="3"/>
  <c r="BR98" i="3" s="1"/>
  <c r="BQ34" i="3"/>
  <c r="BQ98" i="3" s="1"/>
  <c r="BP34" i="3"/>
  <c r="BP98" i="3" s="1"/>
  <c r="BO34" i="3"/>
  <c r="BO98" i="3" s="1"/>
  <c r="BN34" i="3"/>
  <c r="BN98" i="3" s="1"/>
  <c r="BM34" i="3"/>
  <c r="BL34" i="3"/>
  <c r="BL98" i="3" s="1"/>
  <c r="BK34" i="3"/>
  <c r="BJ34" i="3"/>
  <c r="BJ98" i="3" s="1"/>
  <c r="BI34" i="3"/>
  <c r="BI98" i="3" s="1"/>
  <c r="BH34" i="3"/>
  <c r="BH98" i="3" s="1"/>
  <c r="BG34" i="3"/>
  <c r="BG98" i="3" s="1"/>
  <c r="BF34" i="3"/>
  <c r="BF98" i="3" s="1"/>
  <c r="BE34" i="3"/>
  <c r="BE98" i="3" s="1"/>
  <c r="BD34" i="3"/>
  <c r="BD98" i="3" s="1"/>
  <c r="BC34" i="3"/>
  <c r="BC98" i="3" s="1"/>
  <c r="BB34" i="3"/>
  <c r="BB98" i="3" s="1"/>
  <c r="BA34" i="3"/>
  <c r="AZ34" i="3"/>
  <c r="AZ98" i="3" s="1"/>
  <c r="AY34" i="3"/>
  <c r="AY98" i="3" s="1"/>
  <c r="AX34" i="3"/>
  <c r="AX98" i="3" s="1"/>
  <c r="AW34" i="3"/>
  <c r="AW98" i="3" s="1"/>
  <c r="AV34" i="3"/>
  <c r="AV98" i="3" s="1"/>
  <c r="AU34" i="3"/>
  <c r="AU98" i="3" s="1"/>
  <c r="AT34" i="3"/>
  <c r="AT98" i="3" s="1"/>
  <c r="AS34" i="3"/>
  <c r="AS98" i="3" s="1"/>
  <c r="AR34" i="3"/>
  <c r="AR98" i="3" s="1"/>
  <c r="AQ34" i="3"/>
  <c r="AQ98" i="3" s="1"/>
  <c r="AP34" i="3"/>
  <c r="AP98" i="3" s="1"/>
  <c r="AO34" i="3"/>
  <c r="AO98" i="3" s="1"/>
  <c r="AN34" i="3"/>
  <c r="AN98" i="3" s="1"/>
  <c r="AM34" i="3"/>
  <c r="AM98" i="3" s="1"/>
  <c r="AL34" i="3"/>
  <c r="AL98" i="3" s="1"/>
  <c r="AK34" i="3"/>
  <c r="AK98" i="3" s="1"/>
  <c r="AJ34" i="3"/>
  <c r="AJ98" i="3" s="1"/>
  <c r="AI34" i="3"/>
  <c r="AI98" i="3" s="1"/>
  <c r="AH34" i="3"/>
  <c r="AH98" i="3" s="1"/>
  <c r="AG34" i="3"/>
  <c r="AG98" i="3" s="1"/>
  <c r="AF34" i="3"/>
  <c r="AF98" i="3" s="1"/>
  <c r="AE34" i="3"/>
  <c r="AE98" i="3" s="1"/>
  <c r="AD34" i="3"/>
  <c r="AD98" i="3" s="1"/>
  <c r="AC34" i="3"/>
  <c r="AC98" i="3" s="1"/>
  <c r="AB34" i="3"/>
  <c r="AB98" i="3" s="1"/>
  <c r="AA34" i="3"/>
  <c r="AA98" i="3" s="1"/>
  <c r="Z34" i="3"/>
  <c r="Z98" i="3" s="1"/>
  <c r="Y34" i="3"/>
  <c r="Y98" i="3" s="1"/>
  <c r="X34" i="3"/>
  <c r="X98" i="3" s="1"/>
  <c r="W34" i="3"/>
  <c r="W98" i="3" s="1"/>
  <c r="V34" i="3"/>
  <c r="V98" i="3" s="1"/>
  <c r="U34" i="3"/>
  <c r="U98" i="3" s="1"/>
  <c r="T34" i="3"/>
  <c r="T98" i="3" s="1"/>
  <c r="S34" i="3"/>
  <c r="S98" i="3" s="1"/>
  <c r="R34" i="3"/>
  <c r="R98" i="3" s="1"/>
  <c r="Q34" i="3"/>
  <c r="P34" i="3"/>
  <c r="P98" i="3" s="1"/>
  <c r="O34" i="3"/>
  <c r="N34" i="3"/>
  <c r="N98" i="3" s="1"/>
  <c r="M34" i="3"/>
  <c r="M98" i="3" s="1"/>
  <c r="L34" i="3"/>
  <c r="L98" i="3" s="1"/>
  <c r="K34" i="3"/>
  <c r="K98" i="3" s="1"/>
  <c r="J34" i="3"/>
  <c r="J98" i="3" s="1"/>
  <c r="I34" i="3"/>
  <c r="I98" i="3" s="1"/>
  <c r="H34" i="3"/>
  <c r="H98" i="3" s="1"/>
  <c r="G34" i="3"/>
  <c r="G98" i="3" s="1"/>
  <c r="F34" i="3"/>
  <c r="F98" i="3" s="1"/>
  <c r="E34" i="3"/>
  <c r="D34" i="3"/>
  <c r="D98" i="3" s="1"/>
  <c r="C34" i="3"/>
  <c r="FX33" i="3"/>
  <c r="FX102" i="3" s="1"/>
  <c r="FW33" i="3"/>
  <c r="FW102" i="3" s="1"/>
  <c r="FV33" i="3"/>
  <c r="FV102" i="3" s="1"/>
  <c r="FU33" i="3"/>
  <c r="FU102" i="3" s="1"/>
  <c r="FT33" i="3"/>
  <c r="FT102" i="3" s="1"/>
  <c r="FS33" i="3"/>
  <c r="FS102" i="3" s="1"/>
  <c r="FR33" i="3"/>
  <c r="FR102" i="3" s="1"/>
  <c r="FQ33" i="3"/>
  <c r="FQ102" i="3" s="1"/>
  <c r="FP33" i="3"/>
  <c r="FP102" i="3" s="1"/>
  <c r="FO33" i="3"/>
  <c r="FO102" i="3" s="1"/>
  <c r="FN33" i="3"/>
  <c r="FN102" i="3" s="1"/>
  <c r="FM33" i="3"/>
  <c r="FM102" i="3" s="1"/>
  <c r="FL33" i="3"/>
  <c r="FL102" i="3" s="1"/>
  <c r="FK33" i="3"/>
  <c r="FK102" i="3" s="1"/>
  <c r="FJ33" i="3"/>
  <c r="FJ102" i="3" s="1"/>
  <c r="FI33" i="3"/>
  <c r="FI102" i="3" s="1"/>
  <c r="FH33" i="3"/>
  <c r="FH102" i="3" s="1"/>
  <c r="FG33" i="3"/>
  <c r="FG102" i="3" s="1"/>
  <c r="FF33" i="3"/>
  <c r="FF102" i="3" s="1"/>
  <c r="FE33" i="3"/>
  <c r="FE102" i="3" s="1"/>
  <c r="FD33" i="3"/>
  <c r="FD102" i="3" s="1"/>
  <c r="FC33" i="3"/>
  <c r="FC102" i="3" s="1"/>
  <c r="FB33" i="3"/>
  <c r="FB102" i="3" s="1"/>
  <c r="FA33" i="3"/>
  <c r="FA102" i="3" s="1"/>
  <c r="EZ33" i="3"/>
  <c r="EZ102" i="3" s="1"/>
  <c r="EY33" i="3"/>
  <c r="EX33" i="3"/>
  <c r="EX102" i="3" s="1"/>
  <c r="EW33" i="3"/>
  <c r="EW102" i="3" s="1"/>
  <c r="EV33" i="3"/>
  <c r="EV102" i="3" s="1"/>
  <c r="EU33" i="3"/>
  <c r="EU102" i="3" s="1"/>
  <c r="ET33" i="3"/>
  <c r="ET102" i="3" s="1"/>
  <c r="ES33" i="3"/>
  <c r="ES102" i="3" s="1"/>
  <c r="ER33" i="3"/>
  <c r="ER102" i="3" s="1"/>
  <c r="EQ33" i="3"/>
  <c r="EQ102" i="3" s="1"/>
  <c r="EP33" i="3"/>
  <c r="EP102" i="3" s="1"/>
  <c r="EO33" i="3"/>
  <c r="EO102" i="3" s="1"/>
  <c r="EN33" i="3"/>
  <c r="EN102" i="3" s="1"/>
  <c r="EM33" i="3"/>
  <c r="EM102" i="3" s="1"/>
  <c r="EL33" i="3"/>
  <c r="EL102" i="3" s="1"/>
  <c r="EK33" i="3"/>
  <c r="EK102" i="3" s="1"/>
  <c r="EJ33" i="3"/>
  <c r="EJ102" i="3" s="1"/>
  <c r="EI33" i="3"/>
  <c r="EI102" i="3" s="1"/>
  <c r="EH33" i="3"/>
  <c r="EH102" i="3" s="1"/>
  <c r="EG33" i="3"/>
  <c r="EG102" i="3" s="1"/>
  <c r="EF33" i="3"/>
  <c r="EF102" i="3" s="1"/>
  <c r="EE33" i="3"/>
  <c r="EE102" i="3" s="1"/>
  <c r="ED33" i="3"/>
  <c r="ED102" i="3" s="1"/>
  <c r="EC33" i="3"/>
  <c r="EC102" i="3" s="1"/>
  <c r="EB33" i="3"/>
  <c r="EB102" i="3" s="1"/>
  <c r="EA33" i="3"/>
  <c r="EA102" i="3" s="1"/>
  <c r="DZ33" i="3"/>
  <c r="DZ102" i="3" s="1"/>
  <c r="DY33" i="3"/>
  <c r="DY102" i="3" s="1"/>
  <c r="DX33" i="3"/>
  <c r="DX102" i="3" s="1"/>
  <c r="DW33" i="3"/>
  <c r="DW102" i="3" s="1"/>
  <c r="DV33" i="3"/>
  <c r="DV102" i="3" s="1"/>
  <c r="DU33" i="3"/>
  <c r="DU102" i="3" s="1"/>
  <c r="DT33" i="3"/>
  <c r="DT102" i="3" s="1"/>
  <c r="DS33" i="3"/>
  <c r="DS102" i="3" s="1"/>
  <c r="DR33" i="3"/>
  <c r="DR102" i="3" s="1"/>
  <c r="DQ33" i="3"/>
  <c r="DQ102" i="3" s="1"/>
  <c r="DP33" i="3"/>
  <c r="DP102" i="3" s="1"/>
  <c r="DO33" i="3"/>
  <c r="DO102" i="3" s="1"/>
  <c r="DN33" i="3"/>
  <c r="DN102" i="3" s="1"/>
  <c r="DM33" i="3"/>
  <c r="DM102" i="3" s="1"/>
  <c r="DL33" i="3"/>
  <c r="DL102" i="3" s="1"/>
  <c r="DK33" i="3"/>
  <c r="DK102" i="3" s="1"/>
  <c r="DJ33" i="3"/>
  <c r="DJ102" i="3" s="1"/>
  <c r="DI33" i="3"/>
  <c r="DI102" i="3" s="1"/>
  <c r="DH33" i="3"/>
  <c r="DH102" i="3" s="1"/>
  <c r="DG33" i="3"/>
  <c r="DG102" i="3" s="1"/>
  <c r="DF33" i="3"/>
  <c r="DF102" i="3" s="1"/>
  <c r="DE33" i="3"/>
  <c r="DE102" i="3" s="1"/>
  <c r="DD33" i="3"/>
  <c r="DD102" i="3" s="1"/>
  <c r="DC33" i="3"/>
  <c r="DB33" i="3"/>
  <c r="DB102" i="3" s="1"/>
  <c r="DA33" i="3"/>
  <c r="DA102" i="3" s="1"/>
  <c r="CZ33" i="3"/>
  <c r="CZ102" i="3" s="1"/>
  <c r="CY33" i="3"/>
  <c r="CY102" i="3" s="1"/>
  <c r="CX33" i="3"/>
  <c r="CX102" i="3" s="1"/>
  <c r="CW33" i="3"/>
  <c r="CW102" i="3" s="1"/>
  <c r="CV33" i="3"/>
  <c r="CV102" i="3" s="1"/>
  <c r="CU33" i="3"/>
  <c r="CU102" i="3" s="1"/>
  <c r="CT33" i="3"/>
  <c r="CT102" i="3" s="1"/>
  <c r="CS33" i="3"/>
  <c r="CS102" i="3" s="1"/>
  <c r="CR33" i="3"/>
  <c r="CR102" i="3" s="1"/>
  <c r="CQ33" i="3"/>
  <c r="CQ102" i="3" s="1"/>
  <c r="CP33" i="3"/>
  <c r="CP102" i="3" s="1"/>
  <c r="CO33" i="3"/>
  <c r="CO102" i="3" s="1"/>
  <c r="CN33" i="3"/>
  <c r="CN102" i="3" s="1"/>
  <c r="CM33" i="3"/>
  <c r="CM102" i="3" s="1"/>
  <c r="CL33" i="3"/>
  <c r="CL102" i="3" s="1"/>
  <c r="CK33" i="3"/>
  <c r="CK102" i="3" s="1"/>
  <c r="CJ33" i="3"/>
  <c r="CJ102" i="3" s="1"/>
  <c r="CI33" i="3"/>
  <c r="CI102" i="3" s="1"/>
  <c r="CH33" i="3"/>
  <c r="CH102" i="3" s="1"/>
  <c r="CG33" i="3"/>
  <c r="CG102" i="3" s="1"/>
  <c r="CF33" i="3"/>
  <c r="CF102" i="3" s="1"/>
  <c r="CE33" i="3"/>
  <c r="CE102" i="3" s="1"/>
  <c r="CD33" i="3"/>
  <c r="CD102" i="3" s="1"/>
  <c r="CC33" i="3"/>
  <c r="CC102" i="3" s="1"/>
  <c r="CB33" i="3"/>
  <c r="CB102" i="3" s="1"/>
  <c r="CA33" i="3"/>
  <c r="CA102" i="3" s="1"/>
  <c r="BZ33" i="3"/>
  <c r="BZ102" i="3" s="1"/>
  <c r="BY33" i="3"/>
  <c r="BY102" i="3" s="1"/>
  <c r="BX33" i="3"/>
  <c r="BX102" i="3" s="1"/>
  <c r="BW33" i="3"/>
  <c r="BW102" i="3" s="1"/>
  <c r="BV33" i="3"/>
  <c r="BV102" i="3" s="1"/>
  <c r="BU33" i="3"/>
  <c r="BU102" i="3" s="1"/>
  <c r="BT33" i="3"/>
  <c r="BT102" i="3" s="1"/>
  <c r="BS33" i="3"/>
  <c r="BS102" i="3" s="1"/>
  <c r="BR33" i="3"/>
  <c r="BR102" i="3" s="1"/>
  <c r="BQ33" i="3"/>
  <c r="BQ102" i="3" s="1"/>
  <c r="BP33" i="3"/>
  <c r="BP102" i="3" s="1"/>
  <c r="BO33" i="3"/>
  <c r="BO102" i="3" s="1"/>
  <c r="BN33" i="3"/>
  <c r="BN102" i="3" s="1"/>
  <c r="BM33" i="3"/>
  <c r="BM102" i="3" s="1"/>
  <c r="BL33" i="3"/>
  <c r="BL102" i="3" s="1"/>
  <c r="BK33" i="3"/>
  <c r="BK102" i="3" s="1"/>
  <c r="BJ33" i="3"/>
  <c r="BJ102" i="3" s="1"/>
  <c r="BI33" i="3"/>
  <c r="BI102" i="3" s="1"/>
  <c r="BH33" i="3"/>
  <c r="BH102" i="3" s="1"/>
  <c r="BG33" i="3"/>
  <c r="BF33" i="3"/>
  <c r="BF102" i="3" s="1"/>
  <c r="BE33" i="3"/>
  <c r="BE102" i="3" s="1"/>
  <c r="BD33" i="3"/>
  <c r="BD102" i="3" s="1"/>
  <c r="BC33" i="3"/>
  <c r="BC102" i="3" s="1"/>
  <c r="BB33" i="3"/>
  <c r="BB102" i="3" s="1"/>
  <c r="BA33" i="3"/>
  <c r="BA102" i="3" s="1"/>
  <c r="AZ33" i="3"/>
  <c r="AZ102" i="3" s="1"/>
  <c r="AY33" i="3"/>
  <c r="AY102" i="3" s="1"/>
  <c r="AX33" i="3"/>
  <c r="AX102" i="3" s="1"/>
  <c r="AW33" i="3"/>
  <c r="AW102" i="3" s="1"/>
  <c r="AV33" i="3"/>
  <c r="AV102" i="3" s="1"/>
  <c r="AU33" i="3"/>
  <c r="AU102" i="3" s="1"/>
  <c r="AT33" i="3"/>
  <c r="AT102" i="3" s="1"/>
  <c r="AS33" i="3"/>
  <c r="AS102" i="3" s="1"/>
  <c r="AR33" i="3"/>
  <c r="AR102" i="3" s="1"/>
  <c r="AQ33" i="3"/>
  <c r="AQ102" i="3" s="1"/>
  <c r="AP33" i="3"/>
  <c r="AP102" i="3" s="1"/>
  <c r="AO33" i="3"/>
  <c r="AO102" i="3" s="1"/>
  <c r="AN33" i="3"/>
  <c r="AN102" i="3" s="1"/>
  <c r="AM33" i="3"/>
  <c r="AM102" i="3" s="1"/>
  <c r="AL33" i="3"/>
  <c r="AL102" i="3" s="1"/>
  <c r="AK33" i="3"/>
  <c r="AK102" i="3" s="1"/>
  <c r="AJ33" i="3"/>
  <c r="AJ102" i="3" s="1"/>
  <c r="AI33" i="3"/>
  <c r="AI102" i="3" s="1"/>
  <c r="AH33" i="3"/>
  <c r="AH102" i="3" s="1"/>
  <c r="AG33" i="3"/>
  <c r="AG102" i="3" s="1"/>
  <c r="AF33" i="3"/>
  <c r="AF102" i="3" s="1"/>
  <c r="AE33" i="3"/>
  <c r="AE102" i="3" s="1"/>
  <c r="AD33" i="3"/>
  <c r="AD102" i="3" s="1"/>
  <c r="AC33" i="3"/>
  <c r="AC102" i="3" s="1"/>
  <c r="AB33" i="3"/>
  <c r="AB102" i="3" s="1"/>
  <c r="AA33" i="3"/>
  <c r="AA102" i="3" s="1"/>
  <c r="Z33" i="3"/>
  <c r="Z102" i="3" s="1"/>
  <c r="Y33" i="3"/>
  <c r="Y102" i="3" s="1"/>
  <c r="X33" i="3"/>
  <c r="X102" i="3" s="1"/>
  <c r="W33" i="3"/>
  <c r="W102" i="3" s="1"/>
  <c r="V33" i="3"/>
  <c r="V102" i="3" s="1"/>
  <c r="U33" i="3"/>
  <c r="U102" i="3" s="1"/>
  <c r="T33" i="3"/>
  <c r="T102" i="3" s="1"/>
  <c r="S33" i="3"/>
  <c r="S102" i="3" s="1"/>
  <c r="R33" i="3"/>
  <c r="R102" i="3" s="1"/>
  <c r="Q33" i="3"/>
  <c r="Q102" i="3" s="1"/>
  <c r="P33" i="3"/>
  <c r="P102" i="3" s="1"/>
  <c r="O33" i="3"/>
  <c r="O102" i="3" s="1"/>
  <c r="N33" i="3"/>
  <c r="N102" i="3" s="1"/>
  <c r="M33" i="3"/>
  <c r="M102" i="3" s="1"/>
  <c r="L33" i="3"/>
  <c r="L102" i="3" s="1"/>
  <c r="K33" i="3"/>
  <c r="J33" i="3"/>
  <c r="J102" i="3" s="1"/>
  <c r="I33" i="3"/>
  <c r="I102" i="3" s="1"/>
  <c r="H33" i="3"/>
  <c r="H102" i="3" s="1"/>
  <c r="G33" i="3"/>
  <c r="G102" i="3" s="1"/>
  <c r="F33" i="3"/>
  <c r="F102" i="3" s="1"/>
  <c r="E33" i="3"/>
  <c r="E102" i="3" s="1"/>
  <c r="D33" i="3"/>
  <c r="D102" i="3" s="1"/>
  <c r="C33" i="3"/>
  <c r="C102" i="3" s="1"/>
  <c r="FX32" i="3"/>
  <c r="FX95" i="3" s="1"/>
  <c r="FW32" i="3"/>
  <c r="FW95" i="3" s="1"/>
  <c r="FV32" i="3"/>
  <c r="FV95" i="3" s="1"/>
  <c r="FU32" i="3"/>
  <c r="FU95" i="3" s="1"/>
  <c r="FT32" i="3"/>
  <c r="FT95" i="3" s="1"/>
  <c r="FS32" i="3"/>
  <c r="FS95" i="3" s="1"/>
  <c r="FR32" i="3"/>
  <c r="FR95" i="3" s="1"/>
  <c r="FQ32" i="3"/>
  <c r="FQ95" i="3" s="1"/>
  <c r="FP32" i="3"/>
  <c r="FP95" i="3" s="1"/>
  <c r="FO32" i="3"/>
  <c r="FN32" i="3"/>
  <c r="FN95" i="3" s="1"/>
  <c r="FM32" i="3"/>
  <c r="FL32" i="3"/>
  <c r="FL95" i="3" s="1"/>
  <c r="FK32" i="3"/>
  <c r="FK95" i="3" s="1"/>
  <c r="FJ32" i="3"/>
  <c r="FJ95" i="3" s="1"/>
  <c r="FI32" i="3"/>
  <c r="FI95" i="3" s="1"/>
  <c r="FH32" i="3"/>
  <c r="FH95" i="3" s="1"/>
  <c r="FG32" i="3"/>
  <c r="FG95" i="3" s="1"/>
  <c r="FF32" i="3"/>
  <c r="FF95" i="3" s="1"/>
  <c r="FE32" i="3"/>
  <c r="FE95" i="3" s="1"/>
  <c r="FD32" i="3"/>
  <c r="FD95" i="3" s="1"/>
  <c r="FC32" i="3"/>
  <c r="FB32" i="3"/>
  <c r="FB95" i="3" s="1"/>
  <c r="FA32" i="3"/>
  <c r="FA95" i="3" s="1"/>
  <c r="EZ32" i="3"/>
  <c r="EZ95" i="3" s="1"/>
  <c r="EY32" i="3"/>
  <c r="EY95" i="3" s="1"/>
  <c r="EX32" i="3"/>
  <c r="EX95" i="3" s="1"/>
  <c r="EW32" i="3"/>
  <c r="EW95" i="3" s="1"/>
  <c r="EV32" i="3"/>
  <c r="EV95" i="3" s="1"/>
  <c r="EU32" i="3"/>
  <c r="EU95" i="3" s="1"/>
  <c r="ET32" i="3"/>
  <c r="ET95" i="3" s="1"/>
  <c r="ES32" i="3"/>
  <c r="ES95" i="3" s="1"/>
  <c r="ER32" i="3"/>
  <c r="ER95" i="3" s="1"/>
  <c r="EQ32" i="3"/>
  <c r="EQ95" i="3" s="1"/>
  <c r="EP32" i="3"/>
  <c r="EP95" i="3" s="1"/>
  <c r="EO32" i="3"/>
  <c r="EO95" i="3" s="1"/>
  <c r="EN32" i="3"/>
  <c r="EN95" i="3" s="1"/>
  <c r="EM32" i="3"/>
  <c r="EM95" i="3" s="1"/>
  <c r="EL32" i="3"/>
  <c r="EL95" i="3" s="1"/>
  <c r="EK32" i="3"/>
  <c r="EK95" i="3" s="1"/>
  <c r="EJ32" i="3"/>
  <c r="EJ95" i="3" s="1"/>
  <c r="EI32" i="3"/>
  <c r="EI95" i="3" s="1"/>
  <c r="EH32" i="3"/>
  <c r="EH95" i="3" s="1"/>
  <c r="EG32" i="3"/>
  <c r="EG95" i="3" s="1"/>
  <c r="EF32" i="3"/>
  <c r="EF95" i="3" s="1"/>
  <c r="EE32" i="3"/>
  <c r="EE95" i="3" s="1"/>
  <c r="ED32" i="3"/>
  <c r="ED95" i="3" s="1"/>
  <c r="EC32" i="3"/>
  <c r="EC95" i="3" s="1"/>
  <c r="EB32" i="3"/>
  <c r="EB95" i="3" s="1"/>
  <c r="EA32" i="3"/>
  <c r="EA95" i="3" s="1"/>
  <c r="DZ32" i="3"/>
  <c r="DZ95" i="3" s="1"/>
  <c r="DY32" i="3"/>
  <c r="DY95" i="3" s="1"/>
  <c r="DX32" i="3"/>
  <c r="DX95" i="3" s="1"/>
  <c r="DW32" i="3"/>
  <c r="DW95" i="3" s="1"/>
  <c r="DV32" i="3"/>
  <c r="DV95" i="3" s="1"/>
  <c r="DU32" i="3"/>
  <c r="DU95" i="3" s="1"/>
  <c r="DT32" i="3"/>
  <c r="DT95" i="3" s="1"/>
  <c r="DS32" i="3"/>
  <c r="DR32" i="3"/>
  <c r="DR95" i="3" s="1"/>
  <c r="DQ32" i="3"/>
  <c r="DP32" i="3"/>
  <c r="DP95" i="3" s="1"/>
  <c r="DO32" i="3"/>
  <c r="DO95" i="3" s="1"/>
  <c r="DN32" i="3"/>
  <c r="DN95" i="3" s="1"/>
  <c r="DM32" i="3"/>
  <c r="DM95" i="3" s="1"/>
  <c r="DL32" i="3"/>
  <c r="DL95" i="3" s="1"/>
  <c r="DK32" i="3"/>
  <c r="DK95" i="3" s="1"/>
  <c r="DJ32" i="3"/>
  <c r="DJ95" i="3" s="1"/>
  <c r="DI32" i="3"/>
  <c r="DI95" i="3" s="1"/>
  <c r="DH32" i="3"/>
  <c r="DH95" i="3" s="1"/>
  <c r="DG32" i="3"/>
  <c r="DF32" i="3"/>
  <c r="DF95" i="3" s="1"/>
  <c r="DE32" i="3"/>
  <c r="DE95" i="3" s="1"/>
  <c r="DD32" i="3"/>
  <c r="DD95" i="3" s="1"/>
  <c r="DC32" i="3"/>
  <c r="DC95" i="3" s="1"/>
  <c r="DB32" i="3"/>
  <c r="DB95" i="3" s="1"/>
  <c r="DA32" i="3"/>
  <c r="DA95" i="3" s="1"/>
  <c r="CZ32" i="3"/>
  <c r="CZ95" i="3" s="1"/>
  <c r="CY32" i="3"/>
  <c r="CY95" i="3" s="1"/>
  <c r="CX32" i="3"/>
  <c r="CX95" i="3" s="1"/>
  <c r="CW32" i="3"/>
  <c r="CW95" i="3" s="1"/>
  <c r="CV32" i="3"/>
  <c r="CV95" i="3" s="1"/>
  <c r="CU32" i="3"/>
  <c r="CU95" i="3" s="1"/>
  <c r="CT32" i="3"/>
  <c r="CT95" i="3" s="1"/>
  <c r="CS32" i="3"/>
  <c r="CS95" i="3" s="1"/>
  <c r="CR32" i="3"/>
  <c r="CR95" i="3" s="1"/>
  <c r="CQ32" i="3"/>
  <c r="CQ95" i="3" s="1"/>
  <c r="CP32" i="3"/>
  <c r="CP95" i="3" s="1"/>
  <c r="CO32" i="3"/>
  <c r="CO95" i="3" s="1"/>
  <c r="CN32" i="3"/>
  <c r="CN95" i="3" s="1"/>
  <c r="CM32" i="3"/>
  <c r="CM95" i="3" s="1"/>
  <c r="CL32" i="3"/>
  <c r="CL95" i="3" s="1"/>
  <c r="CK32" i="3"/>
  <c r="CK95" i="3" s="1"/>
  <c r="CJ32" i="3"/>
  <c r="CJ95" i="3" s="1"/>
  <c r="CI32" i="3"/>
  <c r="CI95" i="3" s="1"/>
  <c r="CH32" i="3"/>
  <c r="CH95" i="3" s="1"/>
  <c r="CG32" i="3"/>
  <c r="CG95" i="3" s="1"/>
  <c r="CF32" i="3"/>
  <c r="CF95" i="3" s="1"/>
  <c r="CE32" i="3"/>
  <c r="CE95" i="3" s="1"/>
  <c r="CD32" i="3"/>
  <c r="CD95" i="3" s="1"/>
  <c r="CC32" i="3"/>
  <c r="CC95" i="3" s="1"/>
  <c r="CB32" i="3"/>
  <c r="CB95" i="3" s="1"/>
  <c r="CA32" i="3"/>
  <c r="CA95" i="3" s="1"/>
  <c r="BZ32" i="3"/>
  <c r="BZ95" i="3" s="1"/>
  <c r="BY32" i="3"/>
  <c r="BY95" i="3" s="1"/>
  <c r="BX32" i="3"/>
  <c r="BX95" i="3" s="1"/>
  <c r="BW32" i="3"/>
  <c r="BV32" i="3"/>
  <c r="BV95" i="3" s="1"/>
  <c r="BU32" i="3"/>
  <c r="BT32" i="3"/>
  <c r="BT95" i="3" s="1"/>
  <c r="BS32" i="3"/>
  <c r="BS95" i="3" s="1"/>
  <c r="BR32" i="3"/>
  <c r="BR95" i="3" s="1"/>
  <c r="BQ32" i="3"/>
  <c r="BQ95" i="3" s="1"/>
  <c r="BP32" i="3"/>
  <c r="BP95" i="3" s="1"/>
  <c r="BO32" i="3"/>
  <c r="BO95" i="3" s="1"/>
  <c r="BN32" i="3"/>
  <c r="BN95" i="3" s="1"/>
  <c r="BM32" i="3"/>
  <c r="BM95" i="3" s="1"/>
  <c r="BL32" i="3"/>
  <c r="BL95" i="3" s="1"/>
  <c r="BK32" i="3"/>
  <c r="BJ32" i="3"/>
  <c r="BJ95" i="3" s="1"/>
  <c r="BI32" i="3"/>
  <c r="BI95" i="3" s="1"/>
  <c r="BH32" i="3"/>
  <c r="BH95" i="3" s="1"/>
  <c r="BG32" i="3"/>
  <c r="BG95" i="3" s="1"/>
  <c r="BF32" i="3"/>
  <c r="BF95" i="3" s="1"/>
  <c r="BE32" i="3"/>
  <c r="BE95" i="3" s="1"/>
  <c r="BD32" i="3"/>
  <c r="BD95" i="3" s="1"/>
  <c r="BC32" i="3"/>
  <c r="BC95" i="3" s="1"/>
  <c r="BB32" i="3"/>
  <c r="BB95" i="3" s="1"/>
  <c r="BA32" i="3"/>
  <c r="BA95" i="3" s="1"/>
  <c r="AZ32" i="3"/>
  <c r="AZ95" i="3" s="1"/>
  <c r="AY32" i="3"/>
  <c r="AY95" i="3" s="1"/>
  <c r="AY105" i="3" s="1"/>
  <c r="AX32" i="3"/>
  <c r="AX95" i="3" s="1"/>
  <c r="AW32" i="3"/>
  <c r="AW95" i="3" s="1"/>
  <c r="AV32" i="3"/>
  <c r="AV95" i="3" s="1"/>
  <c r="AU32" i="3"/>
  <c r="AU95" i="3" s="1"/>
  <c r="AT32" i="3"/>
  <c r="AT95" i="3" s="1"/>
  <c r="AS32" i="3"/>
  <c r="AS95" i="3" s="1"/>
  <c r="AR32" i="3"/>
  <c r="AR95" i="3" s="1"/>
  <c r="AQ32" i="3"/>
  <c r="AQ95" i="3" s="1"/>
  <c r="AP32" i="3"/>
  <c r="AP95" i="3" s="1"/>
  <c r="AO32" i="3"/>
  <c r="AO95" i="3" s="1"/>
  <c r="AN32" i="3"/>
  <c r="AN95" i="3" s="1"/>
  <c r="AM32" i="3"/>
  <c r="AM95" i="3" s="1"/>
  <c r="AL32" i="3"/>
  <c r="AL95" i="3" s="1"/>
  <c r="AK32" i="3"/>
  <c r="AK95" i="3" s="1"/>
  <c r="AJ32" i="3"/>
  <c r="AJ95" i="3" s="1"/>
  <c r="AI32" i="3"/>
  <c r="AI95" i="3" s="1"/>
  <c r="AH32" i="3"/>
  <c r="AH95" i="3" s="1"/>
  <c r="AG32" i="3"/>
  <c r="AG95" i="3" s="1"/>
  <c r="AF32" i="3"/>
  <c r="AF95" i="3" s="1"/>
  <c r="AE32" i="3"/>
  <c r="AE95" i="3" s="1"/>
  <c r="AD32" i="3"/>
  <c r="AD95" i="3" s="1"/>
  <c r="AC32" i="3"/>
  <c r="AC95" i="3" s="1"/>
  <c r="AB32" i="3"/>
  <c r="AB95" i="3" s="1"/>
  <c r="AA32" i="3"/>
  <c r="Z32" i="3"/>
  <c r="Z95" i="3" s="1"/>
  <c r="Y32" i="3"/>
  <c r="X32" i="3"/>
  <c r="X95" i="3" s="1"/>
  <c r="W32" i="3"/>
  <c r="W95" i="3" s="1"/>
  <c r="V32" i="3"/>
  <c r="V95" i="3" s="1"/>
  <c r="U32" i="3"/>
  <c r="U95" i="3" s="1"/>
  <c r="T32" i="3"/>
  <c r="T95" i="3" s="1"/>
  <c r="S32" i="3"/>
  <c r="S95" i="3" s="1"/>
  <c r="R32" i="3"/>
  <c r="R95" i="3" s="1"/>
  <c r="Q32" i="3"/>
  <c r="Q95" i="3" s="1"/>
  <c r="P32" i="3"/>
  <c r="P95" i="3" s="1"/>
  <c r="O32" i="3"/>
  <c r="N32" i="3"/>
  <c r="N95" i="3" s="1"/>
  <c r="M32" i="3"/>
  <c r="M95" i="3" s="1"/>
  <c r="L32" i="3"/>
  <c r="L95" i="3" s="1"/>
  <c r="K32" i="3"/>
  <c r="K95" i="3" s="1"/>
  <c r="J32" i="3"/>
  <c r="J95" i="3" s="1"/>
  <c r="I32" i="3"/>
  <c r="I95" i="3" s="1"/>
  <c r="H32" i="3"/>
  <c r="H95" i="3" s="1"/>
  <c r="G32" i="3"/>
  <c r="G95" i="3" s="1"/>
  <c r="F32" i="3"/>
  <c r="F95" i="3" s="1"/>
  <c r="E32" i="3"/>
  <c r="E95" i="3" s="1"/>
  <c r="D32" i="3"/>
  <c r="D95" i="3" s="1"/>
  <c r="C32" i="3"/>
  <c r="C95" i="3" s="1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FZ31" i="3" s="1"/>
  <c r="D31" i="3"/>
  <c r="C31" i="3"/>
  <c r="FX30" i="3"/>
  <c r="FX94" i="3" s="1"/>
  <c r="FW30" i="3"/>
  <c r="FW94" i="3" s="1"/>
  <c r="FV30" i="3"/>
  <c r="FV94" i="3" s="1"/>
  <c r="FU30" i="3"/>
  <c r="FU94" i="3" s="1"/>
  <c r="FT30" i="3"/>
  <c r="FT94" i="3" s="1"/>
  <c r="FS30" i="3"/>
  <c r="FS94" i="3" s="1"/>
  <c r="FR30" i="3"/>
  <c r="FR94" i="3" s="1"/>
  <c r="FQ30" i="3"/>
  <c r="FQ94" i="3" s="1"/>
  <c r="FQ105" i="3" s="1"/>
  <c r="FP30" i="3"/>
  <c r="FP94" i="3" s="1"/>
  <c r="FP105" i="3" s="1"/>
  <c r="FO30" i="3"/>
  <c r="FO94" i="3" s="1"/>
  <c r="FN30" i="3"/>
  <c r="FN94" i="3" s="1"/>
  <c r="FN105" i="3" s="1"/>
  <c r="FM30" i="3"/>
  <c r="FM94" i="3" s="1"/>
  <c r="FL30" i="3"/>
  <c r="FL94" i="3" s="1"/>
  <c r="FK30" i="3"/>
  <c r="FK94" i="3" s="1"/>
  <c r="FJ30" i="3"/>
  <c r="FJ94" i="3" s="1"/>
  <c r="FJ105" i="3" s="1"/>
  <c r="FI30" i="3"/>
  <c r="FI94" i="3" s="1"/>
  <c r="FH30" i="3"/>
  <c r="FH94" i="3" s="1"/>
  <c r="FG30" i="3"/>
  <c r="FG94" i="3" s="1"/>
  <c r="FF30" i="3"/>
  <c r="FF94" i="3" s="1"/>
  <c r="FE30" i="3"/>
  <c r="FE94" i="3" s="1"/>
  <c r="FE105" i="3" s="1"/>
  <c r="FD30" i="3"/>
  <c r="FD94" i="3" s="1"/>
  <c r="FD105" i="3" s="1"/>
  <c r="FC30" i="3"/>
  <c r="FC94" i="3" s="1"/>
  <c r="FB30" i="3"/>
  <c r="FA30" i="3"/>
  <c r="FA94" i="3" s="1"/>
  <c r="EZ30" i="3"/>
  <c r="EY30" i="3"/>
  <c r="EY94" i="3" s="1"/>
  <c r="EX30" i="3"/>
  <c r="EX94" i="3" s="1"/>
  <c r="EX105" i="3" s="1"/>
  <c r="EW30" i="3"/>
  <c r="EW94" i="3" s="1"/>
  <c r="EV30" i="3"/>
  <c r="EV94" i="3" s="1"/>
  <c r="EU30" i="3"/>
  <c r="EU94" i="3" s="1"/>
  <c r="ET30" i="3"/>
  <c r="ET94" i="3" s="1"/>
  <c r="ES30" i="3"/>
  <c r="ES94" i="3" s="1"/>
  <c r="ES105" i="3" s="1"/>
  <c r="ER30" i="3"/>
  <c r="ER94" i="3" s="1"/>
  <c r="ER105" i="3" s="1"/>
  <c r="EQ30" i="3"/>
  <c r="EQ94" i="3" s="1"/>
  <c r="EQ105" i="3" s="1"/>
  <c r="EP30" i="3"/>
  <c r="EO30" i="3"/>
  <c r="EO94" i="3" s="1"/>
  <c r="EN30" i="3"/>
  <c r="EN94" i="3" s="1"/>
  <c r="EM30" i="3"/>
  <c r="EM94" i="3" s="1"/>
  <c r="EL30" i="3"/>
  <c r="EL94" i="3" s="1"/>
  <c r="EK30" i="3"/>
  <c r="EK94" i="3" s="1"/>
  <c r="EJ30" i="3"/>
  <c r="EJ94" i="3" s="1"/>
  <c r="EI30" i="3"/>
  <c r="EI94" i="3" s="1"/>
  <c r="EH30" i="3"/>
  <c r="EH94" i="3" s="1"/>
  <c r="EG30" i="3"/>
  <c r="EG94" i="3" s="1"/>
  <c r="EG105" i="3" s="1"/>
  <c r="EF30" i="3"/>
  <c r="EF94" i="3" s="1"/>
  <c r="EF105" i="3" s="1"/>
  <c r="EE30" i="3"/>
  <c r="EE94" i="3" s="1"/>
  <c r="ED30" i="3"/>
  <c r="ED94" i="3" s="1"/>
  <c r="ED105" i="3" s="1"/>
  <c r="EC30" i="3"/>
  <c r="EC94" i="3" s="1"/>
  <c r="EB30" i="3"/>
  <c r="EB94" i="3" s="1"/>
  <c r="EA30" i="3"/>
  <c r="EA94" i="3" s="1"/>
  <c r="DZ30" i="3"/>
  <c r="DZ94" i="3" s="1"/>
  <c r="DY30" i="3"/>
  <c r="DY94" i="3" s="1"/>
  <c r="DX30" i="3"/>
  <c r="DX94" i="3" s="1"/>
  <c r="DW30" i="3"/>
  <c r="DW94" i="3" s="1"/>
  <c r="DV30" i="3"/>
  <c r="DV94" i="3" s="1"/>
  <c r="DU30" i="3"/>
  <c r="DU94" i="3" s="1"/>
  <c r="DU105" i="3" s="1"/>
  <c r="DT30" i="3"/>
  <c r="DT94" i="3" s="1"/>
  <c r="DT105" i="3" s="1"/>
  <c r="DS30" i="3"/>
  <c r="DS94" i="3" s="1"/>
  <c r="DR30" i="3"/>
  <c r="DR94" i="3" s="1"/>
  <c r="DR105" i="3" s="1"/>
  <c r="DQ30" i="3"/>
  <c r="DQ94" i="3" s="1"/>
  <c r="DP30" i="3"/>
  <c r="DP94" i="3" s="1"/>
  <c r="DO30" i="3"/>
  <c r="DO94" i="3" s="1"/>
  <c r="DN30" i="3"/>
  <c r="DN94" i="3" s="1"/>
  <c r="DN105" i="3" s="1"/>
  <c r="DM30" i="3"/>
  <c r="DM94" i="3" s="1"/>
  <c r="DL30" i="3"/>
  <c r="DL94" i="3" s="1"/>
  <c r="DK30" i="3"/>
  <c r="DK94" i="3" s="1"/>
  <c r="DJ30" i="3"/>
  <c r="DJ94" i="3" s="1"/>
  <c r="DI30" i="3"/>
  <c r="DI94" i="3" s="1"/>
  <c r="DI105" i="3" s="1"/>
  <c r="DH30" i="3"/>
  <c r="DH94" i="3" s="1"/>
  <c r="DH105" i="3" s="1"/>
  <c r="DG30" i="3"/>
  <c r="DG94" i="3" s="1"/>
  <c r="DF30" i="3"/>
  <c r="DE30" i="3"/>
  <c r="DE94" i="3" s="1"/>
  <c r="DD30" i="3"/>
  <c r="DC30" i="3"/>
  <c r="DC94" i="3" s="1"/>
  <c r="DB30" i="3"/>
  <c r="DB94" i="3" s="1"/>
  <c r="DB105" i="3" s="1"/>
  <c r="DA30" i="3"/>
  <c r="DA94" i="3" s="1"/>
  <c r="CZ30" i="3"/>
  <c r="CZ94" i="3" s="1"/>
  <c r="CY30" i="3"/>
  <c r="CY94" i="3" s="1"/>
  <c r="CX30" i="3"/>
  <c r="CX94" i="3" s="1"/>
  <c r="CW30" i="3"/>
  <c r="CW94" i="3" s="1"/>
  <c r="CW105" i="3" s="1"/>
  <c r="CV30" i="3"/>
  <c r="CV94" i="3" s="1"/>
  <c r="CV105" i="3" s="1"/>
  <c r="CU30" i="3"/>
  <c r="CU94" i="3" s="1"/>
  <c r="CU105" i="3" s="1"/>
  <c r="CT30" i="3"/>
  <c r="CS30" i="3"/>
  <c r="CS94" i="3" s="1"/>
  <c r="CR30" i="3"/>
  <c r="CR94" i="3" s="1"/>
  <c r="CQ30" i="3"/>
  <c r="CQ94" i="3" s="1"/>
  <c r="CP30" i="3"/>
  <c r="CP94" i="3" s="1"/>
  <c r="CO30" i="3"/>
  <c r="CO94" i="3" s="1"/>
  <c r="CN30" i="3"/>
  <c r="CN94" i="3" s="1"/>
  <c r="CM30" i="3"/>
  <c r="CM94" i="3" s="1"/>
  <c r="CL30" i="3"/>
  <c r="CL94" i="3" s="1"/>
  <c r="CK30" i="3"/>
  <c r="CK94" i="3" s="1"/>
  <c r="CK105" i="3" s="1"/>
  <c r="CJ30" i="3"/>
  <c r="CJ94" i="3" s="1"/>
  <c r="CJ105" i="3" s="1"/>
  <c r="CI30" i="3"/>
  <c r="CI94" i="3" s="1"/>
  <c r="CH30" i="3"/>
  <c r="CH94" i="3" s="1"/>
  <c r="CH105" i="3" s="1"/>
  <c r="CG30" i="3"/>
  <c r="CG94" i="3" s="1"/>
  <c r="CF30" i="3"/>
  <c r="CF94" i="3" s="1"/>
  <c r="CE30" i="3"/>
  <c r="CE94" i="3" s="1"/>
  <c r="CD30" i="3"/>
  <c r="CD94" i="3" s="1"/>
  <c r="CC30" i="3"/>
  <c r="CC94" i="3" s="1"/>
  <c r="CB30" i="3"/>
  <c r="CB94" i="3" s="1"/>
  <c r="CA30" i="3"/>
  <c r="CA94" i="3" s="1"/>
  <c r="BZ30" i="3"/>
  <c r="BZ94" i="3" s="1"/>
  <c r="BY30" i="3"/>
  <c r="BY94" i="3" s="1"/>
  <c r="BY105" i="3" s="1"/>
  <c r="BX30" i="3"/>
  <c r="BX94" i="3" s="1"/>
  <c r="BX105" i="3" s="1"/>
  <c r="BW30" i="3"/>
  <c r="BW94" i="3" s="1"/>
  <c r="BV30" i="3"/>
  <c r="BV94" i="3" s="1"/>
  <c r="BV105" i="3" s="1"/>
  <c r="BU30" i="3"/>
  <c r="BU94" i="3" s="1"/>
  <c r="BT30" i="3"/>
  <c r="BT94" i="3" s="1"/>
  <c r="BS30" i="3"/>
  <c r="BS94" i="3" s="1"/>
  <c r="BR30" i="3"/>
  <c r="BR94" i="3" s="1"/>
  <c r="BR105" i="3" s="1"/>
  <c r="BQ30" i="3"/>
  <c r="BQ94" i="3" s="1"/>
  <c r="BP30" i="3"/>
  <c r="BP94" i="3" s="1"/>
  <c r="BO30" i="3"/>
  <c r="BO94" i="3" s="1"/>
  <c r="BN30" i="3"/>
  <c r="BN94" i="3" s="1"/>
  <c r="BM30" i="3"/>
  <c r="BM94" i="3" s="1"/>
  <c r="BM105" i="3" s="1"/>
  <c r="BL30" i="3"/>
  <c r="BL94" i="3" s="1"/>
  <c r="BL105" i="3" s="1"/>
  <c r="BK30" i="3"/>
  <c r="BK94" i="3" s="1"/>
  <c r="BJ30" i="3"/>
  <c r="BI30" i="3"/>
  <c r="BI94" i="3" s="1"/>
  <c r="BH30" i="3"/>
  <c r="BG30" i="3"/>
  <c r="BG94" i="3" s="1"/>
  <c r="BF30" i="3"/>
  <c r="BF94" i="3" s="1"/>
  <c r="BF105" i="3" s="1"/>
  <c r="BE30" i="3"/>
  <c r="BE94" i="3" s="1"/>
  <c r="BD30" i="3"/>
  <c r="BD94" i="3" s="1"/>
  <c r="BC30" i="3"/>
  <c r="BC94" i="3" s="1"/>
  <c r="BB30" i="3"/>
  <c r="BB94" i="3" s="1"/>
  <c r="BA30" i="3"/>
  <c r="BA94" i="3" s="1"/>
  <c r="BA105" i="3" s="1"/>
  <c r="AZ30" i="3"/>
  <c r="AZ94" i="3" s="1"/>
  <c r="AZ105" i="3" s="1"/>
  <c r="AY30" i="3"/>
  <c r="AY94" i="3" s="1"/>
  <c r="AX30" i="3"/>
  <c r="AW30" i="3"/>
  <c r="AW94" i="3" s="1"/>
  <c r="AV30" i="3"/>
  <c r="AV94" i="3" s="1"/>
  <c r="AU30" i="3"/>
  <c r="AU94" i="3" s="1"/>
  <c r="AT30" i="3"/>
  <c r="AT94" i="3" s="1"/>
  <c r="AS30" i="3"/>
  <c r="AS94" i="3" s="1"/>
  <c r="AR30" i="3"/>
  <c r="AR94" i="3" s="1"/>
  <c r="AQ30" i="3"/>
  <c r="AQ94" i="3" s="1"/>
  <c r="AP30" i="3"/>
  <c r="AP94" i="3" s="1"/>
  <c r="AO30" i="3"/>
  <c r="AO94" i="3" s="1"/>
  <c r="AO105" i="3" s="1"/>
  <c r="AN30" i="3"/>
  <c r="AN94" i="3" s="1"/>
  <c r="AN105" i="3" s="1"/>
  <c r="AM30" i="3"/>
  <c r="AM94" i="3" s="1"/>
  <c r="AL30" i="3"/>
  <c r="AL94" i="3" s="1"/>
  <c r="AL105" i="3" s="1"/>
  <c r="AK30" i="3"/>
  <c r="AK94" i="3" s="1"/>
  <c r="AJ30" i="3"/>
  <c r="AJ94" i="3" s="1"/>
  <c r="AI30" i="3"/>
  <c r="AI94" i="3" s="1"/>
  <c r="AH30" i="3"/>
  <c r="AH94" i="3" s="1"/>
  <c r="AG30" i="3"/>
  <c r="AG94" i="3" s="1"/>
  <c r="AF30" i="3"/>
  <c r="AF94" i="3" s="1"/>
  <c r="AE30" i="3"/>
  <c r="AE94" i="3" s="1"/>
  <c r="AD30" i="3"/>
  <c r="AD94" i="3" s="1"/>
  <c r="AC30" i="3"/>
  <c r="AC94" i="3" s="1"/>
  <c r="AC105" i="3" s="1"/>
  <c r="AB30" i="3"/>
  <c r="AB94" i="3" s="1"/>
  <c r="AB105" i="3" s="1"/>
  <c r="AA30" i="3"/>
  <c r="AA94" i="3" s="1"/>
  <c r="AA105" i="3" s="1"/>
  <c r="Z30" i="3"/>
  <c r="Z94" i="3" s="1"/>
  <c r="Z105" i="3" s="1"/>
  <c r="Y30" i="3"/>
  <c r="Y94" i="3" s="1"/>
  <c r="X30" i="3"/>
  <c r="X94" i="3" s="1"/>
  <c r="W30" i="3"/>
  <c r="W94" i="3" s="1"/>
  <c r="V30" i="3"/>
  <c r="V94" i="3" s="1"/>
  <c r="V105" i="3" s="1"/>
  <c r="U30" i="3"/>
  <c r="U94" i="3" s="1"/>
  <c r="T30" i="3"/>
  <c r="T94" i="3" s="1"/>
  <c r="S30" i="3"/>
  <c r="S94" i="3" s="1"/>
  <c r="R30" i="3"/>
  <c r="R94" i="3" s="1"/>
  <c r="Q30" i="3"/>
  <c r="Q94" i="3" s="1"/>
  <c r="Q105" i="3" s="1"/>
  <c r="P30" i="3"/>
  <c r="P94" i="3" s="1"/>
  <c r="P105" i="3" s="1"/>
  <c r="O30" i="3"/>
  <c r="O94" i="3" s="1"/>
  <c r="N30" i="3"/>
  <c r="M30" i="3"/>
  <c r="M94" i="3" s="1"/>
  <c r="L30" i="3"/>
  <c r="K30" i="3"/>
  <c r="K94" i="3" s="1"/>
  <c r="J30" i="3"/>
  <c r="J94" i="3" s="1"/>
  <c r="I30" i="3"/>
  <c r="I94" i="3" s="1"/>
  <c r="H30" i="3"/>
  <c r="H94" i="3" s="1"/>
  <c r="G30" i="3"/>
  <c r="G94" i="3" s="1"/>
  <c r="F30" i="3"/>
  <c r="F94" i="3" s="1"/>
  <c r="E30" i="3"/>
  <c r="E94" i="3" s="1"/>
  <c r="E105" i="3" s="1"/>
  <c r="D30" i="3"/>
  <c r="D94" i="3" s="1"/>
  <c r="D105" i="3" s="1"/>
  <c r="C30" i="3"/>
  <c r="C94" i="3" s="1"/>
  <c r="FX29" i="3"/>
  <c r="FX166" i="3" s="1"/>
  <c r="FW29" i="3"/>
  <c r="FW166" i="3" s="1"/>
  <c r="FV29" i="3"/>
  <c r="FV166" i="3" s="1"/>
  <c r="FU29" i="3"/>
  <c r="FU166" i="3" s="1"/>
  <c r="FT29" i="3"/>
  <c r="FT166" i="3" s="1"/>
  <c r="FS29" i="3"/>
  <c r="FS166" i="3" s="1"/>
  <c r="FR29" i="3"/>
  <c r="FR166" i="3" s="1"/>
  <c r="FQ29" i="3"/>
  <c r="FQ166" i="3" s="1"/>
  <c r="FP29" i="3"/>
  <c r="FP166" i="3" s="1"/>
  <c r="FO29" i="3"/>
  <c r="FO166" i="3" s="1"/>
  <c r="FN29" i="3"/>
  <c r="FN166" i="3" s="1"/>
  <c r="FM29" i="3"/>
  <c r="FM166" i="3" s="1"/>
  <c r="FL29" i="3"/>
  <c r="FL166" i="3" s="1"/>
  <c r="FK29" i="3"/>
  <c r="FK166" i="3" s="1"/>
  <c r="FJ29" i="3"/>
  <c r="FJ166" i="3" s="1"/>
  <c r="FI29" i="3"/>
  <c r="FI166" i="3" s="1"/>
  <c r="FH29" i="3"/>
  <c r="FH166" i="3" s="1"/>
  <c r="FG29" i="3"/>
  <c r="FG166" i="3" s="1"/>
  <c r="FF29" i="3"/>
  <c r="FF166" i="3" s="1"/>
  <c r="FE29" i="3"/>
  <c r="FE166" i="3" s="1"/>
  <c r="FD29" i="3"/>
  <c r="FD166" i="3" s="1"/>
  <c r="FC29" i="3"/>
  <c r="FC166" i="3" s="1"/>
  <c r="FB29" i="3"/>
  <c r="FB166" i="3" s="1"/>
  <c r="FA29" i="3"/>
  <c r="FA166" i="3" s="1"/>
  <c r="EZ29" i="3"/>
  <c r="EZ166" i="3" s="1"/>
  <c r="EY29" i="3"/>
  <c r="EY166" i="3" s="1"/>
  <c r="EX29" i="3"/>
  <c r="EX166" i="3" s="1"/>
  <c r="EW29" i="3"/>
  <c r="EW166" i="3" s="1"/>
  <c r="EV29" i="3"/>
  <c r="EV166" i="3" s="1"/>
  <c r="EU29" i="3"/>
  <c r="EU166" i="3" s="1"/>
  <c r="ET29" i="3"/>
  <c r="ET166" i="3" s="1"/>
  <c r="ES29" i="3"/>
  <c r="ES166" i="3" s="1"/>
  <c r="ER29" i="3"/>
  <c r="ER166" i="3" s="1"/>
  <c r="EQ29" i="3"/>
  <c r="EQ166" i="3" s="1"/>
  <c r="EP29" i="3"/>
  <c r="EP166" i="3" s="1"/>
  <c r="EO29" i="3"/>
  <c r="EO166" i="3" s="1"/>
  <c r="EN29" i="3"/>
  <c r="EN166" i="3" s="1"/>
  <c r="EM29" i="3"/>
  <c r="EM166" i="3" s="1"/>
  <c r="EL29" i="3"/>
  <c r="EL166" i="3" s="1"/>
  <c r="EK29" i="3"/>
  <c r="EK166" i="3" s="1"/>
  <c r="EJ29" i="3"/>
  <c r="EJ166" i="3" s="1"/>
  <c r="EI29" i="3"/>
  <c r="EI166" i="3" s="1"/>
  <c r="EH29" i="3"/>
  <c r="EH166" i="3" s="1"/>
  <c r="EG29" i="3"/>
  <c r="EG166" i="3" s="1"/>
  <c r="EF29" i="3"/>
  <c r="EF166" i="3" s="1"/>
  <c r="EE29" i="3"/>
  <c r="EE166" i="3" s="1"/>
  <c r="ED29" i="3"/>
  <c r="ED166" i="3" s="1"/>
  <c r="EC29" i="3"/>
  <c r="EC166" i="3" s="1"/>
  <c r="EB29" i="3"/>
  <c r="EB166" i="3" s="1"/>
  <c r="EA29" i="3"/>
  <c r="EA166" i="3" s="1"/>
  <c r="DZ29" i="3"/>
  <c r="DZ166" i="3" s="1"/>
  <c r="DY29" i="3"/>
  <c r="DY166" i="3" s="1"/>
  <c r="DX29" i="3"/>
  <c r="DX166" i="3" s="1"/>
  <c r="DW29" i="3"/>
  <c r="DW166" i="3" s="1"/>
  <c r="DV29" i="3"/>
  <c r="DV166" i="3" s="1"/>
  <c r="DU29" i="3"/>
  <c r="DU166" i="3" s="1"/>
  <c r="DT29" i="3"/>
  <c r="DT166" i="3" s="1"/>
  <c r="DS29" i="3"/>
  <c r="DS166" i="3" s="1"/>
  <c r="DR29" i="3"/>
  <c r="DR166" i="3" s="1"/>
  <c r="DQ29" i="3"/>
  <c r="DQ166" i="3" s="1"/>
  <c r="DP29" i="3"/>
  <c r="DP166" i="3" s="1"/>
  <c r="DO29" i="3"/>
  <c r="DO166" i="3" s="1"/>
  <c r="DN29" i="3"/>
  <c r="DN166" i="3" s="1"/>
  <c r="DM29" i="3"/>
  <c r="DM166" i="3" s="1"/>
  <c r="DL29" i="3"/>
  <c r="DL166" i="3" s="1"/>
  <c r="DK29" i="3"/>
  <c r="DK166" i="3" s="1"/>
  <c r="DJ29" i="3"/>
  <c r="DJ166" i="3" s="1"/>
  <c r="DI29" i="3"/>
  <c r="DI166" i="3" s="1"/>
  <c r="DH29" i="3"/>
  <c r="DH166" i="3" s="1"/>
  <c r="DG29" i="3"/>
  <c r="DG166" i="3" s="1"/>
  <c r="DF29" i="3"/>
  <c r="DF166" i="3" s="1"/>
  <c r="DE29" i="3"/>
  <c r="DE166" i="3" s="1"/>
  <c r="DD29" i="3"/>
  <c r="DD166" i="3" s="1"/>
  <c r="DC29" i="3"/>
  <c r="DC166" i="3" s="1"/>
  <c r="DB29" i="3"/>
  <c r="DB166" i="3" s="1"/>
  <c r="DA29" i="3"/>
  <c r="DA166" i="3" s="1"/>
  <c r="CZ29" i="3"/>
  <c r="CZ166" i="3" s="1"/>
  <c r="CY29" i="3"/>
  <c r="CY166" i="3" s="1"/>
  <c r="CX29" i="3"/>
  <c r="CX166" i="3" s="1"/>
  <c r="CW29" i="3"/>
  <c r="CW166" i="3" s="1"/>
  <c r="CV29" i="3"/>
  <c r="CV166" i="3" s="1"/>
  <c r="CU29" i="3"/>
  <c r="CU166" i="3" s="1"/>
  <c r="CT29" i="3"/>
  <c r="CT166" i="3" s="1"/>
  <c r="CS29" i="3"/>
  <c r="CS166" i="3" s="1"/>
  <c r="CR29" i="3"/>
  <c r="CR166" i="3" s="1"/>
  <c r="CQ29" i="3"/>
  <c r="CQ166" i="3" s="1"/>
  <c r="CP29" i="3"/>
  <c r="CP166" i="3" s="1"/>
  <c r="CO29" i="3"/>
  <c r="CO166" i="3" s="1"/>
  <c r="CN29" i="3"/>
  <c r="CN166" i="3" s="1"/>
  <c r="CM29" i="3"/>
  <c r="CM166" i="3" s="1"/>
  <c r="CL29" i="3"/>
  <c r="CL166" i="3" s="1"/>
  <c r="CK29" i="3"/>
  <c r="CK166" i="3" s="1"/>
  <c r="CJ29" i="3"/>
  <c r="CJ166" i="3" s="1"/>
  <c r="CI29" i="3"/>
  <c r="CI166" i="3" s="1"/>
  <c r="CH29" i="3"/>
  <c r="CH166" i="3" s="1"/>
  <c r="CG29" i="3"/>
  <c r="CG166" i="3" s="1"/>
  <c r="CF29" i="3"/>
  <c r="CF166" i="3" s="1"/>
  <c r="CE29" i="3"/>
  <c r="CE166" i="3" s="1"/>
  <c r="CD29" i="3"/>
  <c r="CD166" i="3" s="1"/>
  <c r="CC29" i="3"/>
  <c r="CC166" i="3" s="1"/>
  <c r="CB29" i="3"/>
  <c r="CB166" i="3" s="1"/>
  <c r="CA29" i="3"/>
  <c r="CA166" i="3" s="1"/>
  <c r="BZ29" i="3"/>
  <c r="BZ166" i="3" s="1"/>
  <c r="BY29" i="3"/>
  <c r="BY166" i="3" s="1"/>
  <c r="BX29" i="3"/>
  <c r="BX166" i="3" s="1"/>
  <c r="BW29" i="3"/>
  <c r="BW166" i="3" s="1"/>
  <c r="BV29" i="3"/>
  <c r="BV166" i="3" s="1"/>
  <c r="BU29" i="3"/>
  <c r="BU166" i="3" s="1"/>
  <c r="BT29" i="3"/>
  <c r="BT166" i="3" s="1"/>
  <c r="BS29" i="3"/>
  <c r="BS166" i="3" s="1"/>
  <c r="BR29" i="3"/>
  <c r="BR166" i="3" s="1"/>
  <c r="BQ29" i="3"/>
  <c r="BQ166" i="3" s="1"/>
  <c r="BP29" i="3"/>
  <c r="BP166" i="3" s="1"/>
  <c r="BO29" i="3"/>
  <c r="BO166" i="3" s="1"/>
  <c r="BN29" i="3"/>
  <c r="BN166" i="3" s="1"/>
  <c r="BM29" i="3"/>
  <c r="BM166" i="3" s="1"/>
  <c r="BL29" i="3"/>
  <c r="BL166" i="3" s="1"/>
  <c r="BK29" i="3"/>
  <c r="BK166" i="3" s="1"/>
  <c r="BJ29" i="3"/>
  <c r="BJ166" i="3" s="1"/>
  <c r="BI29" i="3"/>
  <c r="BI166" i="3" s="1"/>
  <c r="BH29" i="3"/>
  <c r="BH166" i="3" s="1"/>
  <c r="BG29" i="3"/>
  <c r="BG166" i="3" s="1"/>
  <c r="BF29" i="3"/>
  <c r="BF166" i="3" s="1"/>
  <c r="BE29" i="3"/>
  <c r="BE166" i="3" s="1"/>
  <c r="BD29" i="3"/>
  <c r="BD166" i="3" s="1"/>
  <c r="BC29" i="3"/>
  <c r="BC166" i="3" s="1"/>
  <c r="BB29" i="3"/>
  <c r="BB166" i="3" s="1"/>
  <c r="BA29" i="3"/>
  <c r="BA166" i="3" s="1"/>
  <c r="AZ29" i="3"/>
  <c r="AZ166" i="3" s="1"/>
  <c r="AY29" i="3"/>
  <c r="AY166" i="3" s="1"/>
  <c r="AX29" i="3"/>
  <c r="AX166" i="3" s="1"/>
  <c r="AW29" i="3"/>
  <c r="AW166" i="3" s="1"/>
  <c r="AV29" i="3"/>
  <c r="AV166" i="3" s="1"/>
  <c r="AU29" i="3"/>
  <c r="AU166" i="3" s="1"/>
  <c r="AT29" i="3"/>
  <c r="AT166" i="3" s="1"/>
  <c r="AS29" i="3"/>
  <c r="AS166" i="3" s="1"/>
  <c r="AR29" i="3"/>
  <c r="AR166" i="3" s="1"/>
  <c r="AQ29" i="3"/>
  <c r="AQ166" i="3" s="1"/>
  <c r="AP29" i="3"/>
  <c r="AP166" i="3" s="1"/>
  <c r="AO29" i="3"/>
  <c r="AO166" i="3" s="1"/>
  <c r="AN29" i="3"/>
  <c r="AN166" i="3" s="1"/>
  <c r="AM29" i="3"/>
  <c r="AM166" i="3" s="1"/>
  <c r="AL29" i="3"/>
  <c r="AL166" i="3" s="1"/>
  <c r="AK29" i="3"/>
  <c r="AK166" i="3" s="1"/>
  <c r="AJ29" i="3"/>
  <c r="AJ166" i="3" s="1"/>
  <c r="AI29" i="3"/>
  <c r="AI166" i="3" s="1"/>
  <c r="AH29" i="3"/>
  <c r="AH166" i="3" s="1"/>
  <c r="AG29" i="3"/>
  <c r="AG166" i="3" s="1"/>
  <c r="AF29" i="3"/>
  <c r="AF166" i="3" s="1"/>
  <c r="AE29" i="3"/>
  <c r="AE166" i="3" s="1"/>
  <c r="AD29" i="3"/>
  <c r="AD166" i="3" s="1"/>
  <c r="AC29" i="3"/>
  <c r="AC166" i="3" s="1"/>
  <c r="AB29" i="3"/>
  <c r="AB166" i="3" s="1"/>
  <c r="AA29" i="3"/>
  <c r="AA166" i="3" s="1"/>
  <c r="Z29" i="3"/>
  <c r="Z166" i="3" s="1"/>
  <c r="Y29" i="3"/>
  <c r="Y166" i="3" s="1"/>
  <c r="X29" i="3"/>
  <c r="X166" i="3" s="1"/>
  <c r="W29" i="3"/>
  <c r="W166" i="3" s="1"/>
  <c r="V29" i="3"/>
  <c r="V166" i="3" s="1"/>
  <c r="U29" i="3"/>
  <c r="U166" i="3" s="1"/>
  <c r="T29" i="3"/>
  <c r="T166" i="3" s="1"/>
  <c r="S29" i="3"/>
  <c r="S166" i="3" s="1"/>
  <c r="R29" i="3"/>
  <c r="R166" i="3" s="1"/>
  <c r="Q29" i="3"/>
  <c r="Q166" i="3" s="1"/>
  <c r="P29" i="3"/>
  <c r="P166" i="3" s="1"/>
  <c r="O29" i="3"/>
  <c r="O166" i="3" s="1"/>
  <c r="N29" i="3"/>
  <c r="N166" i="3" s="1"/>
  <c r="M29" i="3"/>
  <c r="M166" i="3" s="1"/>
  <c r="L29" i="3"/>
  <c r="L166" i="3" s="1"/>
  <c r="K29" i="3"/>
  <c r="K166" i="3" s="1"/>
  <c r="J29" i="3"/>
  <c r="J166" i="3" s="1"/>
  <c r="I29" i="3"/>
  <c r="I166" i="3" s="1"/>
  <c r="H29" i="3"/>
  <c r="H166" i="3" s="1"/>
  <c r="G29" i="3"/>
  <c r="G166" i="3" s="1"/>
  <c r="F29" i="3"/>
  <c r="F166" i="3" s="1"/>
  <c r="E29" i="3"/>
  <c r="E166" i="3" s="1"/>
  <c r="D29" i="3"/>
  <c r="D166" i="3" s="1"/>
  <c r="C29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FX27" i="3"/>
  <c r="FX89" i="3" s="1"/>
  <c r="FW27" i="3"/>
  <c r="FW89" i="3" s="1"/>
  <c r="FV27" i="3"/>
  <c r="FV89" i="3" s="1"/>
  <c r="FU27" i="3"/>
  <c r="FU89" i="3" s="1"/>
  <c r="FT27" i="3"/>
  <c r="FT89" i="3" s="1"/>
  <c r="FS27" i="3"/>
  <c r="FS89" i="3" s="1"/>
  <c r="FR27" i="3"/>
  <c r="FR89" i="3" s="1"/>
  <c r="FQ27" i="3"/>
  <c r="FQ89" i="3" s="1"/>
  <c r="FP27" i="3"/>
  <c r="FP89" i="3" s="1"/>
  <c r="FO27" i="3"/>
  <c r="FO89" i="3" s="1"/>
  <c r="FN27" i="3"/>
  <c r="FN89" i="3" s="1"/>
  <c r="FM27" i="3"/>
  <c r="FM89" i="3" s="1"/>
  <c r="FL27" i="3"/>
  <c r="FL89" i="3" s="1"/>
  <c r="FK27" i="3"/>
  <c r="FK89" i="3" s="1"/>
  <c r="FJ27" i="3"/>
  <c r="FI27" i="3"/>
  <c r="FI89" i="3" s="1"/>
  <c r="FH27" i="3"/>
  <c r="FH89" i="3" s="1"/>
  <c r="FG27" i="3"/>
  <c r="FG89" i="3" s="1"/>
  <c r="FF27" i="3"/>
  <c r="FF89" i="3" s="1"/>
  <c r="FE27" i="3"/>
  <c r="FE89" i="3" s="1"/>
  <c r="FD27" i="3"/>
  <c r="FD89" i="3" s="1"/>
  <c r="FC27" i="3"/>
  <c r="FC89" i="3" s="1"/>
  <c r="FB27" i="3"/>
  <c r="FB89" i="3" s="1"/>
  <c r="FA27" i="3"/>
  <c r="FA89" i="3" s="1"/>
  <c r="EZ27" i="3"/>
  <c r="EY27" i="3"/>
  <c r="EY89" i="3" s="1"/>
  <c r="EX27" i="3"/>
  <c r="EX89" i="3" s="1"/>
  <c r="EW27" i="3"/>
  <c r="EW89" i="3" s="1"/>
  <c r="EV27" i="3"/>
  <c r="EV89" i="3" s="1"/>
  <c r="EU27" i="3"/>
  <c r="EU89" i="3" s="1"/>
  <c r="ET27" i="3"/>
  <c r="ET89" i="3" s="1"/>
  <c r="ES27" i="3"/>
  <c r="ES89" i="3" s="1"/>
  <c r="ER27" i="3"/>
  <c r="ER89" i="3" s="1"/>
  <c r="EQ27" i="3"/>
  <c r="EQ89" i="3" s="1"/>
  <c r="EP27" i="3"/>
  <c r="EP89" i="3" s="1"/>
  <c r="EO27" i="3"/>
  <c r="EO89" i="3" s="1"/>
  <c r="EN27" i="3"/>
  <c r="EN89" i="3" s="1"/>
  <c r="EM27" i="3"/>
  <c r="EM89" i="3" s="1"/>
  <c r="EL27" i="3"/>
  <c r="EL89" i="3" s="1"/>
  <c r="EK27" i="3"/>
  <c r="EK89" i="3" s="1"/>
  <c r="EJ27" i="3"/>
  <c r="EJ89" i="3" s="1"/>
  <c r="EI27" i="3"/>
  <c r="EI89" i="3" s="1"/>
  <c r="EH27" i="3"/>
  <c r="EH89" i="3" s="1"/>
  <c r="EG27" i="3"/>
  <c r="EG89" i="3" s="1"/>
  <c r="EF27" i="3"/>
  <c r="EF89" i="3" s="1"/>
  <c r="EE27" i="3"/>
  <c r="EE89" i="3" s="1"/>
  <c r="ED27" i="3"/>
  <c r="ED89" i="3" s="1"/>
  <c r="EC27" i="3"/>
  <c r="EC89" i="3" s="1"/>
  <c r="EB27" i="3"/>
  <c r="EB89" i="3" s="1"/>
  <c r="EA27" i="3"/>
  <c r="EA89" i="3" s="1"/>
  <c r="DZ27" i="3"/>
  <c r="DZ89" i="3" s="1"/>
  <c r="DY27" i="3"/>
  <c r="DY89" i="3" s="1"/>
  <c r="DX27" i="3"/>
  <c r="DX89" i="3" s="1"/>
  <c r="DW27" i="3"/>
  <c r="DW89" i="3" s="1"/>
  <c r="DV27" i="3"/>
  <c r="DV89" i="3" s="1"/>
  <c r="DU27" i="3"/>
  <c r="DU89" i="3" s="1"/>
  <c r="DT27" i="3"/>
  <c r="DT89" i="3" s="1"/>
  <c r="DS27" i="3"/>
  <c r="DS89" i="3" s="1"/>
  <c r="DR27" i="3"/>
  <c r="DR89" i="3" s="1"/>
  <c r="DQ27" i="3"/>
  <c r="DQ89" i="3" s="1"/>
  <c r="DP27" i="3"/>
  <c r="DP89" i="3" s="1"/>
  <c r="DO27" i="3"/>
  <c r="DO89" i="3" s="1"/>
  <c r="DN27" i="3"/>
  <c r="DM27" i="3"/>
  <c r="DM89" i="3" s="1"/>
  <c r="DL27" i="3"/>
  <c r="DL89" i="3" s="1"/>
  <c r="DK27" i="3"/>
  <c r="DK89" i="3" s="1"/>
  <c r="DJ27" i="3"/>
  <c r="DJ89" i="3" s="1"/>
  <c r="DI27" i="3"/>
  <c r="DI89" i="3" s="1"/>
  <c r="DH27" i="3"/>
  <c r="DH89" i="3" s="1"/>
  <c r="DG27" i="3"/>
  <c r="DG89" i="3" s="1"/>
  <c r="DF27" i="3"/>
  <c r="DF89" i="3" s="1"/>
  <c r="DE27" i="3"/>
  <c r="DE89" i="3" s="1"/>
  <c r="DD27" i="3"/>
  <c r="DC27" i="3"/>
  <c r="DC89" i="3" s="1"/>
  <c r="DB27" i="3"/>
  <c r="DB89" i="3" s="1"/>
  <c r="DA27" i="3"/>
  <c r="DA89" i="3" s="1"/>
  <c r="CZ27" i="3"/>
  <c r="CZ89" i="3" s="1"/>
  <c r="CY27" i="3"/>
  <c r="CY89" i="3" s="1"/>
  <c r="CX27" i="3"/>
  <c r="CX89" i="3" s="1"/>
  <c r="CW27" i="3"/>
  <c r="CW89" i="3" s="1"/>
  <c r="CV27" i="3"/>
  <c r="CV89" i="3" s="1"/>
  <c r="CU27" i="3"/>
  <c r="CU89" i="3" s="1"/>
  <c r="CT27" i="3"/>
  <c r="CT89" i="3" s="1"/>
  <c r="CS27" i="3"/>
  <c r="CS89" i="3" s="1"/>
  <c r="CR27" i="3"/>
  <c r="CR89" i="3" s="1"/>
  <c r="CQ27" i="3"/>
  <c r="CQ89" i="3" s="1"/>
  <c r="CP27" i="3"/>
  <c r="CP89" i="3" s="1"/>
  <c r="CO27" i="3"/>
  <c r="CO89" i="3" s="1"/>
  <c r="CN27" i="3"/>
  <c r="CN89" i="3" s="1"/>
  <c r="CM27" i="3"/>
  <c r="CM89" i="3" s="1"/>
  <c r="CL27" i="3"/>
  <c r="CL89" i="3" s="1"/>
  <c r="CK27" i="3"/>
  <c r="CK89" i="3" s="1"/>
  <c r="CJ27" i="3"/>
  <c r="CJ89" i="3" s="1"/>
  <c r="CI27" i="3"/>
  <c r="CI89" i="3" s="1"/>
  <c r="CH27" i="3"/>
  <c r="CH89" i="3" s="1"/>
  <c r="CG27" i="3"/>
  <c r="CG89" i="3" s="1"/>
  <c r="CF27" i="3"/>
  <c r="CF89" i="3" s="1"/>
  <c r="CE27" i="3"/>
  <c r="CE89" i="3" s="1"/>
  <c r="CD27" i="3"/>
  <c r="CD89" i="3" s="1"/>
  <c r="CC27" i="3"/>
  <c r="CC89" i="3" s="1"/>
  <c r="CB27" i="3"/>
  <c r="CB89" i="3" s="1"/>
  <c r="CA27" i="3"/>
  <c r="CA89" i="3" s="1"/>
  <c r="BZ27" i="3"/>
  <c r="BZ89" i="3" s="1"/>
  <c r="BY27" i="3"/>
  <c r="BY89" i="3" s="1"/>
  <c r="BX27" i="3"/>
  <c r="BX89" i="3" s="1"/>
  <c r="BW27" i="3"/>
  <c r="BW89" i="3" s="1"/>
  <c r="BV27" i="3"/>
  <c r="BV89" i="3" s="1"/>
  <c r="BU27" i="3"/>
  <c r="BU89" i="3" s="1"/>
  <c r="BT27" i="3"/>
  <c r="BT89" i="3" s="1"/>
  <c r="BS27" i="3"/>
  <c r="BS89" i="3" s="1"/>
  <c r="BR27" i="3"/>
  <c r="BR89" i="3" s="1"/>
  <c r="BQ27" i="3"/>
  <c r="BQ89" i="3" s="1"/>
  <c r="BP27" i="3"/>
  <c r="BP89" i="3" s="1"/>
  <c r="BO27" i="3"/>
  <c r="BO89" i="3" s="1"/>
  <c r="BN27" i="3"/>
  <c r="BN89" i="3" s="1"/>
  <c r="BM27" i="3"/>
  <c r="BM89" i="3" s="1"/>
  <c r="BL27" i="3"/>
  <c r="BL89" i="3" s="1"/>
  <c r="BK27" i="3"/>
  <c r="BK89" i="3" s="1"/>
  <c r="BJ27" i="3"/>
  <c r="BJ89" i="3" s="1"/>
  <c r="BI27" i="3"/>
  <c r="BI89" i="3" s="1"/>
  <c r="BH27" i="3"/>
  <c r="BG27" i="3"/>
  <c r="BG89" i="3" s="1"/>
  <c r="BF27" i="3"/>
  <c r="BF89" i="3" s="1"/>
  <c r="BE27" i="3"/>
  <c r="BE89" i="3" s="1"/>
  <c r="BD27" i="3"/>
  <c r="BD89" i="3" s="1"/>
  <c r="BC27" i="3"/>
  <c r="BC89" i="3" s="1"/>
  <c r="BB27" i="3"/>
  <c r="BB89" i="3" s="1"/>
  <c r="BA27" i="3"/>
  <c r="BA89" i="3" s="1"/>
  <c r="AZ27" i="3"/>
  <c r="AZ89" i="3" s="1"/>
  <c r="AY27" i="3"/>
  <c r="AY89" i="3" s="1"/>
  <c r="AX27" i="3"/>
  <c r="AX89" i="3" s="1"/>
  <c r="AW27" i="3"/>
  <c r="AW89" i="3" s="1"/>
  <c r="AV27" i="3"/>
  <c r="AV89" i="3" s="1"/>
  <c r="AU27" i="3"/>
  <c r="AU89" i="3" s="1"/>
  <c r="AT27" i="3"/>
  <c r="AT89" i="3" s="1"/>
  <c r="AS27" i="3"/>
  <c r="AS89" i="3" s="1"/>
  <c r="AR27" i="3"/>
  <c r="AR89" i="3" s="1"/>
  <c r="AQ27" i="3"/>
  <c r="AQ89" i="3" s="1"/>
  <c r="AP27" i="3"/>
  <c r="AP89" i="3" s="1"/>
  <c r="AO27" i="3"/>
  <c r="AO89" i="3" s="1"/>
  <c r="AN27" i="3"/>
  <c r="AN89" i="3" s="1"/>
  <c r="AM27" i="3"/>
  <c r="AM89" i="3" s="1"/>
  <c r="AL27" i="3"/>
  <c r="AL89" i="3" s="1"/>
  <c r="AK27" i="3"/>
  <c r="AK89" i="3" s="1"/>
  <c r="AJ27" i="3"/>
  <c r="AJ89" i="3" s="1"/>
  <c r="AI27" i="3"/>
  <c r="AI89" i="3" s="1"/>
  <c r="AH27" i="3"/>
  <c r="AH89" i="3" s="1"/>
  <c r="AG27" i="3"/>
  <c r="AG89" i="3" s="1"/>
  <c r="AF27" i="3"/>
  <c r="AF89" i="3" s="1"/>
  <c r="AE27" i="3"/>
  <c r="AE89" i="3" s="1"/>
  <c r="AD27" i="3"/>
  <c r="AD89" i="3" s="1"/>
  <c r="AC27" i="3"/>
  <c r="AC89" i="3" s="1"/>
  <c r="AB27" i="3"/>
  <c r="AB89" i="3" s="1"/>
  <c r="AA27" i="3"/>
  <c r="AA89" i="3" s="1"/>
  <c r="Z27" i="3"/>
  <c r="Z89" i="3" s="1"/>
  <c r="Y27" i="3"/>
  <c r="Y89" i="3" s="1"/>
  <c r="X27" i="3"/>
  <c r="X89" i="3" s="1"/>
  <c r="W27" i="3"/>
  <c r="W89" i="3" s="1"/>
  <c r="V27" i="3"/>
  <c r="V89" i="3" s="1"/>
  <c r="U27" i="3"/>
  <c r="U89" i="3" s="1"/>
  <c r="T27" i="3"/>
  <c r="T89" i="3" s="1"/>
  <c r="S27" i="3"/>
  <c r="S89" i="3" s="1"/>
  <c r="R27" i="3"/>
  <c r="R89" i="3" s="1"/>
  <c r="Q27" i="3"/>
  <c r="Q89" i="3" s="1"/>
  <c r="P27" i="3"/>
  <c r="P89" i="3" s="1"/>
  <c r="O27" i="3"/>
  <c r="O89" i="3" s="1"/>
  <c r="N27" i="3"/>
  <c r="N89" i="3" s="1"/>
  <c r="M27" i="3"/>
  <c r="M89" i="3" s="1"/>
  <c r="L27" i="3"/>
  <c r="K27" i="3"/>
  <c r="K89" i="3" s="1"/>
  <c r="J27" i="3"/>
  <c r="J89" i="3" s="1"/>
  <c r="I27" i="3"/>
  <c r="I89" i="3" s="1"/>
  <c r="H27" i="3"/>
  <c r="H89" i="3" s="1"/>
  <c r="G27" i="3"/>
  <c r="G89" i="3" s="1"/>
  <c r="F27" i="3"/>
  <c r="F89" i="3" s="1"/>
  <c r="E27" i="3"/>
  <c r="E89" i="3" s="1"/>
  <c r="D27" i="3"/>
  <c r="D89" i="3" s="1"/>
  <c r="C27" i="3"/>
  <c r="C89" i="3" s="1"/>
  <c r="DQ25" i="3"/>
  <c r="DQ87" i="3" s="1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FZ23" i="3" s="1"/>
  <c r="FZ54" i="3" s="1"/>
  <c r="H23" i="3"/>
  <c r="G23" i="3"/>
  <c r="F23" i="3"/>
  <c r="E23" i="3"/>
  <c r="D23" i="3"/>
  <c r="C23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FZ21" i="3"/>
  <c r="FX20" i="3"/>
  <c r="FX133" i="3" s="1"/>
  <c r="FW20" i="3"/>
  <c r="FW133" i="3" s="1"/>
  <c r="FV20" i="3"/>
  <c r="FV133" i="3" s="1"/>
  <c r="FU20" i="3"/>
  <c r="FU133" i="3" s="1"/>
  <c r="FT20" i="3"/>
  <c r="FT133" i="3" s="1"/>
  <c r="FS20" i="3"/>
  <c r="FS133" i="3" s="1"/>
  <c r="FR20" i="3"/>
  <c r="FR133" i="3" s="1"/>
  <c r="FQ20" i="3"/>
  <c r="FQ133" i="3" s="1"/>
  <c r="FP20" i="3"/>
  <c r="FP133" i="3" s="1"/>
  <c r="FO20" i="3"/>
  <c r="FO133" i="3" s="1"/>
  <c r="FN20" i="3"/>
  <c r="FN133" i="3" s="1"/>
  <c r="FM20" i="3"/>
  <c r="FM133" i="3" s="1"/>
  <c r="FL20" i="3"/>
  <c r="FL133" i="3" s="1"/>
  <c r="FK20" i="3"/>
  <c r="FK133" i="3" s="1"/>
  <c r="FJ20" i="3"/>
  <c r="FJ133" i="3" s="1"/>
  <c r="FI20" i="3"/>
  <c r="FI133" i="3" s="1"/>
  <c r="FH20" i="3"/>
  <c r="FH133" i="3" s="1"/>
  <c r="FG20" i="3"/>
  <c r="FG133" i="3" s="1"/>
  <c r="FF20" i="3"/>
  <c r="FF133" i="3" s="1"/>
  <c r="FE20" i="3"/>
  <c r="FE133" i="3" s="1"/>
  <c r="FD20" i="3"/>
  <c r="FD133" i="3" s="1"/>
  <c r="FC20" i="3"/>
  <c r="FC133" i="3" s="1"/>
  <c r="FB20" i="3"/>
  <c r="FB133" i="3" s="1"/>
  <c r="FA20" i="3"/>
  <c r="FA133" i="3" s="1"/>
  <c r="EZ20" i="3"/>
  <c r="EZ133" i="3" s="1"/>
  <c r="EY20" i="3"/>
  <c r="EY133" i="3" s="1"/>
  <c r="EX20" i="3"/>
  <c r="EX133" i="3" s="1"/>
  <c r="EW20" i="3"/>
  <c r="EW133" i="3" s="1"/>
  <c r="EV20" i="3"/>
  <c r="EV133" i="3" s="1"/>
  <c r="EU20" i="3"/>
  <c r="EU133" i="3" s="1"/>
  <c r="ET20" i="3"/>
  <c r="ET133" i="3" s="1"/>
  <c r="ES20" i="3"/>
  <c r="ES133" i="3" s="1"/>
  <c r="ER20" i="3"/>
  <c r="ER133" i="3" s="1"/>
  <c r="EQ20" i="3"/>
  <c r="EQ133" i="3" s="1"/>
  <c r="EP20" i="3"/>
  <c r="EP133" i="3" s="1"/>
  <c r="EO20" i="3"/>
  <c r="EO133" i="3" s="1"/>
  <c r="EN20" i="3"/>
  <c r="EN133" i="3" s="1"/>
  <c r="EM20" i="3"/>
  <c r="EM133" i="3" s="1"/>
  <c r="EL20" i="3"/>
  <c r="EL133" i="3" s="1"/>
  <c r="EK20" i="3"/>
  <c r="EK133" i="3" s="1"/>
  <c r="EJ20" i="3"/>
  <c r="EJ133" i="3" s="1"/>
  <c r="EI20" i="3"/>
  <c r="EI133" i="3" s="1"/>
  <c r="EH20" i="3"/>
  <c r="EH133" i="3" s="1"/>
  <c r="EG20" i="3"/>
  <c r="EG133" i="3" s="1"/>
  <c r="EF20" i="3"/>
  <c r="EF133" i="3" s="1"/>
  <c r="EE20" i="3"/>
  <c r="EE133" i="3" s="1"/>
  <c r="ED20" i="3"/>
  <c r="ED133" i="3" s="1"/>
  <c r="EC20" i="3"/>
  <c r="EC133" i="3" s="1"/>
  <c r="EB20" i="3"/>
  <c r="EB133" i="3" s="1"/>
  <c r="EA20" i="3"/>
  <c r="EA133" i="3" s="1"/>
  <c r="DZ20" i="3"/>
  <c r="DZ133" i="3" s="1"/>
  <c r="DY20" i="3"/>
  <c r="DY133" i="3" s="1"/>
  <c r="DX20" i="3"/>
  <c r="DX133" i="3" s="1"/>
  <c r="DW20" i="3"/>
  <c r="DW133" i="3" s="1"/>
  <c r="DV20" i="3"/>
  <c r="DV133" i="3" s="1"/>
  <c r="DU20" i="3"/>
  <c r="DU133" i="3" s="1"/>
  <c r="DT20" i="3"/>
  <c r="DT133" i="3" s="1"/>
  <c r="DS20" i="3"/>
  <c r="DS133" i="3" s="1"/>
  <c r="DR20" i="3"/>
  <c r="DR133" i="3" s="1"/>
  <c r="DQ20" i="3"/>
  <c r="DQ133" i="3" s="1"/>
  <c r="DP20" i="3"/>
  <c r="DP133" i="3" s="1"/>
  <c r="DO20" i="3"/>
  <c r="DO133" i="3" s="1"/>
  <c r="DN20" i="3"/>
  <c r="DN133" i="3" s="1"/>
  <c r="DM20" i="3"/>
  <c r="DM133" i="3" s="1"/>
  <c r="DL20" i="3"/>
  <c r="DL133" i="3" s="1"/>
  <c r="DK20" i="3"/>
  <c r="DK133" i="3" s="1"/>
  <c r="DJ20" i="3"/>
  <c r="DJ133" i="3" s="1"/>
  <c r="DI20" i="3"/>
  <c r="DI133" i="3" s="1"/>
  <c r="DH20" i="3"/>
  <c r="DH133" i="3" s="1"/>
  <c r="DG20" i="3"/>
  <c r="DG133" i="3" s="1"/>
  <c r="DF20" i="3"/>
  <c r="DF133" i="3" s="1"/>
  <c r="DE20" i="3"/>
  <c r="DE133" i="3" s="1"/>
  <c r="DD20" i="3"/>
  <c r="DD133" i="3" s="1"/>
  <c r="DC20" i="3"/>
  <c r="DC133" i="3" s="1"/>
  <c r="DB20" i="3"/>
  <c r="DB133" i="3" s="1"/>
  <c r="DA20" i="3"/>
  <c r="DA133" i="3" s="1"/>
  <c r="CZ20" i="3"/>
  <c r="CZ133" i="3" s="1"/>
  <c r="CY20" i="3"/>
  <c r="CY133" i="3" s="1"/>
  <c r="CX20" i="3"/>
  <c r="CX133" i="3" s="1"/>
  <c r="CW20" i="3"/>
  <c r="CW133" i="3" s="1"/>
  <c r="CV20" i="3"/>
  <c r="CV133" i="3" s="1"/>
  <c r="CU20" i="3"/>
  <c r="CU133" i="3" s="1"/>
  <c r="CT20" i="3"/>
  <c r="CT133" i="3" s="1"/>
  <c r="CS20" i="3"/>
  <c r="CS133" i="3" s="1"/>
  <c r="CR20" i="3"/>
  <c r="CR133" i="3" s="1"/>
  <c r="CQ20" i="3"/>
  <c r="CQ133" i="3" s="1"/>
  <c r="CP20" i="3"/>
  <c r="CP133" i="3" s="1"/>
  <c r="CO20" i="3"/>
  <c r="CO133" i="3" s="1"/>
  <c r="CN20" i="3"/>
  <c r="CN133" i="3" s="1"/>
  <c r="CM20" i="3"/>
  <c r="CM133" i="3" s="1"/>
  <c r="CL20" i="3"/>
  <c r="CL133" i="3" s="1"/>
  <c r="CK20" i="3"/>
  <c r="CK133" i="3" s="1"/>
  <c r="CJ20" i="3"/>
  <c r="CJ133" i="3" s="1"/>
  <c r="CI20" i="3"/>
  <c r="CI133" i="3" s="1"/>
  <c r="CH20" i="3"/>
  <c r="CH133" i="3" s="1"/>
  <c r="CG20" i="3"/>
  <c r="CG133" i="3" s="1"/>
  <c r="CF20" i="3"/>
  <c r="CF133" i="3" s="1"/>
  <c r="CE20" i="3"/>
  <c r="CE133" i="3" s="1"/>
  <c r="CD20" i="3"/>
  <c r="CD133" i="3" s="1"/>
  <c r="CC20" i="3"/>
  <c r="CC133" i="3" s="1"/>
  <c r="CB20" i="3"/>
  <c r="CB133" i="3" s="1"/>
  <c r="CA20" i="3"/>
  <c r="CA133" i="3" s="1"/>
  <c r="BZ20" i="3"/>
  <c r="BZ133" i="3" s="1"/>
  <c r="BY20" i="3"/>
  <c r="BY133" i="3" s="1"/>
  <c r="BX20" i="3"/>
  <c r="BX133" i="3" s="1"/>
  <c r="BW20" i="3"/>
  <c r="BW133" i="3" s="1"/>
  <c r="BV20" i="3"/>
  <c r="BV133" i="3" s="1"/>
  <c r="BU20" i="3"/>
  <c r="BU133" i="3" s="1"/>
  <c r="BT20" i="3"/>
  <c r="BT133" i="3" s="1"/>
  <c r="BS20" i="3"/>
  <c r="BS133" i="3" s="1"/>
  <c r="BR20" i="3"/>
  <c r="BR133" i="3" s="1"/>
  <c r="BQ20" i="3"/>
  <c r="BQ133" i="3" s="1"/>
  <c r="BP20" i="3"/>
  <c r="BP133" i="3" s="1"/>
  <c r="BO20" i="3"/>
  <c r="BO133" i="3" s="1"/>
  <c r="BN20" i="3"/>
  <c r="BN133" i="3" s="1"/>
  <c r="BM20" i="3"/>
  <c r="BM133" i="3" s="1"/>
  <c r="BL20" i="3"/>
  <c r="BL133" i="3" s="1"/>
  <c r="BK20" i="3"/>
  <c r="BK133" i="3" s="1"/>
  <c r="BJ20" i="3"/>
  <c r="BJ133" i="3" s="1"/>
  <c r="BI20" i="3"/>
  <c r="BI133" i="3" s="1"/>
  <c r="BH20" i="3"/>
  <c r="BH133" i="3" s="1"/>
  <c r="BG20" i="3"/>
  <c r="BG133" i="3" s="1"/>
  <c r="BF20" i="3"/>
  <c r="BF133" i="3" s="1"/>
  <c r="BE20" i="3"/>
  <c r="BE133" i="3" s="1"/>
  <c r="BD20" i="3"/>
  <c r="BD133" i="3" s="1"/>
  <c r="BC20" i="3"/>
  <c r="BC133" i="3" s="1"/>
  <c r="BB20" i="3"/>
  <c r="BB133" i="3" s="1"/>
  <c r="BA20" i="3"/>
  <c r="BA133" i="3" s="1"/>
  <c r="AZ20" i="3"/>
  <c r="AZ133" i="3" s="1"/>
  <c r="AY20" i="3"/>
  <c r="AY133" i="3" s="1"/>
  <c r="AX20" i="3"/>
  <c r="AX133" i="3" s="1"/>
  <c r="AW20" i="3"/>
  <c r="AW133" i="3" s="1"/>
  <c r="AV20" i="3"/>
  <c r="AV133" i="3" s="1"/>
  <c r="AU20" i="3"/>
  <c r="AU133" i="3" s="1"/>
  <c r="AT20" i="3"/>
  <c r="AT133" i="3" s="1"/>
  <c r="AS20" i="3"/>
  <c r="AS133" i="3" s="1"/>
  <c r="AR20" i="3"/>
  <c r="AR133" i="3" s="1"/>
  <c r="AQ20" i="3"/>
  <c r="AQ133" i="3" s="1"/>
  <c r="AP20" i="3"/>
  <c r="AP133" i="3" s="1"/>
  <c r="AO20" i="3"/>
  <c r="AO133" i="3" s="1"/>
  <c r="AN20" i="3"/>
  <c r="AN133" i="3" s="1"/>
  <c r="AM20" i="3"/>
  <c r="AM133" i="3" s="1"/>
  <c r="AL20" i="3"/>
  <c r="AL133" i="3" s="1"/>
  <c r="AK20" i="3"/>
  <c r="AK133" i="3" s="1"/>
  <c r="AJ20" i="3"/>
  <c r="AJ133" i="3" s="1"/>
  <c r="AI20" i="3"/>
  <c r="AI133" i="3" s="1"/>
  <c r="AH20" i="3"/>
  <c r="AH133" i="3" s="1"/>
  <c r="AG20" i="3"/>
  <c r="AG133" i="3" s="1"/>
  <c r="AF20" i="3"/>
  <c r="AF133" i="3" s="1"/>
  <c r="AE20" i="3"/>
  <c r="AE133" i="3" s="1"/>
  <c r="AD20" i="3"/>
  <c r="AD133" i="3" s="1"/>
  <c r="AC20" i="3"/>
  <c r="AC133" i="3" s="1"/>
  <c r="AB20" i="3"/>
  <c r="AB133" i="3" s="1"/>
  <c r="AA20" i="3"/>
  <c r="AA133" i="3" s="1"/>
  <c r="Z20" i="3"/>
  <c r="Z133" i="3" s="1"/>
  <c r="Y20" i="3"/>
  <c r="Y133" i="3" s="1"/>
  <c r="X20" i="3"/>
  <c r="X133" i="3" s="1"/>
  <c r="W20" i="3"/>
  <c r="W133" i="3" s="1"/>
  <c r="V20" i="3"/>
  <c r="V133" i="3" s="1"/>
  <c r="U20" i="3"/>
  <c r="U133" i="3" s="1"/>
  <c r="T20" i="3"/>
  <c r="T133" i="3" s="1"/>
  <c r="S20" i="3"/>
  <c r="S133" i="3" s="1"/>
  <c r="R20" i="3"/>
  <c r="R133" i="3" s="1"/>
  <c r="Q20" i="3"/>
  <c r="Q133" i="3" s="1"/>
  <c r="P20" i="3"/>
  <c r="P133" i="3" s="1"/>
  <c r="O20" i="3"/>
  <c r="O133" i="3" s="1"/>
  <c r="N20" i="3"/>
  <c r="N133" i="3" s="1"/>
  <c r="M20" i="3"/>
  <c r="M133" i="3" s="1"/>
  <c r="L20" i="3"/>
  <c r="L133" i="3" s="1"/>
  <c r="K20" i="3"/>
  <c r="K133" i="3" s="1"/>
  <c r="J20" i="3"/>
  <c r="J133" i="3" s="1"/>
  <c r="I20" i="3"/>
  <c r="I133" i="3" s="1"/>
  <c r="H20" i="3"/>
  <c r="H133" i="3" s="1"/>
  <c r="G20" i="3"/>
  <c r="G133" i="3" s="1"/>
  <c r="F20" i="3"/>
  <c r="F133" i="3" s="1"/>
  <c r="E20" i="3"/>
  <c r="E133" i="3" s="1"/>
  <c r="D20" i="3"/>
  <c r="D133" i="3" s="1"/>
  <c r="C20" i="3"/>
  <c r="C133" i="3" s="1"/>
  <c r="FZ19" i="3"/>
  <c r="FX19" i="3"/>
  <c r="FW19" i="3"/>
  <c r="FV19" i="3"/>
  <c r="FU19" i="3"/>
  <c r="FT19" i="3"/>
  <c r="FS19" i="3"/>
  <c r="FR19" i="3"/>
  <c r="FQ19" i="3"/>
  <c r="FP19" i="3"/>
  <c r="FO19" i="3"/>
  <c r="FN19" i="3"/>
  <c r="FM19" i="3"/>
  <c r="FL19" i="3"/>
  <c r="FK19" i="3"/>
  <c r="FJ19" i="3"/>
  <c r="FJ144" i="3" s="1"/>
  <c r="FI19" i="3"/>
  <c r="FH19" i="3"/>
  <c r="FG19" i="3"/>
  <c r="FG142" i="3" s="1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R142" i="3" s="1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C142" i="3" s="1"/>
  <c r="EB19" i="3"/>
  <c r="EA19" i="3"/>
  <c r="DZ19" i="3"/>
  <c r="DZ144" i="3" s="1"/>
  <c r="DY19" i="3"/>
  <c r="DX19" i="3"/>
  <c r="DW19" i="3"/>
  <c r="DV19" i="3"/>
  <c r="DU19" i="3"/>
  <c r="DT19" i="3"/>
  <c r="DS19" i="3"/>
  <c r="DR19" i="3"/>
  <c r="DQ19" i="3"/>
  <c r="DQ142" i="3" s="1"/>
  <c r="DP19" i="3"/>
  <c r="DO19" i="3"/>
  <c r="DN19" i="3"/>
  <c r="DM19" i="3"/>
  <c r="DL19" i="3"/>
  <c r="DK19" i="3"/>
  <c r="DJ19" i="3"/>
  <c r="DI19" i="3"/>
  <c r="DH19" i="3"/>
  <c r="DG19" i="3"/>
  <c r="DF19" i="3"/>
  <c r="DE19" i="3"/>
  <c r="DE144" i="3" s="1"/>
  <c r="DD19" i="3"/>
  <c r="DC19" i="3"/>
  <c r="DC142" i="3" s="1"/>
  <c r="DB19" i="3"/>
  <c r="DB144" i="3" s="1"/>
  <c r="DA19" i="3"/>
  <c r="DA142" i="3" s="1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N142" i="3" s="1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CA144" i="3" s="1"/>
  <c r="BZ19" i="3"/>
  <c r="BY19" i="3"/>
  <c r="BX19" i="3"/>
  <c r="BW19" i="3"/>
  <c r="BV19" i="3"/>
  <c r="BU19" i="3"/>
  <c r="BU144" i="3" s="1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W142" i="3" s="1"/>
  <c r="AV19" i="3"/>
  <c r="AU19" i="3"/>
  <c r="AT19" i="3"/>
  <c r="AT144" i="3" s="1"/>
  <c r="AS19" i="3"/>
  <c r="AS142" i="3" s="1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B144" i="3" s="1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FX18" i="3"/>
  <c r="FX136" i="3" s="1"/>
  <c r="FW18" i="3"/>
  <c r="FW136" i="3" s="1"/>
  <c r="FV18" i="3"/>
  <c r="FV136" i="3" s="1"/>
  <c r="FU18" i="3"/>
  <c r="FU136" i="3" s="1"/>
  <c r="FT18" i="3"/>
  <c r="FT136" i="3" s="1"/>
  <c r="FS18" i="3"/>
  <c r="FS136" i="3" s="1"/>
  <c r="FR18" i="3"/>
  <c r="FR136" i="3" s="1"/>
  <c r="FQ18" i="3"/>
  <c r="FQ136" i="3" s="1"/>
  <c r="FP18" i="3"/>
  <c r="FP136" i="3" s="1"/>
  <c r="FO18" i="3"/>
  <c r="FO136" i="3" s="1"/>
  <c r="FN18" i="3"/>
  <c r="FN136" i="3" s="1"/>
  <c r="FM18" i="3"/>
  <c r="FM136" i="3" s="1"/>
  <c r="FL18" i="3"/>
  <c r="FL136" i="3" s="1"/>
  <c r="FK18" i="3"/>
  <c r="FK136" i="3" s="1"/>
  <c r="FJ18" i="3"/>
  <c r="FJ136" i="3" s="1"/>
  <c r="FI18" i="3"/>
  <c r="FI136" i="3" s="1"/>
  <c r="FH18" i="3"/>
  <c r="FH136" i="3" s="1"/>
  <c r="FG18" i="3"/>
  <c r="FG136" i="3" s="1"/>
  <c r="FF18" i="3"/>
  <c r="FF136" i="3" s="1"/>
  <c r="FE18" i="3"/>
  <c r="FE136" i="3" s="1"/>
  <c r="FD18" i="3"/>
  <c r="FD136" i="3" s="1"/>
  <c r="FC18" i="3"/>
  <c r="FC136" i="3" s="1"/>
  <c r="FB18" i="3"/>
  <c r="FB136" i="3" s="1"/>
  <c r="FA18" i="3"/>
  <c r="FA136" i="3" s="1"/>
  <c r="EZ18" i="3"/>
  <c r="EZ136" i="3" s="1"/>
  <c r="EY18" i="3"/>
  <c r="EY136" i="3" s="1"/>
  <c r="EX18" i="3"/>
  <c r="EX136" i="3" s="1"/>
  <c r="EW18" i="3"/>
  <c r="EW136" i="3" s="1"/>
  <c r="EV18" i="3"/>
  <c r="EV136" i="3" s="1"/>
  <c r="EU18" i="3"/>
  <c r="EU136" i="3" s="1"/>
  <c r="ET18" i="3"/>
  <c r="ET136" i="3" s="1"/>
  <c r="ES18" i="3"/>
  <c r="ES136" i="3" s="1"/>
  <c r="ER18" i="3"/>
  <c r="ER136" i="3" s="1"/>
  <c r="EQ18" i="3"/>
  <c r="EQ136" i="3" s="1"/>
  <c r="EP18" i="3"/>
  <c r="EP136" i="3" s="1"/>
  <c r="EO18" i="3"/>
  <c r="EO136" i="3" s="1"/>
  <c r="EN18" i="3"/>
  <c r="EN136" i="3" s="1"/>
  <c r="EM18" i="3"/>
  <c r="EM136" i="3" s="1"/>
  <c r="EL18" i="3"/>
  <c r="EL136" i="3" s="1"/>
  <c r="EK18" i="3"/>
  <c r="EK136" i="3" s="1"/>
  <c r="EJ18" i="3"/>
  <c r="EJ136" i="3" s="1"/>
  <c r="EI18" i="3"/>
  <c r="EI136" i="3" s="1"/>
  <c r="EH18" i="3"/>
  <c r="EH136" i="3" s="1"/>
  <c r="EG18" i="3"/>
  <c r="EG136" i="3" s="1"/>
  <c r="EF18" i="3"/>
  <c r="EF136" i="3" s="1"/>
  <c r="EE18" i="3"/>
  <c r="EE136" i="3" s="1"/>
  <c r="ED18" i="3"/>
  <c r="ED136" i="3" s="1"/>
  <c r="EC18" i="3"/>
  <c r="EC136" i="3" s="1"/>
  <c r="EB18" i="3"/>
  <c r="EB136" i="3" s="1"/>
  <c r="EA18" i="3"/>
  <c r="EA136" i="3" s="1"/>
  <c r="DZ18" i="3"/>
  <c r="DZ136" i="3" s="1"/>
  <c r="DY18" i="3"/>
  <c r="DY136" i="3" s="1"/>
  <c r="DX18" i="3"/>
  <c r="DX136" i="3" s="1"/>
  <c r="DW18" i="3"/>
  <c r="DW136" i="3" s="1"/>
  <c r="DV18" i="3"/>
  <c r="DV136" i="3" s="1"/>
  <c r="DU18" i="3"/>
  <c r="DU136" i="3" s="1"/>
  <c r="DT18" i="3"/>
  <c r="DT136" i="3" s="1"/>
  <c r="DS18" i="3"/>
  <c r="DS136" i="3" s="1"/>
  <c r="DR18" i="3"/>
  <c r="DR136" i="3" s="1"/>
  <c r="DQ18" i="3"/>
  <c r="DQ136" i="3" s="1"/>
  <c r="DP18" i="3"/>
  <c r="DP136" i="3" s="1"/>
  <c r="DO18" i="3"/>
  <c r="DO136" i="3" s="1"/>
  <c r="DN18" i="3"/>
  <c r="DN136" i="3" s="1"/>
  <c r="DM18" i="3"/>
  <c r="DM136" i="3" s="1"/>
  <c r="DL18" i="3"/>
  <c r="DL136" i="3" s="1"/>
  <c r="DK18" i="3"/>
  <c r="DK136" i="3" s="1"/>
  <c r="DJ18" i="3"/>
  <c r="DJ136" i="3" s="1"/>
  <c r="DI18" i="3"/>
  <c r="DI136" i="3" s="1"/>
  <c r="DH18" i="3"/>
  <c r="DH136" i="3" s="1"/>
  <c r="DG18" i="3"/>
  <c r="DG136" i="3" s="1"/>
  <c r="DF18" i="3"/>
  <c r="DF136" i="3" s="1"/>
  <c r="DE18" i="3"/>
  <c r="DE136" i="3" s="1"/>
  <c r="DD18" i="3"/>
  <c r="DD136" i="3" s="1"/>
  <c r="DC18" i="3"/>
  <c r="DC136" i="3" s="1"/>
  <c r="DB18" i="3"/>
  <c r="DB136" i="3" s="1"/>
  <c r="DA18" i="3"/>
  <c r="DA136" i="3" s="1"/>
  <c r="CZ18" i="3"/>
  <c r="CZ136" i="3" s="1"/>
  <c r="CY18" i="3"/>
  <c r="CY136" i="3" s="1"/>
  <c r="CX18" i="3"/>
  <c r="CX136" i="3" s="1"/>
  <c r="CW18" i="3"/>
  <c r="CW136" i="3" s="1"/>
  <c r="CV18" i="3"/>
  <c r="CV136" i="3" s="1"/>
  <c r="CU18" i="3"/>
  <c r="CU136" i="3" s="1"/>
  <c r="CT18" i="3"/>
  <c r="CT136" i="3" s="1"/>
  <c r="CS18" i="3"/>
  <c r="CS136" i="3" s="1"/>
  <c r="CR18" i="3"/>
  <c r="CR136" i="3" s="1"/>
  <c r="CQ18" i="3"/>
  <c r="CQ136" i="3" s="1"/>
  <c r="CP18" i="3"/>
  <c r="CP136" i="3" s="1"/>
  <c r="CO18" i="3"/>
  <c r="CO136" i="3" s="1"/>
  <c r="CN18" i="3"/>
  <c r="CN136" i="3" s="1"/>
  <c r="CM18" i="3"/>
  <c r="CM136" i="3" s="1"/>
  <c r="CL18" i="3"/>
  <c r="CL136" i="3" s="1"/>
  <c r="CK18" i="3"/>
  <c r="CK136" i="3" s="1"/>
  <c r="CJ18" i="3"/>
  <c r="CJ136" i="3" s="1"/>
  <c r="CI18" i="3"/>
  <c r="CI136" i="3" s="1"/>
  <c r="CH18" i="3"/>
  <c r="CH136" i="3" s="1"/>
  <c r="CG18" i="3"/>
  <c r="CG136" i="3" s="1"/>
  <c r="CF18" i="3"/>
  <c r="CF136" i="3" s="1"/>
  <c r="CE18" i="3"/>
  <c r="CE136" i="3" s="1"/>
  <c r="CD18" i="3"/>
  <c r="CD136" i="3" s="1"/>
  <c r="CC18" i="3"/>
  <c r="CC136" i="3" s="1"/>
  <c r="CB18" i="3"/>
  <c r="CB136" i="3" s="1"/>
  <c r="CA18" i="3"/>
  <c r="CA136" i="3" s="1"/>
  <c r="BZ18" i="3"/>
  <c r="BZ136" i="3" s="1"/>
  <c r="BY18" i="3"/>
  <c r="BY136" i="3" s="1"/>
  <c r="BX18" i="3"/>
  <c r="BX136" i="3" s="1"/>
  <c r="BW18" i="3"/>
  <c r="BW136" i="3" s="1"/>
  <c r="BV18" i="3"/>
  <c r="BV136" i="3" s="1"/>
  <c r="BU18" i="3"/>
  <c r="BU136" i="3" s="1"/>
  <c r="BT18" i="3"/>
  <c r="BT136" i="3" s="1"/>
  <c r="BS18" i="3"/>
  <c r="BS136" i="3" s="1"/>
  <c r="BR18" i="3"/>
  <c r="BR136" i="3" s="1"/>
  <c r="BQ18" i="3"/>
  <c r="BQ136" i="3" s="1"/>
  <c r="BP18" i="3"/>
  <c r="BP136" i="3" s="1"/>
  <c r="BO18" i="3"/>
  <c r="BO136" i="3" s="1"/>
  <c r="BN18" i="3"/>
  <c r="BN136" i="3" s="1"/>
  <c r="BM18" i="3"/>
  <c r="BM136" i="3" s="1"/>
  <c r="BL18" i="3"/>
  <c r="BL136" i="3" s="1"/>
  <c r="BK18" i="3"/>
  <c r="BK136" i="3" s="1"/>
  <c r="BJ18" i="3"/>
  <c r="BJ136" i="3" s="1"/>
  <c r="BI18" i="3"/>
  <c r="BI136" i="3" s="1"/>
  <c r="BH18" i="3"/>
  <c r="BH136" i="3" s="1"/>
  <c r="BG18" i="3"/>
  <c r="BG136" i="3" s="1"/>
  <c r="BF18" i="3"/>
  <c r="BF136" i="3" s="1"/>
  <c r="BE18" i="3"/>
  <c r="BE136" i="3" s="1"/>
  <c r="BD18" i="3"/>
  <c r="BD136" i="3" s="1"/>
  <c r="BC18" i="3"/>
  <c r="BC136" i="3" s="1"/>
  <c r="BB18" i="3"/>
  <c r="BB136" i="3" s="1"/>
  <c r="BA18" i="3"/>
  <c r="BA136" i="3" s="1"/>
  <c r="AZ18" i="3"/>
  <c r="AZ136" i="3" s="1"/>
  <c r="AY18" i="3"/>
  <c r="AY136" i="3" s="1"/>
  <c r="AX18" i="3"/>
  <c r="AX136" i="3" s="1"/>
  <c r="AW18" i="3"/>
  <c r="AW136" i="3" s="1"/>
  <c r="AV18" i="3"/>
  <c r="AV136" i="3" s="1"/>
  <c r="AU18" i="3"/>
  <c r="AU136" i="3" s="1"/>
  <c r="AT18" i="3"/>
  <c r="AT136" i="3" s="1"/>
  <c r="AS18" i="3"/>
  <c r="AS136" i="3" s="1"/>
  <c r="AR18" i="3"/>
  <c r="AR136" i="3" s="1"/>
  <c r="AQ18" i="3"/>
  <c r="AQ136" i="3" s="1"/>
  <c r="AP18" i="3"/>
  <c r="AP136" i="3" s="1"/>
  <c r="AO18" i="3"/>
  <c r="AO136" i="3" s="1"/>
  <c r="AN18" i="3"/>
  <c r="AN136" i="3" s="1"/>
  <c r="AM18" i="3"/>
  <c r="AM136" i="3" s="1"/>
  <c r="AL18" i="3"/>
  <c r="AL136" i="3" s="1"/>
  <c r="AK18" i="3"/>
  <c r="AK136" i="3" s="1"/>
  <c r="AJ18" i="3"/>
  <c r="AJ136" i="3" s="1"/>
  <c r="AI18" i="3"/>
  <c r="AI136" i="3" s="1"/>
  <c r="AH18" i="3"/>
  <c r="AH136" i="3" s="1"/>
  <c r="AG18" i="3"/>
  <c r="AG136" i="3" s="1"/>
  <c r="AF18" i="3"/>
  <c r="AF136" i="3" s="1"/>
  <c r="AE18" i="3"/>
  <c r="AE136" i="3" s="1"/>
  <c r="AD18" i="3"/>
  <c r="AD136" i="3" s="1"/>
  <c r="AC18" i="3"/>
  <c r="AC136" i="3" s="1"/>
  <c r="AB18" i="3"/>
  <c r="AB136" i="3" s="1"/>
  <c r="AA18" i="3"/>
  <c r="AA136" i="3" s="1"/>
  <c r="Z18" i="3"/>
  <c r="Z136" i="3" s="1"/>
  <c r="Y18" i="3"/>
  <c r="Y136" i="3" s="1"/>
  <c r="X18" i="3"/>
  <c r="X136" i="3" s="1"/>
  <c r="W18" i="3"/>
  <c r="W136" i="3" s="1"/>
  <c r="V18" i="3"/>
  <c r="V136" i="3" s="1"/>
  <c r="U18" i="3"/>
  <c r="U136" i="3" s="1"/>
  <c r="T18" i="3"/>
  <c r="T136" i="3" s="1"/>
  <c r="S18" i="3"/>
  <c r="S136" i="3" s="1"/>
  <c r="R18" i="3"/>
  <c r="R136" i="3" s="1"/>
  <c r="Q18" i="3"/>
  <c r="P18" i="3"/>
  <c r="P136" i="3" s="1"/>
  <c r="O18" i="3"/>
  <c r="O136" i="3" s="1"/>
  <c r="N18" i="3"/>
  <c r="N136" i="3" s="1"/>
  <c r="M18" i="3"/>
  <c r="M136" i="3" s="1"/>
  <c r="L18" i="3"/>
  <c r="L136" i="3" s="1"/>
  <c r="K18" i="3"/>
  <c r="K136" i="3" s="1"/>
  <c r="J18" i="3"/>
  <c r="J136" i="3" s="1"/>
  <c r="I18" i="3"/>
  <c r="I136" i="3" s="1"/>
  <c r="H18" i="3"/>
  <c r="H136" i="3" s="1"/>
  <c r="G18" i="3"/>
  <c r="G136" i="3" s="1"/>
  <c r="F18" i="3"/>
  <c r="F136" i="3" s="1"/>
  <c r="E18" i="3"/>
  <c r="E136" i="3" s="1"/>
  <c r="D18" i="3"/>
  <c r="D136" i="3" s="1"/>
  <c r="C18" i="3"/>
  <c r="C136" i="3" s="1"/>
  <c r="FX17" i="3"/>
  <c r="FX132" i="3" s="1"/>
  <c r="FW17" i="3"/>
  <c r="FW132" i="3" s="1"/>
  <c r="FV17" i="3"/>
  <c r="FV132" i="3" s="1"/>
  <c r="FU17" i="3"/>
  <c r="FU132" i="3" s="1"/>
  <c r="FU134" i="3" s="1"/>
  <c r="FU135" i="3" s="1"/>
  <c r="FT17" i="3"/>
  <c r="FT132" i="3" s="1"/>
  <c r="FT134" i="3" s="1"/>
  <c r="FT135" i="3" s="1"/>
  <c r="FS17" i="3"/>
  <c r="FS132" i="3" s="1"/>
  <c r="FS134" i="3" s="1"/>
  <c r="FS135" i="3" s="1"/>
  <c r="FR17" i="3"/>
  <c r="FR132" i="3" s="1"/>
  <c r="FR134" i="3" s="1"/>
  <c r="FR135" i="3" s="1"/>
  <c r="FQ17" i="3"/>
  <c r="FQ132" i="3" s="1"/>
  <c r="FQ134" i="3" s="1"/>
  <c r="FQ135" i="3" s="1"/>
  <c r="FP17" i="3"/>
  <c r="FP132" i="3" s="1"/>
  <c r="FO17" i="3"/>
  <c r="FO132" i="3" s="1"/>
  <c r="FO134" i="3" s="1"/>
  <c r="FO135" i="3" s="1"/>
  <c r="FN17" i="3"/>
  <c r="FN132" i="3" s="1"/>
  <c r="FN134" i="3" s="1"/>
  <c r="FN135" i="3" s="1"/>
  <c r="FM17" i="3"/>
  <c r="FM132" i="3" s="1"/>
  <c r="FM134" i="3" s="1"/>
  <c r="FM135" i="3" s="1"/>
  <c r="FL17" i="3"/>
  <c r="FL132" i="3" s="1"/>
  <c r="FL134" i="3" s="1"/>
  <c r="FL135" i="3" s="1"/>
  <c r="FK17" i="3"/>
  <c r="FK132" i="3" s="1"/>
  <c r="FJ17" i="3"/>
  <c r="FJ132" i="3" s="1"/>
  <c r="FI17" i="3"/>
  <c r="FI132" i="3" s="1"/>
  <c r="FI134" i="3" s="1"/>
  <c r="FI135" i="3" s="1"/>
  <c r="FH17" i="3"/>
  <c r="FH132" i="3" s="1"/>
  <c r="FH134" i="3" s="1"/>
  <c r="FH135" i="3" s="1"/>
  <c r="FG17" i="3"/>
  <c r="FG132" i="3" s="1"/>
  <c r="FG134" i="3" s="1"/>
  <c r="FG135" i="3" s="1"/>
  <c r="FF17" i="3"/>
  <c r="FF132" i="3" s="1"/>
  <c r="FF134" i="3" s="1"/>
  <c r="FF135" i="3" s="1"/>
  <c r="FE17" i="3"/>
  <c r="FE132" i="3" s="1"/>
  <c r="FE134" i="3" s="1"/>
  <c r="FE135" i="3" s="1"/>
  <c r="FD17" i="3"/>
  <c r="FD132" i="3" s="1"/>
  <c r="FC17" i="3"/>
  <c r="FC132" i="3" s="1"/>
  <c r="FC134" i="3" s="1"/>
  <c r="FC135" i="3" s="1"/>
  <c r="FB17" i="3"/>
  <c r="FB132" i="3" s="1"/>
  <c r="FB134" i="3" s="1"/>
  <c r="FB135" i="3" s="1"/>
  <c r="FA17" i="3"/>
  <c r="FA132" i="3" s="1"/>
  <c r="FA134" i="3" s="1"/>
  <c r="FA135" i="3" s="1"/>
  <c r="EZ17" i="3"/>
  <c r="EZ132" i="3" s="1"/>
  <c r="EZ134" i="3" s="1"/>
  <c r="EZ135" i="3" s="1"/>
  <c r="EY17" i="3"/>
  <c r="EY132" i="3" s="1"/>
  <c r="EX17" i="3"/>
  <c r="EW17" i="3"/>
  <c r="EW132" i="3" s="1"/>
  <c r="EW134" i="3" s="1"/>
  <c r="EW135" i="3" s="1"/>
  <c r="EV17" i="3"/>
  <c r="EV132" i="3" s="1"/>
  <c r="EV134" i="3" s="1"/>
  <c r="EV135" i="3" s="1"/>
  <c r="EU17" i="3"/>
  <c r="EU132" i="3" s="1"/>
  <c r="EU134" i="3" s="1"/>
  <c r="EU135" i="3" s="1"/>
  <c r="ET17" i="3"/>
  <c r="ET132" i="3" s="1"/>
  <c r="ET134" i="3" s="1"/>
  <c r="ET135" i="3" s="1"/>
  <c r="ES17" i="3"/>
  <c r="ES132" i="3" s="1"/>
  <c r="ES134" i="3" s="1"/>
  <c r="ES135" i="3" s="1"/>
  <c r="ER17" i="3"/>
  <c r="ER132" i="3" s="1"/>
  <c r="EQ17" i="3"/>
  <c r="EQ132" i="3" s="1"/>
  <c r="EQ134" i="3" s="1"/>
  <c r="EQ135" i="3" s="1"/>
  <c r="EP17" i="3"/>
  <c r="EP132" i="3" s="1"/>
  <c r="EP134" i="3" s="1"/>
  <c r="EP135" i="3" s="1"/>
  <c r="EO17" i="3"/>
  <c r="EO132" i="3" s="1"/>
  <c r="EO134" i="3" s="1"/>
  <c r="EO135" i="3" s="1"/>
  <c r="EN17" i="3"/>
  <c r="EN132" i="3" s="1"/>
  <c r="EN134" i="3" s="1"/>
  <c r="EN135" i="3" s="1"/>
  <c r="EM17" i="3"/>
  <c r="EM132" i="3" s="1"/>
  <c r="EL17" i="3"/>
  <c r="EL132" i="3" s="1"/>
  <c r="EL134" i="3" s="1"/>
  <c r="EL135" i="3" s="1"/>
  <c r="EK17" i="3"/>
  <c r="EK132" i="3" s="1"/>
  <c r="EK134" i="3" s="1"/>
  <c r="EK135" i="3" s="1"/>
  <c r="EJ17" i="3"/>
  <c r="EJ132" i="3" s="1"/>
  <c r="EJ134" i="3" s="1"/>
  <c r="EJ135" i="3" s="1"/>
  <c r="EI17" i="3"/>
  <c r="EI132" i="3" s="1"/>
  <c r="EI134" i="3" s="1"/>
  <c r="EI135" i="3" s="1"/>
  <c r="EH17" i="3"/>
  <c r="EH132" i="3" s="1"/>
  <c r="EH134" i="3" s="1"/>
  <c r="EH135" i="3" s="1"/>
  <c r="EG17" i="3"/>
  <c r="EG132" i="3" s="1"/>
  <c r="EG134" i="3" s="1"/>
  <c r="EG135" i="3" s="1"/>
  <c r="EF17" i="3"/>
  <c r="EF132" i="3" s="1"/>
  <c r="EE17" i="3"/>
  <c r="EE132" i="3" s="1"/>
  <c r="EE134" i="3" s="1"/>
  <c r="EE135" i="3" s="1"/>
  <c r="ED17" i="3"/>
  <c r="ED132" i="3" s="1"/>
  <c r="ED134" i="3" s="1"/>
  <c r="ED135" i="3" s="1"/>
  <c r="EC17" i="3"/>
  <c r="EC132" i="3" s="1"/>
  <c r="EB17" i="3"/>
  <c r="EB132" i="3" s="1"/>
  <c r="EB134" i="3" s="1"/>
  <c r="EB135" i="3" s="1"/>
  <c r="EA17" i="3"/>
  <c r="EA132" i="3" s="1"/>
  <c r="DZ17" i="3"/>
  <c r="DZ132" i="3" s="1"/>
  <c r="DY17" i="3"/>
  <c r="DY132" i="3" s="1"/>
  <c r="DY134" i="3" s="1"/>
  <c r="DY135" i="3" s="1"/>
  <c r="DX17" i="3"/>
  <c r="DX132" i="3" s="1"/>
  <c r="DX134" i="3" s="1"/>
  <c r="DX135" i="3" s="1"/>
  <c r="DW17" i="3"/>
  <c r="DW132" i="3" s="1"/>
  <c r="DW134" i="3" s="1"/>
  <c r="DW135" i="3" s="1"/>
  <c r="DV17" i="3"/>
  <c r="DV132" i="3" s="1"/>
  <c r="DV134" i="3" s="1"/>
  <c r="DV135" i="3" s="1"/>
  <c r="DU17" i="3"/>
  <c r="DU132" i="3" s="1"/>
  <c r="DU134" i="3" s="1"/>
  <c r="DU135" i="3" s="1"/>
  <c r="DT17" i="3"/>
  <c r="DT132" i="3" s="1"/>
  <c r="DS17" i="3"/>
  <c r="DS132" i="3" s="1"/>
  <c r="DS134" i="3" s="1"/>
  <c r="DS135" i="3" s="1"/>
  <c r="DR17" i="3"/>
  <c r="DR132" i="3" s="1"/>
  <c r="DR134" i="3" s="1"/>
  <c r="DR135" i="3" s="1"/>
  <c r="DQ17" i="3"/>
  <c r="DQ132" i="3" s="1"/>
  <c r="DQ134" i="3" s="1"/>
  <c r="DQ135" i="3" s="1"/>
  <c r="DP17" i="3"/>
  <c r="DP132" i="3" s="1"/>
  <c r="DO17" i="3"/>
  <c r="DO132" i="3" s="1"/>
  <c r="DN17" i="3"/>
  <c r="DN132" i="3" s="1"/>
  <c r="DM17" i="3"/>
  <c r="DM132" i="3" s="1"/>
  <c r="DM134" i="3" s="1"/>
  <c r="DM135" i="3" s="1"/>
  <c r="DL17" i="3"/>
  <c r="DL132" i="3" s="1"/>
  <c r="DL134" i="3" s="1"/>
  <c r="DL135" i="3" s="1"/>
  <c r="DK17" i="3"/>
  <c r="DK132" i="3" s="1"/>
  <c r="DK134" i="3" s="1"/>
  <c r="DK135" i="3" s="1"/>
  <c r="DJ17" i="3"/>
  <c r="DJ132" i="3" s="1"/>
  <c r="DJ134" i="3" s="1"/>
  <c r="DJ135" i="3" s="1"/>
  <c r="DI17" i="3"/>
  <c r="DI132" i="3" s="1"/>
  <c r="DI134" i="3" s="1"/>
  <c r="DI135" i="3" s="1"/>
  <c r="DH17" i="3"/>
  <c r="DH132" i="3" s="1"/>
  <c r="DG17" i="3"/>
  <c r="DG132" i="3" s="1"/>
  <c r="DG134" i="3" s="1"/>
  <c r="DG135" i="3" s="1"/>
  <c r="DF17" i="3"/>
  <c r="DF132" i="3" s="1"/>
  <c r="DF134" i="3" s="1"/>
  <c r="DF135" i="3" s="1"/>
  <c r="DE17" i="3"/>
  <c r="DE132" i="3" s="1"/>
  <c r="DE134" i="3" s="1"/>
  <c r="DE135" i="3" s="1"/>
  <c r="DD17" i="3"/>
  <c r="DD132" i="3" s="1"/>
  <c r="DC17" i="3"/>
  <c r="DC132" i="3" s="1"/>
  <c r="DB17" i="3"/>
  <c r="DB132" i="3" s="1"/>
  <c r="DA17" i="3"/>
  <c r="DA132" i="3" s="1"/>
  <c r="DA134" i="3" s="1"/>
  <c r="DA135" i="3" s="1"/>
  <c r="CZ17" i="3"/>
  <c r="CZ132" i="3" s="1"/>
  <c r="CZ134" i="3" s="1"/>
  <c r="CZ135" i="3" s="1"/>
  <c r="CY17" i="3"/>
  <c r="CY132" i="3" s="1"/>
  <c r="CY134" i="3" s="1"/>
  <c r="CY135" i="3" s="1"/>
  <c r="CX17" i="3"/>
  <c r="CX132" i="3" s="1"/>
  <c r="CX134" i="3" s="1"/>
  <c r="CX135" i="3" s="1"/>
  <c r="CW17" i="3"/>
  <c r="CW132" i="3" s="1"/>
  <c r="CW134" i="3" s="1"/>
  <c r="CW135" i="3" s="1"/>
  <c r="CV17" i="3"/>
  <c r="CV132" i="3" s="1"/>
  <c r="CU17" i="3"/>
  <c r="CU132" i="3" s="1"/>
  <c r="CU134" i="3" s="1"/>
  <c r="CU135" i="3" s="1"/>
  <c r="CT17" i="3"/>
  <c r="CT132" i="3" s="1"/>
  <c r="CT134" i="3" s="1"/>
  <c r="CT135" i="3" s="1"/>
  <c r="CS17" i="3"/>
  <c r="CS132" i="3" s="1"/>
  <c r="CS134" i="3" s="1"/>
  <c r="CS135" i="3" s="1"/>
  <c r="CR17" i="3"/>
  <c r="CR132" i="3" s="1"/>
  <c r="CR134" i="3" s="1"/>
  <c r="CR135" i="3" s="1"/>
  <c r="CQ17" i="3"/>
  <c r="CQ132" i="3" s="1"/>
  <c r="CP17" i="3"/>
  <c r="CP132" i="3" s="1"/>
  <c r="CO17" i="3"/>
  <c r="CO132" i="3" s="1"/>
  <c r="CO134" i="3" s="1"/>
  <c r="CO135" i="3" s="1"/>
  <c r="CN17" i="3"/>
  <c r="CN132" i="3" s="1"/>
  <c r="CN134" i="3" s="1"/>
  <c r="CN135" i="3" s="1"/>
  <c r="CM17" i="3"/>
  <c r="CM132" i="3" s="1"/>
  <c r="CM134" i="3" s="1"/>
  <c r="CM135" i="3" s="1"/>
  <c r="CL17" i="3"/>
  <c r="CL132" i="3" s="1"/>
  <c r="CL134" i="3" s="1"/>
  <c r="CL135" i="3" s="1"/>
  <c r="CK17" i="3"/>
  <c r="CK132" i="3" s="1"/>
  <c r="CK134" i="3" s="1"/>
  <c r="CK135" i="3" s="1"/>
  <c r="CJ17" i="3"/>
  <c r="CJ132" i="3" s="1"/>
  <c r="CI17" i="3"/>
  <c r="CI132" i="3" s="1"/>
  <c r="CI134" i="3" s="1"/>
  <c r="CI135" i="3" s="1"/>
  <c r="CH17" i="3"/>
  <c r="CH132" i="3" s="1"/>
  <c r="CG17" i="3"/>
  <c r="CG132" i="3" s="1"/>
  <c r="CG134" i="3" s="1"/>
  <c r="CG135" i="3" s="1"/>
  <c r="CF17" i="3"/>
  <c r="CF132" i="3" s="1"/>
  <c r="CF134" i="3" s="1"/>
  <c r="CF135" i="3" s="1"/>
  <c r="CE17" i="3"/>
  <c r="CE132" i="3" s="1"/>
  <c r="CD17" i="3"/>
  <c r="CD132" i="3" s="1"/>
  <c r="CD134" i="3" s="1"/>
  <c r="CD135" i="3" s="1"/>
  <c r="CC17" i="3"/>
  <c r="CC132" i="3" s="1"/>
  <c r="CC134" i="3" s="1"/>
  <c r="CC135" i="3" s="1"/>
  <c r="CB17" i="3"/>
  <c r="CB132" i="3" s="1"/>
  <c r="CB134" i="3" s="1"/>
  <c r="CB135" i="3" s="1"/>
  <c r="CA17" i="3"/>
  <c r="CA132" i="3" s="1"/>
  <c r="CA134" i="3" s="1"/>
  <c r="CA135" i="3" s="1"/>
  <c r="BZ17" i="3"/>
  <c r="BZ132" i="3" s="1"/>
  <c r="BZ134" i="3" s="1"/>
  <c r="BZ135" i="3" s="1"/>
  <c r="BY17" i="3"/>
  <c r="BY132" i="3" s="1"/>
  <c r="BY134" i="3" s="1"/>
  <c r="BY135" i="3" s="1"/>
  <c r="BX17" i="3"/>
  <c r="BX132" i="3" s="1"/>
  <c r="BW17" i="3"/>
  <c r="BW132" i="3" s="1"/>
  <c r="BW134" i="3" s="1"/>
  <c r="BW135" i="3" s="1"/>
  <c r="BV17" i="3"/>
  <c r="BV132" i="3" s="1"/>
  <c r="BV134" i="3" s="1"/>
  <c r="BV135" i="3" s="1"/>
  <c r="BU17" i="3"/>
  <c r="BU132" i="3" s="1"/>
  <c r="BU134" i="3" s="1"/>
  <c r="BU135" i="3" s="1"/>
  <c r="BT17" i="3"/>
  <c r="BT132" i="3" s="1"/>
  <c r="BT134" i="3" s="1"/>
  <c r="BT135" i="3" s="1"/>
  <c r="BS17" i="3"/>
  <c r="BS132" i="3" s="1"/>
  <c r="BR17" i="3"/>
  <c r="BR132" i="3" s="1"/>
  <c r="BR134" i="3" s="1"/>
  <c r="BR135" i="3" s="1"/>
  <c r="BQ17" i="3"/>
  <c r="BQ132" i="3" s="1"/>
  <c r="BQ134" i="3" s="1"/>
  <c r="BQ135" i="3" s="1"/>
  <c r="BP17" i="3"/>
  <c r="BP132" i="3" s="1"/>
  <c r="BP134" i="3" s="1"/>
  <c r="BP135" i="3" s="1"/>
  <c r="BO17" i="3"/>
  <c r="BO132" i="3" s="1"/>
  <c r="BO134" i="3" s="1"/>
  <c r="BO135" i="3" s="1"/>
  <c r="BN17" i="3"/>
  <c r="BN132" i="3" s="1"/>
  <c r="BN134" i="3" s="1"/>
  <c r="BN135" i="3" s="1"/>
  <c r="BM17" i="3"/>
  <c r="BM132" i="3" s="1"/>
  <c r="BM134" i="3" s="1"/>
  <c r="BM135" i="3" s="1"/>
  <c r="BL17" i="3"/>
  <c r="BL132" i="3" s="1"/>
  <c r="BK17" i="3"/>
  <c r="BK132" i="3" s="1"/>
  <c r="BK134" i="3" s="1"/>
  <c r="BK135" i="3" s="1"/>
  <c r="BJ17" i="3"/>
  <c r="BJ132" i="3" s="1"/>
  <c r="BJ134" i="3" s="1"/>
  <c r="BJ135" i="3" s="1"/>
  <c r="BI17" i="3"/>
  <c r="BI132" i="3" s="1"/>
  <c r="BH17" i="3"/>
  <c r="BH132" i="3" s="1"/>
  <c r="BH134" i="3" s="1"/>
  <c r="BH135" i="3" s="1"/>
  <c r="BG17" i="3"/>
  <c r="BG132" i="3" s="1"/>
  <c r="BF17" i="3"/>
  <c r="BF132" i="3" s="1"/>
  <c r="BE17" i="3"/>
  <c r="BE132" i="3" s="1"/>
  <c r="BE134" i="3" s="1"/>
  <c r="BE135" i="3" s="1"/>
  <c r="BD17" i="3"/>
  <c r="BD132" i="3" s="1"/>
  <c r="BD134" i="3" s="1"/>
  <c r="BD135" i="3" s="1"/>
  <c r="BC17" i="3"/>
  <c r="BC132" i="3" s="1"/>
  <c r="BC134" i="3" s="1"/>
  <c r="BC135" i="3" s="1"/>
  <c r="BB17" i="3"/>
  <c r="BB132" i="3" s="1"/>
  <c r="BB134" i="3" s="1"/>
  <c r="BB135" i="3" s="1"/>
  <c r="BA17" i="3"/>
  <c r="BA132" i="3" s="1"/>
  <c r="BA134" i="3" s="1"/>
  <c r="BA135" i="3" s="1"/>
  <c r="AZ17" i="3"/>
  <c r="AZ132" i="3" s="1"/>
  <c r="AY17" i="3"/>
  <c r="AY132" i="3" s="1"/>
  <c r="AY134" i="3" s="1"/>
  <c r="AY135" i="3" s="1"/>
  <c r="AX17" i="3"/>
  <c r="AX132" i="3" s="1"/>
  <c r="AX134" i="3" s="1"/>
  <c r="AX135" i="3" s="1"/>
  <c r="AW17" i="3"/>
  <c r="AW132" i="3" s="1"/>
  <c r="AW134" i="3" s="1"/>
  <c r="AW135" i="3" s="1"/>
  <c r="AV17" i="3"/>
  <c r="AV132" i="3" s="1"/>
  <c r="AU17" i="3"/>
  <c r="AU132" i="3" s="1"/>
  <c r="AT17" i="3"/>
  <c r="AT132" i="3" s="1"/>
  <c r="AS17" i="3"/>
  <c r="AS132" i="3" s="1"/>
  <c r="AS134" i="3" s="1"/>
  <c r="AS135" i="3" s="1"/>
  <c r="AR17" i="3"/>
  <c r="AR132" i="3" s="1"/>
  <c r="AR134" i="3" s="1"/>
  <c r="AR135" i="3" s="1"/>
  <c r="AQ17" i="3"/>
  <c r="AQ132" i="3" s="1"/>
  <c r="AQ134" i="3" s="1"/>
  <c r="AQ135" i="3" s="1"/>
  <c r="AP17" i="3"/>
  <c r="AP132" i="3" s="1"/>
  <c r="AP134" i="3" s="1"/>
  <c r="AP135" i="3" s="1"/>
  <c r="AO17" i="3"/>
  <c r="AO132" i="3" s="1"/>
  <c r="AO134" i="3" s="1"/>
  <c r="AO135" i="3" s="1"/>
  <c r="AN17" i="3"/>
  <c r="AN132" i="3" s="1"/>
  <c r="AM17" i="3"/>
  <c r="AM132" i="3" s="1"/>
  <c r="AM134" i="3" s="1"/>
  <c r="AM135" i="3" s="1"/>
  <c r="AL17" i="3"/>
  <c r="AL132" i="3" s="1"/>
  <c r="AL134" i="3" s="1"/>
  <c r="AL135" i="3" s="1"/>
  <c r="AK17" i="3"/>
  <c r="AK132" i="3" s="1"/>
  <c r="AK134" i="3" s="1"/>
  <c r="AK135" i="3" s="1"/>
  <c r="AJ17" i="3"/>
  <c r="AJ132" i="3" s="1"/>
  <c r="AI17" i="3"/>
  <c r="AI132" i="3" s="1"/>
  <c r="AH17" i="3"/>
  <c r="AH132" i="3" s="1"/>
  <c r="AG17" i="3"/>
  <c r="AG132" i="3" s="1"/>
  <c r="AG134" i="3" s="1"/>
  <c r="AG135" i="3" s="1"/>
  <c r="AF17" i="3"/>
  <c r="AF132" i="3" s="1"/>
  <c r="AF134" i="3" s="1"/>
  <c r="AF135" i="3" s="1"/>
  <c r="AE17" i="3"/>
  <c r="AE132" i="3" s="1"/>
  <c r="AE134" i="3" s="1"/>
  <c r="AE135" i="3" s="1"/>
  <c r="AD17" i="3"/>
  <c r="AD132" i="3" s="1"/>
  <c r="AD134" i="3" s="1"/>
  <c r="AD135" i="3" s="1"/>
  <c r="AC17" i="3"/>
  <c r="AC132" i="3" s="1"/>
  <c r="AC134" i="3" s="1"/>
  <c r="AC135" i="3" s="1"/>
  <c r="AB17" i="3"/>
  <c r="AB132" i="3" s="1"/>
  <c r="AA17" i="3"/>
  <c r="AA132" i="3" s="1"/>
  <c r="AA134" i="3" s="1"/>
  <c r="AA135" i="3" s="1"/>
  <c r="Z17" i="3"/>
  <c r="Z132" i="3" s="1"/>
  <c r="Z134" i="3" s="1"/>
  <c r="Z135" i="3" s="1"/>
  <c r="Y17" i="3"/>
  <c r="Y132" i="3" s="1"/>
  <c r="Y134" i="3" s="1"/>
  <c r="Y135" i="3" s="1"/>
  <c r="X17" i="3"/>
  <c r="X132" i="3" s="1"/>
  <c r="X134" i="3" s="1"/>
  <c r="X135" i="3" s="1"/>
  <c r="W17" i="3"/>
  <c r="W132" i="3" s="1"/>
  <c r="V17" i="3"/>
  <c r="V132" i="3" s="1"/>
  <c r="U17" i="3"/>
  <c r="U132" i="3" s="1"/>
  <c r="U134" i="3" s="1"/>
  <c r="U135" i="3" s="1"/>
  <c r="T17" i="3"/>
  <c r="T132" i="3" s="1"/>
  <c r="T134" i="3" s="1"/>
  <c r="T135" i="3" s="1"/>
  <c r="S17" i="3"/>
  <c r="S132" i="3" s="1"/>
  <c r="S134" i="3" s="1"/>
  <c r="S135" i="3" s="1"/>
  <c r="R17" i="3"/>
  <c r="R132" i="3" s="1"/>
  <c r="R134" i="3" s="1"/>
  <c r="R135" i="3" s="1"/>
  <c r="Q17" i="3"/>
  <c r="Q132" i="3" s="1"/>
  <c r="Q134" i="3" s="1"/>
  <c r="Q135" i="3" s="1"/>
  <c r="P17" i="3"/>
  <c r="P132" i="3" s="1"/>
  <c r="O17" i="3"/>
  <c r="O132" i="3" s="1"/>
  <c r="O134" i="3" s="1"/>
  <c r="O135" i="3" s="1"/>
  <c r="N17" i="3"/>
  <c r="N132" i="3" s="1"/>
  <c r="N134" i="3" s="1"/>
  <c r="N135" i="3" s="1"/>
  <c r="M17" i="3"/>
  <c r="M132" i="3" s="1"/>
  <c r="M134" i="3" s="1"/>
  <c r="M135" i="3" s="1"/>
  <c r="L17" i="3"/>
  <c r="L132" i="3" s="1"/>
  <c r="L134" i="3" s="1"/>
  <c r="L135" i="3" s="1"/>
  <c r="K17" i="3"/>
  <c r="K132" i="3" s="1"/>
  <c r="J17" i="3"/>
  <c r="J132" i="3" s="1"/>
  <c r="J134" i="3" s="1"/>
  <c r="J135" i="3" s="1"/>
  <c r="I17" i="3"/>
  <c r="I132" i="3" s="1"/>
  <c r="I134" i="3" s="1"/>
  <c r="I135" i="3" s="1"/>
  <c r="H17" i="3"/>
  <c r="H132" i="3" s="1"/>
  <c r="H134" i="3" s="1"/>
  <c r="H135" i="3" s="1"/>
  <c r="G17" i="3"/>
  <c r="G132" i="3" s="1"/>
  <c r="G134" i="3" s="1"/>
  <c r="G135" i="3" s="1"/>
  <c r="F17" i="3"/>
  <c r="F132" i="3" s="1"/>
  <c r="F134" i="3" s="1"/>
  <c r="F135" i="3" s="1"/>
  <c r="E17" i="3"/>
  <c r="D17" i="3"/>
  <c r="D132" i="3" s="1"/>
  <c r="C17" i="3"/>
  <c r="C132" i="3" s="1"/>
  <c r="C134" i="3" s="1"/>
  <c r="C135" i="3" s="1"/>
  <c r="FT16" i="3"/>
  <c r="FT85" i="3" s="1"/>
  <c r="FG16" i="3"/>
  <c r="FG85" i="3" s="1"/>
  <c r="EV16" i="3"/>
  <c r="EV85" i="3" s="1"/>
  <c r="ES16" i="3"/>
  <c r="ES85" i="3" s="1"/>
  <c r="DX16" i="3"/>
  <c r="DX85" i="3" s="1"/>
  <c r="CW16" i="3"/>
  <c r="CW85" i="3" s="1"/>
  <c r="CN16" i="3"/>
  <c r="CN85" i="3" s="1"/>
  <c r="CB16" i="3"/>
  <c r="CB85" i="3" s="1"/>
  <c r="BD16" i="3"/>
  <c r="BD85" i="3" s="1"/>
  <c r="BA16" i="3"/>
  <c r="BA85" i="3" s="1"/>
  <c r="AR16" i="3"/>
  <c r="AR85" i="3" s="1"/>
  <c r="AF16" i="3"/>
  <c r="AF85" i="3" s="1"/>
  <c r="H16" i="3"/>
  <c r="H85" i="3" s="1"/>
  <c r="E16" i="3"/>
  <c r="E85" i="3" s="1"/>
  <c r="FX15" i="3"/>
  <c r="FW15" i="3"/>
  <c r="FV15" i="3"/>
  <c r="FV99" i="3" s="1"/>
  <c r="FU15" i="3"/>
  <c r="FT15" i="3"/>
  <c r="FS15" i="3"/>
  <c r="FR15" i="3"/>
  <c r="FQ15" i="3"/>
  <c r="FP15" i="3"/>
  <c r="FO15" i="3"/>
  <c r="FN15" i="3"/>
  <c r="FM15" i="3"/>
  <c r="FL15" i="3"/>
  <c r="FK15" i="3"/>
  <c r="FJ15" i="3"/>
  <c r="FJ99" i="3" s="1"/>
  <c r="FI15" i="3"/>
  <c r="FH15" i="3"/>
  <c r="FG15" i="3"/>
  <c r="FF15" i="3"/>
  <c r="FE15" i="3"/>
  <c r="FE99" i="3" s="1"/>
  <c r="FD15" i="3"/>
  <c r="FC15" i="3"/>
  <c r="FB15" i="3"/>
  <c r="FA15" i="3"/>
  <c r="EZ15" i="3"/>
  <c r="EY15" i="3"/>
  <c r="EX15" i="3"/>
  <c r="EX99" i="3" s="1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Z99" i="3" s="1"/>
  <c r="DY15" i="3"/>
  <c r="DX15" i="3"/>
  <c r="DW15" i="3"/>
  <c r="DV15" i="3"/>
  <c r="DU15" i="3"/>
  <c r="DT15" i="3"/>
  <c r="DS15" i="3"/>
  <c r="DR15" i="3"/>
  <c r="DQ15" i="3"/>
  <c r="DP15" i="3"/>
  <c r="DO15" i="3"/>
  <c r="DN15" i="3"/>
  <c r="DN99" i="3" s="1"/>
  <c r="DM15" i="3"/>
  <c r="DL15" i="3"/>
  <c r="DK15" i="3"/>
  <c r="DK99" i="3" s="1"/>
  <c r="DJ15" i="3"/>
  <c r="DI15" i="3"/>
  <c r="DI99" i="3" s="1"/>
  <c r="DH15" i="3"/>
  <c r="DG15" i="3"/>
  <c r="DF15" i="3"/>
  <c r="DE15" i="3"/>
  <c r="DD15" i="3"/>
  <c r="DC15" i="3"/>
  <c r="DB15" i="3"/>
  <c r="DB99" i="3" s="1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D99" i="3" s="1"/>
  <c r="CC15" i="3"/>
  <c r="CB15" i="3"/>
  <c r="CA15" i="3"/>
  <c r="BZ15" i="3"/>
  <c r="BY15" i="3"/>
  <c r="BX15" i="3"/>
  <c r="BW15" i="3"/>
  <c r="BV15" i="3"/>
  <c r="BU15" i="3"/>
  <c r="BT15" i="3"/>
  <c r="BS15" i="3"/>
  <c r="BR15" i="3"/>
  <c r="BR99" i="3" s="1"/>
  <c r="BQ15" i="3"/>
  <c r="BP15" i="3"/>
  <c r="BO15" i="3"/>
  <c r="BN15" i="3"/>
  <c r="BM15" i="3"/>
  <c r="BM99" i="3" s="1"/>
  <c r="BL15" i="3"/>
  <c r="BK15" i="3"/>
  <c r="BJ15" i="3"/>
  <c r="BI15" i="3"/>
  <c r="BH15" i="3"/>
  <c r="BG15" i="3"/>
  <c r="BF15" i="3"/>
  <c r="BF99" i="3" s="1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H99" i="3" s="1"/>
  <c r="AG15" i="3"/>
  <c r="AF15" i="3"/>
  <c r="AE15" i="3"/>
  <c r="AD15" i="3"/>
  <c r="AC15" i="3"/>
  <c r="AB15" i="3"/>
  <c r="AA15" i="3"/>
  <c r="Z15" i="3"/>
  <c r="Y15" i="3"/>
  <c r="X15" i="3"/>
  <c r="W15" i="3"/>
  <c r="V15" i="3"/>
  <c r="V99" i="3" s="1"/>
  <c r="U15" i="3"/>
  <c r="T15" i="3"/>
  <c r="S15" i="3"/>
  <c r="S99" i="3" s="1"/>
  <c r="R15" i="3"/>
  <c r="Q15" i="3"/>
  <c r="Q99" i="3" s="1"/>
  <c r="P15" i="3"/>
  <c r="O15" i="3"/>
  <c r="N15" i="3"/>
  <c r="M15" i="3"/>
  <c r="L15" i="3"/>
  <c r="K15" i="3"/>
  <c r="J15" i="3"/>
  <c r="J99" i="3" s="1"/>
  <c r="I15" i="3"/>
  <c r="H15" i="3"/>
  <c r="G15" i="3"/>
  <c r="F15" i="3"/>
  <c r="E15" i="3"/>
  <c r="D15" i="3"/>
  <c r="C15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FZ14" i="3" s="1"/>
  <c r="FX13" i="3"/>
  <c r="FW13" i="3"/>
  <c r="FV13" i="3"/>
  <c r="FU13" i="3"/>
  <c r="FT13" i="3"/>
  <c r="FS13" i="3"/>
  <c r="FS97" i="3" s="1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U97" i="3" s="1"/>
  <c r="ET13" i="3"/>
  <c r="ES13" i="3"/>
  <c r="ER13" i="3"/>
  <c r="EQ13" i="3"/>
  <c r="EP13" i="3"/>
  <c r="EO13" i="3"/>
  <c r="EN13" i="3"/>
  <c r="EM13" i="3"/>
  <c r="EL13" i="3"/>
  <c r="EK13" i="3"/>
  <c r="EJ13" i="3"/>
  <c r="EI13" i="3"/>
  <c r="EI97" i="3" s="1"/>
  <c r="EH13" i="3"/>
  <c r="EG13" i="3"/>
  <c r="EF13" i="3"/>
  <c r="EF176" i="3" s="1"/>
  <c r="EE13" i="3"/>
  <c r="ED13" i="3"/>
  <c r="EC13" i="3"/>
  <c r="EB13" i="3"/>
  <c r="EA13" i="3"/>
  <c r="DZ13" i="3"/>
  <c r="DY13" i="3"/>
  <c r="DX13" i="3"/>
  <c r="DW13" i="3"/>
  <c r="DW97" i="3" s="1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Y97" i="3" s="1"/>
  <c r="CX13" i="3"/>
  <c r="CW13" i="3"/>
  <c r="CV13" i="3"/>
  <c r="CU13" i="3"/>
  <c r="CT13" i="3"/>
  <c r="CS13" i="3"/>
  <c r="CR13" i="3"/>
  <c r="CQ13" i="3"/>
  <c r="CP13" i="3"/>
  <c r="CO13" i="3"/>
  <c r="CN13" i="3"/>
  <c r="CM13" i="3"/>
  <c r="CM97" i="3" s="1"/>
  <c r="CL13" i="3"/>
  <c r="CK13" i="3"/>
  <c r="CJ13" i="3"/>
  <c r="CJ176" i="3" s="1"/>
  <c r="CI13" i="3"/>
  <c r="CH13" i="3"/>
  <c r="CG13" i="3"/>
  <c r="CF13" i="3"/>
  <c r="CE13" i="3"/>
  <c r="CD13" i="3"/>
  <c r="CC13" i="3"/>
  <c r="CB13" i="3"/>
  <c r="CA13" i="3"/>
  <c r="CA97" i="3" s="1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C97" i="3" s="1"/>
  <c r="BB13" i="3"/>
  <c r="BA13" i="3"/>
  <c r="AZ13" i="3"/>
  <c r="AY13" i="3"/>
  <c r="AX13" i="3"/>
  <c r="AW13" i="3"/>
  <c r="AV13" i="3"/>
  <c r="AU13" i="3"/>
  <c r="AT13" i="3"/>
  <c r="AS13" i="3"/>
  <c r="AR13" i="3"/>
  <c r="AQ13" i="3"/>
  <c r="AQ97" i="3" s="1"/>
  <c r="AP13" i="3"/>
  <c r="AO13" i="3"/>
  <c r="AN13" i="3"/>
  <c r="AN176" i="3" s="1"/>
  <c r="AM13" i="3"/>
  <c r="AL13" i="3"/>
  <c r="AK13" i="3"/>
  <c r="AJ13" i="3"/>
  <c r="AI13" i="3"/>
  <c r="AH13" i="3"/>
  <c r="AG13" i="3"/>
  <c r="AF13" i="3"/>
  <c r="AE13" i="3"/>
  <c r="AE97" i="3" s="1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G97" i="3" s="1"/>
  <c r="F13" i="3"/>
  <c r="E13" i="3"/>
  <c r="D13" i="3"/>
  <c r="C13" i="3"/>
  <c r="FX12" i="3"/>
  <c r="FW12" i="3"/>
  <c r="FV12" i="3"/>
  <c r="FV172" i="3" s="1"/>
  <c r="FU12" i="3"/>
  <c r="FT12" i="3"/>
  <c r="FT172" i="3" s="1"/>
  <c r="FS12" i="3"/>
  <c r="FR12" i="3"/>
  <c r="FQ12" i="3"/>
  <c r="FP12" i="3"/>
  <c r="FO12" i="3"/>
  <c r="FN12" i="3"/>
  <c r="FM12" i="3"/>
  <c r="FL12" i="3"/>
  <c r="FK12" i="3"/>
  <c r="FJ12" i="3"/>
  <c r="FJ172" i="3" s="1"/>
  <c r="FI12" i="3"/>
  <c r="FH12" i="3"/>
  <c r="FH172" i="3" s="1"/>
  <c r="FG12" i="3"/>
  <c r="FF12" i="3"/>
  <c r="FE12" i="3"/>
  <c r="FD12" i="3"/>
  <c r="FC12" i="3"/>
  <c r="FB12" i="3"/>
  <c r="FA12" i="3"/>
  <c r="EZ12" i="3"/>
  <c r="EY12" i="3"/>
  <c r="EX12" i="3"/>
  <c r="EX172" i="3" s="1"/>
  <c r="EW12" i="3"/>
  <c r="EV12" i="3"/>
  <c r="EV172" i="3" s="1"/>
  <c r="EU12" i="3"/>
  <c r="ET12" i="3"/>
  <c r="ES12" i="3"/>
  <c r="ER12" i="3"/>
  <c r="EQ12" i="3"/>
  <c r="EP12" i="3"/>
  <c r="EO12" i="3"/>
  <c r="EN12" i="3"/>
  <c r="EM12" i="3"/>
  <c r="EL12" i="3"/>
  <c r="EL172" i="3" s="1"/>
  <c r="EK12" i="3"/>
  <c r="EJ12" i="3"/>
  <c r="EJ172" i="3" s="1"/>
  <c r="EI12" i="3"/>
  <c r="EH12" i="3"/>
  <c r="EG12" i="3"/>
  <c r="EF12" i="3"/>
  <c r="EE12" i="3"/>
  <c r="ED12" i="3"/>
  <c r="EC12" i="3"/>
  <c r="EB12" i="3"/>
  <c r="EA12" i="3"/>
  <c r="DZ12" i="3"/>
  <c r="DZ172" i="3" s="1"/>
  <c r="DY12" i="3"/>
  <c r="DX12" i="3"/>
  <c r="DX172" i="3" s="1"/>
  <c r="DW12" i="3"/>
  <c r="DV12" i="3"/>
  <c r="DU12" i="3"/>
  <c r="DT12" i="3"/>
  <c r="DS12" i="3"/>
  <c r="DR12" i="3"/>
  <c r="DQ12" i="3"/>
  <c r="DP12" i="3"/>
  <c r="DO12" i="3"/>
  <c r="DN12" i="3"/>
  <c r="DN172" i="3" s="1"/>
  <c r="DM12" i="3"/>
  <c r="DL12" i="3"/>
  <c r="DL172" i="3" s="1"/>
  <c r="DK12" i="3"/>
  <c r="DJ12" i="3"/>
  <c r="DI12" i="3"/>
  <c r="DH12" i="3"/>
  <c r="DG12" i="3"/>
  <c r="DF12" i="3"/>
  <c r="DE12" i="3"/>
  <c r="DD12" i="3"/>
  <c r="DC12" i="3"/>
  <c r="DB12" i="3"/>
  <c r="DB172" i="3" s="1"/>
  <c r="DA12" i="3"/>
  <c r="CZ12" i="3"/>
  <c r="CZ172" i="3" s="1"/>
  <c r="CY12" i="3"/>
  <c r="CX12" i="3"/>
  <c r="CW12" i="3"/>
  <c r="CV12" i="3"/>
  <c r="CU12" i="3"/>
  <c r="CT12" i="3"/>
  <c r="CS12" i="3"/>
  <c r="CR12" i="3"/>
  <c r="CQ12" i="3"/>
  <c r="CP12" i="3"/>
  <c r="CP172" i="3" s="1"/>
  <c r="CO12" i="3"/>
  <c r="CN12" i="3"/>
  <c r="CN172" i="3" s="1"/>
  <c r="CM12" i="3"/>
  <c r="CL12" i="3"/>
  <c r="CK12" i="3"/>
  <c r="CJ12" i="3"/>
  <c r="CI12" i="3"/>
  <c r="CH12" i="3"/>
  <c r="CG12" i="3"/>
  <c r="CF12" i="3"/>
  <c r="CE12" i="3"/>
  <c r="CD12" i="3"/>
  <c r="CD172" i="3" s="1"/>
  <c r="CC12" i="3"/>
  <c r="CB12" i="3"/>
  <c r="CB172" i="3" s="1"/>
  <c r="CA12" i="3"/>
  <c r="BZ12" i="3"/>
  <c r="BY12" i="3"/>
  <c r="BX12" i="3"/>
  <c r="BW12" i="3"/>
  <c r="BV12" i="3"/>
  <c r="BU12" i="3"/>
  <c r="BT12" i="3"/>
  <c r="BS12" i="3"/>
  <c r="BR12" i="3"/>
  <c r="BR172" i="3" s="1"/>
  <c r="BQ12" i="3"/>
  <c r="BP12" i="3"/>
  <c r="BP172" i="3" s="1"/>
  <c r="BO12" i="3"/>
  <c r="BN12" i="3"/>
  <c r="BM12" i="3"/>
  <c r="BL12" i="3"/>
  <c r="BK12" i="3"/>
  <c r="BJ12" i="3"/>
  <c r="BI12" i="3"/>
  <c r="BH12" i="3"/>
  <c r="BG12" i="3"/>
  <c r="BF12" i="3"/>
  <c r="BF172" i="3" s="1"/>
  <c r="BE12" i="3"/>
  <c r="BD12" i="3"/>
  <c r="BD172" i="3" s="1"/>
  <c r="BC12" i="3"/>
  <c r="BB12" i="3"/>
  <c r="BA12" i="3"/>
  <c r="AZ12" i="3"/>
  <c r="AY12" i="3"/>
  <c r="AX12" i="3"/>
  <c r="AW12" i="3"/>
  <c r="AV12" i="3"/>
  <c r="AU12" i="3"/>
  <c r="AT12" i="3"/>
  <c r="AT172" i="3" s="1"/>
  <c r="AS12" i="3"/>
  <c r="AR12" i="3"/>
  <c r="AR172" i="3" s="1"/>
  <c r="AQ12" i="3"/>
  <c r="AP12" i="3"/>
  <c r="AO12" i="3"/>
  <c r="AN12" i="3"/>
  <c r="AM12" i="3"/>
  <c r="AL12" i="3"/>
  <c r="AK12" i="3"/>
  <c r="AJ12" i="3"/>
  <c r="AI12" i="3"/>
  <c r="AH12" i="3"/>
  <c r="AH172" i="3" s="1"/>
  <c r="AG12" i="3"/>
  <c r="AF12" i="3"/>
  <c r="AF172" i="3" s="1"/>
  <c r="AE12" i="3"/>
  <c r="AD12" i="3"/>
  <c r="AC12" i="3"/>
  <c r="AB12" i="3"/>
  <c r="AA12" i="3"/>
  <c r="Z12" i="3"/>
  <c r="Y12" i="3"/>
  <c r="X12" i="3"/>
  <c r="W12" i="3"/>
  <c r="V12" i="3"/>
  <c r="V172" i="3" s="1"/>
  <c r="U12" i="3"/>
  <c r="T12" i="3"/>
  <c r="T172" i="3" s="1"/>
  <c r="S12" i="3"/>
  <c r="R12" i="3"/>
  <c r="Q12" i="3"/>
  <c r="P12" i="3"/>
  <c r="O12" i="3"/>
  <c r="N12" i="3"/>
  <c r="M12" i="3"/>
  <c r="L12" i="3"/>
  <c r="K12" i="3"/>
  <c r="J12" i="3"/>
  <c r="J172" i="3" s="1"/>
  <c r="I12" i="3"/>
  <c r="H12" i="3"/>
  <c r="H172" i="3" s="1"/>
  <c r="G12" i="3"/>
  <c r="F12" i="3"/>
  <c r="E12" i="3"/>
  <c r="D12" i="3"/>
  <c r="C12" i="3"/>
  <c r="FZ12" i="3" s="1"/>
  <c r="FT11" i="3"/>
  <c r="FP11" i="3"/>
  <c r="FP16" i="3" s="1"/>
  <c r="FP85" i="3" s="1"/>
  <c r="FO11" i="3"/>
  <c r="FN11" i="3"/>
  <c r="FN16" i="3" s="1"/>
  <c r="FN85" i="3" s="1"/>
  <c r="FH11" i="3"/>
  <c r="FH16" i="3" s="1"/>
  <c r="FH85" i="3" s="1"/>
  <c r="FC11" i="3"/>
  <c r="FB11" i="3"/>
  <c r="FB16" i="3" s="1"/>
  <c r="FB85" i="3" s="1"/>
  <c r="EV11" i="3"/>
  <c r="EQ11" i="3"/>
  <c r="EP11" i="3"/>
  <c r="EP16" i="3" s="1"/>
  <c r="EP85" i="3" s="1"/>
  <c r="EJ11" i="3"/>
  <c r="EJ16" i="3" s="1"/>
  <c r="EJ85" i="3" s="1"/>
  <c r="EE11" i="3"/>
  <c r="EE16" i="3" s="1"/>
  <c r="EE85" i="3" s="1"/>
  <c r="ED11" i="3"/>
  <c r="ED16" i="3" s="1"/>
  <c r="ED85" i="3" s="1"/>
  <c r="DX11" i="3"/>
  <c r="DT11" i="3"/>
  <c r="DT16" i="3" s="1"/>
  <c r="DT85" i="3" s="1"/>
  <c r="DS11" i="3"/>
  <c r="DS16" i="3" s="1"/>
  <c r="DS85" i="3" s="1"/>
  <c r="DL11" i="3"/>
  <c r="DL16" i="3" s="1"/>
  <c r="DL85" i="3" s="1"/>
  <c r="DG11" i="3"/>
  <c r="DG16" i="3" s="1"/>
  <c r="DG85" i="3" s="1"/>
  <c r="DF11" i="3"/>
  <c r="DF16" i="3" s="1"/>
  <c r="DF85" i="3" s="1"/>
  <c r="CZ11" i="3"/>
  <c r="CZ16" i="3" s="1"/>
  <c r="CZ85" i="3" s="1"/>
  <c r="CU11" i="3"/>
  <c r="CU16" i="3" s="1"/>
  <c r="CU85" i="3" s="1"/>
  <c r="CT11" i="3"/>
  <c r="CT16" i="3" s="1"/>
  <c r="CT85" i="3" s="1"/>
  <c r="CN11" i="3"/>
  <c r="CI11" i="3"/>
  <c r="CI16" i="3" s="1"/>
  <c r="CI85" i="3" s="1"/>
  <c r="CB11" i="3"/>
  <c r="BX11" i="3"/>
  <c r="BX16" i="3" s="1"/>
  <c r="BX85" i="3" s="1"/>
  <c r="BW11" i="3"/>
  <c r="BW16" i="3" s="1"/>
  <c r="BW85" i="3" s="1"/>
  <c r="BP11" i="3"/>
  <c r="BP16" i="3" s="1"/>
  <c r="BP85" i="3" s="1"/>
  <c r="BK11" i="3"/>
  <c r="BD11" i="3"/>
  <c r="AY11" i="3"/>
  <c r="AY16" i="3" s="1"/>
  <c r="AY85" i="3" s="1"/>
  <c r="AX11" i="3"/>
  <c r="AX16" i="3" s="1"/>
  <c r="AX85" i="3" s="1"/>
  <c r="AR11" i="3"/>
  <c r="AM11" i="3"/>
  <c r="AM16" i="3" s="1"/>
  <c r="AM85" i="3" s="1"/>
  <c r="AL11" i="3"/>
  <c r="AL16" i="3" s="1"/>
  <c r="AL85" i="3" s="1"/>
  <c r="AF11" i="3"/>
  <c r="AB11" i="3"/>
  <c r="AB16" i="3" s="1"/>
  <c r="AB85" i="3" s="1"/>
  <c r="AA11" i="3"/>
  <c r="Z11" i="3"/>
  <c r="Z16" i="3" s="1"/>
  <c r="Z85" i="3" s="1"/>
  <c r="T11" i="3"/>
  <c r="T16" i="3" s="1"/>
  <c r="T85" i="3" s="1"/>
  <c r="O11" i="3"/>
  <c r="N11" i="3"/>
  <c r="N16" i="3" s="1"/>
  <c r="N85" i="3" s="1"/>
  <c r="H11" i="3"/>
  <c r="C11" i="3"/>
  <c r="FX10" i="3"/>
  <c r="FX93" i="3" s="1"/>
  <c r="FW10" i="3"/>
  <c r="FW93" i="3" s="1"/>
  <c r="FV10" i="3"/>
  <c r="FV93" i="3" s="1"/>
  <c r="FU10" i="3"/>
  <c r="FU93" i="3" s="1"/>
  <c r="FT10" i="3"/>
  <c r="FT93" i="3" s="1"/>
  <c r="FS10" i="3"/>
  <c r="FS93" i="3" s="1"/>
  <c r="FR10" i="3"/>
  <c r="FR93" i="3" s="1"/>
  <c r="FQ10" i="3"/>
  <c r="FQ93" i="3" s="1"/>
  <c r="FP10" i="3"/>
  <c r="FP93" i="3" s="1"/>
  <c r="FO10" i="3"/>
  <c r="FO93" i="3" s="1"/>
  <c r="FN10" i="3"/>
  <c r="FN93" i="3" s="1"/>
  <c r="FM10" i="3"/>
  <c r="FM93" i="3" s="1"/>
  <c r="FL10" i="3"/>
  <c r="FL93" i="3" s="1"/>
  <c r="FK10" i="3"/>
  <c r="FK93" i="3" s="1"/>
  <c r="FJ10" i="3"/>
  <c r="FJ93" i="3" s="1"/>
  <c r="FI10" i="3"/>
  <c r="FI93" i="3" s="1"/>
  <c r="FH10" i="3"/>
  <c r="FH93" i="3" s="1"/>
  <c r="FG10" i="3"/>
  <c r="FG93" i="3" s="1"/>
  <c r="FF10" i="3"/>
  <c r="FF93" i="3" s="1"/>
  <c r="FE10" i="3"/>
  <c r="FE93" i="3" s="1"/>
  <c r="FD10" i="3"/>
  <c r="FD93" i="3" s="1"/>
  <c r="FC10" i="3"/>
  <c r="FC93" i="3" s="1"/>
  <c r="FB10" i="3"/>
  <c r="FB93" i="3" s="1"/>
  <c r="FA10" i="3"/>
  <c r="FA93" i="3" s="1"/>
  <c r="EZ10" i="3"/>
  <c r="EZ93" i="3" s="1"/>
  <c r="EY10" i="3"/>
  <c r="EY93" i="3" s="1"/>
  <c r="EX10" i="3"/>
  <c r="EX93" i="3" s="1"/>
  <c r="EW10" i="3"/>
  <c r="EW93" i="3" s="1"/>
  <c r="EV10" i="3"/>
  <c r="EV93" i="3" s="1"/>
  <c r="EU10" i="3"/>
  <c r="EU93" i="3" s="1"/>
  <c r="ET10" i="3"/>
  <c r="ET93" i="3" s="1"/>
  <c r="ES10" i="3"/>
  <c r="ES93" i="3" s="1"/>
  <c r="ER10" i="3"/>
  <c r="ER93" i="3" s="1"/>
  <c r="EQ10" i="3"/>
  <c r="EQ93" i="3" s="1"/>
  <c r="EP10" i="3"/>
  <c r="EP93" i="3" s="1"/>
  <c r="EO10" i="3"/>
  <c r="EO93" i="3" s="1"/>
  <c r="EN10" i="3"/>
  <c r="EN93" i="3" s="1"/>
  <c r="EM10" i="3"/>
  <c r="EM93" i="3" s="1"/>
  <c r="EL10" i="3"/>
  <c r="EL93" i="3" s="1"/>
  <c r="EK10" i="3"/>
  <c r="EK93" i="3" s="1"/>
  <c r="EJ10" i="3"/>
  <c r="EJ93" i="3" s="1"/>
  <c r="EI10" i="3"/>
  <c r="EI93" i="3" s="1"/>
  <c r="EH10" i="3"/>
  <c r="EH93" i="3" s="1"/>
  <c r="EG10" i="3"/>
  <c r="EG93" i="3" s="1"/>
  <c r="EF10" i="3"/>
  <c r="EF93" i="3" s="1"/>
  <c r="EE10" i="3"/>
  <c r="EE93" i="3" s="1"/>
  <c r="ED10" i="3"/>
  <c r="ED93" i="3" s="1"/>
  <c r="EC10" i="3"/>
  <c r="EC93" i="3" s="1"/>
  <c r="EB10" i="3"/>
  <c r="EB93" i="3" s="1"/>
  <c r="EA10" i="3"/>
  <c r="EA93" i="3" s="1"/>
  <c r="DZ10" i="3"/>
  <c r="DZ93" i="3" s="1"/>
  <c r="DY10" i="3"/>
  <c r="DY93" i="3" s="1"/>
  <c r="DX10" i="3"/>
  <c r="DX93" i="3" s="1"/>
  <c r="DW10" i="3"/>
  <c r="DW93" i="3" s="1"/>
  <c r="DV10" i="3"/>
  <c r="DV93" i="3" s="1"/>
  <c r="DU10" i="3"/>
  <c r="DU93" i="3" s="1"/>
  <c r="DT10" i="3"/>
  <c r="DT93" i="3" s="1"/>
  <c r="DS10" i="3"/>
  <c r="DS93" i="3" s="1"/>
  <c r="DR10" i="3"/>
  <c r="DR93" i="3" s="1"/>
  <c r="DQ10" i="3"/>
  <c r="DQ93" i="3" s="1"/>
  <c r="DP10" i="3"/>
  <c r="DP93" i="3" s="1"/>
  <c r="DO10" i="3"/>
  <c r="DO93" i="3" s="1"/>
  <c r="DN10" i="3"/>
  <c r="DN93" i="3" s="1"/>
  <c r="DM10" i="3"/>
  <c r="DM93" i="3" s="1"/>
  <c r="DL10" i="3"/>
  <c r="DL93" i="3" s="1"/>
  <c r="DK10" i="3"/>
  <c r="DK93" i="3" s="1"/>
  <c r="DJ10" i="3"/>
  <c r="DJ93" i="3" s="1"/>
  <c r="DI10" i="3"/>
  <c r="DI93" i="3" s="1"/>
  <c r="DH10" i="3"/>
  <c r="DH93" i="3" s="1"/>
  <c r="DG10" i="3"/>
  <c r="DG93" i="3" s="1"/>
  <c r="DF10" i="3"/>
  <c r="DF93" i="3" s="1"/>
  <c r="DE10" i="3"/>
  <c r="DE93" i="3" s="1"/>
  <c r="DD10" i="3"/>
  <c r="DD93" i="3" s="1"/>
  <c r="DC10" i="3"/>
  <c r="DC93" i="3" s="1"/>
  <c r="DB10" i="3"/>
  <c r="DB93" i="3" s="1"/>
  <c r="DA10" i="3"/>
  <c r="DA93" i="3" s="1"/>
  <c r="CZ10" i="3"/>
  <c r="CZ93" i="3" s="1"/>
  <c r="CY10" i="3"/>
  <c r="CY93" i="3" s="1"/>
  <c r="CX10" i="3"/>
  <c r="CX93" i="3" s="1"/>
  <c r="CW10" i="3"/>
  <c r="CW93" i="3" s="1"/>
  <c r="CV10" i="3"/>
  <c r="CV93" i="3" s="1"/>
  <c r="CU10" i="3"/>
  <c r="CU93" i="3" s="1"/>
  <c r="CT10" i="3"/>
  <c r="CT93" i="3" s="1"/>
  <c r="CS10" i="3"/>
  <c r="CS93" i="3" s="1"/>
  <c r="CR10" i="3"/>
  <c r="CR93" i="3" s="1"/>
  <c r="CQ10" i="3"/>
  <c r="CQ93" i="3" s="1"/>
  <c r="CP10" i="3"/>
  <c r="CP93" i="3" s="1"/>
  <c r="CO10" i="3"/>
  <c r="CO93" i="3" s="1"/>
  <c r="CN10" i="3"/>
  <c r="CN93" i="3" s="1"/>
  <c r="CM10" i="3"/>
  <c r="CM93" i="3" s="1"/>
  <c r="CL10" i="3"/>
  <c r="CL93" i="3" s="1"/>
  <c r="CK10" i="3"/>
  <c r="CK93" i="3" s="1"/>
  <c r="CJ10" i="3"/>
  <c r="CJ93" i="3" s="1"/>
  <c r="CI10" i="3"/>
  <c r="CI93" i="3" s="1"/>
  <c r="CH10" i="3"/>
  <c r="CH93" i="3" s="1"/>
  <c r="CG10" i="3"/>
  <c r="CG93" i="3" s="1"/>
  <c r="CF10" i="3"/>
  <c r="CF93" i="3" s="1"/>
  <c r="CE10" i="3"/>
  <c r="CE93" i="3" s="1"/>
  <c r="CD10" i="3"/>
  <c r="CD93" i="3" s="1"/>
  <c r="CC10" i="3"/>
  <c r="CC93" i="3" s="1"/>
  <c r="CB10" i="3"/>
  <c r="CB93" i="3" s="1"/>
  <c r="CA10" i="3"/>
  <c r="CA93" i="3" s="1"/>
  <c r="BZ10" i="3"/>
  <c r="BZ93" i="3" s="1"/>
  <c r="BY10" i="3"/>
  <c r="BY93" i="3" s="1"/>
  <c r="BX10" i="3"/>
  <c r="BX93" i="3" s="1"/>
  <c r="BW10" i="3"/>
  <c r="BW93" i="3" s="1"/>
  <c r="BV10" i="3"/>
  <c r="BV93" i="3" s="1"/>
  <c r="BU10" i="3"/>
  <c r="BU93" i="3" s="1"/>
  <c r="BT10" i="3"/>
  <c r="BT93" i="3" s="1"/>
  <c r="BS10" i="3"/>
  <c r="BS93" i="3" s="1"/>
  <c r="BR10" i="3"/>
  <c r="BR93" i="3" s="1"/>
  <c r="BQ10" i="3"/>
  <c r="BQ93" i="3" s="1"/>
  <c r="BP10" i="3"/>
  <c r="BP93" i="3" s="1"/>
  <c r="BO10" i="3"/>
  <c r="BO93" i="3" s="1"/>
  <c r="BN10" i="3"/>
  <c r="BN93" i="3" s="1"/>
  <c r="BM10" i="3"/>
  <c r="BM93" i="3" s="1"/>
  <c r="BL10" i="3"/>
  <c r="BL93" i="3" s="1"/>
  <c r="BK10" i="3"/>
  <c r="BK93" i="3" s="1"/>
  <c r="BJ10" i="3"/>
  <c r="BJ93" i="3" s="1"/>
  <c r="BI10" i="3"/>
  <c r="BI93" i="3" s="1"/>
  <c r="BH10" i="3"/>
  <c r="BH93" i="3" s="1"/>
  <c r="BG10" i="3"/>
  <c r="BG93" i="3" s="1"/>
  <c r="BF10" i="3"/>
  <c r="BF93" i="3" s="1"/>
  <c r="BE10" i="3"/>
  <c r="BE93" i="3" s="1"/>
  <c r="BD10" i="3"/>
  <c r="BD93" i="3" s="1"/>
  <c r="BC10" i="3"/>
  <c r="BC93" i="3" s="1"/>
  <c r="BB10" i="3"/>
  <c r="BB93" i="3" s="1"/>
  <c r="BA10" i="3"/>
  <c r="BA93" i="3" s="1"/>
  <c r="AZ10" i="3"/>
  <c r="AZ93" i="3" s="1"/>
  <c r="AY10" i="3"/>
  <c r="AY93" i="3" s="1"/>
  <c r="AX10" i="3"/>
  <c r="AX93" i="3" s="1"/>
  <c r="AW10" i="3"/>
  <c r="AW93" i="3" s="1"/>
  <c r="AV10" i="3"/>
  <c r="AV93" i="3" s="1"/>
  <c r="AU10" i="3"/>
  <c r="AU93" i="3" s="1"/>
  <c r="AT10" i="3"/>
  <c r="AT93" i="3" s="1"/>
  <c r="AS10" i="3"/>
  <c r="AS93" i="3" s="1"/>
  <c r="AR10" i="3"/>
  <c r="AR93" i="3" s="1"/>
  <c r="AQ10" i="3"/>
  <c r="AQ93" i="3" s="1"/>
  <c r="AP10" i="3"/>
  <c r="AP93" i="3" s="1"/>
  <c r="AO10" i="3"/>
  <c r="AO93" i="3" s="1"/>
  <c r="AN10" i="3"/>
  <c r="AN93" i="3" s="1"/>
  <c r="AM10" i="3"/>
  <c r="AM93" i="3" s="1"/>
  <c r="AL10" i="3"/>
  <c r="AL93" i="3" s="1"/>
  <c r="AK10" i="3"/>
  <c r="AK93" i="3" s="1"/>
  <c r="AJ10" i="3"/>
  <c r="AJ93" i="3" s="1"/>
  <c r="AI10" i="3"/>
  <c r="AI93" i="3" s="1"/>
  <c r="AH10" i="3"/>
  <c r="AH93" i="3" s="1"/>
  <c r="AG10" i="3"/>
  <c r="AG93" i="3" s="1"/>
  <c r="AF10" i="3"/>
  <c r="AF93" i="3" s="1"/>
  <c r="AE10" i="3"/>
  <c r="AE93" i="3" s="1"/>
  <c r="AD10" i="3"/>
  <c r="AD93" i="3" s="1"/>
  <c r="AC10" i="3"/>
  <c r="AC93" i="3" s="1"/>
  <c r="AB10" i="3"/>
  <c r="AB93" i="3" s="1"/>
  <c r="AA10" i="3"/>
  <c r="AA93" i="3" s="1"/>
  <c r="Z10" i="3"/>
  <c r="Z93" i="3" s="1"/>
  <c r="Y10" i="3"/>
  <c r="Y93" i="3" s="1"/>
  <c r="X10" i="3"/>
  <c r="X93" i="3" s="1"/>
  <c r="W10" i="3"/>
  <c r="W93" i="3" s="1"/>
  <c r="V10" i="3"/>
  <c r="V93" i="3" s="1"/>
  <c r="U10" i="3"/>
  <c r="U93" i="3" s="1"/>
  <c r="T10" i="3"/>
  <c r="T93" i="3" s="1"/>
  <c r="S10" i="3"/>
  <c r="S93" i="3" s="1"/>
  <c r="R10" i="3"/>
  <c r="R93" i="3" s="1"/>
  <c r="Q10" i="3"/>
  <c r="Q93" i="3" s="1"/>
  <c r="P10" i="3"/>
  <c r="P93" i="3" s="1"/>
  <c r="O10" i="3"/>
  <c r="O93" i="3" s="1"/>
  <c r="N10" i="3"/>
  <c r="N93" i="3" s="1"/>
  <c r="M10" i="3"/>
  <c r="M93" i="3" s="1"/>
  <c r="L10" i="3"/>
  <c r="L93" i="3" s="1"/>
  <c r="K10" i="3"/>
  <c r="K93" i="3" s="1"/>
  <c r="J10" i="3"/>
  <c r="J93" i="3" s="1"/>
  <c r="I10" i="3"/>
  <c r="I93" i="3" s="1"/>
  <c r="H10" i="3"/>
  <c r="H93" i="3" s="1"/>
  <c r="G10" i="3"/>
  <c r="G93" i="3" s="1"/>
  <c r="F10" i="3"/>
  <c r="F93" i="3" s="1"/>
  <c r="E10" i="3"/>
  <c r="E93" i="3" s="1"/>
  <c r="D10" i="3"/>
  <c r="D93" i="3" s="1"/>
  <c r="C10" i="3"/>
  <c r="C93" i="3" s="1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L11" i="3" s="1"/>
  <c r="FL16" i="3" s="1"/>
  <c r="FL85" i="3" s="1"/>
  <c r="FK9" i="3"/>
  <c r="FJ9" i="3"/>
  <c r="FI9" i="3"/>
  <c r="FH9" i="3"/>
  <c r="FG9" i="3"/>
  <c r="FF9" i="3"/>
  <c r="FE9" i="3"/>
  <c r="FD9" i="3"/>
  <c r="FC9" i="3"/>
  <c r="FB9" i="3"/>
  <c r="FA9" i="3"/>
  <c r="EZ9" i="3"/>
  <c r="EZ11" i="3" s="1"/>
  <c r="EZ16" i="3" s="1"/>
  <c r="EZ85" i="3" s="1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R11" i="3" s="1"/>
  <c r="DR16" i="3" s="1"/>
  <c r="DR85" i="3" s="1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D11" i="3" s="1"/>
  <c r="DD16" i="3" s="1"/>
  <c r="DD85" i="3" s="1"/>
  <c r="DC9" i="3"/>
  <c r="DB9" i="3"/>
  <c r="DA9" i="3"/>
  <c r="CZ9" i="3"/>
  <c r="CY9" i="3"/>
  <c r="CX9" i="3"/>
  <c r="CW9" i="3"/>
  <c r="CV9" i="3"/>
  <c r="CU9" i="3"/>
  <c r="CT9" i="3"/>
  <c r="CS9" i="3"/>
  <c r="CR9" i="3"/>
  <c r="CR11" i="3" s="1"/>
  <c r="CR16" i="3" s="1"/>
  <c r="CR85" i="3" s="1"/>
  <c r="CQ9" i="3"/>
  <c r="CP9" i="3"/>
  <c r="CO9" i="3"/>
  <c r="CN9" i="3"/>
  <c r="CM9" i="3"/>
  <c r="CL9" i="3"/>
  <c r="CK9" i="3"/>
  <c r="CJ9" i="3"/>
  <c r="CI9" i="3"/>
  <c r="CH9" i="3"/>
  <c r="CH11" i="3" s="1"/>
  <c r="CH16" i="3" s="1"/>
  <c r="CH85" i="3" s="1"/>
  <c r="CG9" i="3"/>
  <c r="CF9" i="3"/>
  <c r="CF11" i="3" s="1"/>
  <c r="CF16" i="3" s="1"/>
  <c r="CF85" i="3" s="1"/>
  <c r="CE9" i="3"/>
  <c r="CD9" i="3"/>
  <c r="CC9" i="3"/>
  <c r="CB9" i="3"/>
  <c r="CA9" i="3"/>
  <c r="BZ9" i="3"/>
  <c r="BY9" i="3"/>
  <c r="BX9" i="3"/>
  <c r="BW9" i="3"/>
  <c r="BV9" i="3"/>
  <c r="BV11" i="3" s="1"/>
  <c r="BV16" i="3" s="1"/>
  <c r="BV85" i="3" s="1"/>
  <c r="BU9" i="3"/>
  <c r="BT9" i="3"/>
  <c r="BT11" i="3" s="1"/>
  <c r="BT16" i="3" s="1"/>
  <c r="BT85" i="3" s="1"/>
  <c r="BS9" i="3"/>
  <c r="BR9" i="3"/>
  <c r="BQ9" i="3"/>
  <c r="BP9" i="3"/>
  <c r="BO9" i="3"/>
  <c r="BN9" i="3"/>
  <c r="BM9" i="3"/>
  <c r="BL9" i="3"/>
  <c r="BK9" i="3"/>
  <c r="BJ9" i="3"/>
  <c r="BJ11" i="3" s="1"/>
  <c r="BJ16" i="3" s="1"/>
  <c r="BJ85" i="3" s="1"/>
  <c r="BI9" i="3"/>
  <c r="BH9" i="3"/>
  <c r="BH11" i="3" s="1"/>
  <c r="BH16" i="3" s="1"/>
  <c r="BH85" i="3" s="1"/>
  <c r="BG9" i="3"/>
  <c r="BF9" i="3"/>
  <c r="BE9" i="3"/>
  <c r="BD9" i="3"/>
  <c r="BC9" i="3"/>
  <c r="BB9" i="3"/>
  <c r="BA9" i="3"/>
  <c r="AZ9" i="3"/>
  <c r="AY9" i="3"/>
  <c r="AX9" i="3"/>
  <c r="AW9" i="3"/>
  <c r="AV9" i="3"/>
  <c r="AV11" i="3" s="1"/>
  <c r="AV16" i="3" s="1"/>
  <c r="AV85" i="3" s="1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X11" i="3" s="1"/>
  <c r="X16" i="3" s="1"/>
  <c r="X85" i="3" s="1"/>
  <c r="W9" i="3"/>
  <c r="V9" i="3"/>
  <c r="U9" i="3"/>
  <c r="T9" i="3"/>
  <c r="S9" i="3"/>
  <c r="R9" i="3"/>
  <c r="Q9" i="3"/>
  <c r="P9" i="3"/>
  <c r="O9" i="3"/>
  <c r="N9" i="3"/>
  <c r="M9" i="3"/>
  <c r="L9" i="3"/>
  <c r="L11" i="3" s="1"/>
  <c r="L16" i="3" s="1"/>
  <c r="L85" i="3" s="1"/>
  <c r="K9" i="3"/>
  <c r="J9" i="3"/>
  <c r="I9" i="3"/>
  <c r="H9" i="3"/>
  <c r="G9" i="3"/>
  <c r="F9" i="3"/>
  <c r="E9" i="3"/>
  <c r="D9" i="3"/>
  <c r="C9" i="3"/>
  <c r="FX8" i="3"/>
  <c r="FX11" i="3" s="1"/>
  <c r="FX16" i="3" s="1"/>
  <c r="FX85" i="3" s="1"/>
  <c r="FW8" i="3"/>
  <c r="FW11" i="3" s="1"/>
  <c r="FW16" i="3" s="1"/>
  <c r="FW85" i="3" s="1"/>
  <c r="FV8" i="3"/>
  <c r="FU8" i="3"/>
  <c r="FU11" i="3" s="1"/>
  <c r="FU16" i="3" s="1"/>
  <c r="FU85" i="3" s="1"/>
  <c r="FT8" i="3"/>
  <c r="FS8" i="3"/>
  <c r="FS11" i="3" s="1"/>
  <c r="FS16" i="3" s="1"/>
  <c r="FS85" i="3" s="1"/>
  <c r="FR8" i="3"/>
  <c r="FR11" i="3" s="1"/>
  <c r="FR16" i="3" s="1"/>
  <c r="FR85" i="3" s="1"/>
  <c r="FQ8" i="3"/>
  <c r="FQ11" i="3" s="1"/>
  <c r="FQ16" i="3" s="1"/>
  <c r="FQ85" i="3" s="1"/>
  <c r="FP8" i="3"/>
  <c r="FO8" i="3"/>
  <c r="FN8" i="3"/>
  <c r="FM8" i="3"/>
  <c r="FM11" i="3" s="1"/>
  <c r="FM16" i="3" s="1"/>
  <c r="FM85" i="3" s="1"/>
  <c r="FL8" i="3"/>
  <c r="FK8" i="3"/>
  <c r="FK11" i="3" s="1"/>
  <c r="FK16" i="3" s="1"/>
  <c r="FK85" i="3" s="1"/>
  <c r="FJ8" i="3"/>
  <c r="FI8" i="3"/>
  <c r="FI11" i="3" s="1"/>
  <c r="FI16" i="3" s="1"/>
  <c r="FI85" i="3" s="1"/>
  <c r="FH8" i="3"/>
  <c r="FG8" i="3"/>
  <c r="FG11" i="3" s="1"/>
  <c r="FF8" i="3"/>
  <c r="FF11" i="3" s="1"/>
  <c r="FF16" i="3" s="1"/>
  <c r="FF85" i="3" s="1"/>
  <c r="FE8" i="3"/>
  <c r="FE11" i="3" s="1"/>
  <c r="FE16" i="3" s="1"/>
  <c r="FE85" i="3" s="1"/>
  <c r="FD8" i="3"/>
  <c r="FD11" i="3" s="1"/>
  <c r="FD16" i="3" s="1"/>
  <c r="FD85" i="3" s="1"/>
  <c r="FC8" i="3"/>
  <c r="FB8" i="3"/>
  <c r="FA8" i="3"/>
  <c r="FA11" i="3" s="1"/>
  <c r="FA16" i="3" s="1"/>
  <c r="FA85" i="3" s="1"/>
  <c r="EZ8" i="3"/>
  <c r="EY8" i="3"/>
  <c r="EY11" i="3" s="1"/>
  <c r="EY16" i="3" s="1"/>
  <c r="EY85" i="3" s="1"/>
  <c r="EX8" i="3"/>
  <c r="EW8" i="3"/>
  <c r="EW11" i="3" s="1"/>
  <c r="EW16" i="3" s="1"/>
  <c r="EW85" i="3" s="1"/>
  <c r="EV8" i="3"/>
  <c r="EU8" i="3"/>
  <c r="EU11" i="3" s="1"/>
  <c r="EU16" i="3" s="1"/>
  <c r="EU85" i="3" s="1"/>
  <c r="ET8" i="3"/>
  <c r="ET11" i="3" s="1"/>
  <c r="ET16" i="3" s="1"/>
  <c r="ET85" i="3" s="1"/>
  <c r="ES8" i="3"/>
  <c r="ES11" i="3" s="1"/>
  <c r="ER8" i="3"/>
  <c r="ER11" i="3" s="1"/>
  <c r="ER16" i="3" s="1"/>
  <c r="ER85" i="3" s="1"/>
  <c r="EQ8" i="3"/>
  <c r="EP8" i="3"/>
  <c r="EO8" i="3"/>
  <c r="EO11" i="3" s="1"/>
  <c r="EO16" i="3" s="1"/>
  <c r="EO85" i="3" s="1"/>
  <c r="EN8" i="3"/>
  <c r="EN11" i="3" s="1"/>
  <c r="EN16" i="3" s="1"/>
  <c r="EN85" i="3" s="1"/>
  <c r="EM8" i="3"/>
  <c r="EM11" i="3" s="1"/>
  <c r="EM16" i="3" s="1"/>
  <c r="EM85" i="3" s="1"/>
  <c r="EL8" i="3"/>
  <c r="EK8" i="3"/>
  <c r="EK11" i="3" s="1"/>
  <c r="EK16" i="3" s="1"/>
  <c r="EK85" i="3" s="1"/>
  <c r="EJ8" i="3"/>
  <c r="EI8" i="3"/>
  <c r="EI11" i="3" s="1"/>
  <c r="EI16" i="3" s="1"/>
  <c r="EI85" i="3" s="1"/>
  <c r="EH8" i="3"/>
  <c r="EH11" i="3" s="1"/>
  <c r="EH16" i="3" s="1"/>
  <c r="EH85" i="3" s="1"/>
  <c r="EG8" i="3"/>
  <c r="EG11" i="3" s="1"/>
  <c r="EG16" i="3" s="1"/>
  <c r="EG85" i="3" s="1"/>
  <c r="EF8" i="3"/>
  <c r="EF11" i="3" s="1"/>
  <c r="EF16" i="3" s="1"/>
  <c r="EF85" i="3" s="1"/>
  <c r="EE8" i="3"/>
  <c r="ED8" i="3"/>
  <c r="EC8" i="3"/>
  <c r="EC11" i="3" s="1"/>
  <c r="EC16" i="3" s="1"/>
  <c r="EC85" i="3" s="1"/>
  <c r="EB8" i="3"/>
  <c r="EB11" i="3" s="1"/>
  <c r="EB16" i="3" s="1"/>
  <c r="EB85" i="3" s="1"/>
  <c r="EA8" i="3"/>
  <c r="EA11" i="3" s="1"/>
  <c r="EA16" i="3" s="1"/>
  <c r="EA85" i="3" s="1"/>
  <c r="DZ8" i="3"/>
  <c r="DY8" i="3"/>
  <c r="DY11" i="3" s="1"/>
  <c r="DY16" i="3" s="1"/>
  <c r="DY85" i="3" s="1"/>
  <c r="DX8" i="3"/>
  <c r="DW8" i="3"/>
  <c r="DW11" i="3" s="1"/>
  <c r="DW16" i="3" s="1"/>
  <c r="DW85" i="3" s="1"/>
  <c r="DV8" i="3"/>
  <c r="DV11" i="3" s="1"/>
  <c r="DV16" i="3" s="1"/>
  <c r="DV85" i="3" s="1"/>
  <c r="DU8" i="3"/>
  <c r="DU11" i="3" s="1"/>
  <c r="DU16" i="3" s="1"/>
  <c r="DU85" i="3" s="1"/>
  <c r="DT8" i="3"/>
  <c r="DS8" i="3"/>
  <c r="DR8" i="3"/>
  <c r="DQ8" i="3"/>
  <c r="DQ11" i="3" s="1"/>
  <c r="DQ16" i="3" s="1"/>
  <c r="DQ85" i="3" s="1"/>
  <c r="DP8" i="3"/>
  <c r="DP11" i="3" s="1"/>
  <c r="DP16" i="3" s="1"/>
  <c r="DP85" i="3" s="1"/>
  <c r="DO8" i="3"/>
  <c r="DO11" i="3" s="1"/>
  <c r="DO16" i="3" s="1"/>
  <c r="DO85" i="3" s="1"/>
  <c r="DN8" i="3"/>
  <c r="DM8" i="3"/>
  <c r="DM11" i="3" s="1"/>
  <c r="DM16" i="3" s="1"/>
  <c r="DM85" i="3" s="1"/>
  <c r="DL8" i="3"/>
  <c r="DK8" i="3"/>
  <c r="DK11" i="3" s="1"/>
  <c r="DK16" i="3" s="1"/>
  <c r="DK85" i="3" s="1"/>
  <c r="DJ8" i="3"/>
  <c r="DJ11" i="3" s="1"/>
  <c r="DJ16" i="3" s="1"/>
  <c r="DJ85" i="3" s="1"/>
  <c r="DI8" i="3"/>
  <c r="DI11" i="3" s="1"/>
  <c r="DI16" i="3" s="1"/>
  <c r="DI85" i="3" s="1"/>
  <c r="DH8" i="3"/>
  <c r="DH11" i="3" s="1"/>
  <c r="DH16" i="3" s="1"/>
  <c r="DH85" i="3" s="1"/>
  <c r="DG8" i="3"/>
  <c r="DF8" i="3"/>
  <c r="DE8" i="3"/>
  <c r="DE11" i="3" s="1"/>
  <c r="DE16" i="3" s="1"/>
  <c r="DE85" i="3" s="1"/>
  <c r="DD8" i="3"/>
  <c r="DC8" i="3"/>
  <c r="DC11" i="3" s="1"/>
  <c r="DC16" i="3" s="1"/>
  <c r="DC85" i="3" s="1"/>
  <c r="DB8" i="3"/>
  <c r="DA8" i="3"/>
  <c r="DA11" i="3" s="1"/>
  <c r="DA16" i="3" s="1"/>
  <c r="DA85" i="3" s="1"/>
  <c r="CZ8" i="3"/>
  <c r="CY8" i="3"/>
  <c r="CY11" i="3" s="1"/>
  <c r="CY16" i="3" s="1"/>
  <c r="CY85" i="3" s="1"/>
  <c r="CX8" i="3"/>
  <c r="CX11" i="3" s="1"/>
  <c r="CX16" i="3" s="1"/>
  <c r="CX85" i="3" s="1"/>
  <c r="CW8" i="3"/>
  <c r="CW11" i="3" s="1"/>
  <c r="CV8" i="3"/>
  <c r="CV11" i="3" s="1"/>
  <c r="CV16" i="3" s="1"/>
  <c r="CV85" i="3" s="1"/>
  <c r="CU8" i="3"/>
  <c r="CT8" i="3"/>
  <c r="CS8" i="3"/>
  <c r="CS11" i="3" s="1"/>
  <c r="CS16" i="3" s="1"/>
  <c r="CS85" i="3" s="1"/>
  <c r="CR8" i="3"/>
  <c r="CQ8" i="3"/>
  <c r="CQ11" i="3" s="1"/>
  <c r="CQ16" i="3" s="1"/>
  <c r="CQ85" i="3" s="1"/>
  <c r="CP8" i="3"/>
  <c r="CO8" i="3"/>
  <c r="CO11" i="3" s="1"/>
  <c r="CO16" i="3" s="1"/>
  <c r="CO85" i="3" s="1"/>
  <c r="CN8" i="3"/>
  <c r="CM8" i="3"/>
  <c r="CM11" i="3" s="1"/>
  <c r="CM16" i="3" s="1"/>
  <c r="CM85" i="3" s="1"/>
  <c r="CL8" i="3"/>
  <c r="CL11" i="3" s="1"/>
  <c r="CL16" i="3" s="1"/>
  <c r="CL85" i="3" s="1"/>
  <c r="CK8" i="3"/>
  <c r="CK11" i="3" s="1"/>
  <c r="CK16" i="3" s="1"/>
  <c r="CK85" i="3" s="1"/>
  <c r="CJ8" i="3"/>
  <c r="CJ11" i="3" s="1"/>
  <c r="CJ16" i="3" s="1"/>
  <c r="CJ85" i="3" s="1"/>
  <c r="CI8" i="3"/>
  <c r="CH8" i="3"/>
  <c r="CG8" i="3"/>
  <c r="CG11" i="3" s="1"/>
  <c r="CG16" i="3" s="1"/>
  <c r="CG85" i="3" s="1"/>
  <c r="CF8" i="3"/>
  <c r="CE8" i="3"/>
  <c r="CE11" i="3" s="1"/>
  <c r="CE16" i="3" s="1"/>
  <c r="CE85" i="3" s="1"/>
  <c r="CD8" i="3"/>
  <c r="CC8" i="3"/>
  <c r="CC11" i="3" s="1"/>
  <c r="CC16" i="3" s="1"/>
  <c r="CC85" i="3" s="1"/>
  <c r="CB8" i="3"/>
  <c r="CA8" i="3"/>
  <c r="CA11" i="3" s="1"/>
  <c r="CA16" i="3" s="1"/>
  <c r="CA85" i="3" s="1"/>
  <c r="BZ8" i="3"/>
  <c r="BZ11" i="3" s="1"/>
  <c r="BZ16" i="3" s="1"/>
  <c r="BZ85" i="3" s="1"/>
  <c r="BY8" i="3"/>
  <c r="BY11" i="3" s="1"/>
  <c r="BY16" i="3" s="1"/>
  <c r="BY85" i="3" s="1"/>
  <c r="BX8" i="3"/>
  <c r="BW8" i="3"/>
  <c r="BV8" i="3"/>
  <c r="BU8" i="3"/>
  <c r="BU11" i="3" s="1"/>
  <c r="BU16" i="3" s="1"/>
  <c r="BU85" i="3" s="1"/>
  <c r="BT8" i="3"/>
  <c r="BS8" i="3"/>
  <c r="BS11" i="3" s="1"/>
  <c r="BS16" i="3" s="1"/>
  <c r="BS85" i="3" s="1"/>
  <c r="BR8" i="3"/>
  <c r="BQ8" i="3"/>
  <c r="BQ11" i="3" s="1"/>
  <c r="BQ16" i="3" s="1"/>
  <c r="BQ85" i="3" s="1"/>
  <c r="BP8" i="3"/>
  <c r="BO8" i="3"/>
  <c r="BO11" i="3" s="1"/>
  <c r="BO16" i="3" s="1"/>
  <c r="BO85" i="3" s="1"/>
  <c r="BN8" i="3"/>
  <c r="BN11" i="3" s="1"/>
  <c r="BN16" i="3" s="1"/>
  <c r="BN85" i="3" s="1"/>
  <c r="BM8" i="3"/>
  <c r="BM11" i="3" s="1"/>
  <c r="BM16" i="3" s="1"/>
  <c r="BM85" i="3" s="1"/>
  <c r="BL8" i="3"/>
  <c r="BL11" i="3" s="1"/>
  <c r="BL16" i="3" s="1"/>
  <c r="BL85" i="3" s="1"/>
  <c r="BK8" i="3"/>
  <c r="BJ8" i="3"/>
  <c r="BI8" i="3"/>
  <c r="BI11" i="3" s="1"/>
  <c r="BI16" i="3" s="1"/>
  <c r="BI85" i="3" s="1"/>
  <c r="BH8" i="3"/>
  <c r="BG8" i="3"/>
  <c r="BG11" i="3" s="1"/>
  <c r="BG16" i="3" s="1"/>
  <c r="BG85" i="3" s="1"/>
  <c r="BF8" i="3"/>
  <c r="BE8" i="3"/>
  <c r="BE11" i="3" s="1"/>
  <c r="BE16" i="3" s="1"/>
  <c r="BE85" i="3" s="1"/>
  <c r="BD8" i="3"/>
  <c r="BC8" i="3"/>
  <c r="BC11" i="3" s="1"/>
  <c r="BC16" i="3" s="1"/>
  <c r="BC85" i="3" s="1"/>
  <c r="BB8" i="3"/>
  <c r="BB11" i="3" s="1"/>
  <c r="BB16" i="3" s="1"/>
  <c r="BB85" i="3" s="1"/>
  <c r="BA8" i="3"/>
  <c r="BA11" i="3" s="1"/>
  <c r="AZ8" i="3"/>
  <c r="AZ11" i="3" s="1"/>
  <c r="AZ16" i="3" s="1"/>
  <c r="AZ85" i="3" s="1"/>
  <c r="AY8" i="3"/>
  <c r="AX8" i="3"/>
  <c r="AW8" i="3"/>
  <c r="AW11" i="3" s="1"/>
  <c r="AW16" i="3" s="1"/>
  <c r="AV8" i="3"/>
  <c r="AU8" i="3"/>
  <c r="AU11" i="3" s="1"/>
  <c r="AU16" i="3" s="1"/>
  <c r="AU85" i="3" s="1"/>
  <c r="AT8" i="3"/>
  <c r="AS8" i="3"/>
  <c r="AS11" i="3" s="1"/>
  <c r="AS16" i="3" s="1"/>
  <c r="AS85" i="3" s="1"/>
  <c r="AR8" i="3"/>
  <c r="AQ8" i="3"/>
  <c r="AQ11" i="3" s="1"/>
  <c r="AQ16" i="3" s="1"/>
  <c r="AQ85" i="3" s="1"/>
  <c r="AP8" i="3"/>
  <c r="AP11" i="3" s="1"/>
  <c r="AP16" i="3" s="1"/>
  <c r="AP85" i="3" s="1"/>
  <c r="AO8" i="3"/>
  <c r="AO11" i="3" s="1"/>
  <c r="AO16" i="3" s="1"/>
  <c r="AO85" i="3" s="1"/>
  <c r="AN8" i="3"/>
  <c r="AN11" i="3" s="1"/>
  <c r="AN16" i="3" s="1"/>
  <c r="AN85" i="3" s="1"/>
  <c r="AM8" i="3"/>
  <c r="AL8" i="3"/>
  <c r="AK8" i="3"/>
  <c r="AK11" i="3" s="1"/>
  <c r="AK16" i="3" s="1"/>
  <c r="AK85" i="3" s="1"/>
  <c r="AJ8" i="3"/>
  <c r="AJ11" i="3" s="1"/>
  <c r="AJ16" i="3" s="1"/>
  <c r="AJ85" i="3" s="1"/>
  <c r="AI8" i="3"/>
  <c r="AI11" i="3" s="1"/>
  <c r="AI16" i="3" s="1"/>
  <c r="AI85" i="3" s="1"/>
  <c r="AH8" i="3"/>
  <c r="AG8" i="3"/>
  <c r="AG11" i="3" s="1"/>
  <c r="AG16" i="3" s="1"/>
  <c r="AG85" i="3" s="1"/>
  <c r="AF8" i="3"/>
  <c r="AE8" i="3"/>
  <c r="AE11" i="3" s="1"/>
  <c r="AE16" i="3" s="1"/>
  <c r="AE85" i="3" s="1"/>
  <c r="AD8" i="3"/>
  <c r="AD11" i="3" s="1"/>
  <c r="AD16" i="3" s="1"/>
  <c r="AD85" i="3" s="1"/>
  <c r="AC8" i="3"/>
  <c r="AC11" i="3" s="1"/>
  <c r="AC16" i="3" s="1"/>
  <c r="AC85" i="3" s="1"/>
  <c r="AB8" i="3"/>
  <c r="AA8" i="3"/>
  <c r="Z8" i="3"/>
  <c r="Y8" i="3"/>
  <c r="Y11" i="3" s="1"/>
  <c r="Y16" i="3" s="1"/>
  <c r="Y85" i="3" s="1"/>
  <c r="X8" i="3"/>
  <c r="W8" i="3"/>
  <c r="W11" i="3" s="1"/>
  <c r="W16" i="3" s="1"/>
  <c r="W85" i="3" s="1"/>
  <c r="V8" i="3"/>
  <c r="U8" i="3"/>
  <c r="U11" i="3" s="1"/>
  <c r="U16" i="3" s="1"/>
  <c r="U85" i="3" s="1"/>
  <c r="T8" i="3"/>
  <c r="S8" i="3"/>
  <c r="S11" i="3" s="1"/>
  <c r="S16" i="3" s="1"/>
  <c r="S85" i="3" s="1"/>
  <c r="R8" i="3"/>
  <c r="R11" i="3" s="1"/>
  <c r="R16" i="3" s="1"/>
  <c r="R85" i="3" s="1"/>
  <c r="Q8" i="3"/>
  <c r="Q11" i="3" s="1"/>
  <c r="Q16" i="3" s="1"/>
  <c r="Q85" i="3" s="1"/>
  <c r="P8" i="3"/>
  <c r="P11" i="3" s="1"/>
  <c r="P16" i="3" s="1"/>
  <c r="P85" i="3" s="1"/>
  <c r="O8" i="3"/>
  <c r="N8" i="3"/>
  <c r="M8" i="3"/>
  <c r="M11" i="3" s="1"/>
  <c r="M16" i="3" s="1"/>
  <c r="M85" i="3" s="1"/>
  <c r="L8" i="3"/>
  <c r="K8" i="3"/>
  <c r="K11" i="3" s="1"/>
  <c r="K16" i="3" s="1"/>
  <c r="K85" i="3" s="1"/>
  <c r="J8" i="3"/>
  <c r="I8" i="3"/>
  <c r="I11" i="3" s="1"/>
  <c r="I16" i="3" s="1"/>
  <c r="I85" i="3" s="1"/>
  <c r="H8" i="3"/>
  <c r="G8" i="3"/>
  <c r="G11" i="3" s="1"/>
  <c r="G16" i="3" s="1"/>
  <c r="G85" i="3" s="1"/>
  <c r="F8" i="3"/>
  <c r="F11" i="3" s="1"/>
  <c r="F16" i="3" s="1"/>
  <c r="F85" i="3" s="1"/>
  <c r="E8" i="3"/>
  <c r="E11" i="3" s="1"/>
  <c r="D8" i="3"/>
  <c r="D11" i="3" s="1"/>
  <c r="D16" i="3" s="1"/>
  <c r="D85" i="3" s="1"/>
  <c r="C8" i="3"/>
  <c r="B1" i="3"/>
  <c r="FY184" i="2"/>
  <c r="FV181" i="2"/>
  <c r="FQ181" i="2"/>
  <c r="FE181" i="2"/>
  <c r="FC181" i="2"/>
  <c r="ES181" i="2"/>
  <c r="EN181" i="2"/>
  <c r="EE181" i="2"/>
  <c r="DZ181" i="2"/>
  <c r="DP181" i="2"/>
  <c r="DB181" i="2"/>
  <c r="CW181" i="2"/>
  <c r="CK181" i="2"/>
  <c r="CI181" i="2"/>
  <c r="BY181" i="2"/>
  <c r="BT181" i="2"/>
  <c r="BK181" i="2"/>
  <c r="BF181" i="2"/>
  <c r="AV181" i="2"/>
  <c r="AH181" i="2"/>
  <c r="AC181" i="2"/>
  <c r="Q181" i="2"/>
  <c r="O181" i="2"/>
  <c r="E181" i="2"/>
  <c r="FY179" i="2"/>
  <c r="FY182" i="2" s="1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FY171" i="2"/>
  <c r="FT169" i="2"/>
  <c r="FT184" i="2" s="1"/>
  <c r="FR169" i="2"/>
  <c r="FR184" i="2" s="1"/>
  <c r="ED169" i="2"/>
  <c r="ED184" i="2" s="1"/>
  <c r="CP169" i="2"/>
  <c r="CP184" i="2" s="1"/>
  <c r="BV169" i="2"/>
  <c r="BV184" i="2" s="1"/>
  <c r="FX165" i="2"/>
  <c r="FX181" i="2" s="1"/>
  <c r="FW165" i="2"/>
  <c r="FW181" i="2" s="1"/>
  <c r="FV165" i="2"/>
  <c r="FU165" i="2"/>
  <c r="FU181" i="2" s="1"/>
  <c r="FT165" i="2"/>
  <c r="FT181" i="2" s="1"/>
  <c r="FS165" i="2"/>
  <c r="FS181" i="2" s="1"/>
  <c r="FR165" i="2"/>
  <c r="FR181" i="2" s="1"/>
  <c r="FQ165" i="2"/>
  <c r="FP165" i="2"/>
  <c r="FP181" i="2" s="1"/>
  <c r="FO165" i="2"/>
  <c r="FO181" i="2" s="1"/>
  <c r="FN165" i="2"/>
  <c r="FN181" i="2" s="1"/>
  <c r="FM165" i="2"/>
  <c r="FM181" i="2" s="1"/>
  <c r="FL165" i="2"/>
  <c r="FL181" i="2" s="1"/>
  <c r="FK165" i="2"/>
  <c r="FK181" i="2" s="1"/>
  <c r="FJ165" i="2"/>
  <c r="FJ181" i="2" s="1"/>
  <c r="FI165" i="2"/>
  <c r="FI181" i="2" s="1"/>
  <c r="FH165" i="2"/>
  <c r="FH181" i="2" s="1"/>
  <c r="FG165" i="2"/>
  <c r="FG181" i="2" s="1"/>
  <c r="FF165" i="2"/>
  <c r="FF181" i="2" s="1"/>
  <c r="FE165" i="2"/>
  <c r="FD165" i="2"/>
  <c r="FD181" i="2" s="1"/>
  <c r="FC165" i="2"/>
  <c r="FB165" i="2"/>
  <c r="FB181" i="2" s="1"/>
  <c r="FA165" i="2"/>
  <c r="FA181" i="2" s="1"/>
  <c r="EZ165" i="2"/>
  <c r="EZ181" i="2" s="1"/>
  <c r="EY165" i="2"/>
  <c r="EY181" i="2" s="1"/>
  <c r="EX165" i="2"/>
  <c r="EX181" i="2" s="1"/>
  <c r="EW165" i="2"/>
  <c r="EW181" i="2" s="1"/>
  <c r="EV165" i="2"/>
  <c r="EV181" i="2" s="1"/>
  <c r="EU165" i="2"/>
  <c r="EU181" i="2" s="1"/>
  <c r="ET165" i="2"/>
  <c r="ET181" i="2" s="1"/>
  <c r="ES165" i="2"/>
  <c r="ER165" i="2"/>
  <c r="ER181" i="2" s="1"/>
  <c r="EQ165" i="2"/>
  <c r="EQ181" i="2" s="1"/>
  <c r="EP165" i="2"/>
  <c r="EP181" i="2" s="1"/>
  <c r="EO165" i="2"/>
  <c r="EO181" i="2" s="1"/>
  <c r="EN165" i="2"/>
  <c r="EM165" i="2"/>
  <c r="EM181" i="2" s="1"/>
  <c r="EL165" i="2"/>
  <c r="EL181" i="2" s="1"/>
  <c r="EK165" i="2"/>
  <c r="EK181" i="2" s="1"/>
  <c r="EJ165" i="2"/>
  <c r="EJ181" i="2" s="1"/>
  <c r="EI165" i="2"/>
  <c r="EI181" i="2" s="1"/>
  <c r="EH165" i="2"/>
  <c r="EH181" i="2" s="1"/>
  <c r="EG165" i="2"/>
  <c r="EG181" i="2" s="1"/>
  <c r="EF165" i="2"/>
  <c r="EF181" i="2" s="1"/>
  <c r="EE165" i="2"/>
  <c r="ED165" i="2"/>
  <c r="ED181" i="2" s="1"/>
  <c r="EC165" i="2"/>
  <c r="EC181" i="2" s="1"/>
  <c r="EB165" i="2"/>
  <c r="EB181" i="2" s="1"/>
  <c r="EA165" i="2"/>
  <c r="EA181" i="2" s="1"/>
  <c r="DZ165" i="2"/>
  <c r="DY165" i="2"/>
  <c r="DY181" i="2" s="1"/>
  <c r="DX165" i="2"/>
  <c r="DX181" i="2" s="1"/>
  <c r="DW165" i="2"/>
  <c r="DW181" i="2" s="1"/>
  <c r="DV165" i="2"/>
  <c r="DV181" i="2" s="1"/>
  <c r="DU165" i="2"/>
  <c r="DU181" i="2" s="1"/>
  <c r="DT165" i="2"/>
  <c r="DT181" i="2" s="1"/>
  <c r="DS165" i="2"/>
  <c r="DS181" i="2" s="1"/>
  <c r="DR165" i="2"/>
  <c r="DR181" i="2" s="1"/>
  <c r="DQ165" i="2"/>
  <c r="DQ181" i="2" s="1"/>
  <c r="DP165" i="2"/>
  <c r="DO165" i="2"/>
  <c r="DO181" i="2" s="1"/>
  <c r="DN165" i="2"/>
  <c r="DN181" i="2" s="1"/>
  <c r="DM165" i="2"/>
  <c r="DM181" i="2" s="1"/>
  <c r="DL165" i="2"/>
  <c r="DL181" i="2" s="1"/>
  <c r="DK165" i="2"/>
  <c r="DK181" i="2" s="1"/>
  <c r="DJ165" i="2"/>
  <c r="DJ181" i="2" s="1"/>
  <c r="DI165" i="2"/>
  <c r="DI181" i="2" s="1"/>
  <c r="DH165" i="2"/>
  <c r="DH181" i="2" s="1"/>
  <c r="DG165" i="2"/>
  <c r="DG181" i="2" s="1"/>
  <c r="DF165" i="2"/>
  <c r="DF181" i="2" s="1"/>
  <c r="DE165" i="2"/>
  <c r="DE181" i="2" s="1"/>
  <c r="DD165" i="2"/>
  <c r="DD181" i="2" s="1"/>
  <c r="DC165" i="2"/>
  <c r="DC181" i="2" s="1"/>
  <c r="DB165" i="2"/>
  <c r="DA165" i="2"/>
  <c r="DA181" i="2" s="1"/>
  <c r="CZ165" i="2"/>
  <c r="CZ181" i="2" s="1"/>
  <c r="CY165" i="2"/>
  <c r="CY181" i="2" s="1"/>
  <c r="CX165" i="2"/>
  <c r="CX181" i="2" s="1"/>
  <c r="CW165" i="2"/>
  <c r="CV165" i="2"/>
  <c r="CV181" i="2" s="1"/>
  <c r="CU165" i="2"/>
  <c r="CU181" i="2" s="1"/>
  <c r="CT165" i="2"/>
  <c r="CT181" i="2" s="1"/>
  <c r="CS165" i="2"/>
  <c r="CS181" i="2" s="1"/>
  <c r="CR165" i="2"/>
  <c r="CR181" i="2" s="1"/>
  <c r="CQ165" i="2"/>
  <c r="CQ181" i="2" s="1"/>
  <c r="CP165" i="2"/>
  <c r="CP181" i="2" s="1"/>
  <c r="CO165" i="2"/>
  <c r="CO181" i="2" s="1"/>
  <c r="CN165" i="2"/>
  <c r="CN181" i="2" s="1"/>
  <c r="CM165" i="2"/>
  <c r="CM181" i="2" s="1"/>
  <c r="CL165" i="2"/>
  <c r="CL181" i="2" s="1"/>
  <c r="CK165" i="2"/>
  <c r="CJ165" i="2"/>
  <c r="CJ181" i="2" s="1"/>
  <c r="CI165" i="2"/>
  <c r="CH165" i="2"/>
  <c r="CH181" i="2" s="1"/>
  <c r="CG165" i="2"/>
  <c r="CG181" i="2" s="1"/>
  <c r="CF165" i="2"/>
  <c r="CF181" i="2" s="1"/>
  <c r="CE165" i="2"/>
  <c r="CE181" i="2" s="1"/>
  <c r="CD165" i="2"/>
  <c r="CD181" i="2" s="1"/>
  <c r="CC165" i="2"/>
  <c r="CC181" i="2" s="1"/>
  <c r="CB165" i="2"/>
  <c r="CB181" i="2" s="1"/>
  <c r="CA165" i="2"/>
  <c r="CA181" i="2" s="1"/>
  <c r="BZ165" i="2"/>
  <c r="BZ181" i="2" s="1"/>
  <c r="BY165" i="2"/>
  <c r="BX165" i="2"/>
  <c r="BX181" i="2" s="1"/>
  <c r="BW165" i="2"/>
  <c r="BW181" i="2" s="1"/>
  <c r="BV165" i="2"/>
  <c r="BV181" i="2" s="1"/>
  <c r="BU165" i="2"/>
  <c r="BU181" i="2" s="1"/>
  <c r="BT165" i="2"/>
  <c r="BS165" i="2"/>
  <c r="BS181" i="2" s="1"/>
  <c r="BR165" i="2"/>
  <c r="BR181" i="2" s="1"/>
  <c r="BQ165" i="2"/>
  <c r="BQ181" i="2" s="1"/>
  <c r="BP165" i="2"/>
  <c r="BP181" i="2" s="1"/>
  <c r="BO165" i="2"/>
  <c r="BO181" i="2" s="1"/>
  <c r="BN165" i="2"/>
  <c r="BN181" i="2" s="1"/>
  <c r="BM165" i="2"/>
  <c r="BM181" i="2" s="1"/>
  <c r="BL165" i="2"/>
  <c r="BL181" i="2" s="1"/>
  <c r="BK165" i="2"/>
  <c r="BJ165" i="2"/>
  <c r="BJ181" i="2" s="1"/>
  <c r="BI165" i="2"/>
  <c r="BI181" i="2" s="1"/>
  <c r="BH165" i="2"/>
  <c r="BH181" i="2" s="1"/>
  <c r="BG165" i="2"/>
  <c r="BG181" i="2" s="1"/>
  <c r="BF165" i="2"/>
  <c r="BE165" i="2"/>
  <c r="BE181" i="2" s="1"/>
  <c r="BD165" i="2"/>
  <c r="BD181" i="2" s="1"/>
  <c r="BC165" i="2"/>
  <c r="BC181" i="2" s="1"/>
  <c r="BB165" i="2"/>
  <c r="BB181" i="2" s="1"/>
  <c r="BA165" i="2"/>
  <c r="BA181" i="2" s="1"/>
  <c r="AZ165" i="2"/>
  <c r="AZ181" i="2" s="1"/>
  <c r="AY165" i="2"/>
  <c r="AY181" i="2" s="1"/>
  <c r="AX165" i="2"/>
  <c r="AX181" i="2" s="1"/>
  <c r="AW165" i="2"/>
  <c r="AW181" i="2" s="1"/>
  <c r="AV165" i="2"/>
  <c r="AU165" i="2"/>
  <c r="AU181" i="2" s="1"/>
  <c r="AT165" i="2"/>
  <c r="AT181" i="2" s="1"/>
  <c r="AS165" i="2"/>
  <c r="AS181" i="2" s="1"/>
  <c r="AR165" i="2"/>
  <c r="AR181" i="2" s="1"/>
  <c r="AQ165" i="2"/>
  <c r="AQ181" i="2" s="1"/>
  <c r="AP165" i="2"/>
  <c r="AP181" i="2" s="1"/>
  <c r="AO165" i="2"/>
  <c r="AO181" i="2" s="1"/>
  <c r="AN165" i="2"/>
  <c r="AN181" i="2" s="1"/>
  <c r="AM165" i="2"/>
  <c r="AM181" i="2" s="1"/>
  <c r="AL165" i="2"/>
  <c r="AL181" i="2" s="1"/>
  <c r="AK165" i="2"/>
  <c r="AK181" i="2" s="1"/>
  <c r="AJ165" i="2"/>
  <c r="AJ181" i="2" s="1"/>
  <c r="AI165" i="2"/>
  <c r="AI181" i="2" s="1"/>
  <c r="AH165" i="2"/>
  <c r="AG165" i="2"/>
  <c r="AG181" i="2" s="1"/>
  <c r="AF165" i="2"/>
  <c r="AF181" i="2" s="1"/>
  <c r="AE165" i="2"/>
  <c r="AE181" i="2" s="1"/>
  <c r="AD165" i="2"/>
  <c r="AD181" i="2" s="1"/>
  <c r="AC165" i="2"/>
  <c r="AB165" i="2"/>
  <c r="AB181" i="2" s="1"/>
  <c r="AA165" i="2"/>
  <c r="AA181" i="2" s="1"/>
  <c r="Z165" i="2"/>
  <c r="Z181" i="2" s="1"/>
  <c r="Y165" i="2"/>
  <c r="Y181" i="2" s="1"/>
  <c r="X165" i="2"/>
  <c r="X181" i="2" s="1"/>
  <c r="W165" i="2"/>
  <c r="W181" i="2" s="1"/>
  <c r="V165" i="2"/>
  <c r="V181" i="2" s="1"/>
  <c r="U165" i="2"/>
  <c r="U181" i="2" s="1"/>
  <c r="T165" i="2"/>
  <c r="T181" i="2" s="1"/>
  <c r="S165" i="2"/>
  <c r="S181" i="2" s="1"/>
  <c r="R165" i="2"/>
  <c r="R181" i="2" s="1"/>
  <c r="Q165" i="2"/>
  <c r="P165" i="2"/>
  <c r="P181" i="2" s="1"/>
  <c r="O165" i="2"/>
  <c r="N165" i="2"/>
  <c r="N181" i="2" s="1"/>
  <c r="M165" i="2"/>
  <c r="M181" i="2" s="1"/>
  <c r="L165" i="2"/>
  <c r="L181" i="2" s="1"/>
  <c r="K165" i="2"/>
  <c r="K181" i="2" s="1"/>
  <c r="J165" i="2"/>
  <c r="J181" i="2" s="1"/>
  <c r="I165" i="2"/>
  <c r="I181" i="2" s="1"/>
  <c r="H165" i="2"/>
  <c r="H181" i="2" s="1"/>
  <c r="G165" i="2"/>
  <c r="G181" i="2" s="1"/>
  <c r="F165" i="2"/>
  <c r="F181" i="2" s="1"/>
  <c r="E165" i="2"/>
  <c r="D165" i="2"/>
  <c r="D181" i="2" s="1"/>
  <c r="C165" i="2"/>
  <c r="FZ165" i="2" s="1"/>
  <c r="GB165" i="2" s="1"/>
  <c r="H156" i="2"/>
  <c r="H157" i="2" s="1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F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GB143" i="2"/>
  <c r="FZ143" i="2"/>
  <c r="FX132" i="2"/>
  <c r="FW132" i="2"/>
  <c r="FV132" i="2"/>
  <c r="FU132" i="2"/>
  <c r="FT132" i="2"/>
  <c r="FS132" i="2"/>
  <c r="FR132" i="2"/>
  <c r="FQ132" i="2"/>
  <c r="FP132" i="2"/>
  <c r="FO132" i="2"/>
  <c r="FN132" i="2"/>
  <c r="FM132" i="2"/>
  <c r="FL132" i="2"/>
  <c r="FK132" i="2"/>
  <c r="FJ132" i="2"/>
  <c r="FI132" i="2"/>
  <c r="FH132" i="2"/>
  <c r="FG132" i="2"/>
  <c r="FF132" i="2"/>
  <c r="FE132" i="2"/>
  <c r="FD132" i="2"/>
  <c r="FC132" i="2"/>
  <c r="FB132" i="2"/>
  <c r="FA132" i="2"/>
  <c r="EZ132" i="2"/>
  <c r="EY132" i="2"/>
  <c r="EX132" i="2"/>
  <c r="EW132" i="2"/>
  <c r="EV132" i="2"/>
  <c r="EU132" i="2"/>
  <c r="ET132" i="2"/>
  <c r="ES132" i="2"/>
  <c r="ER132" i="2"/>
  <c r="EQ132" i="2"/>
  <c r="EP132" i="2"/>
  <c r="EO132" i="2"/>
  <c r="EN132" i="2"/>
  <c r="EM132" i="2"/>
  <c r="EL132" i="2"/>
  <c r="EK132" i="2"/>
  <c r="EJ132" i="2"/>
  <c r="EI132" i="2"/>
  <c r="EH132" i="2"/>
  <c r="EG132" i="2"/>
  <c r="EF132" i="2"/>
  <c r="EE132" i="2"/>
  <c r="ED132" i="2"/>
  <c r="EC132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FX126" i="2"/>
  <c r="FW126" i="2"/>
  <c r="FV126" i="2"/>
  <c r="FU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FX110" i="2"/>
  <c r="FU110" i="2"/>
  <c r="FT110" i="2"/>
  <c r="FO110" i="2"/>
  <c r="FK110" i="2"/>
  <c r="FH110" i="2"/>
  <c r="FE110" i="2"/>
  <c r="FC110" i="2"/>
  <c r="EY110" i="2"/>
  <c r="EV110" i="2"/>
  <c r="ES110" i="2"/>
  <c r="EQ110" i="2"/>
  <c r="EM110" i="2"/>
  <c r="EJ110" i="2"/>
  <c r="EG110" i="2"/>
  <c r="EE110" i="2"/>
  <c r="EA110" i="2"/>
  <c r="DX110" i="2"/>
  <c r="DU110" i="2"/>
  <c r="DS110" i="2"/>
  <c r="DO110" i="2"/>
  <c r="DL110" i="2"/>
  <c r="DI110" i="2"/>
  <c r="DG110" i="2"/>
  <c r="DC110" i="2"/>
  <c r="CZ110" i="2"/>
  <c r="CW110" i="2"/>
  <c r="CU110" i="2"/>
  <c r="CQ110" i="2"/>
  <c r="CN110" i="2"/>
  <c r="CK110" i="2"/>
  <c r="CI110" i="2"/>
  <c r="CE110" i="2"/>
  <c r="CB110" i="2"/>
  <c r="BY110" i="2"/>
  <c r="BW110" i="2"/>
  <c r="BS110" i="2"/>
  <c r="BP110" i="2"/>
  <c r="BM110" i="2"/>
  <c r="BK110" i="2"/>
  <c r="BG110" i="2"/>
  <c r="BD110" i="2"/>
  <c r="BA110" i="2"/>
  <c r="AY110" i="2"/>
  <c r="AU110" i="2"/>
  <c r="AR110" i="2"/>
  <c r="AO110" i="2"/>
  <c r="AM110" i="2"/>
  <c r="AI110" i="2"/>
  <c r="AF110" i="2"/>
  <c r="AC110" i="2"/>
  <c r="AA110" i="2"/>
  <c r="W110" i="2"/>
  <c r="T110" i="2"/>
  <c r="Q110" i="2"/>
  <c r="O110" i="2"/>
  <c r="K110" i="2"/>
  <c r="H110" i="2"/>
  <c r="E110" i="2"/>
  <c r="C110" i="2"/>
  <c r="FX109" i="2"/>
  <c r="FW109" i="2"/>
  <c r="FW110" i="2" s="1"/>
  <c r="FV109" i="2"/>
  <c r="FV110" i="2" s="1"/>
  <c r="FU109" i="2"/>
  <c r="FT109" i="2"/>
  <c r="FS109" i="2"/>
  <c r="FS110" i="2" s="1"/>
  <c r="FR109" i="2"/>
  <c r="FR110" i="2" s="1"/>
  <c r="FQ109" i="2"/>
  <c r="FQ110" i="2" s="1"/>
  <c r="FP109" i="2"/>
  <c r="FP110" i="2" s="1"/>
  <c r="FO109" i="2"/>
  <c r="FN109" i="2"/>
  <c r="FN110" i="2" s="1"/>
  <c r="FM109" i="2"/>
  <c r="FM110" i="2" s="1"/>
  <c r="FL109" i="2"/>
  <c r="FL110" i="2" s="1"/>
  <c r="FK109" i="2"/>
  <c r="FJ109" i="2"/>
  <c r="FJ110" i="2" s="1"/>
  <c r="FI109" i="2"/>
  <c r="FI110" i="2" s="1"/>
  <c r="FH109" i="2"/>
  <c r="FG109" i="2"/>
  <c r="FG110" i="2" s="1"/>
  <c r="FF109" i="2"/>
  <c r="FF110" i="2" s="1"/>
  <c r="FE109" i="2"/>
  <c r="FD109" i="2"/>
  <c r="FD110" i="2" s="1"/>
  <c r="FC109" i="2"/>
  <c r="FB109" i="2"/>
  <c r="FB110" i="2" s="1"/>
  <c r="FA109" i="2"/>
  <c r="FA110" i="2" s="1"/>
  <c r="EZ109" i="2"/>
  <c r="EZ110" i="2" s="1"/>
  <c r="EY109" i="2"/>
  <c r="EX109" i="2"/>
  <c r="EX110" i="2" s="1"/>
  <c r="EW109" i="2"/>
  <c r="EW110" i="2" s="1"/>
  <c r="EV109" i="2"/>
  <c r="EU109" i="2"/>
  <c r="EU110" i="2" s="1"/>
  <c r="ET109" i="2"/>
  <c r="ET110" i="2" s="1"/>
  <c r="ES109" i="2"/>
  <c r="ER109" i="2"/>
  <c r="ER110" i="2" s="1"/>
  <c r="EQ109" i="2"/>
  <c r="EP109" i="2"/>
  <c r="EP110" i="2" s="1"/>
  <c r="EO109" i="2"/>
  <c r="EO110" i="2" s="1"/>
  <c r="EN109" i="2"/>
  <c r="EN110" i="2" s="1"/>
  <c r="EM109" i="2"/>
  <c r="EL109" i="2"/>
  <c r="EL110" i="2" s="1"/>
  <c r="EK109" i="2"/>
  <c r="EK110" i="2" s="1"/>
  <c r="EJ109" i="2"/>
  <c r="EI109" i="2"/>
  <c r="EI110" i="2" s="1"/>
  <c r="EH109" i="2"/>
  <c r="EH110" i="2" s="1"/>
  <c r="EG109" i="2"/>
  <c r="EF109" i="2"/>
  <c r="EF110" i="2" s="1"/>
  <c r="EE109" i="2"/>
  <c r="ED109" i="2"/>
  <c r="ED110" i="2" s="1"/>
  <c r="EC109" i="2"/>
  <c r="EC110" i="2" s="1"/>
  <c r="EB109" i="2"/>
  <c r="EB110" i="2" s="1"/>
  <c r="EA109" i="2"/>
  <c r="DZ109" i="2"/>
  <c r="DZ110" i="2" s="1"/>
  <c r="DY109" i="2"/>
  <c r="DY110" i="2" s="1"/>
  <c r="DX109" i="2"/>
  <c r="DW109" i="2"/>
  <c r="DW110" i="2" s="1"/>
  <c r="DV109" i="2"/>
  <c r="DV110" i="2" s="1"/>
  <c r="DU109" i="2"/>
  <c r="DT109" i="2"/>
  <c r="DT110" i="2" s="1"/>
  <c r="DS109" i="2"/>
  <c r="DR109" i="2"/>
  <c r="DR110" i="2" s="1"/>
  <c r="DQ109" i="2"/>
  <c r="DQ110" i="2" s="1"/>
  <c r="DP109" i="2"/>
  <c r="DP110" i="2" s="1"/>
  <c r="DO109" i="2"/>
  <c r="DN109" i="2"/>
  <c r="DN110" i="2" s="1"/>
  <c r="DM109" i="2"/>
  <c r="DM110" i="2" s="1"/>
  <c r="DL109" i="2"/>
  <c r="DK109" i="2"/>
  <c r="DK110" i="2" s="1"/>
  <c r="DJ109" i="2"/>
  <c r="DJ110" i="2" s="1"/>
  <c r="DI109" i="2"/>
  <c r="DH109" i="2"/>
  <c r="DH110" i="2" s="1"/>
  <c r="DG109" i="2"/>
  <c r="DF109" i="2"/>
  <c r="DF110" i="2" s="1"/>
  <c r="DE109" i="2"/>
  <c r="DE110" i="2" s="1"/>
  <c r="DD109" i="2"/>
  <c r="DD110" i="2" s="1"/>
  <c r="DC109" i="2"/>
  <c r="DB109" i="2"/>
  <c r="DB110" i="2" s="1"/>
  <c r="DA109" i="2"/>
  <c r="DA110" i="2" s="1"/>
  <c r="CZ109" i="2"/>
  <c r="CY109" i="2"/>
  <c r="CY110" i="2" s="1"/>
  <c r="CX109" i="2"/>
  <c r="CX110" i="2" s="1"/>
  <c r="CW109" i="2"/>
  <c r="CV109" i="2"/>
  <c r="CV110" i="2" s="1"/>
  <c r="CU109" i="2"/>
  <c r="CT109" i="2"/>
  <c r="CT110" i="2" s="1"/>
  <c r="CS109" i="2"/>
  <c r="CS110" i="2" s="1"/>
  <c r="CR109" i="2"/>
  <c r="CR110" i="2" s="1"/>
  <c r="CQ109" i="2"/>
  <c r="CP109" i="2"/>
  <c r="CP110" i="2" s="1"/>
  <c r="CO109" i="2"/>
  <c r="CO110" i="2" s="1"/>
  <c r="CN109" i="2"/>
  <c r="CM109" i="2"/>
  <c r="CM110" i="2" s="1"/>
  <c r="CL109" i="2"/>
  <c r="CL110" i="2" s="1"/>
  <c r="CK109" i="2"/>
  <c r="CJ109" i="2"/>
  <c r="CJ110" i="2" s="1"/>
  <c r="CI109" i="2"/>
  <c r="CH109" i="2"/>
  <c r="CH110" i="2" s="1"/>
  <c r="CG109" i="2"/>
  <c r="CG110" i="2" s="1"/>
  <c r="CF109" i="2"/>
  <c r="CF110" i="2" s="1"/>
  <c r="CE109" i="2"/>
  <c r="CD109" i="2"/>
  <c r="CD110" i="2" s="1"/>
  <c r="CC109" i="2"/>
  <c r="CC110" i="2" s="1"/>
  <c r="CB109" i="2"/>
  <c r="CA109" i="2"/>
  <c r="CA110" i="2" s="1"/>
  <c r="BZ109" i="2"/>
  <c r="BZ110" i="2" s="1"/>
  <c r="BY109" i="2"/>
  <c r="BX109" i="2"/>
  <c r="BX110" i="2" s="1"/>
  <c r="BW109" i="2"/>
  <c r="BV109" i="2"/>
  <c r="BV110" i="2" s="1"/>
  <c r="BU109" i="2"/>
  <c r="BU110" i="2" s="1"/>
  <c r="BT109" i="2"/>
  <c r="BT110" i="2" s="1"/>
  <c r="BS109" i="2"/>
  <c r="BR109" i="2"/>
  <c r="BR110" i="2" s="1"/>
  <c r="BQ109" i="2"/>
  <c r="BQ110" i="2" s="1"/>
  <c r="BP109" i="2"/>
  <c r="BO109" i="2"/>
  <c r="BO110" i="2" s="1"/>
  <c r="BN109" i="2"/>
  <c r="BN110" i="2" s="1"/>
  <c r="BM109" i="2"/>
  <c r="BL109" i="2"/>
  <c r="BL110" i="2" s="1"/>
  <c r="BK109" i="2"/>
  <c r="BJ109" i="2"/>
  <c r="BJ110" i="2" s="1"/>
  <c r="BI109" i="2"/>
  <c r="BI110" i="2" s="1"/>
  <c r="BH109" i="2"/>
  <c r="BH110" i="2" s="1"/>
  <c r="BG109" i="2"/>
  <c r="BF109" i="2"/>
  <c r="BF110" i="2" s="1"/>
  <c r="BE109" i="2"/>
  <c r="BE110" i="2" s="1"/>
  <c r="BD109" i="2"/>
  <c r="BC109" i="2"/>
  <c r="BC110" i="2" s="1"/>
  <c r="BB109" i="2"/>
  <c r="BB110" i="2" s="1"/>
  <c r="BA109" i="2"/>
  <c r="AZ109" i="2"/>
  <c r="AZ110" i="2" s="1"/>
  <c r="AY109" i="2"/>
  <c r="AX109" i="2"/>
  <c r="AX110" i="2" s="1"/>
  <c r="AW109" i="2"/>
  <c r="AW110" i="2" s="1"/>
  <c r="AV109" i="2"/>
  <c r="AV110" i="2" s="1"/>
  <c r="AU109" i="2"/>
  <c r="AT109" i="2"/>
  <c r="AT110" i="2" s="1"/>
  <c r="AS109" i="2"/>
  <c r="AS110" i="2" s="1"/>
  <c r="AR109" i="2"/>
  <c r="AQ109" i="2"/>
  <c r="AQ110" i="2" s="1"/>
  <c r="AP109" i="2"/>
  <c r="AP110" i="2" s="1"/>
  <c r="AO109" i="2"/>
  <c r="AN109" i="2"/>
  <c r="AN110" i="2" s="1"/>
  <c r="AM109" i="2"/>
  <c r="AL109" i="2"/>
  <c r="AL110" i="2" s="1"/>
  <c r="AK109" i="2"/>
  <c r="AK110" i="2" s="1"/>
  <c r="AJ109" i="2"/>
  <c r="AJ110" i="2" s="1"/>
  <c r="AI109" i="2"/>
  <c r="AH109" i="2"/>
  <c r="AH110" i="2" s="1"/>
  <c r="AG109" i="2"/>
  <c r="AG110" i="2" s="1"/>
  <c r="AF109" i="2"/>
  <c r="AE109" i="2"/>
  <c r="AE110" i="2" s="1"/>
  <c r="AD109" i="2"/>
  <c r="AD110" i="2" s="1"/>
  <c r="AC109" i="2"/>
  <c r="AB109" i="2"/>
  <c r="AB110" i="2" s="1"/>
  <c r="AA109" i="2"/>
  <c r="Z109" i="2"/>
  <c r="Z110" i="2" s="1"/>
  <c r="Y109" i="2"/>
  <c r="Y110" i="2" s="1"/>
  <c r="X109" i="2"/>
  <c r="X110" i="2" s="1"/>
  <c r="W109" i="2"/>
  <c r="V109" i="2"/>
  <c r="V110" i="2" s="1"/>
  <c r="U109" i="2"/>
  <c r="U110" i="2" s="1"/>
  <c r="T109" i="2"/>
  <c r="S109" i="2"/>
  <c r="S110" i="2" s="1"/>
  <c r="R109" i="2"/>
  <c r="R110" i="2" s="1"/>
  <c r="Q109" i="2"/>
  <c r="P109" i="2"/>
  <c r="P110" i="2" s="1"/>
  <c r="O109" i="2"/>
  <c r="N109" i="2"/>
  <c r="N110" i="2" s="1"/>
  <c r="M109" i="2"/>
  <c r="M110" i="2" s="1"/>
  <c r="L109" i="2"/>
  <c r="L110" i="2" s="1"/>
  <c r="K109" i="2"/>
  <c r="J109" i="2"/>
  <c r="J110" i="2" s="1"/>
  <c r="I109" i="2"/>
  <c r="I110" i="2" s="1"/>
  <c r="H109" i="2"/>
  <c r="G109" i="2"/>
  <c r="G110" i="2" s="1"/>
  <c r="F109" i="2"/>
  <c r="F110" i="2" s="1"/>
  <c r="E109" i="2"/>
  <c r="D109" i="2"/>
  <c r="D110" i="2" s="1"/>
  <c r="C109" i="2"/>
  <c r="FZ109" i="2" s="1"/>
  <c r="FX106" i="2"/>
  <c r="FW106" i="2"/>
  <c r="FV106" i="2"/>
  <c r="FU106" i="2"/>
  <c r="FT106" i="2"/>
  <c r="FS106" i="2"/>
  <c r="FR106" i="2"/>
  <c r="FQ106" i="2"/>
  <c r="FP106" i="2"/>
  <c r="FO106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EO106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FX93" i="2"/>
  <c r="FW93" i="2"/>
  <c r="FV93" i="2"/>
  <c r="FU93" i="2"/>
  <c r="FT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FP91" i="2"/>
  <c r="FP92" i="2" s="1"/>
  <c r="FP94" i="2" s="1"/>
  <c r="FD91" i="2"/>
  <c r="FD92" i="2" s="1"/>
  <c r="FD94" i="2" s="1"/>
  <c r="ER91" i="2"/>
  <c r="ER92" i="2" s="1"/>
  <c r="ER94" i="2" s="1"/>
  <c r="EF91" i="2"/>
  <c r="EF92" i="2" s="1"/>
  <c r="EF94" i="2" s="1"/>
  <c r="DT91" i="2"/>
  <c r="DT92" i="2" s="1"/>
  <c r="DT94" i="2" s="1"/>
  <c r="DH91" i="2"/>
  <c r="DH92" i="2" s="1"/>
  <c r="DH94" i="2" s="1"/>
  <c r="CV91" i="2"/>
  <c r="CV92" i="2" s="1"/>
  <c r="CV94" i="2" s="1"/>
  <c r="CJ91" i="2"/>
  <c r="CJ92" i="2" s="1"/>
  <c r="CJ94" i="2" s="1"/>
  <c r="BX91" i="2"/>
  <c r="BX92" i="2" s="1"/>
  <c r="BX94" i="2" s="1"/>
  <c r="BL91" i="2"/>
  <c r="BL92" i="2" s="1"/>
  <c r="BL94" i="2" s="1"/>
  <c r="AZ91" i="2"/>
  <c r="AZ92" i="2" s="1"/>
  <c r="AZ94" i="2" s="1"/>
  <c r="AN91" i="2"/>
  <c r="AN92" i="2" s="1"/>
  <c r="AN94" i="2" s="1"/>
  <c r="AB91" i="2"/>
  <c r="AB92" i="2" s="1"/>
  <c r="AB94" i="2" s="1"/>
  <c r="P91" i="2"/>
  <c r="P92" i="2" s="1"/>
  <c r="P94" i="2" s="1"/>
  <c r="D91" i="2"/>
  <c r="D92" i="2" s="1"/>
  <c r="D94" i="2" s="1"/>
  <c r="FX90" i="2"/>
  <c r="FX91" i="2" s="1"/>
  <c r="FX92" i="2" s="1"/>
  <c r="FX94" i="2" s="1"/>
  <c r="FW90" i="2"/>
  <c r="FV90" i="2"/>
  <c r="FU90" i="2"/>
  <c r="FT90" i="2"/>
  <c r="FS90" i="2"/>
  <c r="FS91" i="2" s="1"/>
  <c r="FS92" i="2" s="1"/>
  <c r="FS94" i="2" s="1"/>
  <c r="FR90" i="2"/>
  <c r="FQ90" i="2"/>
  <c r="FP90" i="2"/>
  <c r="FO90" i="2"/>
  <c r="FN90" i="2"/>
  <c r="FM90" i="2"/>
  <c r="FL90" i="2"/>
  <c r="FL91" i="2" s="1"/>
  <c r="FL92" i="2" s="1"/>
  <c r="FL94" i="2" s="1"/>
  <c r="FK90" i="2"/>
  <c r="FJ90" i="2"/>
  <c r="FI90" i="2"/>
  <c r="FH90" i="2"/>
  <c r="FG90" i="2"/>
  <c r="FG91" i="2" s="1"/>
  <c r="FG92" i="2" s="1"/>
  <c r="FG94" i="2" s="1"/>
  <c r="FF90" i="2"/>
  <c r="FE90" i="2"/>
  <c r="FD90" i="2"/>
  <c r="FC90" i="2"/>
  <c r="FB90" i="2"/>
  <c r="FA90" i="2"/>
  <c r="EZ90" i="2"/>
  <c r="EZ91" i="2" s="1"/>
  <c r="EZ92" i="2" s="1"/>
  <c r="EZ94" i="2" s="1"/>
  <c r="EY90" i="2"/>
  <c r="EX90" i="2"/>
  <c r="EW90" i="2"/>
  <c r="EV90" i="2"/>
  <c r="EU90" i="2"/>
  <c r="EU91" i="2" s="1"/>
  <c r="EU92" i="2" s="1"/>
  <c r="EU94" i="2" s="1"/>
  <c r="ET90" i="2"/>
  <c r="ES90" i="2"/>
  <c r="ER90" i="2"/>
  <c r="EQ90" i="2"/>
  <c r="EP90" i="2"/>
  <c r="EO90" i="2"/>
  <c r="EN90" i="2"/>
  <c r="EN91" i="2" s="1"/>
  <c r="EN92" i="2" s="1"/>
  <c r="EN94" i="2" s="1"/>
  <c r="EM90" i="2"/>
  <c r="EL90" i="2"/>
  <c r="EK90" i="2"/>
  <c r="EJ90" i="2"/>
  <c r="EI90" i="2"/>
  <c r="EI91" i="2" s="1"/>
  <c r="EI92" i="2" s="1"/>
  <c r="EI94" i="2" s="1"/>
  <c r="EH90" i="2"/>
  <c r="EG90" i="2"/>
  <c r="EF90" i="2"/>
  <c r="EE90" i="2"/>
  <c r="ED90" i="2"/>
  <c r="EC90" i="2"/>
  <c r="EB90" i="2"/>
  <c r="EB91" i="2" s="1"/>
  <c r="EB92" i="2" s="1"/>
  <c r="EB94" i="2" s="1"/>
  <c r="EA90" i="2"/>
  <c r="DZ90" i="2"/>
  <c r="DY90" i="2"/>
  <c r="DX90" i="2"/>
  <c r="DW90" i="2"/>
  <c r="DW91" i="2" s="1"/>
  <c r="DW92" i="2" s="1"/>
  <c r="DW94" i="2" s="1"/>
  <c r="DV90" i="2"/>
  <c r="DU90" i="2"/>
  <c r="DT90" i="2"/>
  <c r="DS90" i="2"/>
  <c r="DR90" i="2"/>
  <c r="DQ90" i="2"/>
  <c r="DP90" i="2"/>
  <c r="DP91" i="2" s="1"/>
  <c r="DP92" i="2" s="1"/>
  <c r="DP94" i="2" s="1"/>
  <c r="DO90" i="2"/>
  <c r="DN90" i="2"/>
  <c r="DM90" i="2"/>
  <c r="DL90" i="2"/>
  <c r="DK90" i="2"/>
  <c r="DK91" i="2" s="1"/>
  <c r="DK92" i="2" s="1"/>
  <c r="DK94" i="2" s="1"/>
  <c r="DJ90" i="2"/>
  <c r="DI90" i="2"/>
  <c r="DH90" i="2"/>
  <c r="DG90" i="2"/>
  <c r="DF90" i="2"/>
  <c r="DE90" i="2"/>
  <c r="DD90" i="2"/>
  <c r="DD91" i="2" s="1"/>
  <c r="DD92" i="2" s="1"/>
  <c r="DD94" i="2" s="1"/>
  <c r="DC90" i="2"/>
  <c r="DB90" i="2"/>
  <c r="DA90" i="2"/>
  <c r="CZ90" i="2"/>
  <c r="CY90" i="2"/>
  <c r="CY91" i="2" s="1"/>
  <c r="CY92" i="2" s="1"/>
  <c r="CY94" i="2" s="1"/>
  <c r="CX90" i="2"/>
  <c r="CW90" i="2"/>
  <c r="CV90" i="2"/>
  <c r="CU90" i="2"/>
  <c r="CT90" i="2"/>
  <c r="CS90" i="2"/>
  <c r="CR90" i="2"/>
  <c r="CR91" i="2" s="1"/>
  <c r="CR92" i="2" s="1"/>
  <c r="CR94" i="2" s="1"/>
  <c r="CQ90" i="2"/>
  <c r="CP90" i="2"/>
  <c r="CO90" i="2"/>
  <c r="CN90" i="2"/>
  <c r="CM90" i="2"/>
  <c r="CM91" i="2" s="1"/>
  <c r="CM92" i="2" s="1"/>
  <c r="CM94" i="2" s="1"/>
  <c r="CL90" i="2"/>
  <c r="CK90" i="2"/>
  <c r="CJ90" i="2"/>
  <c r="CI90" i="2"/>
  <c r="CH90" i="2"/>
  <c r="CG90" i="2"/>
  <c r="CF90" i="2"/>
  <c r="CF91" i="2" s="1"/>
  <c r="CF92" i="2" s="1"/>
  <c r="CF94" i="2" s="1"/>
  <c r="CE90" i="2"/>
  <c r="CD90" i="2"/>
  <c r="CC90" i="2"/>
  <c r="CB90" i="2"/>
  <c r="CA90" i="2"/>
  <c r="CA91" i="2" s="1"/>
  <c r="CA92" i="2" s="1"/>
  <c r="CA94" i="2" s="1"/>
  <c r="BZ90" i="2"/>
  <c r="BY90" i="2"/>
  <c r="BX90" i="2"/>
  <c r="BW90" i="2"/>
  <c r="BV90" i="2"/>
  <c r="BU90" i="2"/>
  <c r="BT90" i="2"/>
  <c r="BT91" i="2" s="1"/>
  <c r="BT92" i="2" s="1"/>
  <c r="BT94" i="2" s="1"/>
  <c r="BS90" i="2"/>
  <c r="BR90" i="2"/>
  <c r="BQ90" i="2"/>
  <c r="BP90" i="2"/>
  <c r="BO90" i="2"/>
  <c r="BO91" i="2" s="1"/>
  <c r="BO92" i="2" s="1"/>
  <c r="BO94" i="2" s="1"/>
  <c r="BN90" i="2"/>
  <c r="BM90" i="2"/>
  <c r="BL90" i="2"/>
  <c r="BK90" i="2"/>
  <c r="BJ90" i="2"/>
  <c r="BI90" i="2"/>
  <c r="BH90" i="2"/>
  <c r="BH91" i="2" s="1"/>
  <c r="BH92" i="2" s="1"/>
  <c r="BH94" i="2" s="1"/>
  <c r="BG90" i="2"/>
  <c r="BF90" i="2"/>
  <c r="BE90" i="2"/>
  <c r="BD90" i="2"/>
  <c r="BC90" i="2"/>
  <c r="BC91" i="2" s="1"/>
  <c r="BC92" i="2" s="1"/>
  <c r="BC94" i="2" s="1"/>
  <c r="BB90" i="2"/>
  <c r="BA90" i="2"/>
  <c r="AZ90" i="2"/>
  <c r="AY90" i="2"/>
  <c r="AX90" i="2"/>
  <c r="AW90" i="2"/>
  <c r="AV90" i="2"/>
  <c r="AV91" i="2" s="1"/>
  <c r="AV92" i="2" s="1"/>
  <c r="AV94" i="2" s="1"/>
  <c r="AU90" i="2"/>
  <c r="AT90" i="2"/>
  <c r="AS90" i="2"/>
  <c r="AR90" i="2"/>
  <c r="AQ90" i="2"/>
  <c r="AQ91" i="2" s="1"/>
  <c r="AQ92" i="2" s="1"/>
  <c r="AQ94" i="2" s="1"/>
  <c r="AP90" i="2"/>
  <c r="AO90" i="2"/>
  <c r="AN90" i="2"/>
  <c r="AM90" i="2"/>
  <c r="AL90" i="2"/>
  <c r="AK90" i="2"/>
  <c r="AJ90" i="2"/>
  <c r="AJ91" i="2" s="1"/>
  <c r="AJ92" i="2" s="1"/>
  <c r="AJ94" i="2" s="1"/>
  <c r="AI90" i="2"/>
  <c r="AH90" i="2"/>
  <c r="AG90" i="2"/>
  <c r="AF90" i="2"/>
  <c r="AE90" i="2"/>
  <c r="AE91" i="2" s="1"/>
  <c r="AE92" i="2" s="1"/>
  <c r="AE94" i="2" s="1"/>
  <c r="AD90" i="2"/>
  <c r="AC90" i="2"/>
  <c r="AB90" i="2"/>
  <c r="AA90" i="2"/>
  <c r="Z90" i="2"/>
  <c r="Y90" i="2"/>
  <c r="X90" i="2"/>
  <c r="X91" i="2" s="1"/>
  <c r="X92" i="2" s="1"/>
  <c r="X94" i="2" s="1"/>
  <c r="W90" i="2"/>
  <c r="V90" i="2"/>
  <c r="U90" i="2"/>
  <c r="T90" i="2"/>
  <c r="S90" i="2"/>
  <c r="S91" i="2" s="1"/>
  <c r="S92" i="2" s="1"/>
  <c r="S94" i="2" s="1"/>
  <c r="R90" i="2"/>
  <c r="Q90" i="2"/>
  <c r="P90" i="2"/>
  <c r="O90" i="2"/>
  <c r="N90" i="2"/>
  <c r="M90" i="2"/>
  <c r="L90" i="2"/>
  <c r="L91" i="2" s="1"/>
  <c r="L92" i="2" s="1"/>
  <c r="L94" i="2" s="1"/>
  <c r="K90" i="2"/>
  <c r="J90" i="2"/>
  <c r="I90" i="2"/>
  <c r="H90" i="2"/>
  <c r="G90" i="2"/>
  <c r="G91" i="2" s="1"/>
  <c r="G92" i="2" s="1"/>
  <c r="G94" i="2" s="1"/>
  <c r="F90" i="2"/>
  <c r="E90" i="2"/>
  <c r="D90" i="2"/>
  <c r="C90" i="2"/>
  <c r="FZ90" i="2" s="1"/>
  <c r="FX89" i="2"/>
  <c r="FW89" i="2"/>
  <c r="FW91" i="2" s="1"/>
  <c r="FW92" i="2" s="1"/>
  <c r="FW94" i="2" s="1"/>
  <c r="FV89" i="2"/>
  <c r="FV91" i="2" s="1"/>
  <c r="FV92" i="2" s="1"/>
  <c r="FV94" i="2" s="1"/>
  <c r="FU89" i="2"/>
  <c r="FU91" i="2" s="1"/>
  <c r="FU92" i="2" s="1"/>
  <c r="FU94" i="2" s="1"/>
  <c r="FT89" i="2"/>
  <c r="FT91" i="2" s="1"/>
  <c r="FT92" i="2" s="1"/>
  <c r="FT94" i="2" s="1"/>
  <c r="FS89" i="2"/>
  <c r="FR89" i="2"/>
  <c r="FR91" i="2" s="1"/>
  <c r="FR92" i="2" s="1"/>
  <c r="FR94" i="2" s="1"/>
  <c r="FQ89" i="2"/>
  <c r="FQ91" i="2" s="1"/>
  <c r="FQ92" i="2" s="1"/>
  <c r="FQ94" i="2" s="1"/>
  <c r="FP89" i="2"/>
  <c r="FO89" i="2"/>
  <c r="FO91" i="2" s="1"/>
  <c r="FO92" i="2" s="1"/>
  <c r="FO94" i="2" s="1"/>
  <c r="FN89" i="2"/>
  <c r="FN91" i="2" s="1"/>
  <c r="FN92" i="2" s="1"/>
  <c r="FN94" i="2" s="1"/>
  <c r="FM89" i="2"/>
  <c r="FM91" i="2" s="1"/>
  <c r="FM92" i="2" s="1"/>
  <c r="FM94" i="2" s="1"/>
  <c r="FL89" i="2"/>
  <c r="FK89" i="2"/>
  <c r="FK91" i="2" s="1"/>
  <c r="FK92" i="2" s="1"/>
  <c r="FK94" i="2" s="1"/>
  <c r="FJ89" i="2"/>
  <c r="FJ91" i="2" s="1"/>
  <c r="FJ92" i="2" s="1"/>
  <c r="FJ94" i="2" s="1"/>
  <c r="FI89" i="2"/>
  <c r="FI91" i="2" s="1"/>
  <c r="FI92" i="2" s="1"/>
  <c r="FI94" i="2" s="1"/>
  <c r="FH89" i="2"/>
  <c r="FH91" i="2" s="1"/>
  <c r="FH92" i="2" s="1"/>
  <c r="FH94" i="2" s="1"/>
  <c r="FG89" i="2"/>
  <c r="FF89" i="2"/>
  <c r="FF91" i="2" s="1"/>
  <c r="FF92" i="2" s="1"/>
  <c r="FF94" i="2" s="1"/>
  <c r="FE89" i="2"/>
  <c r="FE91" i="2" s="1"/>
  <c r="FE92" i="2" s="1"/>
  <c r="FE94" i="2" s="1"/>
  <c r="FD89" i="2"/>
  <c r="FC89" i="2"/>
  <c r="FC91" i="2" s="1"/>
  <c r="FC92" i="2" s="1"/>
  <c r="FC94" i="2" s="1"/>
  <c r="FB89" i="2"/>
  <c r="FB91" i="2" s="1"/>
  <c r="FB92" i="2" s="1"/>
  <c r="FB94" i="2" s="1"/>
  <c r="FA89" i="2"/>
  <c r="FA91" i="2" s="1"/>
  <c r="FA92" i="2" s="1"/>
  <c r="FA94" i="2" s="1"/>
  <c r="EZ89" i="2"/>
  <c r="EY89" i="2"/>
  <c r="EY91" i="2" s="1"/>
  <c r="EY92" i="2" s="1"/>
  <c r="EY94" i="2" s="1"/>
  <c r="EX89" i="2"/>
  <c r="EX91" i="2" s="1"/>
  <c r="EX92" i="2" s="1"/>
  <c r="EX94" i="2" s="1"/>
  <c r="EW89" i="2"/>
  <c r="EW91" i="2" s="1"/>
  <c r="EW92" i="2" s="1"/>
  <c r="EW94" i="2" s="1"/>
  <c r="EV89" i="2"/>
  <c r="EV91" i="2" s="1"/>
  <c r="EV92" i="2" s="1"/>
  <c r="EV94" i="2" s="1"/>
  <c r="EU89" i="2"/>
  <c r="ET89" i="2"/>
  <c r="ET91" i="2" s="1"/>
  <c r="ET92" i="2" s="1"/>
  <c r="ET94" i="2" s="1"/>
  <c r="ES89" i="2"/>
  <c r="ES91" i="2" s="1"/>
  <c r="ES92" i="2" s="1"/>
  <c r="ES94" i="2" s="1"/>
  <c r="ER89" i="2"/>
  <c r="EQ89" i="2"/>
  <c r="EQ91" i="2" s="1"/>
  <c r="EQ92" i="2" s="1"/>
  <c r="EQ94" i="2" s="1"/>
  <c r="EP89" i="2"/>
  <c r="EP91" i="2" s="1"/>
  <c r="EP92" i="2" s="1"/>
  <c r="EP94" i="2" s="1"/>
  <c r="EO89" i="2"/>
  <c r="EO91" i="2" s="1"/>
  <c r="EO92" i="2" s="1"/>
  <c r="EO94" i="2" s="1"/>
  <c r="EN89" i="2"/>
  <c r="EM89" i="2"/>
  <c r="EM91" i="2" s="1"/>
  <c r="EM92" i="2" s="1"/>
  <c r="EM94" i="2" s="1"/>
  <c r="EL89" i="2"/>
  <c r="EL91" i="2" s="1"/>
  <c r="EL92" i="2" s="1"/>
  <c r="EL94" i="2" s="1"/>
  <c r="EK89" i="2"/>
  <c r="EK91" i="2" s="1"/>
  <c r="EK92" i="2" s="1"/>
  <c r="EK94" i="2" s="1"/>
  <c r="EJ89" i="2"/>
  <c r="EJ91" i="2" s="1"/>
  <c r="EJ92" i="2" s="1"/>
  <c r="EJ94" i="2" s="1"/>
  <c r="EI89" i="2"/>
  <c r="EH89" i="2"/>
  <c r="EH91" i="2" s="1"/>
  <c r="EH92" i="2" s="1"/>
  <c r="EH94" i="2" s="1"/>
  <c r="EG89" i="2"/>
  <c r="EG91" i="2" s="1"/>
  <c r="EG92" i="2" s="1"/>
  <c r="EG94" i="2" s="1"/>
  <c r="EF89" i="2"/>
  <c r="EE89" i="2"/>
  <c r="EE91" i="2" s="1"/>
  <c r="EE92" i="2" s="1"/>
  <c r="EE94" i="2" s="1"/>
  <c r="ED89" i="2"/>
  <c r="ED91" i="2" s="1"/>
  <c r="ED92" i="2" s="1"/>
  <c r="ED94" i="2" s="1"/>
  <c r="EC89" i="2"/>
  <c r="EC91" i="2" s="1"/>
  <c r="EC92" i="2" s="1"/>
  <c r="EC94" i="2" s="1"/>
  <c r="EB89" i="2"/>
  <c r="EA89" i="2"/>
  <c r="EA91" i="2" s="1"/>
  <c r="EA92" i="2" s="1"/>
  <c r="EA94" i="2" s="1"/>
  <c r="DZ89" i="2"/>
  <c r="DZ91" i="2" s="1"/>
  <c r="DZ92" i="2" s="1"/>
  <c r="DZ94" i="2" s="1"/>
  <c r="DY89" i="2"/>
  <c r="DY91" i="2" s="1"/>
  <c r="DY92" i="2" s="1"/>
  <c r="DY94" i="2" s="1"/>
  <c r="DX89" i="2"/>
  <c r="DX91" i="2" s="1"/>
  <c r="DX92" i="2" s="1"/>
  <c r="DX94" i="2" s="1"/>
  <c r="DW89" i="2"/>
  <c r="DV89" i="2"/>
  <c r="DV91" i="2" s="1"/>
  <c r="DV92" i="2" s="1"/>
  <c r="DV94" i="2" s="1"/>
  <c r="DU89" i="2"/>
  <c r="DU91" i="2" s="1"/>
  <c r="DU92" i="2" s="1"/>
  <c r="DU94" i="2" s="1"/>
  <c r="DT89" i="2"/>
  <c r="DS89" i="2"/>
  <c r="DS91" i="2" s="1"/>
  <c r="DS92" i="2" s="1"/>
  <c r="DS94" i="2" s="1"/>
  <c r="DR89" i="2"/>
  <c r="DR91" i="2" s="1"/>
  <c r="DR92" i="2" s="1"/>
  <c r="DR94" i="2" s="1"/>
  <c r="DQ89" i="2"/>
  <c r="DQ91" i="2" s="1"/>
  <c r="DQ92" i="2" s="1"/>
  <c r="DQ94" i="2" s="1"/>
  <c r="DP89" i="2"/>
  <c r="DO89" i="2"/>
  <c r="DO91" i="2" s="1"/>
  <c r="DO92" i="2" s="1"/>
  <c r="DO94" i="2" s="1"/>
  <c r="DN89" i="2"/>
  <c r="DN91" i="2" s="1"/>
  <c r="DN92" i="2" s="1"/>
  <c r="DN94" i="2" s="1"/>
  <c r="DM89" i="2"/>
  <c r="DM91" i="2" s="1"/>
  <c r="DM92" i="2" s="1"/>
  <c r="DM94" i="2" s="1"/>
  <c r="DL89" i="2"/>
  <c r="DL91" i="2" s="1"/>
  <c r="DL92" i="2" s="1"/>
  <c r="DL94" i="2" s="1"/>
  <c r="DK89" i="2"/>
  <c r="DJ89" i="2"/>
  <c r="DJ91" i="2" s="1"/>
  <c r="DJ92" i="2" s="1"/>
  <c r="DJ94" i="2" s="1"/>
  <c r="DI89" i="2"/>
  <c r="DI91" i="2" s="1"/>
  <c r="DI92" i="2" s="1"/>
  <c r="DI94" i="2" s="1"/>
  <c r="DH89" i="2"/>
  <c r="DG89" i="2"/>
  <c r="DG91" i="2" s="1"/>
  <c r="DG92" i="2" s="1"/>
  <c r="DG94" i="2" s="1"/>
  <c r="DF89" i="2"/>
  <c r="DF91" i="2" s="1"/>
  <c r="DF92" i="2" s="1"/>
  <c r="DF94" i="2" s="1"/>
  <c r="DE89" i="2"/>
  <c r="DE91" i="2" s="1"/>
  <c r="DE92" i="2" s="1"/>
  <c r="DE94" i="2" s="1"/>
  <c r="DD89" i="2"/>
  <c r="DC89" i="2"/>
  <c r="DC91" i="2" s="1"/>
  <c r="DC92" i="2" s="1"/>
  <c r="DC94" i="2" s="1"/>
  <c r="DB89" i="2"/>
  <c r="DB91" i="2" s="1"/>
  <c r="DB92" i="2" s="1"/>
  <c r="DB94" i="2" s="1"/>
  <c r="DA89" i="2"/>
  <c r="DA91" i="2" s="1"/>
  <c r="DA92" i="2" s="1"/>
  <c r="DA94" i="2" s="1"/>
  <c r="CZ89" i="2"/>
  <c r="CZ91" i="2" s="1"/>
  <c r="CZ92" i="2" s="1"/>
  <c r="CZ94" i="2" s="1"/>
  <c r="CY89" i="2"/>
  <c r="CX89" i="2"/>
  <c r="CX91" i="2" s="1"/>
  <c r="CX92" i="2" s="1"/>
  <c r="CX94" i="2" s="1"/>
  <c r="CW89" i="2"/>
  <c r="CW91" i="2" s="1"/>
  <c r="CW92" i="2" s="1"/>
  <c r="CW94" i="2" s="1"/>
  <c r="CV89" i="2"/>
  <c r="CU89" i="2"/>
  <c r="CU91" i="2" s="1"/>
  <c r="CU92" i="2" s="1"/>
  <c r="CU94" i="2" s="1"/>
  <c r="CT89" i="2"/>
  <c r="CT91" i="2" s="1"/>
  <c r="CT92" i="2" s="1"/>
  <c r="CT94" i="2" s="1"/>
  <c r="CS89" i="2"/>
  <c r="CS91" i="2" s="1"/>
  <c r="CS92" i="2" s="1"/>
  <c r="CS94" i="2" s="1"/>
  <c r="CR89" i="2"/>
  <c r="CQ89" i="2"/>
  <c r="CQ91" i="2" s="1"/>
  <c r="CQ92" i="2" s="1"/>
  <c r="CQ94" i="2" s="1"/>
  <c r="CP89" i="2"/>
  <c r="CP91" i="2" s="1"/>
  <c r="CP92" i="2" s="1"/>
  <c r="CP94" i="2" s="1"/>
  <c r="CO89" i="2"/>
  <c r="CO91" i="2" s="1"/>
  <c r="CO92" i="2" s="1"/>
  <c r="CO94" i="2" s="1"/>
  <c r="CN89" i="2"/>
  <c r="CN91" i="2" s="1"/>
  <c r="CN92" i="2" s="1"/>
  <c r="CN94" i="2" s="1"/>
  <c r="CM89" i="2"/>
  <c r="CL89" i="2"/>
  <c r="CL91" i="2" s="1"/>
  <c r="CL92" i="2" s="1"/>
  <c r="CL94" i="2" s="1"/>
  <c r="CK89" i="2"/>
  <c r="CK91" i="2" s="1"/>
  <c r="CK92" i="2" s="1"/>
  <c r="CK94" i="2" s="1"/>
  <c r="CJ89" i="2"/>
  <c r="CI89" i="2"/>
  <c r="CI91" i="2" s="1"/>
  <c r="CI92" i="2" s="1"/>
  <c r="CI94" i="2" s="1"/>
  <c r="CH89" i="2"/>
  <c r="CH91" i="2" s="1"/>
  <c r="CH92" i="2" s="1"/>
  <c r="CH94" i="2" s="1"/>
  <c r="CG89" i="2"/>
  <c r="CG91" i="2" s="1"/>
  <c r="CG92" i="2" s="1"/>
  <c r="CG94" i="2" s="1"/>
  <c r="CF89" i="2"/>
  <c r="CE89" i="2"/>
  <c r="CE91" i="2" s="1"/>
  <c r="CE92" i="2" s="1"/>
  <c r="CE94" i="2" s="1"/>
  <c r="CD89" i="2"/>
  <c r="CD91" i="2" s="1"/>
  <c r="CD92" i="2" s="1"/>
  <c r="CD94" i="2" s="1"/>
  <c r="CC89" i="2"/>
  <c r="CC91" i="2" s="1"/>
  <c r="CC92" i="2" s="1"/>
  <c r="CC94" i="2" s="1"/>
  <c r="CB89" i="2"/>
  <c r="CB91" i="2" s="1"/>
  <c r="CB92" i="2" s="1"/>
  <c r="CB94" i="2" s="1"/>
  <c r="CA89" i="2"/>
  <c r="BZ89" i="2"/>
  <c r="BZ91" i="2" s="1"/>
  <c r="BZ92" i="2" s="1"/>
  <c r="BZ94" i="2" s="1"/>
  <c r="BY89" i="2"/>
  <c r="BY91" i="2" s="1"/>
  <c r="BY92" i="2" s="1"/>
  <c r="BY94" i="2" s="1"/>
  <c r="BX89" i="2"/>
  <c r="BW89" i="2"/>
  <c r="BW91" i="2" s="1"/>
  <c r="BW92" i="2" s="1"/>
  <c r="BW94" i="2" s="1"/>
  <c r="BV89" i="2"/>
  <c r="BV91" i="2" s="1"/>
  <c r="BV92" i="2" s="1"/>
  <c r="BV94" i="2" s="1"/>
  <c r="BU89" i="2"/>
  <c r="BU91" i="2" s="1"/>
  <c r="BU92" i="2" s="1"/>
  <c r="BU94" i="2" s="1"/>
  <c r="BT89" i="2"/>
  <c r="BS89" i="2"/>
  <c r="BS91" i="2" s="1"/>
  <c r="BS92" i="2" s="1"/>
  <c r="BS94" i="2" s="1"/>
  <c r="BR89" i="2"/>
  <c r="BR91" i="2" s="1"/>
  <c r="BR92" i="2" s="1"/>
  <c r="BR94" i="2" s="1"/>
  <c r="BQ89" i="2"/>
  <c r="BQ91" i="2" s="1"/>
  <c r="BQ92" i="2" s="1"/>
  <c r="BQ94" i="2" s="1"/>
  <c r="BP89" i="2"/>
  <c r="BP91" i="2" s="1"/>
  <c r="BP92" i="2" s="1"/>
  <c r="BP94" i="2" s="1"/>
  <c r="BO89" i="2"/>
  <c r="BN89" i="2"/>
  <c r="BN91" i="2" s="1"/>
  <c r="BN92" i="2" s="1"/>
  <c r="BN94" i="2" s="1"/>
  <c r="BM89" i="2"/>
  <c r="BM91" i="2" s="1"/>
  <c r="BM92" i="2" s="1"/>
  <c r="BM94" i="2" s="1"/>
  <c r="BL89" i="2"/>
  <c r="BK89" i="2"/>
  <c r="BK91" i="2" s="1"/>
  <c r="BK92" i="2" s="1"/>
  <c r="BK94" i="2" s="1"/>
  <c r="BJ89" i="2"/>
  <c r="BJ91" i="2" s="1"/>
  <c r="BJ92" i="2" s="1"/>
  <c r="BJ94" i="2" s="1"/>
  <c r="BI89" i="2"/>
  <c r="BI91" i="2" s="1"/>
  <c r="BI92" i="2" s="1"/>
  <c r="BI94" i="2" s="1"/>
  <c r="BH89" i="2"/>
  <c r="BG89" i="2"/>
  <c r="BG91" i="2" s="1"/>
  <c r="BG92" i="2" s="1"/>
  <c r="BG94" i="2" s="1"/>
  <c r="BF89" i="2"/>
  <c r="BF91" i="2" s="1"/>
  <c r="BF92" i="2" s="1"/>
  <c r="BF94" i="2" s="1"/>
  <c r="BE89" i="2"/>
  <c r="BE91" i="2" s="1"/>
  <c r="BE92" i="2" s="1"/>
  <c r="BE94" i="2" s="1"/>
  <c r="BD89" i="2"/>
  <c r="BD91" i="2" s="1"/>
  <c r="BD92" i="2" s="1"/>
  <c r="BD94" i="2" s="1"/>
  <c r="BC89" i="2"/>
  <c r="BB89" i="2"/>
  <c r="BB91" i="2" s="1"/>
  <c r="BB92" i="2" s="1"/>
  <c r="BB94" i="2" s="1"/>
  <c r="BA89" i="2"/>
  <c r="BA91" i="2" s="1"/>
  <c r="BA92" i="2" s="1"/>
  <c r="BA94" i="2" s="1"/>
  <c r="AZ89" i="2"/>
  <c r="AY89" i="2"/>
  <c r="AY91" i="2" s="1"/>
  <c r="AY92" i="2" s="1"/>
  <c r="AY94" i="2" s="1"/>
  <c r="AX89" i="2"/>
  <c r="AX91" i="2" s="1"/>
  <c r="AX92" i="2" s="1"/>
  <c r="AX94" i="2" s="1"/>
  <c r="AW89" i="2"/>
  <c r="AW91" i="2" s="1"/>
  <c r="AW92" i="2" s="1"/>
  <c r="AW94" i="2" s="1"/>
  <c r="AV89" i="2"/>
  <c r="AU89" i="2"/>
  <c r="AU91" i="2" s="1"/>
  <c r="AU92" i="2" s="1"/>
  <c r="AU94" i="2" s="1"/>
  <c r="AT89" i="2"/>
  <c r="AT91" i="2" s="1"/>
  <c r="AT92" i="2" s="1"/>
  <c r="AT94" i="2" s="1"/>
  <c r="AS89" i="2"/>
  <c r="AS91" i="2" s="1"/>
  <c r="AS92" i="2" s="1"/>
  <c r="AS94" i="2" s="1"/>
  <c r="AR89" i="2"/>
  <c r="AR91" i="2" s="1"/>
  <c r="AR92" i="2" s="1"/>
  <c r="AR94" i="2" s="1"/>
  <c r="AQ89" i="2"/>
  <c r="AP89" i="2"/>
  <c r="AP91" i="2" s="1"/>
  <c r="AP92" i="2" s="1"/>
  <c r="AP94" i="2" s="1"/>
  <c r="AO89" i="2"/>
  <c r="AO91" i="2" s="1"/>
  <c r="AO92" i="2" s="1"/>
  <c r="AO94" i="2" s="1"/>
  <c r="AN89" i="2"/>
  <c r="AM89" i="2"/>
  <c r="AM91" i="2" s="1"/>
  <c r="AM92" i="2" s="1"/>
  <c r="AM94" i="2" s="1"/>
  <c r="AL89" i="2"/>
  <c r="AL91" i="2" s="1"/>
  <c r="AL92" i="2" s="1"/>
  <c r="AL94" i="2" s="1"/>
  <c r="AK89" i="2"/>
  <c r="AK91" i="2" s="1"/>
  <c r="AK92" i="2" s="1"/>
  <c r="AK94" i="2" s="1"/>
  <c r="AJ89" i="2"/>
  <c r="AI89" i="2"/>
  <c r="AI91" i="2" s="1"/>
  <c r="AI92" i="2" s="1"/>
  <c r="AI94" i="2" s="1"/>
  <c r="AH89" i="2"/>
  <c r="AH91" i="2" s="1"/>
  <c r="AH92" i="2" s="1"/>
  <c r="AH94" i="2" s="1"/>
  <c r="AG89" i="2"/>
  <c r="AG91" i="2" s="1"/>
  <c r="AG92" i="2" s="1"/>
  <c r="AG94" i="2" s="1"/>
  <c r="AF89" i="2"/>
  <c r="AF91" i="2" s="1"/>
  <c r="AF92" i="2" s="1"/>
  <c r="AF94" i="2" s="1"/>
  <c r="AE89" i="2"/>
  <c r="AD89" i="2"/>
  <c r="AD91" i="2" s="1"/>
  <c r="AD92" i="2" s="1"/>
  <c r="AD94" i="2" s="1"/>
  <c r="AC89" i="2"/>
  <c r="AC91" i="2" s="1"/>
  <c r="AC92" i="2" s="1"/>
  <c r="AC94" i="2" s="1"/>
  <c r="AB89" i="2"/>
  <c r="AA89" i="2"/>
  <c r="AA91" i="2" s="1"/>
  <c r="AA92" i="2" s="1"/>
  <c r="AA94" i="2" s="1"/>
  <c r="Z89" i="2"/>
  <c r="Z91" i="2" s="1"/>
  <c r="Z92" i="2" s="1"/>
  <c r="Z94" i="2" s="1"/>
  <c r="Y89" i="2"/>
  <c r="Y91" i="2" s="1"/>
  <c r="Y92" i="2" s="1"/>
  <c r="Y94" i="2" s="1"/>
  <c r="X89" i="2"/>
  <c r="W89" i="2"/>
  <c r="W91" i="2" s="1"/>
  <c r="W92" i="2" s="1"/>
  <c r="W94" i="2" s="1"/>
  <c r="V89" i="2"/>
  <c r="V91" i="2" s="1"/>
  <c r="V92" i="2" s="1"/>
  <c r="V94" i="2" s="1"/>
  <c r="U89" i="2"/>
  <c r="U91" i="2" s="1"/>
  <c r="U92" i="2" s="1"/>
  <c r="U94" i="2" s="1"/>
  <c r="T89" i="2"/>
  <c r="T91" i="2" s="1"/>
  <c r="T92" i="2" s="1"/>
  <c r="T94" i="2" s="1"/>
  <c r="S89" i="2"/>
  <c r="R89" i="2"/>
  <c r="R91" i="2" s="1"/>
  <c r="R92" i="2" s="1"/>
  <c r="R94" i="2" s="1"/>
  <c r="Q89" i="2"/>
  <c r="Q91" i="2" s="1"/>
  <c r="Q92" i="2" s="1"/>
  <c r="Q94" i="2" s="1"/>
  <c r="P89" i="2"/>
  <c r="O89" i="2"/>
  <c r="O91" i="2" s="1"/>
  <c r="O92" i="2" s="1"/>
  <c r="O94" i="2" s="1"/>
  <c r="N89" i="2"/>
  <c r="N91" i="2" s="1"/>
  <c r="N92" i="2" s="1"/>
  <c r="N94" i="2" s="1"/>
  <c r="M89" i="2"/>
  <c r="M91" i="2" s="1"/>
  <c r="M92" i="2" s="1"/>
  <c r="M94" i="2" s="1"/>
  <c r="L89" i="2"/>
  <c r="K89" i="2"/>
  <c r="K91" i="2" s="1"/>
  <c r="K92" i="2" s="1"/>
  <c r="K94" i="2" s="1"/>
  <c r="J89" i="2"/>
  <c r="J91" i="2" s="1"/>
  <c r="J92" i="2" s="1"/>
  <c r="J94" i="2" s="1"/>
  <c r="I89" i="2"/>
  <c r="I91" i="2" s="1"/>
  <c r="I92" i="2" s="1"/>
  <c r="I94" i="2" s="1"/>
  <c r="H89" i="2"/>
  <c r="H91" i="2" s="1"/>
  <c r="H92" i="2" s="1"/>
  <c r="H94" i="2" s="1"/>
  <c r="G89" i="2"/>
  <c r="F89" i="2"/>
  <c r="F91" i="2" s="1"/>
  <c r="F92" i="2" s="1"/>
  <c r="F94" i="2" s="1"/>
  <c r="E89" i="2"/>
  <c r="E91" i="2" s="1"/>
  <c r="E92" i="2" s="1"/>
  <c r="E94" i="2" s="1"/>
  <c r="D89" i="2"/>
  <c r="C89" i="2"/>
  <c r="C91" i="2" s="1"/>
  <c r="C92" i="2" s="1"/>
  <c r="C94" i="2" s="1"/>
  <c r="FU81" i="2"/>
  <c r="FI81" i="2"/>
  <c r="EW81" i="2"/>
  <c r="EK81" i="2"/>
  <c r="DY81" i="2"/>
  <c r="DM81" i="2"/>
  <c r="DA81" i="2"/>
  <c r="CO81" i="2"/>
  <c r="CC81" i="2"/>
  <c r="BQ81" i="2"/>
  <c r="BE81" i="2"/>
  <c r="AS81" i="2"/>
  <c r="AG81" i="2"/>
  <c r="U81" i="2"/>
  <c r="I81" i="2"/>
  <c r="FX78" i="2"/>
  <c r="FW78" i="2"/>
  <c r="FV78" i="2"/>
  <c r="FU78" i="2"/>
  <c r="FT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FZ78" i="2" s="1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FZ77" i="2" s="1"/>
  <c r="FX76" i="2"/>
  <c r="FW76" i="2"/>
  <c r="FV76" i="2"/>
  <c r="FU76" i="2"/>
  <c r="FT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FZ76" i="2" s="1"/>
  <c r="D76" i="2"/>
  <c r="C76" i="2"/>
  <c r="FX75" i="2"/>
  <c r="FW75" i="2"/>
  <c r="FV75" i="2"/>
  <c r="FU75" i="2"/>
  <c r="FT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FZ75" i="2" s="1"/>
  <c r="C75" i="2"/>
  <c r="FX74" i="2"/>
  <c r="FW74" i="2"/>
  <c r="FV74" i="2"/>
  <c r="FU74" i="2"/>
  <c r="FT74" i="2"/>
  <c r="FS74" i="2"/>
  <c r="FR74" i="2"/>
  <c r="FQ74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FZ74" i="2" s="1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FZ73" i="2" s="1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FZ71" i="2" s="1"/>
  <c r="L71" i="2"/>
  <c r="K71" i="2"/>
  <c r="J71" i="2"/>
  <c r="I71" i="2"/>
  <c r="H71" i="2"/>
  <c r="G71" i="2"/>
  <c r="F71" i="2"/>
  <c r="E71" i="2"/>
  <c r="D71" i="2"/>
  <c r="C71" i="2"/>
  <c r="FX70" i="2"/>
  <c r="FX81" i="2" s="1"/>
  <c r="FW70" i="2"/>
  <c r="FW81" i="2" s="1"/>
  <c r="FV70" i="2"/>
  <c r="FV81" i="2" s="1"/>
  <c r="FU70" i="2"/>
  <c r="FT70" i="2"/>
  <c r="FT81" i="2" s="1"/>
  <c r="FS70" i="2"/>
  <c r="FS81" i="2" s="1"/>
  <c r="FR70" i="2"/>
  <c r="FR81" i="2" s="1"/>
  <c r="FQ70" i="2"/>
  <c r="FQ81" i="2" s="1"/>
  <c r="FP70" i="2"/>
  <c r="FP81" i="2" s="1"/>
  <c r="FO70" i="2"/>
  <c r="FO81" i="2" s="1"/>
  <c r="FN70" i="2"/>
  <c r="FN81" i="2" s="1"/>
  <c r="FM70" i="2"/>
  <c r="FM81" i="2" s="1"/>
  <c r="FL70" i="2"/>
  <c r="FL81" i="2" s="1"/>
  <c r="FK70" i="2"/>
  <c r="FK81" i="2" s="1"/>
  <c r="FJ70" i="2"/>
  <c r="FJ81" i="2" s="1"/>
  <c r="FI70" i="2"/>
  <c r="FH70" i="2"/>
  <c r="FH81" i="2" s="1"/>
  <c r="FG70" i="2"/>
  <c r="FG81" i="2" s="1"/>
  <c r="FF70" i="2"/>
  <c r="FF81" i="2" s="1"/>
  <c r="FE70" i="2"/>
  <c r="FE81" i="2" s="1"/>
  <c r="FD70" i="2"/>
  <c r="FD81" i="2" s="1"/>
  <c r="FC70" i="2"/>
  <c r="FC81" i="2" s="1"/>
  <c r="FB70" i="2"/>
  <c r="FB81" i="2" s="1"/>
  <c r="FA70" i="2"/>
  <c r="FA81" i="2" s="1"/>
  <c r="EZ70" i="2"/>
  <c r="EZ81" i="2" s="1"/>
  <c r="EY70" i="2"/>
  <c r="EY81" i="2" s="1"/>
  <c r="EX70" i="2"/>
  <c r="EX81" i="2" s="1"/>
  <c r="EW70" i="2"/>
  <c r="EV70" i="2"/>
  <c r="EV81" i="2" s="1"/>
  <c r="EU70" i="2"/>
  <c r="EU81" i="2" s="1"/>
  <c r="ET70" i="2"/>
  <c r="ET81" i="2" s="1"/>
  <c r="ES70" i="2"/>
  <c r="ES81" i="2" s="1"/>
  <c r="ER70" i="2"/>
  <c r="ER81" i="2" s="1"/>
  <c r="EQ70" i="2"/>
  <c r="EQ81" i="2" s="1"/>
  <c r="EP70" i="2"/>
  <c r="EP81" i="2" s="1"/>
  <c r="EO70" i="2"/>
  <c r="EO81" i="2" s="1"/>
  <c r="EN70" i="2"/>
  <c r="EN81" i="2" s="1"/>
  <c r="EM70" i="2"/>
  <c r="EM81" i="2" s="1"/>
  <c r="EL70" i="2"/>
  <c r="EL81" i="2" s="1"/>
  <c r="EK70" i="2"/>
  <c r="EJ70" i="2"/>
  <c r="EJ81" i="2" s="1"/>
  <c r="EI70" i="2"/>
  <c r="EI81" i="2" s="1"/>
  <c r="EH70" i="2"/>
  <c r="EH81" i="2" s="1"/>
  <c r="EG70" i="2"/>
  <c r="EG81" i="2" s="1"/>
  <c r="EF70" i="2"/>
  <c r="EF81" i="2" s="1"/>
  <c r="EE70" i="2"/>
  <c r="EE81" i="2" s="1"/>
  <c r="ED70" i="2"/>
  <c r="ED81" i="2" s="1"/>
  <c r="EC70" i="2"/>
  <c r="EC81" i="2" s="1"/>
  <c r="EB70" i="2"/>
  <c r="EB81" i="2" s="1"/>
  <c r="EA70" i="2"/>
  <c r="EA81" i="2" s="1"/>
  <c r="DZ70" i="2"/>
  <c r="DZ81" i="2" s="1"/>
  <c r="DY70" i="2"/>
  <c r="DX70" i="2"/>
  <c r="DX81" i="2" s="1"/>
  <c r="DW70" i="2"/>
  <c r="DW81" i="2" s="1"/>
  <c r="DV70" i="2"/>
  <c r="DV81" i="2" s="1"/>
  <c r="DU70" i="2"/>
  <c r="DU81" i="2" s="1"/>
  <c r="DT70" i="2"/>
  <c r="DT81" i="2" s="1"/>
  <c r="DS70" i="2"/>
  <c r="DS81" i="2" s="1"/>
  <c r="DR70" i="2"/>
  <c r="DR81" i="2" s="1"/>
  <c r="DQ70" i="2"/>
  <c r="DQ81" i="2" s="1"/>
  <c r="DP70" i="2"/>
  <c r="DP81" i="2" s="1"/>
  <c r="DO70" i="2"/>
  <c r="DO81" i="2" s="1"/>
  <c r="DN70" i="2"/>
  <c r="DN81" i="2" s="1"/>
  <c r="DM70" i="2"/>
  <c r="DL70" i="2"/>
  <c r="DL81" i="2" s="1"/>
  <c r="DK70" i="2"/>
  <c r="DK81" i="2" s="1"/>
  <c r="DJ70" i="2"/>
  <c r="DJ81" i="2" s="1"/>
  <c r="DI70" i="2"/>
  <c r="DI81" i="2" s="1"/>
  <c r="DH70" i="2"/>
  <c r="DH81" i="2" s="1"/>
  <c r="DG70" i="2"/>
  <c r="DG81" i="2" s="1"/>
  <c r="DF70" i="2"/>
  <c r="DF81" i="2" s="1"/>
  <c r="DE70" i="2"/>
  <c r="DE81" i="2" s="1"/>
  <c r="DD70" i="2"/>
  <c r="DD81" i="2" s="1"/>
  <c r="DC70" i="2"/>
  <c r="DC81" i="2" s="1"/>
  <c r="DB70" i="2"/>
  <c r="DB81" i="2" s="1"/>
  <c r="DA70" i="2"/>
  <c r="CZ70" i="2"/>
  <c r="CZ81" i="2" s="1"/>
  <c r="CY70" i="2"/>
  <c r="CY81" i="2" s="1"/>
  <c r="CX70" i="2"/>
  <c r="CX81" i="2" s="1"/>
  <c r="CW70" i="2"/>
  <c r="CW81" i="2" s="1"/>
  <c r="CV70" i="2"/>
  <c r="CV81" i="2" s="1"/>
  <c r="CU70" i="2"/>
  <c r="CU81" i="2" s="1"/>
  <c r="CT70" i="2"/>
  <c r="CT81" i="2" s="1"/>
  <c r="CS70" i="2"/>
  <c r="CS81" i="2" s="1"/>
  <c r="CR70" i="2"/>
  <c r="CR81" i="2" s="1"/>
  <c r="CQ70" i="2"/>
  <c r="CQ81" i="2" s="1"/>
  <c r="CP70" i="2"/>
  <c r="CP81" i="2" s="1"/>
  <c r="CO70" i="2"/>
  <c r="CN70" i="2"/>
  <c r="CN81" i="2" s="1"/>
  <c r="CM70" i="2"/>
  <c r="CM81" i="2" s="1"/>
  <c r="CL70" i="2"/>
  <c r="CL81" i="2" s="1"/>
  <c r="CK70" i="2"/>
  <c r="CK81" i="2" s="1"/>
  <c r="CJ70" i="2"/>
  <c r="CJ81" i="2" s="1"/>
  <c r="CI70" i="2"/>
  <c r="CI81" i="2" s="1"/>
  <c r="CH70" i="2"/>
  <c r="CH81" i="2" s="1"/>
  <c r="CG70" i="2"/>
  <c r="CG81" i="2" s="1"/>
  <c r="CF70" i="2"/>
  <c r="CF81" i="2" s="1"/>
  <c r="CE70" i="2"/>
  <c r="CE81" i="2" s="1"/>
  <c r="CD70" i="2"/>
  <c r="CD81" i="2" s="1"/>
  <c r="CC70" i="2"/>
  <c r="CB70" i="2"/>
  <c r="CB81" i="2" s="1"/>
  <c r="CA70" i="2"/>
  <c r="CA81" i="2" s="1"/>
  <c r="BZ70" i="2"/>
  <c r="BZ81" i="2" s="1"/>
  <c r="BY70" i="2"/>
  <c r="BY81" i="2" s="1"/>
  <c r="BX70" i="2"/>
  <c r="BX81" i="2" s="1"/>
  <c r="BW70" i="2"/>
  <c r="BW81" i="2" s="1"/>
  <c r="BV70" i="2"/>
  <c r="BV81" i="2" s="1"/>
  <c r="BU70" i="2"/>
  <c r="BU81" i="2" s="1"/>
  <c r="BT70" i="2"/>
  <c r="BT81" i="2" s="1"/>
  <c r="BS70" i="2"/>
  <c r="BS81" i="2" s="1"/>
  <c r="BR70" i="2"/>
  <c r="BR81" i="2" s="1"/>
  <c r="BQ70" i="2"/>
  <c r="BP70" i="2"/>
  <c r="BP81" i="2" s="1"/>
  <c r="BO70" i="2"/>
  <c r="BO81" i="2" s="1"/>
  <c r="BN70" i="2"/>
  <c r="BN81" i="2" s="1"/>
  <c r="BM70" i="2"/>
  <c r="BM81" i="2" s="1"/>
  <c r="BL70" i="2"/>
  <c r="BL81" i="2" s="1"/>
  <c r="BK70" i="2"/>
  <c r="BK81" i="2" s="1"/>
  <c r="BJ70" i="2"/>
  <c r="BJ81" i="2" s="1"/>
  <c r="BI70" i="2"/>
  <c r="BI81" i="2" s="1"/>
  <c r="BH70" i="2"/>
  <c r="BH81" i="2" s="1"/>
  <c r="BG70" i="2"/>
  <c r="BG81" i="2" s="1"/>
  <c r="BF70" i="2"/>
  <c r="BF81" i="2" s="1"/>
  <c r="BE70" i="2"/>
  <c r="BD70" i="2"/>
  <c r="BD81" i="2" s="1"/>
  <c r="BC70" i="2"/>
  <c r="BC81" i="2" s="1"/>
  <c r="BB70" i="2"/>
  <c r="BB81" i="2" s="1"/>
  <c r="BA70" i="2"/>
  <c r="BA81" i="2" s="1"/>
  <c r="AZ70" i="2"/>
  <c r="AZ81" i="2" s="1"/>
  <c r="AY70" i="2"/>
  <c r="AY81" i="2" s="1"/>
  <c r="AX70" i="2"/>
  <c r="AX81" i="2" s="1"/>
  <c r="AW70" i="2"/>
  <c r="AW81" i="2" s="1"/>
  <c r="AV70" i="2"/>
  <c r="AV81" i="2" s="1"/>
  <c r="AU70" i="2"/>
  <c r="AU81" i="2" s="1"/>
  <c r="AT70" i="2"/>
  <c r="AT81" i="2" s="1"/>
  <c r="AS70" i="2"/>
  <c r="AR70" i="2"/>
  <c r="AR81" i="2" s="1"/>
  <c r="AQ70" i="2"/>
  <c r="AQ81" i="2" s="1"/>
  <c r="AP70" i="2"/>
  <c r="AP81" i="2" s="1"/>
  <c r="AO70" i="2"/>
  <c r="AO81" i="2" s="1"/>
  <c r="AN70" i="2"/>
  <c r="AN81" i="2" s="1"/>
  <c r="AM70" i="2"/>
  <c r="AM81" i="2" s="1"/>
  <c r="AL70" i="2"/>
  <c r="AL81" i="2" s="1"/>
  <c r="AK70" i="2"/>
  <c r="AK81" i="2" s="1"/>
  <c r="AJ70" i="2"/>
  <c r="AJ81" i="2" s="1"/>
  <c r="AI70" i="2"/>
  <c r="AI81" i="2" s="1"/>
  <c r="AH70" i="2"/>
  <c r="AH81" i="2" s="1"/>
  <c r="AG70" i="2"/>
  <c r="AF70" i="2"/>
  <c r="AF81" i="2" s="1"/>
  <c r="AE70" i="2"/>
  <c r="AE81" i="2" s="1"/>
  <c r="AD70" i="2"/>
  <c r="AD81" i="2" s="1"/>
  <c r="AC70" i="2"/>
  <c r="AC81" i="2" s="1"/>
  <c r="AB70" i="2"/>
  <c r="AB81" i="2" s="1"/>
  <c r="AA70" i="2"/>
  <c r="AA81" i="2" s="1"/>
  <c r="Z70" i="2"/>
  <c r="Z81" i="2" s="1"/>
  <c r="Y70" i="2"/>
  <c r="Y81" i="2" s="1"/>
  <c r="X70" i="2"/>
  <c r="X81" i="2" s="1"/>
  <c r="W70" i="2"/>
  <c r="W81" i="2" s="1"/>
  <c r="V70" i="2"/>
  <c r="V81" i="2" s="1"/>
  <c r="U70" i="2"/>
  <c r="T70" i="2"/>
  <c r="T81" i="2" s="1"/>
  <c r="S70" i="2"/>
  <c r="S81" i="2" s="1"/>
  <c r="R70" i="2"/>
  <c r="R81" i="2" s="1"/>
  <c r="Q70" i="2"/>
  <c r="Q81" i="2" s="1"/>
  <c r="P70" i="2"/>
  <c r="P81" i="2" s="1"/>
  <c r="O70" i="2"/>
  <c r="O81" i="2" s="1"/>
  <c r="N70" i="2"/>
  <c r="N81" i="2" s="1"/>
  <c r="M70" i="2"/>
  <c r="M81" i="2" s="1"/>
  <c r="L70" i="2"/>
  <c r="L81" i="2" s="1"/>
  <c r="K70" i="2"/>
  <c r="K81" i="2" s="1"/>
  <c r="J70" i="2"/>
  <c r="J81" i="2" s="1"/>
  <c r="I70" i="2"/>
  <c r="H70" i="2"/>
  <c r="H81" i="2" s="1"/>
  <c r="G70" i="2"/>
  <c r="G81" i="2" s="1"/>
  <c r="F70" i="2"/>
  <c r="F81" i="2" s="1"/>
  <c r="E70" i="2"/>
  <c r="E81" i="2" s="1"/>
  <c r="D70" i="2"/>
  <c r="D81" i="2" s="1"/>
  <c r="C70" i="2"/>
  <c r="C81" i="2" s="1"/>
  <c r="FX69" i="2"/>
  <c r="FW69" i="2"/>
  <c r="FV69" i="2"/>
  <c r="FU69" i="2"/>
  <c r="FT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FZ69" i="2" s="1"/>
  <c r="FV66" i="2"/>
  <c r="FJ66" i="2"/>
  <c r="EX66" i="2"/>
  <c r="EL66" i="2"/>
  <c r="DZ66" i="2"/>
  <c r="DN66" i="2"/>
  <c r="DB66" i="2"/>
  <c r="CP66" i="2"/>
  <c r="CD66" i="2"/>
  <c r="BR66" i="2"/>
  <c r="BF66" i="2"/>
  <c r="AT66" i="2"/>
  <c r="AH66" i="2"/>
  <c r="V66" i="2"/>
  <c r="J66" i="2"/>
  <c r="FU65" i="2"/>
  <c r="FI65" i="2"/>
  <c r="EW65" i="2"/>
  <c r="EK65" i="2"/>
  <c r="DY65" i="2"/>
  <c r="DM65" i="2"/>
  <c r="DA65" i="2"/>
  <c r="CO65" i="2"/>
  <c r="CC65" i="2"/>
  <c r="BQ65" i="2"/>
  <c r="BE65" i="2"/>
  <c r="AS65" i="2"/>
  <c r="AG65" i="2"/>
  <c r="U65" i="2"/>
  <c r="I65" i="2"/>
  <c r="FT64" i="2"/>
  <c r="FH64" i="2"/>
  <c r="EV64" i="2"/>
  <c r="EJ64" i="2"/>
  <c r="DX64" i="2"/>
  <c r="DL64" i="2"/>
  <c r="CZ64" i="2"/>
  <c r="CN64" i="2"/>
  <c r="CB64" i="2"/>
  <c r="BP64" i="2"/>
  <c r="BD64" i="2"/>
  <c r="AR64" i="2"/>
  <c r="AF64" i="2"/>
  <c r="T64" i="2"/>
  <c r="H64" i="2"/>
  <c r="FX59" i="2"/>
  <c r="FX156" i="2" s="1"/>
  <c r="FX157" i="2" s="1"/>
  <c r="FW59" i="2"/>
  <c r="FW156" i="2" s="1"/>
  <c r="FW157" i="2" s="1"/>
  <c r="FV59" i="2"/>
  <c r="FV156" i="2" s="1"/>
  <c r="FV157" i="2" s="1"/>
  <c r="FU59" i="2"/>
  <c r="FU156" i="2" s="1"/>
  <c r="FU157" i="2" s="1"/>
  <c r="FT59" i="2"/>
  <c r="FT156" i="2" s="1"/>
  <c r="FT157" i="2" s="1"/>
  <c r="FS59" i="2"/>
  <c r="FS156" i="2" s="1"/>
  <c r="FS157" i="2" s="1"/>
  <c r="FR59" i="2"/>
  <c r="FR156" i="2" s="1"/>
  <c r="FR157" i="2" s="1"/>
  <c r="FQ59" i="2"/>
  <c r="FQ156" i="2" s="1"/>
  <c r="FQ157" i="2" s="1"/>
  <c r="FP59" i="2"/>
  <c r="FP156" i="2" s="1"/>
  <c r="FP157" i="2" s="1"/>
  <c r="FO59" i="2"/>
  <c r="FO156" i="2" s="1"/>
  <c r="FO157" i="2" s="1"/>
  <c r="FN59" i="2"/>
  <c r="FN156" i="2" s="1"/>
  <c r="FN157" i="2" s="1"/>
  <c r="FM59" i="2"/>
  <c r="FM156" i="2" s="1"/>
  <c r="FM157" i="2" s="1"/>
  <c r="FL59" i="2"/>
  <c r="FL156" i="2" s="1"/>
  <c r="FL157" i="2" s="1"/>
  <c r="FK59" i="2"/>
  <c r="FK156" i="2" s="1"/>
  <c r="FK157" i="2" s="1"/>
  <c r="FJ59" i="2"/>
  <c r="FJ156" i="2" s="1"/>
  <c r="FJ157" i="2" s="1"/>
  <c r="FI59" i="2"/>
  <c r="FI156" i="2" s="1"/>
  <c r="FI157" i="2" s="1"/>
  <c r="FH59" i="2"/>
  <c r="FH156" i="2" s="1"/>
  <c r="FH157" i="2" s="1"/>
  <c r="FG59" i="2"/>
  <c r="FG156" i="2" s="1"/>
  <c r="FG157" i="2" s="1"/>
  <c r="FF59" i="2"/>
  <c r="FF156" i="2" s="1"/>
  <c r="FF157" i="2" s="1"/>
  <c r="FE59" i="2"/>
  <c r="FE156" i="2" s="1"/>
  <c r="FE157" i="2" s="1"/>
  <c r="FD59" i="2"/>
  <c r="FD156" i="2" s="1"/>
  <c r="FD157" i="2" s="1"/>
  <c r="FC59" i="2"/>
  <c r="FC156" i="2" s="1"/>
  <c r="FC157" i="2" s="1"/>
  <c r="FB59" i="2"/>
  <c r="FB156" i="2" s="1"/>
  <c r="FB157" i="2" s="1"/>
  <c r="FA59" i="2"/>
  <c r="FA156" i="2" s="1"/>
  <c r="FA157" i="2" s="1"/>
  <c r="EZ59" i="2"/>
  <c r="EZ156" i="2" s="1"/>
  <c r="EZ157" i="2" s="1"/>
  <c r="EY59" i="2"/>
  <c r="EY156" i="2" s="1"/>
  <c r="EY157" i="2" s="1"/>
  <c r="EX59" i="2"/>
  <c r="EX156" i="2" s="1"/>
  <c r="EX157" i="2" s="1"/>
  <c r="EW59" i="2"/>
  <c r="EW156" i="2" s="1"/>
  <c r="EW157" i="2" s="1"/>
  <c r="EV59" i="2"/>
  <c r="EV156" i="2" s="1"/>
  <c r="EV157" i="2" s="1"/>
  <c r="EU59" i="2"/>
  <c r="EU156" i="2" s="1"/>
  <c r="EU157" i="2" s="1"/>
  <c r="ET59" i="2"/>
  <c r="ET156" i="2" s="1"/>
  <c r="ET157" i="2" s="1"/>
  <c r="ES59" i="2"/>
  <c r="ES156" i="2" s="1"/>
  <c r="ES157" i="2" s="1"/>
  <c r="ER59" i="2"/>
  <c r="ER156" i="2" s="1"/>
  <c r="ER157" i="2" s="1"/>
  <c r="EQ59" i="2"/>
  <c r="EQ156" i="2" s="1"/>
  <c r="EQ157" i="2" s="1"/>
  <c r="EP59" i="2"/>
  <c r="EP156" i="2" s="1"/>
  <c r="EP157" i="2" s="1"/>
  <c r="EO59" i="2"/>
  <c r="EO156" i="2" s="1"/>
  <c r="EO157" i="2" s="1"/>
  <c r="EN59" i="2"/>
  <c r="EN156" i="2" s="1"/>
  <c r="EN157" i="2" s="1"/>
  <c r="EM59" i="2"/>
  <c r="EM156" i="2" s="1"/>
  <c r="EM157" i="2" s="1"/>
  <c r="EL59" i="2"/>
  <c r="EL156" i="2" s="1"/>
  <c r="EL157" i="2" s="1"/>
  <c r="EK59" i="2"/>
  <c r="EK156" i="2" s="1"/>
  <c r="EK157" i="2" s="1"/>
  <c r="EJ59" i="2"/>
  <c r="EJ156" i="2" s="1"/>
  <c r="EJ157" i="2" s="1"/>
  <c r="EI59" i="2"/>
  <c r="EI156" i="2" s="1"/>
  <c r="EI157" i="2" s="1"/>
  <c r="EH59" i="2"/>
  <c r="EH156" i="2" s="1"/>
  <c r="EH157" i="2" s="1"/>
  <c r="EG59" i="2"/>
  <c r="EG156" i="2" s="1"/>
  <c r="EG157" i="2" s="1"/>
  <c r="EF59" i="2"/>
  <c r="EF156" i="2" s="1"/>
  <c r="EF157" i="2" s="1"/>
  <c r="EE59" i="2"/>
  <c r="EE156" i="2" s="1"/>
  <c r="EE157" i="2" s="1"/>
  <c r="ED59" i="2"/>
  <c r="ED156" i="2" s="1"/>
  <c r="ED157" i="2" s="1"/>
  <c r="EC59" i="2"/>
  <c r="EC156" i="2" s="1"/>
  <c r="EC157" i="2" s="1"/>
  <c r="EB59" i="2"/>
  <c r="EB156" i="2" s="1"/>
  <c r="EB157" i="2" s="1"/>
  <c r="EA59" i="2"/>
  <c r="EA156" i="2" s="1"/>
  <c r="EA157" i="2" s="1"/>
  <c r="DZ59" i="2"/>
  <c r="DZ156" i="2" s="1"/>
  <c r="DZ157" i="2" s="1"/>
  <c r="DY59" i="2"/>
  <c r="DY156" i="2" s="1"/>
  <c r="DY157" i="2" s="1"/>
  <c r="DX59" i="2"/>
  <c r="DX156" i="2" s="1"/>
  <c r="DX157" i="2" s="1"/>
  <c r="DW59" i="2"/>
  <c r="DW156" i="2" s="1"/>
  <c r="DW157" i="2" s="1"/>
  <c r="DV59" i="2"/>
  <c r="DV156" i="2" s="1"/>
  <c r="DV157" i="2" s="1"/>
  <c r="DU59" i="2"/>
  <c r="DU156" i="2" s="1"/>
  <c r="DU157" i="2" s="1"/>
  <c r="DT59" i="2"/>
  <c r="DT156" i="2" s="1"/>
  <c r="DT157" i="2" s="1"/>
  <c r="DS59" i="2"/>
  <c r="DS156" i="2" s="1"/>
  <c r="DS157" i="2" s="1"/>
  <c r="DR59" i="2"/>
  <c r="DR156" i="2" s="1"/>
  <c r="DR157" i="2" s="1"/>
  <c r="DQ59" i="2"/>
  <c r="DQ156" i="2" s="1"/>
  <c r="DQ157" i="2" s="1"/>
  <c r="DP59" i="2"/>
  <c r="DP156" i="2" s="1"/>
  <c r="DP157" i="2" s="1"/>
  <c r="DO59" i="2"/>
  <c r="DO156" i="2" s="1"/>
  <c r="DO157" i="2" s="1"/>
  <c r="DN59" i="2"/>
  <c r="DN156" i="2" s="1"/>
  <c r="DN157" i="2" s="1"/>
  <c r="DM59" i="2"/>
  <c r="DM156" i="2" s="1"/>
  <c r="DM157" i="2" s="1"/>
  <c r="DL59" i="2"/>
  <c r="DL156" i="2" s="1"/>
  <c r="DL157" i="2" s="1"/>
  <c r="DK59" i="2"/>
  <c r="DK156" i="2" s="1"/>
  <c r="DK157" i="2" s="1"/>
  <c r="DJ59" i="2"/>
  <c r="DJ156" i="2" s="1"/>
  <c r="DJ157" i="2" s="1"/>
  <c r="DI59" i="2"/>
  <c r="DI156" i="2" s="1"/>
  <c r="DI157" i="2" s="1"/>
  <c r="DH59" i="2"/>
  <c r="DH156" i="2" s="1"/>
  <c r="DH157" i="2" s="1"/>
  <c r="DG59" i="2"/>
  <c r="DG156" i="2" s="1"/>
  <c r="DG157" i="2" s="1"/>
  <c r="DF59" i="2"/>
  <c r="DF156" i="2" s="1"/>
  <c r="DF157" i="2" s="1"/>
  <c r="DE59" i="2"/>
  <c r="DE156" i="2" s="1"/>
  <c r="DE157" i="2" s="1"/>
  <c r="DD59" i="2"/>
  <c r="DD156" i="2" s="1"/>
  <c r="DD157" i="2" s="1"/>
  <c r="DC59" i="2"/>
  <c r="DC156" i="2" s="1"/>
  <c r="DC157" i="2" s="1"/>
  <c r="DB59" i="2"/>
  <c r="DB156" i="2" s="1"/>
  <c r="DB157" i="2" s="1"/>
  <c r="DA59" i="2"/>
  <c r="DA156" i="2" s="1"/>
  <c r="DA157" i="2" s="1"/>
  <c r="CZ59" i="2"/>
  <c r="CZ156" i="2" s="1"/>
  <c r="CZ157" i="2" s="1"/>
  <c r="CY59" i="2"/>
  <c r="CY156" i="2" s="1"/>
  <c r="CY157" i="2" s="1"/>
  <c r="CX59" i="2"/>
  <c r="CX156" i="2" s="1"/>
  <c r="CX157" i="2" s="1"/>
  <c r="CW59" i="2"/>
  <c r="CW156" i="2" s="1"/>
  <c r="CW157" i="2" s="1"/>
  <c r="CV59" i="2"/>
  <c r="CV156" i="2" s="1"/>
  <c r="CV157" i="2" s="1"/>
  <c r="CU59" i="2"/>
  <c r="CU156" i="2" s="1"/>
  <c r="CU157" i="2" s="1"/>
  <c r="CT59" i="2"/>
  <c r="CT156" i="2" s="1"/>
  <c r="CT157" i="2" s="1"/>
  <c r="CS59" i="2"/>
  <c r="CS156" i="2" s="1"/>
  <c r="CS157" i="2" s="1"/>
  <c r="CR59" i="2"/>
  <c r="CR156" i="2" s="1"/>
  <c r="CR157" i="2" s="1"/>
  <c r="CQ59" i="2"/>
  <c r="CQ156" i="2" s="1"/>
  <c r="CQ157" i="2" s="1"/>
  <c r="CP59" i="2"/>
  <c r="CP156" i="2" s="1"/>
  <c r="CP157" i="2" s="1"/>
  <c r="CO59" i="2"/>
  <c r="CO156" i="2" s="1"/>
  <c r="CO157" i="2" s="1"/>
  <c r="CN59" i="2"/>
  <c r="CN156" i="2" s="1"/>
  <c r="CN157" i="2" s="1"/>
  <c r="CM59" i="2"/>
  <c r="CM156" i="2" s="1"/>
  <c r="CM157" i="2" s="1"/>
  <c r="CL59" i="2"/>
  <c r="CL156" i="2" s="1"/>
  <c r="CL157" i="2" s="1"/>
  <c r="CK59" i="2"/>
  <c r="CK156" i="2" s="1"/>
  <c r="CK157" i="2" s="1"/>
  <c r="CJ59" i="2"/>
  <c r="CJ156" i="2" s="1"/>
  <c r="CJ157" i="2" s="1"/>
  <c r="CI59" i="2"/>
  <c r="CI156" i="2" s="1"/>
  <c r="CI157" i="2" s="1"/>
  <c r="CH59" i="2"/>
  <c r="CH156" i="2" s="1"/>
  <c r="CH157" i="2" s="1"/>
  <c r="CG59" i="2"/>
  <c r="CG156" i="2" s="1"/>
  <c r="CG157" i="2" s="1"/>
  <c r="CF59" i="2"/>
  <c r="CF156" i="2" s="1"/>
  <c r="CF157" i="2" s="1"/>
  <c r="CE59" i="2"/>
  <c r="CE156" i="2" s="1"/>
  <c r="CE157" i="2" s="1"/>
  <c r="CD59" i="2"/>
  <c r="CD156" i="2" s="1"/>
  <c r="CD157" i="2" s="1"/>
  <c r="CC59" i="2"/>
  <c r="CC156" i="2" s="1"/>
  <c r="CC157" i="2" s="1"/>
  <c r="CB59" i="2"/>
  <c r="CB156" i="2" s="1"/>
  <c r="CB157" i="2" s="1"/>
  <c r="CA59" i="2"/>
  <c r="CA156" i="2" s="1"/>
  <c r="CA157" i="2" s="1"/>
  <c r="BZ59" i="2"/>
  <c r="BZ156" i="2" s="1"/>
  <c r="BZ157" i="2" s="1"/>
  <c r="BY59" i="2"/>
  <c r="BY156" i="2" s="1"/>
  <c r="BY157" i="2" s="1"/>
  <c r="BX59" i="2"/>
  <c r="BX156" i="2" s="1"/>
  <c r="BX157" i="2" s="1"/>
  <c r="BW59" i="2"/>
  <c r="BW156" i="2" s="1"/>
  <c r="BW157" i="2" s="1"/>
  <c r="BV59" i="2"/>
  <c r="BV156" i="2" s="1"/>
  <c r="BV157" i="2" s="1"/>
  <c r="BU59" i="2"/>
  <c r="BU156" i="2" s="1"/>
  <c r="BU157" i="2" s="1"/>
  <c r="BT59" i="2"/>
  <c r="BT156" i="2" s="1"/>
  <c r="BT157" i="2" s="1"/>
  <c r="BS59" i="2"/>
  <c r="BS156" i="2" s="1"/>
  <c r="BS157" i="2" s="1"/>
  <c r="BR59" i="2"/>
  <c r="BR156" i="2" s="1"/>
  <c r="BR157" i="2" s="1"/>
  <c r="BQ59" i="2"/>
  <c r="BQ156" i="2" s="1"/>
  <c r="BQ157" i="2" s="1"/>
  <c r="BP59" i="2"/>
  <c r="BP156" i="2" s="1"/>
  <c r="BP157" i="2" s="1"/>
  <c r="BO59" i="2"/>
  <c r="BO156" i="2" s="1"/>
  <c r="BO157" i="2" s="1"/>
  <c r="BN59" i="2"/>
  <c r="BN156" i="2" s="1"/>
  <c r="BN157" i="2" s="1"/>
  <c r="BM59" i="2"/>
  <c r="BM156" i="2" s="1"/>
  <c r="BM157" i="2" s="1"/>
  <c r="BL59" i="2"/>
  <c r="BL156" i="2" s="1"/>
  <c r="BL157" i="2" s="1"/>
  <c r="BK59" i="2"/>
  <c r="BK156" i="2" s="1"/>
  <c r="BK157" i="2" s="1"/>
  <c r="BJ59" i="2"/>
  <c r="BJ156" i="2" s="1"/>
  <c r="BJ157" i="2" s="1"/>
  <c r="BI59" i="2"/>
  <c r="BI156" i="2" s="1"/>
  <c r="BI157" i="2" s="1"/>
  <c r="BH59" i="2"/>
  <c r="BH156" i="2" s="1"/>
  <c r="BH157" i="2" s="1"/>
  <c r="BG59" i="2"/>
  <c r="BG156" i="2" s="1"/>
  <c r="BG157" i="2" s="1"/>
  <c r="BF59" i="2"/>
  <c r="BF156" i="2" s="1"/>
  <c r="BF157" i="2" s="1"/>
  <c r="BE59" i="2"/>
  <c r="BE156" i="2" s="1"/>
  <c r="BE157" i="2" s="1"/>
  <c r="BD59" i="2"/>
  <c r="BD156" i="2" s="1"/>
  <c r="BD157" i="2" s="1"/>
  <c r="BC59" i="2"/>
  <c r="BC156" i="2" s="1"/>
  <c r="BC157" i="2" s="1"/>
  <c r="BB59" i="2"/>
  <c r="BB156" i="2" s="1"/>
  <c r="BB157" i="2" s="1"/>
  <c r="BA59" i="2"/>
  <c r="BA156" i="2" s="1"/>
  <c r="BA157" i="2" s="1"/>
  <c r="AZ59" i="2"/>
  <c r="AZ156" i="2" s="1"/>
  <c r="AZ157" i="2" s="1"/>
  <c r="AY59" i="2"/>
  <c r="AY156" i="2" s="1"/>
  <c r="AY157" i="2" s="1"/>
  <c r="AX59" i="2"/>
  <c r="AX156" i="2" s="1"/>
  <c r="AX157" i="2" s="1"/>
  <c r="AW59" i="2"/>
  <c r="AW156" i="2" s="1"/>
  <c r="AW157" i="2" s="1"/>
  <c r="AV59" i="2"/>
  <c r="AV156" i="2" s="1"/>
  <c r="AV157" i="2" s="1"/>
  <c r="AU59" i="2"/>
  <c r="AU156" i="2" s="1"/>
  <c r="AU157" i="2" s="1"/>
  <c r="AT59" i="2"/>
  <c r="AT156" i="2" s="1"/>
  <c r="AT157" i="2" s="1"/>
  <c r="AS59" i="2"/>
  <c r="AS156" i="2" s="1"/>
  <c r="AS157" i="2" s="1"/>
  <c r="AR59" i="2"/>
  <c r="AR156" i="2" s="1"/>
  <c r="AR157" i="2" s="1"/>
  <c r="AQ59" i="2"/>
  <c r="AQ156" i="2" s="1"/>
  <c r="AQ157" i="2" s="1"/>
  <c r="AP59" i="2"/>
  <c r="AP156" i="2" s="1"/>
  <c r="AP157" i="2" s="1"/>
  <c r="AO59" i="2"/>
  <c r="AO156" i="2" s="1"/>
  <c r="AO157" i="2" s="1"/>
  <c r="AN59" i="2"/>
  <c r="AN156" i="2" s="1"/>
  <c r="AN157" i="2" s="1"/>
  <c r="AM59" i="2"/>
  <c r="AM156" i="2" s="1"/>
  <c r="AM157" i="2" s="1"/>
  <c r="AL59" i="2"/>
  <c r="AL156" i="2" s="1"/>
  <c r="AL157" i="2" s="1"/>
  <c r="AK59" i="2"/>
  <c r="AK156" i="2" s="1"/>
  <c r="AK157" i="2" s="1"/>
  <c r="AJ59" i="2"/>
  <c r="AJ156" i="2" s="1"/>
  <c r="AJ157" i="2" s="1"/>
  <c r="AI59" i="2"/>
  <c r="AI156" i="2" s="1"/>
  <c r="AI157" i="2" s="1"/>
  <c r="AH59" i="2"/>
  <c r="AH156" i="2" s="1"/>
  <c r="AH157" i="2" s="1"/>
  <c r="AG59" i="2"/>
  <c r="AG156" i="2" s="1"/>
  <c r="AG157" i="2" s="1"/>
  <c r="AF59" i="2"/>
  <c r="AF156" i="2" s="1"/>
  <c r="AF157" i="2" s="1"/>
  <c r="AE59" i="2"/>
  <c r="AE156" i="2" s="1"/>
  <c r="AE157" i="2" s="1"/>
  <c r="AD59" i="2"/>
  <c r="AD156" i="2" s="1"/>
  <c r="AD157" i="2" s="1"/>
  <c r="AC59" i="2"/>
  <c r="AC156" i="2" s="1"/>
  <c r="AC157" i="2" s="1"/>
  <c r="AB59" i="2"/>
  <c r="AB156" i="2" s="1"/>
  <c r="AB157" i="2" s="1"/>
  <c r="AA59" i="2"/>
  <c r="AA156" i="2" s="1"/>
  <c r="AA157" i="2" s="1"/>
  <c r="Z59" i="2"/>
  <c r="Z156" i="2" s="1"/>
  <c r="Z157" i="2" s="1"/>
  <c r="Y59" i="2"/>
  <c r="Y156" i="2" s="1"/>
  <c r="Y157" i="2" s="1"/>
  <c r="X59" i="2"/>
  <c r="X156" i="2" s="1"/>
  <c r="X157" i="2" s="1"/>
  <c r="W59" i="2"/>
  <c r="W156" i="2" s="1"/>
  <c r="W157" i="2" s="1"/>
  <c r="V59" i="2"/>
  <c r="V156" i="2" s="1"/>
  <c r="V157" i="2" s="1"/>
  <c r="U59" i="2"/>
  <c r="U156" i="2" s="1"/>
  <c r="U157" i="2" s="1"/>
  <c r="T59" i="2"/>
  <c r="T156" i="2" s="1"/>
  <c r="T157" i="2" s="1"/>
  <c r="S59" i="2"/>
  <c r="S156" i="2" s="1"/>
  <c r="S157" i="2" s="1"/>
  <c r="R59" i="2"/>
  <c r="R156" i="2" s="1"/>
  <c r="R157" i="2" s="1"/>
  <c r="Q59" i="2"/>
  <c r="Q156" i="2" s="1"/>
  <c r="Q157" i="2" s="1"/>
  <c r="P59" i="2"/>
  <c r="P156" i="2" s="1"/>
  <c r="P157" i="2" s="1"/>
  <c r="O59" i="2"/>
  <c r="O156" i="2" s="1"/>
  <c r="O157" i="2" s="1"/>
  <c r="N59" i="2"/>
  <c r="N156" i="2" s="1"/>
  <c r="N157" i="2" s="1"/>
  <c r="M59" i="2"/>
  <c r="M156" i="2" s="1"/>
  <c r="M157" i="2" s="1"/>
  <c r="L59" i="2"/>
  <c r="L156" i="2" s="1"/>
  <c r="L157" i="2" s="1"/>
  <c r="K59" i="2"/>
  <c r="K156" i="2" s="1"/>
  <c r="K157" i="2" s="1"/>
  <c r="J59" i="2"/>
  <c r="J156" i="2" s="1"/>
  <c r="J157" i="2" s="1"/>
  <c r="I59" i="2"/>
  <c r="I156" i="2" s="1"/>
  <c r="I157" i="2" s="1"/>
  <c r="H59" i="2"/>
  <c r="G59" i="2"/>
  <c r="G156" i="2" s="1"/>
  <c r="G157" i="2" s="1"/>
  <c r="F59" i="2"/>
  <c r="F156" i="2" s="1"/>
  <c r="F157" i="2" s="1"/>
  <c r="E59" i="2"/>
  <c r="E156" i="2" s="1"/>
  <c r="E157" i="2" s="1"/>
  <c r="D59" i="2"/>
  <c r="D156" i="2" s="1"/>
  <c r="D157" i="2" s="1"/>
  <c r="C59" i="2"/>
  <c r="C156" i="2" s="1"/>
  <c r="C157" i="2" s="1"/>
  <c r="FZ58" i="2"/>
  <c r="FZ57" i="2"/>
  <c r="FZ56" i="2"/>
  <c r="FZ55" i="2"/>
  <c r="FZ54" i="2"/>
  <c r="FZ53" i="2"/>
  <c r="FZ49" i="2"/>
  <c r="CG49" i="2"/>
  <c r="FZ48" i="2"/>
  <c r="FZ47" i="2"/>
  <c r="FZ46" i="2"/>
  <c r="FZ43" i="2"/>
  <c r="FZ42" i="2"/>
  <c r="FZ41" i="2"/>
  <c r="FZ40" i="2"/>
  <c r="FZ36" i="2"/>
  <c r="FZ35" i="2"/>
  <c r="FZ34" i="2"/>
  <c r="FZ33" i="2"/>
  <c r="FZ32" i="2"/>
  <c r="FZ31" i="2"/>
  <c r="FZ30" i="2"/>
  <c r="FZ29" i="2"/>
  <c r="FZ28" i="2"/>
  <c r="FZ27" i="2"/>
  <c r="FX26" i="2"/>
  <c r="FX66" i="2" s="1"/>
  <c r="FW26" i="2"/>
  <c r="FW66" i="2" s="1"/>
  <c r="FV26" i="2"/>
  <c r="FU26" i="2"/>
  <c r="FU66" i="2" s="1"/>
  <c r="FT26" i="2"/>
  <c r="FT66" i="2" s="1"/>
  <c r="FS26" i="2"/>
  <c r="FR26" i="2"/>
  <c r="FQ26" i="2"/>
  <c r="FP26" i="2"/>
  <c r="FO26" i="2"/>
  <c r="FN26" i="2"/>
  <c r="FN66" i="2" s="1"/>
  <c r="FM26" i="2"/>
  <c r="FM66" i="2" s="1"/>
  <c r="FL26" i="2"/>
  <c r="FL66" i="2" s="1"/>
  <c r="FK26" i="2"/>
  <c r="FK66" i="2" s="1"/>
  <c r="FJ26" i="2"/>
  <c r="FI26" i="2"/>
  <c r="FI66" i="2" s="1"/>
  <c r="FH26" i="2"/>
  <c r="FH66" i="2" s="1"/>
  <c r="FG26" i="2"/>
  <c r="FF26" i="2"/>
  <c r="FE26" i="2"/>
  <c r="FD26" i="2"/>
  <c r="FC26" i="2"/>
  <c r="FB26" i="2"/>
  <c r="FB66" i="2" s="1"/>
  <c r="FA26" i="2"/>
  <c r="FA66" i="2" s="1"/>
  <c r="EZ26" i="2"/>
  <c r="EZ66" i="2" s="1"/>
  <c r="EY26" i="2"/>
  <c r="EY66" i="2" s="1"/>
  <c r="EX26" i="2"/>
  <c r="EW26" i="2"/>
  <c r="EW66" i="2" s="1"/>
  <c r="EV26" i="2"/>
  <c r="EV66" i="2" s="1"/>
  <c r="EU26" i="2"/>
  <c r="ET26" i="2"/>
  <c r="ES26" i="2"/>
  <c r="ES66" i="2" s="1"/>
  <c r="ER26" i="2"/>
  <c r="EQ26" i="2"/>
  <c r="EP26" i="2"/>
  <c r="EP66" i="2" s="1"/>
  <c r="EO26" i="2"/>
  <c r="EO66" i="2" s="1"/>
  <c r="EN26" i="2"/>
  <c r="EN66" i="2" s="1"/>
  <c r="EM26" i="2"/>
  <c r="EM66" i="2" s="1"/>
  <c r="EL26" i="2"/>
  <c r="EK26" i="2"/>
  <c r="EK66" i="2" s="1"/>
  <c r="EJ26" i="2"/>
  <c r="EJ66" i="2" s="1"/>
  <c r="EI26" i="2"/>
  <c r="EH26" i="2"/>
  <c r="EG26" i="2"/>
  <c r="EG66" i="2" s="1"/>
  <c r="EF26" i="2"/>
  <c r="EE26" i="2"/>
  <c r="ED26" i="2"/>
  <c r="ED66" i="2" s="1"/>
  <c r="EC26" i="2"/>
  <c r="EC66" i="2" s="1"/>
  <c r="EB26" i="2"/>
  <c r="EB66" i="2" s="1"/>
  <c r="EA26" i="2"/>
  <c r="EA66" i="2" s="1"/>
  <c r="DZ26" i="2"/>
  <c r="DY26" i="2"/>
  <c r="DY66" i="2" s="1"/>
  <c r="DX26" i="2"/>
  <c r="DX66" i="2" s="1"/>
  <c r="DW26" i="2"/>
  <c r="DV26" i="2"/>
  <c r="DU26" i="2"/>
  <c r="DT26" i="2"/>
  <c r="DS26" i="2"/>
  <c r="DR26" i="2"/>
  <c r="DR66" i="2" s="1"/>
  <c r="DQ26" i="2"/>
  <c r="DQ66" i="2" s="1"/>
  <c r="DP26" i="2"/>
  <c r="DP66" i="2" s="1"/>
  <c r="DO26" i="2"/>
  <c r="DO66" i="2" s="1"/>
  <c r="DN26" i="2"/>
  <c r="DM26" i="2"/>
  <c r="DM66" i="2" s="1"/>
  <c r="DL26" i="2"/>
  <c r="DL66" i="2" s="1"/>
  <c r="DK26" i="2"/>
  <c r="DJ26" i="2"/>
  <c r="DI26" i="2"/>
  <c r="DH26" i="2"/>
  <c r="DG26" i="2"/>
  <c r="DF26" i="2"/>
  <c r="DF66" i="2" s="1"/>
  <c r="DE26" i="2"/>
  <c r="DE66" i="2" s="1"/>
  <c r="DD26" i="2"/>
  <c r="DD66" i="2" s="1"/>
  <c r="DC26" i="2"/>
  <c r="DC66" i="2" s="1"/>
  <c r="DB26" i="2"/>
  <c r="DA26" i="2"/>
  <c r="DA66" i="2" s="1"/>
  <c r="CZ26" i="2"/>
  <c r="CZ66" i="2" s="1"/>
  <c r="CY26" i="2"/>
  <c r="CX26" i="2"/>
  <c r="CW26" i="2"/>
  <c r="CV26" i="2"/>
  <c r="CU26" i="2"/>
  <c r="CT26" i="2"/>
  <c r="CT66" i="2" s="1"/>
  <c r="CS26" i="2"/>
  <c r="CS66" i="2" s="1"/>
  <c r="CR26" i="2"/>
  <c r="CR66" i="2" s="1"/>
  <c r="CQ26" i="2"/>
  <c r="CQ66" i="2" s="1"/>
  <c r="CP26" i="2"/>
  <c r="CO26" i="2"/>
  <c r="CO66" i="2" s="1"/>
  <c r="CN26" i="2"/>
  <c r="CN66" i="2" s="1"/>
  <c r="CM26" i="2"/>
  <c r="CL26" i="2"/>
  <c r="CK26" i="2"/>
  <c r="CJ26" i="2"/>
  <c r="CI26" i="2"/>
  <c r="CH26" i="2"/>
  <c r="CH66" i="2" s="1"/>
  <c r="CG26" i="2"/>
  <c r="CG66" i="2" s="1"/>
  <c r="CF26" i="2"/>
  <c r="CF66" i="2" s="1"/>
  <c r="CE26" i="2"/>
  <c r="CE66" i="2" s="1"/>
  <c r="CD26" i="2"/>
  <c r="CC26" i="2"/>
  <c r="CC66" i="2" s="1"/>
  <c r="CB26" i="2"/>
  <c r="CB66" i="2" s="1"/>
  <c r="CA26" i="2"/>
  <c r="BZ26" i="2"/>
  <c r="BY26" i="2"/>
  <c r="BX26" i="2"/>
  <c r="BW26" i="2"/>
  <c r="BV26" i="2"/>
  <c r="BV66" i="2" s="1"/>
  <c r="BU26" i="2"/>
  <c r="BU66" i="2" s="1"/>
  <c r="BT26" i="2"/>
  <c r="BT66" i="2" s="1"/>
  <c r="BS26" i="2"/>
  <c r="BS66" i="2" s="1"/>
  <c r="BR26" i="2"/>
  <c r="BQ26" i="2"/>
  <c r="BQ66" i="2" s="1"/>
  <c r="BP26" i="2"/>
  <c r="BP66" i="2" s="1"/>
  <c r="BO26" i="2"/>
  <c r="BN26" i="2"/>
  <c r="BM26" i="2"/>
  <c r="BM66" i="2" s="1"/>
  <c r="BL26" i="2"/>
  <c r="BK26" i="2"/>
  <c r="BJ26" i="2"/>
  <c r="BJ66" i="2" s="1"/>
  <c r="BI26" i="2"/>
  <c r="BI66" i="2" s="1"/>
  <c r="BH26" i="2"/>
  <c r="BH66" i="2" s="1"/>
  <c r="BG26" i="2"/>
  <c r="BG66" i="2" s="1"/>
  <c r="BF26" i="2"/>
  <c r="BE26" i="2"/>
  <c r="BE66" i="2" s="1"/>
  <c r="BD26" i="2"/>
  <c r="BD66" i="2" s="1"/>
  <c r="BC26" i="2"/>
  <c r="BB26" i="2"/>
  <c r="BA26" i="2"/>
  <c r="BA66" i="2" s="1"/>
  <c r="AZ26" i="2"/>
  <c r="AY26" i="2"/>
  <c r="AX26" i="2"/>
  <c r="AX66" i="2" s="1"/>
  <c r="AW26" i="2"/>
  <c r="AW66" i="2" s="1"/>
  <c r="AV26" i="2"/>
  <c r="AV66" i="2" s="1"/>
  <c r="AU26" i="2"/>
  <c r="AU66" i="2" s="1"/>
  <c r="AT26" i="2"/>
  <c r="AS26" i="2"/>
  <c r="AS66" i="2" s="1"/>
  <c r="AR26" i="2"/>
  <c r="AR66" i="2" s="1"/>
  <c r="AQ26" i="2"/>
  <c r="AP26" i="2"/>
  <c r="AO26" i="2"/>
  <c r="AN26" i="2"/>
  <c r="AM26" i="2"/>
  <c r="AL26" i="2"/>
  <c r="AL66" i="2" s="1"/>
  <c r="AK26" i="2"/>
  <c r="AK66" i="2" s="1"/>
  <c r="AJ26" i="2"/>
  <c r="AJ66" i="2" s="1"/>
  <c r="AI26" i="2"/>
  <c r="AI66" i="2" s="1"/>
  <c r="AH26" i="2"/>
  <c r="AG26" i="2"/>
  <c r="AG66" i="2" s="1"/>
  <c r="AF26" i="2"/>
  <c r="AF66" i="2" s="1"/>
  <c r="AE26" i="2"/>
  <c r="AD26" i="2"/>
  <c r="AC26" i="2"/>
  <c r="AB26" i="2"/>
  <c r="AA26" i="2"/>
  <c r="Z26" i="2"/>
  <c r="Z66" i="2" s="1"/>
  <c r="Y26" i="2"/>
  <c r="Y66" i="2" s="1"/>
  <c r="X26" i="2"/>
  <c r="X66" i="2" s="1"/>
  <c r="W26" i="2"/>
  <c r="W66" i="2" s="1"/>
  <c r="V26" i="2"/>
  <c r="U26" i="2"/>
  <c r="U66" i="2" s="1"/>
  <c r="T26" i="2"/>
  <c r="T66" i="2" s="1"/>
  <c r="S26" i="2"/>
  <c r="R26" i="2"/>
  <c r="Q26" i="2"/>
  <c r="P26" i="2"/>
  <c r="O26" i="2"/>
  <c r="N26" i="2"/>
  <c r="N66" i="2" s="1"/>
  <c r="M26" i="2"/>
  <c r="M66" i="2" s="1"/>
  <c r="L26" i="2"/>
  <c r="L66" i="2" s="1"/>
  <c r="K26" i="2"/>
  <c r="K66" i="2" s="1"/>
  <c r="J26" i="2"/>
  <c r="I26" i="2"/>
  <c r="I66" i="2" s="1"/>
  <c r="H26" i="2"/>
  <c r="H66" i="2" s="1"/>
  <c r="G26" i="2"/>
  <c r="F26" i="2"/>
  <c r="E26" i="2"/>
  <c r="D26" i="2"/>
  <c r="C26" i="2"/>
  <c r="FX25" i="2"/>
  <c r="FX65" i="2" s="1"/>
  <c r="FW25" i="2"/>
  <c r="FW65" i="2" s="1"/>
  <c r="FV25" i="2"/>
  <c r="FV65" i="2" s="1"/>
  <c r="FU25" i="2"/>
  <c r="FT25" i="2"/>
  <c r="FT65" i="2" s="1"/>
  <c r="FS25" i="2"/>
  <c r="FS65" i="2" s="1"/>
  <c r="FR25" i="2"/>
  <c r="FQ25" i="2"/>
  <c r="FP25" i="2"/>
  <c r="FP65" i="2" s="1"/>
  <c r="FO25" i="2"/>
  <c r="FN25" i="2"/>
  <c r="FM25" i="2"/>
  <c r="FM65" i="2" s="1"/>
  <c r="FL25" i="2"/>
  <c r="FL65" i="2" s="1"/>
  <c r="FK25" i="2"/>
  <c r="FK65" i="2" s="1"/>
  <c r="FJ25" i="2"/>
  <c r="FJ65" i="2" s="1"/>
  <c r="FI25" i="2"/>
  <c r="FH25" i="2"/>
  <c r="FH65" i="2" s="1"/>
  <c r="FG25" i="2"/>
  <c r="FG65" i="2" s="1"/>
  <c r="FF25" i="2"/>
  <c r="FE25" i="2"/>
  <c r="FD25" i="2"/>
  <c r="FC25" i="2"/>
  <c r="FB25" i="2"/>
  <c r="FA25" i="2"/>
  <c r="FA65" i="2" s="1"/>
  <c r="EZ25" i="2"/>
  <c r="EZ65" i="2" s="1"/>
  <c r="EY25" i="2"/>
  <c r="EY65" i="2" s="1"/>
  <c r="EX25" i="2"/>
  <c r="EX65" i="2" s="1"/>
  <c r="EW25" i="2"/>
  <c r="EV25" i="2"/>
  <c r="EV65" i="2" s="1"/>
  <c r="EU25" i="2"/>
  <c r="EU65" i="2" s="1"/>
  <c r="ET25" i="2"/>
  <c r="ES25" i="2"/>
  <c r="ER25" i="2"/>
  <c r="ER65" i="2" s="1"/>
  <c r="EQ25" i="2"/>
  <c r="EP25" i="2"/>
  <c r="EO25" i="2"/>
  <c r="EO65" i="2" s="1"/>
  <c r="EN25" i="2"/>
  <c r="EN65" i="2" s="1"/>
  <c r="EM25" i="2"/>
  <c r="EM65" i="2" s="1"/>
  <c r="EL25" i="2"/>
  <c r="EL65" i="2" s="1"/>
  <c r="EK25" i="2"/>
  <c r="EJ25" i="2"/>
  <c r="EJ65" i="2" s="1"/>
  <c r="EI25" i="2"/>
  <c r="EI65" i="2" s="1"/>
  <c r="EH25" i="2"/>
  <c r="EG25" i="2"/>
  <c r="EF25" i="2"/>
  <c r="EE25" i="2"/>
  <c r="ED25" i="2"/>
  <c r="EC25" i="2"/>
  <c r="EC65" i="2" s="1"/>
  <c r="EB25" i="2"/>
  <c r="EB65" i="2" s="1"/>
  <c r="EA25" i="2"/>
  <c r="EA65" i="2" s="1"/>
  <c r="DZ25" i="2"/>
  <c r="DZ65" i="2" s="1"/>
  <c r="DY25" i="2"/>
  <c r="DX25" i="2"/>
  <c r="DX65" i="2" s="1"/>
  <c r="DW25" i="2"/>
  <c r="DW65" i="2" s="1"/>
  <c r="DV25" i="2"/>
  <c r="DU25" i="2"/>
  <c r="DT25" i="2"/>
  <c r="DS25" i="2"/>
  <c r="DR25" i="2"/>
  <c r="DQ25" i="2"/>
  <c r="DQ25" i="5" s="1"/>
  <c r="DQ87" i="5" s="1"/>
  <c r="DP25" i="2"/>
  <c r="DP65" i="2" s="1"/>
  <c r="DO25" i="2"/>
  <c r="DO65" i="2" s="1"/>
  <c r="DN25" i="2"/>
  <c r="DN65" i="2" s="1"/>
  <c r="DM25" i="2"/>
  <c r="DL25" i="2"/>
  <c r="DL65" i="2" s="1"/>
  <c r="DK25" i="2"/>
  <c r="DK65" i="2" s="1"/>
  <c r="DJ25" i="2"/>
  <c r="DI25" i="2"/>
  <c r="DH25" i="2"/>
  <c r="DG25" i="2"/>
  <c r="DF25" i="2"/>
  <c r="DE25" i="2"/>
  <c r="DE65" i="2" s="1"/>
  <c r="DD25" i="2"/>
  <c r="DD65" i="2" s="1"/>
  <c r="DC25" i="2"/>
  <c r="DC65" i="2" s="1"/>
  <c r="DB25" i="2"/>
  <c r="DB65" i="2" s="1"/>
  <c r="DA25" i="2"/>
  <c r="CZ25" i="2"/>
  <c r="CZ65" i="2" s="1"/>
  <c r="CY25" i="2"/>
  <c r="CY65" i="2" s="1"/>
  <c r="CX25" i="2"/>
  <c r="CW25" i="2"/>
  <c r="CV25" i="2"/>
  <c r="CU25" i="2"/>
  <c r="CT25" i="2"/>
  <c r="CS25" i="2"/>
  <c r="CS65" i="2" s="1"/>
  <c r="CR25" i="2"/>
  <c r="CR65" i="2" s="1"/>
  <c r="CQ25" i="2"/>
  <c r="CQ65" i="2" s="1"/>
  <c r="CP25" i="2"/>
  <c r="CP65" i="2" s="1"/>
  <c r="CO25" i="2"/>
  <c r="CN25" i="2"/>
  <c r="CN65" i="2" s="1"/>
  <c r="CM25" i="2"/>
  <c r="CM65" i="2" s="1"/>
  <c r="CL25" i="2"/>
  <c r="CK25" i="2"/>
  <c r="CJ25" i="2"/>
  <c r="CJ65" i="2" s="1"/>
  <c r="CI25" i="2"/>
  <c r="CH25" i="2"/>
  <c r="CG25" i="2"/>
  <c r="CG65" i="2" s="1"/>
  <c r="CF25" i="2"/>
  <c r="CF65" i="2" s="1"/>
  <c r="CE25" i="2"/>
  <c r="CE65" i="2" s="1"/>
  <c r="CD25" i="2"/>
  <c r="CD65" i="2" s="1"/>
  <c r="CC25" i="2"/>
  <c r="CB25" i="2"/>
  <c r="CB65" i="2" s="1"/>
  <c r="CA25" i="2"/>
  <c r="CA65" i="2" s="1"/>
  <c r="BZ25" i="2"/>
  <c r="BY25" i="2"/>
  <c r="BX25" i="2"/>
  <c r="BW25" i="2"/>
  <c r="BV25" i="2"/>
  <c r="BU25" i="2"/>
  <c r="BU65" i="2" s="1"/>
  <c r="BT25" i="2"/>
  <c r="BT65" i="2" s="1"/>
  <c r="BS25" i="2"/>
  <c r="BS65" i="2" s="1"/>
  <c r="BR25" i="2"/>
  <c r="BR65" i="2" s="1"/>
  <c r="BQ25" i="2"/>
  <c r="BP25" i="2"/>
  <c r="BP65" i="2" s="1"/>
  <c r="BO25" i="2"/>
  <c r="BO65" i="2" s="1"/>
  <c r="BN25" i="2"/>
  <c r="BM25" i="2"/>
  <c r="BL25" i="2"/>
  <c r="BL65" i="2" s="1"/>
  <c r="BK25" i="2"/>
  <c r="BJ25" i="2"/>
  <c r="BI25" i="2"/>
  <c r="BI65" i="2" s="1"/>
  <c r="BH25" i="2"/>
  <c r="BH65" i="2" s="1"/>
  <c r="BG25" i="2"/>
  <c r="BG65" i="2" s="1"/>
  <c r="BF25" i="2"/>
  <c r="BF65" i="2" s="1"/>
  <c r="BE25" i="2"/>
  <c r="BD25" i="2"/>
  <c r="BD65" i="2" s="1"/>
  <c r="BC25" i="2"/>
  <c r="BC65" i="2" s="1"/>
  <c r="BB25" i="2"/>
  <c r="BA25" i="2"/>
  <c r="AZ25" i="2"/>
  <c r="AY25" i="2"/>
  <c r="AX25" i="2"/>
  <c r="AW25" i="2"/>
  <c r="AW65" i="2" s="1"/>
  <c r="AV25" i="2"/>
  <c r="AV65" i="2" s="1"/>
  <c r="AU25" i="2"/>
  <c r="AU65" i="2" s="1"/>
  <c r="AT25" i="2"/>
  <c r="AT65" i="2" s="1"/>
  <c r="AS25" i="2"/>
  <c r="AR25" i="2"/>
  <c r="AR65" i="2" s="1"/>
  <c r="AQ25" i="2"/>
  <c r="AQ65" i="2" s="1"/>
  <c r="AP25" i="2"/>
  <c r="AO25" i="2"/>
  <c r="AN25" i="2"/>
  <c r="AM25" i="2"/>
  <c r="AL25" i="2"/>
  <c r="AK25" i="2"/>
  <c r="AK65" i="2" s="1"/>
  <c r="AJ25" i="2"/>
  <c r="AJ65" i="2" s="1"/>
  <c r="AI25" i="2"/>
  <c r="AI65" i="2" s="1"/>
  <c r="AH25" i="2"/>
  <c r="AH65" i="2" s="1"/>
  <c r="AG25" i="2"/>
  <c r="AF25" i="2"/>
  <c r="AF65" i="2" s="1"/>
  <c r="AE25" i="2"/>
  <c r="AE65" i="2" s="1"/>
  <c r="AD25" i="2"/>
  <c r="AC25" i="2"/>
  <c r="AB25" i="2"/>
  <c r="AA25" i="2"/>
  <c r="Z25" i="2"/>
  <c r="Y25" i="2"/>
  <c r="Y65" i="2" s="1"/>
  <c r="X25" i="2"/>
  <c r="X65" i="2" s="1"/>
  <c r="W25" i="2"/>
  <c r="W65" i="2" s="1"/>
  <c r="V25" i="2"/>
  <c r="V65" i="2" s="1"/>
  <c r="U25" i="2"/>
  <c r="T25" i="2"/>
  <c r="T65" i="2" s="1"/>
  <c r="S25" i="2"/>
  <c r="S65" i="2" s="1"/>
  <c r="R25" i="2"/>
  <c r="Q25" i="2"/>
  <c r="P25" i="2"/>
  <c r="O25" i="2"/>
  <c r="N25" i="2"/>
  <c r="M25" i="2"/>
  <c r="M65" i="2" s="1"/>
  <c r="L25" i="2"/>
  <c r="L65" i="2" s="1"/>
  <c r="K25" i="2"/>
  <c r="K65" i="2" s="1"/>
  <c r="J25" i="2"/>
  <c r="J65" i="2" s="1"/>
  <c r="I25" i="2"/>
  <c r="H25" i="2"/>
  <c r="H65" i="2" s="1"/>
  <c r="G25" i="2"/>
  <c r="G65" i="2" s="1"/>
  <c r="F25" i="2"/>
  <c r="E25" i="2"/>
  <c r="D25" i="2"/>
  <c r="D65" i="2" s="1"/>
  <c r="C25" i="2"/>
  <c r="FX24" i="2"/>
  <c r="FX64" i="2" s="1"/>
  <c r="FW24" i="2"/>
  <c r="FW64" i="2" s="1"/>
  <c r="FV24" i="2"/>
  <c r="FV64" i="2" s="1"/>
  <c r="FU24" i="2"/>
  <c r="FU64" i="2" s="1"/>
  <c r="FT24" i="2"/>
  <c r="FS24" i="2"/>
  <c r="FS64" i="2" s="1"/>
  <c r="FR24" i="2"/>
  <c r="FR64" i="2" s="1"/>
  <c r="FQ24" i="2"/>
  <c r="FP24" i="2"/>
  <c r="FO24" i="2"/>
  <c r="FN24" i="2"/>
  <c r="FM24" i="2"/>
  <c r="FL24" i="2"/>
  <c r="FL64" i="2" s="1"/>
  <c r="FK24" i="2"/>
  <c r="FK64" i="2" s="1"/>
  <c r="FJ24" i="2"/>
  <c r="FJ64" i="2" s="1"/>
  <c r="FI24" i="2"/>
  <c r="FI64" i="2" s="1"/>
  <c r="FH24" i="2"/>
  <c r="FG24" i="2"/>
  <c r="FG64" i="2" s="1"/>
  <c r="FF24" i="2"/>
  <c r="FF64" i="2" s="1"/>
  <c r="FE24" i="2"/>
  <c r="FD24" i="2"/>
  <c r="FC24" i="2"/>
  <c r="FB24" i="2"/>
  <c r="FA24" i="2"/>
  <c r="EZ24" i="2"/>
  <c r="EZ64" i="2" s="1"/>
  <c r="EY24" i="2"/>
  <c r="EY64" i="2" s="1"/>
  <c r="EX24" i="2"/>
  <c r="EX64" i="2" s="1"/>
  <c r="EW24" i="2"/>
  <c r="EW64" i="2" s="1"/>
  <c r="EV24" i="2"/>
  <c r="EU24" i="2"/>
  <c r="EU64" i="2" s="1"/>
  <c r="ET24" i="2"/>
  <c r="ET64" i="2" s="1"/>
  <c r="ES24" i="2"/>
  <c r="ER24" i="2"/>
  <c r="EQ24" i="2"/>
  <c r="EQ64" i="2" s="1"/>
  <c r="EP24" i="2"/>
  <c r="EO24" i="2"/>
  <c r="EN24" i="2"/>
  <c r="EN64" i="2" s="1"/>
  <c r="EM24" i="2"/>
  <c r="EM64" i="2" s="1"/>
  <c r="EL24" i="2"/>
  <c r="EL64" i="2" s="1"/>
  <c r="EK24" i="2"/>
  <c r="EK64" i="2" s="1"/>
  <c r="EJ24" i="2"/>
  <c r="EI24" i="2"/>
  <c r="EI64" i="2" s="1"/>
  <c r="EH24" i="2"/>
  <c r="EH64" i="2" s="1"/>
  <c r="EG24" i="2"/>
  <c r="EF24" i="2"/>
  <c r="EE24" i="2"/>
  <c r="ED24" i="2"/>
  <c r="EC24" i="2"/>
  <c r="EB24" i="2"/>
  <c r="EB64" i="2" s="1"/>
  <c r="EA24" i="2"/>
  <c r="EA64" i="2" s="1"/>
  <c r="DZ24" i="2"/>
  <c r="DZ64" i="2" s="1"/>
  <c r="DY24" i="2"/>
  <c r="DY64" i="2" s="1"/>
  <c r="DX24" i="2"/>
  <c r="DW24" i="2"/>
  <c r="DW64" i="2" s="1"/>
  <c r="DV24" i="2"/>
  <c r="DV64" i="2" s="1"/>
  <c r="DU24" i="2"/>
  <c r="DT24" i="2"/>
  <c r="DS24" i="2"/>
  <c r="DR24" i="2"/>
  <c r="DQ24" i="2"/>
  <c r="DP24" i="2"/>
  <c r="DP64" i="2" s="1"/>
  <c r="DO24" i="2"/>
  <c r="DO64" i="2" s="1"/>
  <c r="DN24" i="2"/>
  <c r="DN64" i="2" s="1"/>
  <c r="DM24" i="2"/>
  <c r="DM64" i="2" s="1"/>
  <c r="DL24" i="2"/>
  <c r="DK24" i="2"/>
  <c r="DK64" i="2" s="1"/>
  <c r="DJ24" i="2"/>
  <c r="DJ64" i="2" s="1"/>
  <c r="DI24" i="2"/>
  <c r="DH24" i="2"/>
  <c r="DG24" i="2"/>
  <c r="DF24" i="2"/>
  <c r="DE24" i="2"/>
  <c r="DD24" i="2"/>
  <c r="DD64" i="2" s="1"/>
  <c r="DC24" i="2"/>
  <c r="DC64" i="2" s="1"/>
  <c r="DB24" i="2"/>
  <c r="DB64" i="2" s="1"/>
  <c r="DA24" i="2"/>
  <c r="DA64" i="2" s="1"/>
  <c r="CZ24" i="2"/>
  <c r="CY24" i="2"/>
  <c r="CY64" i="2" s="1"/>
  <c r="CX24" i="2"/>
  <c r="CX64" i="2" s="1"/>
  <c r="CW24" i="2"/>
  <c r="CV24" i="2"/>
  <c r="CU24" i="2"/>
  <c r="CU64" i="2" s="1"/>
  <c r="CT24" i="2"/>
  <c r="CS24" i="2"/>
  <c r="CR24" i="2"/>
  <c r="CR64" i="2" s="1"/>
  <c r="CQ24" i="2"/>
  <c r="CQ64" i="2" s="1"/>
  <c r="CP24" i="2"/>
  <c r="CP64" i="2" s="1"/>
  <c r="CO24" i="2"/>
  <c r="CO64" i="2" s="1"/>
  <c r="CN24" i="2"/>
  <c r="CM24" i="2"/>
  <c r="CM64" i="2" s="1"/>
  <c r="CL24" i="2"/>
  <c r="CL64" i="2" s="1"/>
  <c r="CK24" i="2"/>
  <c r="CJ24" i="2"/>
  <c r="CI24" i="2"/>
  <c r="CH24" i="2"/>
  <c r="CG24" i="2"/>
  <c r="CF24" i="2"/>
  <c r="CF64" i="2" s="1"/>
  <c r="CE24" i="2"/>
  <c r="CE64" i="2" s="1"/>
  <c r="CD24" i="2"/>
  <c r="CD64" i="2" s="1"/>
  <c r="CC24" i="2"/>
  <c r="CC64" i="2" s="1"/>
  <c r="CB24" i="2"/>
  <c r="CA24" i="2"/>
  <c r="CA64" i="2" s="1"/>
  <c r="BZ24" i="2"/>
  <c r="BZ64" i="2" s="1"/>
  <c r="BY24" i="2"/>
  <c r="BX24" i="2"/>
  <c r="BW24" i="2"/>
  <c r="BV24" i="2"/>
  <c r="BU24" i="2"/>
  <c r="BT24" i="2"/>
  <c r="BT64" i="2" s="1"/>
  <c r="BS24" i="2"/>
  <c r="BS64" i="2" s="1"/>
  <c r="BR24" i="2"/>
  <c r="BR64" i="2" s="1"/>
  <c r="BQ24" i="2"/>
  <c r="BQ64" i="2" s="1"/>
  <c r="BP24" i="2"/>
  <c r="BO24" i="2"/>
  <c r="BO64" i="2" s="1"/>
  <c r="BN24" i="2"/>
  <c r="BN64" i="2" s="1"/>
  <c r="BM24" i="2"/>
  <c r="BL24" i="2"/>
  <c r="BK24" i="2"/>
  <c r="BK64" i="2" s="1"/>
  <c r="BJ24" i="2"/>
  <c r="BI24" i="2"/>
  <c r="BH24" i="2"/>
  <c r="BH64" i="2" s="1"/>
  <c r="BG24" i="2"/>
  <c r="BG64" i="2" s="1"/>
  <c r="BF24" i="2"/>
  <c r="BF64" i="2" s="1"/>
  <c r="BE24" i="2"/>
  <c r="BE64" i="2" s="1"/>
  <c r="BD24" i="2"/>
  <c r="BC24" i="2"/>
  <c r="BC64" i="2" s="1"/>
  <c r="BB24" i="2"/>
  <c r="BB64" i="2" s="1"/>
  <c r="BA24" i="2"/>
  <c r="AZ24" i="2"/>
  <c r="AY24" i="2"/>
  <c r="AX24" i="2"/>
  <c r="AW24" i="2"/>
  <c r="AV24" i="2"/>
  <c r="AV64" i="2" s="1"/>
  <c r="AU24" i="2"/>
  <c r="AU64" i="2" s="1"/>
  <c r="AT24" i="2"/>
  <c r="AT64" i="2" s="1"/>
  <c r="AS24" i="2"/>
  <c r="AS64" i="2" s="1"/>
  <c r="AR24" i="2"/>
  <c r="AQ24" i="2"/>
  <c r="AQ64" i="2" s="1"/>
  <c r="AP24" i="2"/>
  <c r="AP64" i="2" s="1"/>
  <c r="AO24" i="2"/>
  <c r="AN24" i="2"/>
  <c r="AM24" i="2"/>
  <c r="AL24" i="2"/>
  <c r="AK24" i="2"/>
  <c r="AJ24" i="2"/>
  <c r="AJ64" i="2" s="1"/>
  <c r="AI24" i="2"/>
  <c r="AI64" i="2" s="1"/>
  <c r="AH24" i="2"/>
  <c r="AH64" i="2" s="1"/>
  <c r="AG24" i="2"/>
  <c r="AG64" i="2" s="1"/>
  <c r="AF24" i="2"/>
  <c r="AE24" i="2"/>
  <c r="AE64" i="2" s="1"/>
  <c r="AD24" i="2"/>
  <c r="AD64" i="2" s="1"/>
  <c r="AC24" i="2"/>
  <c r="AB24" i="2"/>
  <c r="AA24" i="2"/>
  <c r="Z24" i="2"/>
  <c r="Y24" i="2"/>
  <c r="X24" i="2"/>
  <c r="X64" i="2" s="1"/>
  <c r="W24" i="2"/>
  <c r="W64" i="2" s="1"/>
  <c r="V24" i="2"/>
  <c r="V64" i="2" s="1"/>
  <c r="U24" i="2"/>
  <c r="U64" i="2" s="1"/>
  <c r="T24" i="2"/>
  <c r="S24" i="2"/>
  <c r="S64" i="2" s="1"/>
  <c r="R24" i="2"/>
  <c r="R64" i="2" s="1"/>
  <c r="Q24" i="2"/>
  <c r="P24" i="2"/>
  <c r="O24" i="2"/>
  <c r="O64" i="2" s="1"/>
  <c r="N24" i="2"/>
  <c r="M24" i="2"/>
  <c r="L24" i="2"/>
  <c r="L64" i="2" s="1"/>
  <c r="K24" i="2"/>
  <c r="K64" i="2" s="1"/>
  <c r="J24" i="2"/>
  <c r="J64" i="2" s="1"/>
  <c r="I24" i="2"/>
  <c r="I64" i="2" s="1"/>
  <c r="H24" i="2"/>
  <c r="G24" i="2"/>
  <c r="G64" i="2" s="1"/>
  <c r="F24" i="2"/>
  <c r="F64" i="2" s="1"/>
  <c r="E24" i="2"/>
  <c r="D24" i="2"/>
  <c r="C24" i="2"/>
  <c r="FZ24" i="2" s="1"/>
  <c r="FZ23" i="2"/>
  <c r="FZ22" i="2"/>
  <c r="FZ21" i="2"/>
  <c r="FZ20" i="2"/>
  <c r="FZ18" i="2"/>
  <c r="FZ17" i="2"/>
  <c r="FX16" i="2"/>
  <c r="FX63" i="2" s="1"/>
  <c r="FT16" i="2"/>
  <c r="FT63" i="2" s="1"/>
  <c r="FM16" i="2"/>
  <c r="FM63" i="2" s="1"/>
  <c r="FL16" i="2"/>
  <c r="FL63" i="2" s="1"/>
  <c r="FH16" i="2"/>
  <c r="FH63" i="2" s="1"/>
  <c r="FH67" i="2" s="1"/>
  <c r="FH72" i="2" s="1"/>
  <c r="FA16" i="2"/>
  <c r="FA63" i="2" s="1"/>
  <c r="EZ16" i="2"/>
  <c r="EZ63" i="2" s="1"/>
  <c r="EV16" i="2"/>
  <c r="EV63" i="2" s="1"/>
  <c r="EO16" i="2"/>
  <c r="EO63" i="2" s="1"/>
  <c r="EN16" i="2"/>
  <c r="EN63" i="2" s="1"/>
  <c r="EJ16" i="2"/>
  <c r="EJ63" i="2" s="1"/>
  <c r="EJ67" i="2" s="1"/>
  <c r="EJ72" i="2" s="1"/>
  <c r="EC16" i="2"/>
  <c r="EC63" i="2" s="1"/>
  <c r="EB16" i="2"/>
  <c r="EB63" i="2" s="1"/>
  <c r="DX16" i="2"/>
  <c r="DX63" i="2" s="1"/>
  <c r="DQ16" i="2"/>
  <c r="DQ63" i="2" s="1"/>
  <c r="DP16" i="2"/>
  <c r="DP63" i="2" s="1"/>
  <c r="DL16" i="2"/>
  <c r="DL63" i="2" s="1"/>
  <c r="DL67" i="2" s="1"/>
  <c r="DL72" i="2" s="1"/>
  <c r="DE16" i="2"/>
  <c r="DE63" i="2" s="1"/>
  <c r="DD16" i="2"/>
  <c r="DD63" i="2" s="1"/>
  <c r="CZ16" i="2"/>
  <c r="CZ63" i="2" s="1"/>
  <c r="CS16" i="2"/>
  <c r="CS63" i="2" s="1"/>
  <c r="CR16" i="2"/>
  <c r="CR63" i="2" s="1"/>
  <c r="CN16" i="2"/>
  <c r="CN63" i="2" s="1"/>
  <c r="CN67" i="2" s="1"/>
  <c r="CN72" i="2" s="1"/>
  <c r="CG16" i="2"/>
  <c r="CG63" i="2" s="1"/>
  <c r="CF16" i="2"/>
  <c r="CF63" i="2" s="1"/>
  <c r="CB16" i="2"/>
  <c r="CB63" i="2" s="1"/>
  <c r="BU16" i="2"/>
  <c r="BU63" i="2" s="1"/>
  <c r="BT16" i="2"/>
  <c r="BT63" i="2" s="1"/>
  <c r="BP16" i="2"/>
  <c r="BP63" i="2" s="1"/>
  <c r="BP67" i="2" s="1"/>
  <c r="BP72" i="2" s="1"/>
  <c r="BI16" i="2"/>
  <c r="BI63" i="2" s="1"/>
  <c r="BH16" i="2"/>
  <c r="BH63" i="2" s="1"/>
  <c r="BD16" i="2"/>
  <c r="BD63" i="2" s="1"/>
  <c r="AW16" i="2"/>
  <c r="AW63" i="2" s="1"/>
  <c r="AV16" i="2"/>
  <c r="AV63" i="2" s="1"/>
  <c r="AR16" i="2"/>
  <c r="AR63" i="2" s="1"/>
  <c r="AR67" i="2" s="1"/>
  <c r="AR72" i="2" s="1"/>
  <c r="AK16" i="2"/>
  <c r="AK63" i="2" s="1"/>
  <c r="AJ16" i="2"/>
  <c r="AJ63" i="2" s="1"/>
  <c r="AF16" i="2"/>
  <c r="AF63" i="2" s="1"/>
  <c r="Y16" i="2"/>
  <c r="Y63" i="2" s="1"/>
  <c r="X16" i="2"/>
  <c r="X63" i="2" s="1"/>
  <c r="T16" i="2"/>
  <c r="T63" i="2" s="1"/>
  <c r="T67" i="2" s="1"/>
  <c r="T72" i="2" s="1"/>
  <c r="M16" i="2"/>
  <c r="M63" i="2" s="1"/>
  <c r="L16" i="2"/>
  <c r="L63" i="2" s="1"/>
  <c r="H16" i="2"/>
  <c r="H63" i="2" s="1"/>
  <c r="FZ15" i="2"/>
  <c r="FZ14" i="2"/>
  <c r="FZ13" i="2"/>
  <c r="FZ12" i="2"/>
  <c r="FX11" i="2"/>
  <c r="FW11" i="2"/>
  <c r="FW16" i="2" s="1"/>
  <c r="FW63" i="2" s="1"/>
  <c r="FV11" i="2"/>
  <c r="FV16" i="2" s="1"/>
  <c r="FV63" i="2" s="1"/>
  <c r="FU11" i="2"/>
  <c r="FU16" i="2" s="1"/>
  <c r="FU63" i="2" s="1"/>
  <c r="FT11" i="2"/>
  <c r="FS11" i="2"/>
  <c r="FS16" i="2" s="1"/>
  <c r="FS63" i="2" s="1"/>
  <c r="FR11" i="2"/>
  <c r="FR16" i="2" s="1"/>
  <c r="FR63" i="2" s="1"/>
  <c r="FQ11" i="2"/>
  <c r="FQ16" i="2" s="1"/>
  <c r="FQ63" i="2" s="1"/>
  <c r="FP11" i="2"/>
  <c r="FP16" i="2" s="1"/>
  <c r="FP63" i="2" s="1"/>
  <c r="FO11" i="2"/>
  <c r="FO16" i="2" s="1"/>
  <c r="FO63" i="2" s="1"/>
  <c r="FN11" i="2"/>
  <c r="FN16" i="2" s="1"/>
  <c r="FN63" i="2" s="1"/>
  <c r="FM11" i="2"/>
  <c r="FL11" i="2"/>
  <c r="FK11" i="2"/>
  <c r="FK16" i="2" s="1"/>
  <c r="FK63" i="2" s="1"/>
  <c r="FJ11" i="2"/>
  <c r="FJ16" i="2" s="1"/>
  <c r="FJ63" i="2" s="1"/>
  <c r="FI11" i="2"/>
  <c r="FI16" i="2" s="1"/>
  <c r="FI63" i="2" s="1"/>
  <c r="FH11" i="2"/>
  <c r="FG11" i="2"/>
  <c r="FG16" i="2" s="1"/>
  <c r="FG63" i="2" s="1"/>
  <c r="FF11" i="2"/>
  <c r="FF16" i="2" s="1"/>
  <c r="FF63" i="2" s="1"/>
  <c r="FE11" i="2"/>
  <c r="FE16" i="2" s="1"/>
  <c r="FE63" i="2" s="1"/>
  <c r="FD11" i="2"/>
  <c r="FD16" i="2" s="1"/>
  <c r="FD63" i="2" s="1"/>
  <c r="FC11" i="2"/>
  <c r="FC16" i="2" s="1"/>
  <c r="FC63" i="2" s="1"/>
  <c r="FB11" i="2"/>
  <c r="FB16" i="2" s="1"/>
  <c r="FB63" i="2" s="1"/>
  <c r="FA11" i="2"/>
  <c r="EZ11" i="2"/>
  <c r="EY11" i="2"/>
  <c r="EY16" i="2" s="1"/>
  <c r="EY63" i="2" s="1"/>
  <c r="EX11" i="2"/>
  <c r="EX16" i="2" s="1"/>
  <c r="EX63" i="2" s="1"/>
  <c r="EW11" i="2"/>
  <c r="EW16" i="2" s="1"/>
  <c r="EW63" i="2" s="1"/>
  <c r="EV11" i="2"/>
  <c r="EU11" i="2"/>
  <c r="EU16" i="2" s="1"/>
  <c r="EU63" i="2" s="1"/>
  <c r="ET11" i="2"/>
  <c r="ET16" i="2" s="1"/>
  <c r="ET63" i="2" s="1"/>
  <c r="ES11" i="2"/>
  <c r="ES16" i="2" s="1"/>
  <c r="ES63" i="2" s="1"/>
  <c r="ER11" i="2"/>
  <c r="ER16" i="2" s="1"/>
  <c r="ER63" i="2" s="1"/>
  <c r="EQ11" i="2"/>
  <c r="EQ16" i="2" s="1"/>
  <c r="EQ63" i="2" s="1"/>
  <c r="EP11" i="2"/>
  <c r="EP16" i="2" s="1"/>
  <c r="EP63" i="2" s="1"/>
  <c r="EO11" i="2"/>
  <c r="EN11" i="2"/>
  <c r="EM11" i="2"/>
  <c r="EM16" i="2" s="1"/>
  <c r="EM63" i="2" s="1"/>
  <c r="EL11" i="2"/>
  <c r="EL16" i="2" s="1"/>
  <c r="EL63" i="2" s="1"/>
  <c r="EK11" i="2"/>
  <c r="EK16" i="2" s="1"/>
  <c r="EK63" i="2" s="1"/>
  <c r="EJ11" i="2"/>
  <c r="EI11" i="2"/>
  <c r="EI16" i="2" s="1"/>
  <c r="EI63" i="2" s="1"/>
  <c r="EH11" i="2"/>
  <c r="EH16" i="2" s="1"/>
  <c r="EH63" i="2" s="1"/>
  <c r="EG11" i="2"/>
  <c r="EG16" i="2" s="1"/>
  <c r="EG63" i="2" s="1"/>
  <c r="EF11" i="2"/>
  <c r="EF16" i="2" s="1"/>
  <c r="EF63" i="2" s="1"/>
  <c r="EE11" i="2"/>
  <c r="EE16" i="2" s="1"/>
  <c r="EE63" i="2" s="1"/>
  <c r="ED11" i="2"/>
  <c r="ED16" i="2" s="1"/>
  <c r="ED63" i="2" s="1"/>
  <c r="EC11" i="2"/>
  <c r="EB11" i="2"/>
  <c r="EA11" i="2"/>
  <c r="EA16" i="2" s="1"/>
  <c r="EA63" i="2" s="1"/>
  <c r="DZ11" i="2"/>
  <c r="DZ16" i="2" s="1"/>
  <c r="DZ63" i="2" s="1"/>
  <c r="DY11" i="2"/>
  <c r="DY16" i="2" s="1"/>
  <c r="DY63" i="2" s="1"/>
  <c r="DX11" i="2"/>
  <c r="DW11" i="2"/>
  <c r="DW16" i="2" s="1"/>
  <c r="DW63" i="2" s="1"/>
  <c r="DV11" i="2"/>
  <c r="DV16" i="2" s="1"/>
  <c r="DV63" i="2" s="1"/>
  <c r="DU11" i="2"/>
  <c r="DU16" i="2" s="1"/>
  <c r="DU63" i="2" s="1"/>
  <c r="DT11" i="2"/>
  <c r="DT16" i="2" s="1"/>
  <c r="DT63" i="2" s="1"/>
  <c r="DS11" i="2"/>
  <c r="DS16" i="2" s="1"/>
  <c r="DS63" i="2" s="1"/>
  <c r="DR11" i="2"/>
  <c r="DR16" i="2" s="1"/>
  <c r="DR63" i="2" s="1"/>
  <c r="DQ11" i="2"/>
  <c r="DP11" i="2"/>
  <c r="DO11" i="2"/>
  <c r="DO16" i="2" s="1"/>
  <c r="DO63" i="2" s="1"/>
  <c r="DN11" i="2"/>
  <c r="DN16" i="2" s="1"/>
  <c r="DN63" i="2" s="1"/>
  <c r="DM11" i="2"/>
  <c r="DM16" i="2" s="1"/>
  <c r="DM63" i="2" s="1"/>
  <c r="DL11" i="2"/>
  <c r="DK11" i="2"/>
  <c r="DK16" i="2" s="1"/>
  <c r="DK63" i="2" s="1"/>
  <c r="DJ11" i="2"/>
  <c r="DJ16" i="2" s="1"/>
  <c r="DJ63" i="2" s="1"/>
  <c r="DI11" i="2"/>
  <c r="DI16" i="2" s="1"/>
  <c r="DI63" i="2" s="1"/>
  <c r="DH11" i="2"/>
  <c r="DH16" i="2" s="1"/>
  <c r="DH63" i="2" s="1"/>
  <c r="DG11" i="2"/>
  <c r="DG16" i="2" s="1"/>
  <c r="DG63" i="2" s="1"/>
  <c r="DF11" i="2"/>
  <c r="DF16" i="2" s="1"/>
  <c r="DF63" i="2" s="1"/>
  <c r="DE11" i="2"/>
  <c r="DD11" i="2"/>
  <c r="DC11" i="2"/>
  <c r="DC16" i="2" s="1"/>
  <c r="DC63" i="2" s="1"/>
  <c r="DB11" i="2"/>
  <c r="DB16" i="2" s="1"/>
  <c r="DB63" i="2" s="1"/>
  <c r="DA11" i="2"/>
  <c r="DA16" i="2" s="1"/>
  <c r="DA63" i="2" s="1"/>
  <c r="CZ11" i="2"/>
  <c r="CY11" i="2"/>
  <c r="CY16" i="2" s="1"/>
  <c r="CY63" i="2" s="1"/>
  <c r="CX11" i="2"/>
  <c r="CX16" i="2" s="1"/>
  <c r="CX63" i="2" s="1"/>
  <c r="CW11" i="2"/>
  <c r="CW16" i="2" s="1"/>
  <c r="CW63" i="2" s="1"/>
  <c r="CV11" i="2"/>
  <c r="CV16" i="2" s="1"/>
  <c r="CV63" i="2" s="1"/>
  <c r="CU11" i="2"/>
  <c r="CU16" i="2" s="1"/>
  <c r="CU63" i="2" s="1"/>
  <c r="CT11" i="2"/>
  <c r="CT16" i="2" s="1"/>
  <c r="CT63" i="2" s="1"/>
  <c r="CS11" i="2"/>
  <c r="CR11" i="2"/>
  <c r="CQ11" i="2"/>
  <c r="CQ16" i="2" s="1"/>
  <c r="CQ63" i="2" s="1"/>
  <c r="CP11" i="2"/>
  <c r="CP16" i="2" s="1"/>
  <c r="CP63" i="2" s="1"/>
  <c r="CO11" i="2"/>
  <c r="CO16" i="2" s="1"/>
  <c r="CO63" i="2" s="1"/>
  <c r="CN11" i="2"/>
  <c r="CM11" i="2"/>
  <c r="CM16" i="2" s="1"/>
  <c r="CM63" i="2" s="1"/>
  <c r="CL11" i="2"/>
  <c r="CL16" i="2" s="1"/>
  <c r="CL63" i="2" s="1"/>
  <c r="CK11" i="2"/>
  <c r="CK16" i="2" s="1"/>
  <c r="CK63" i="2" s="1"/>
  <c r="CJ11" i="2"/>
  <c r="CJ16" i="2" s="1"/>
  <c r="CJ63" i="2" s="1"/>
  <c r="CI11" i="2"/>
  <c r="CI16" i="2" s="1"/>
  <c r="CI63" i="2" s="1"/>
  <c r="CH11" i="2"/>
  <c r="CH16" i="2" s="1"/>
  <c r="CH63" i="2" s="1"/>
  <c r="CG11" i="2"/>
  <c r="CF11" i="2"/>
  <c r="CE11" i="2"/>
  <c r="CE16" i="2" s="1"/>
  <c r="CE63" i="2" s="1"/>
  <c r="CD11" i="2"/>
  <c r="CD16" i="2" s="1"/>
  <c r="CD63" i="2" s="1"/>
  <c r="CC11" i="2"/>
  <c r="CC16" i="2" s="1"/>
  <c r="CC63" i="2" s="1"/>
  <c r="CB11" i="2"/>
  <c r="CA11" i="2"/>
  <c r="CA16" i="2" s="1"/>
  <c r="CA63" i="2" s="1"/>
  <c r="BZ11" i="2"/>
  <c r="BZ16" i="2" s="1"/>
  <c r="BZ63" i="2" s="1"/>
  <c r="BY11" i="2"/>
  <c r="BY16" i="2" s="1"/>
  <c r="BY63" i="2" s="1"/>
  <c r="BX11" i="2"/>
  <c r="BX16" i="2" s="1"/>
  <c r="BX63" i="2" s="1"/>
  <c r="BW11" i="2"/>
  <c r="BW16" i="2" s="1"/>
  <c r="BW63" i="2" s="1"/>
  <c r="BV11" i="2"/>
  <c r="BV16" i="2" s="1"/>
  <c r="BV63" i="2" s="1"/>
  <c r="BU11" i="2"/>
  <c r="BT11" i="2"/>
  <c r="BS11" i="2"/>
  <c r="BS16" i="2" s="1"/>
  <c r="BS63" i="2" s="1"/>
  <c r="BR11" i="2"/>
  <c r="BR16" i="2" s="1"/>
  <c r="BR63" i="2" s="1"/>
  <c r="BQ11" i="2"/>
  <c r="BQ16" i="2" s="1"/>
  <c r="BQ63" i="2" s="1"/>
  <c r="BP11" i="2"/>
  <c r="BO11" i="2"/>
  <c r="BO16" i="2" s="1"/>
  <c r="BO63" i="2" s="1"/>
  <c r="BN11" i="2"/>
  <c r="BN16" i="2" s="1"/>
  <c r="BN63" i="2" s="1"/>
  <c r="BM11" i="2"/>
  <c r="BM16" i="2" s="1"/>
  <c r="BM63" i="2" s="1"/>
  <c r="BL11" i="2"/>
  <c r="BL16" i="2" s="1"/>
  <c r="BL63" i="2" s="1"/>
  <c r="BK11" i="2"/>
  <c r="BK16" i="2" s="1"/>
  <c r="BK63" i="2" s="1"/>
  <c r="BJ11" i="2"/>
  <c r="BJ16" i="2" s="1"/>
  <c r="BJ63" i="2" s="1"/>
  <c r="BI11" i="2"/>
  <c r="BH11" i="2"/>
  <c r="BG11" i="2"/>
  <c r="BG16" i="2" s="1"/>
  <c r="BG63" i="2" s="1"/>
  <c r="BF11" i="2"/>
  <c r="BF16" i="2" s="1"/>
  <c r="BF63" i="2" s="1"/>
  <c r="BE11" i="2"/>
  <c r="BE16" i="2" s="1"/>
  <c r="BE63" i="2" s="1"/>
  <c r="BD11" i="2"/>
  <c r="BC11" i="2"/>
  <c r="BC16" i="2" s="1"/>
  <c r="BC63" i="2" s="1"/>
  <c r="BB11" i="2"/>
  <c r="BB16" i="2" s="1"/>
  <c r="BB63" i="2" s="1"/>
  <c r="BA11" i="2"/>
  <c r="BA16" i="2" s="1"/>
  <c r="BA63" i="2" s="1"/>
  <c r="AZ11" i="2"/>
  <c r="AZ16" i="2" s="1"/>
  <c r="AZ63" i="2" s="1"/>
  <c r="AY11" i="2"/>
  <c r="AY16" i="2" s="1"/>
  <c r="AY63" i="2" s="1"/>
  <c r="AX11" i="2"/>
  <c r="AX16" i="2" s="1"/>
  <c r="AX63" i="2" s="1"/>
  <c r="AW11" i="2"/>
  <c r="AV11" i="2"/>
  <c r="AU11" i="2"/>
  <c r="AU16" i="2" s="1"/>
  <c r="AU63" i="2" s="1"/>
  <c r="AT11" i="2"/>
  <c r="AT16" i="2" s="1"/>
  <c r="AT63" i="2" s="1"/>
  <c r="AS11" i="2"/>
  <c r="AS16" i="2" s="1"/>
  <c r="AS63" i="2" s="1"/>
  <c r="AR11" i="2"/>
  <c r="AQ11" i="2"/>
  <c r="AQ16" i="2" s="1"/>
  <c r="AQ63" i="2" s="1"/>
  <c r="AP11" i="2"/>
  <c r="AP16" i="2" s="1"/>
  <c r="AP63" i="2" s="1"/>
  <c r="AO11" i="2"/>
  <c r="AO16" i="2" s="1"/>
  <c r="AO63" i="2" s="1"/>
  <c r="AN11" i="2"/>
  <c r="AN16" i="2" s="1"/>
  <c r="AN63" i="2" s="1"/>
  <c r="AM11" i="2"/>
  <c r="AM16" i="2" s="1"/>
  <c r="AM63" i="2" s="1"/>
  <c r="AL11" i="2"/>
  <c r="AL16" i="2" s="1"/>
  <c r="AL63" i="2" s="1"/>
  <c r="AK11" i="2"/>
  <c r="AJ11" i="2"/>
  <c r="AI11" i="2"/>
  <c r="AI16" i="2" s="1"/>
  <c r="AI63" i="2" s="1"/>
  <c r="AH11" i="2"/>
  <c r="AH16" i="2" s="1"/>
  <c r="AH63" i="2" s="1"/>
  <c r="AG11" i="2"/>
  <c r="AG16" i="2" s="1"/>
  <c r="AG63" i="2" s="1"/>
  <c r="AG67" i="2" s="1"/>
  <c r="AG72" i="2" s="1"/>
  <c r="AF11" i="2"/>
  <c r="AE11" i="2"/>
  <c r="AE16" i="2" s="1"/>
  <c r="AE63" i="2" s="1"/>
  <c r="AD11" i="2"/>
  <c r="AD16" i="2" s="1"/>
  <c r="AD63" i="2" s="1"/>
  <c r="AC11" i="2"/>
  <c r="AC16" i="2" s="1"/>
  <c r="AC63" i="2" s="1"/>
  <c r="AB11" i="2"/>
  <c r="AB16" i="2" s="1"/>
  <c r="AB63" i="2" s="1"/>
  <c r="AA11" i="2"/>
  <c r="AA16" i="2" s="1"/>
  <c r="AA63" i="2" s="1"/>
  <c r="Z11" i="2"/>
  <c r="Z16" i="2" s="1"/>
  <c r="Z63" i="2" s="1"/>
  <c r="Y11" i="2"/>
  <c r="X11" i="2"/>
  <c r="W11" i="2"/>
  <c r="W16" i="2" s="1"/>
  <c r="W63" i="2" s="1"/>
  <c r="V11" i="2"/>
  <c r="V16" i="2" s="1"/>
  <c r="V63" i="2" s="1"/>
  <c r="U11" i="2"/>
  <c r="U16" i="2" s="1"/>
  <c r="U63" i="2" s="1"/>
  <c r="U67" i="2" s="1"/>
  <c r="U72" i="2" s="1"/>
  <c r="T11" i="2"/>
  <c r="S11" i="2"/>
  <c r="S16" i="2" s="1"/>
  <c r="S63" i="2" s="1"/>
  <c r="R11" i="2"/>
  <c r="R16" i="2" s="1"/>
  <c r="R63" i="2" s="1"/>
  <c r="Q11" i="2"/>
  <c r="Q16" i="2" s="1"/>
  <c r="Q63" i="2" s="1"/>
  <c r="P11" i="2"/>
  <c r="P16" i="2" s="1"/>
  <c r="P63" i="2" s="1"/>
  <c r="O11" i="2"/>
  <c r="O16" i="2" s="1"/>
  <c r="O63" i="2" s="1"/>
  <c r="N11" i="2"/>
  <c r="N16" i="2" s="1"/>
  <c r="N63" i="2" s="1"/>
  <c r="M11" i="2"/>
  <c r="L11" i="2"/>
  <c r="K11" i="2"/>
  <c r="K16" i="2" s="1"/>
  <c r="K63" i="2" s="1"/>
  <c r="J11" i="2"/>
  <c r="J16" i="2" s="1"/>
  <c r="J63" i="2" s="1"/>
  <c r="I11" i="2"/>
  <c r="I16" i="2" s="1"/>
  <c r="I63" i="2" s="1"/>
  <c r="I67" i="2" s="1"/>
  <c r="I72" i="2" s="1"/>
  <c r="H11" i="2"/>
  <c r="G11" i="2"/>
  <c r="G16" i="2" s="1"/>
  <c r="G63" i="2" s="1"/>
  <c r="F11" i="2"/>
  <c r="F16" i="2" s="1"/>
  <c r="F63" i="2" s="1"/>
  <c r="E11" i="2"/>
  <c r="E16" i="2" s="1"/>
  <c r="E63" i="2" s="1"/>
  <c r="D11" i="2"/>
  <c r="D16" i="2" s="1"/>
  <c r="D63" i="2" s="1"/>
  <c r="C11" i="2"/>
  <c r="C16" i="2" s="1"/>
  <c r="FZ10" i="2"/>
  <c r="FZ9" i="2"/>
  <c r="FZ8" i="2"/>
  <c r="O14" i="1" a="1"/>
  <c r="O14" i="1" s="1"/>
  <c r="Q14" i="1" s="1"/>
  <c r="M14" i="1"/>
  <c r="K14" i="1"/>
  <c r="E14" i="1"/>
  <c r="O13" i="1" a="1"/>
  <c r="O13" i="1" s="1"/>
  <c r="Q13" i="1" s="1"/>
  <c r="M13" i="1"/>
  <c r="K13" i="1"/>
  <c r="E13" i="1"/>
  <c r="O12" i="1" a="1"/>
  <c r="O12" i="1" s="1"/>
  <c r="Q12" i="1" s="1"/>
  <c r="M12" i="1"/>
  <c r="K12" i="1"/>
  <c r="E12" i="1"/>
  <c r="O11" i="1" a="1"/>
  <c r="O11" i="1" s="1"/>
  <c r="Q11" i="1" s="1"/>
  <c r="M11" i="1"/>
  <c r="K11" i="1"/>
  <c r="E11" i="1"/>
  <c r="O10" i="1" a="1"/>
  <c r="O10" i="1" s="1"/>
  <c r="Q10" i="1" s="1"/>
  <c r="M10" i="1"/>
  <c r="K10" i="1"/>
  <c r="E10" i="1"/>
  <c r="O9" i="1" a="1"/>
  <c r="O9" i="1" s="1"/>
  <c r="Q9" i="1" s="1"/>
  <c r="M9" i="1"/>
  <c r="K9" i="1"/>
  <c r="E9" i="1"/>
  <c r="O8" i="1" a="1"/>
  <c r="O8" i="1" s="1"/>
  <c r="Q8" i="1" s="1"/>
  <c r="M8" i="1"/>
  <c r="K8" i="1"/>
  <c r="E8" i="1"/>
  <c r="O7" i="1" a="1"/>
  <c r="O7" i="1" s="1"/>
  <c r="Q7" i="1" s="1"/>
  <c r="M7" i="1"/>
  <c r="K7" i="1"/>
  <c r="E7" i="1"/>
  <c r="O6" i="1" a="1"/>
  <c r="O6" i="1" s="1"/>
  <c r="Q6" i="1" s="1"/>
  <c r="M6" i="1"/>
  <c r="K6" i="1"/>
  <c r="E6" i="1"/>
  <c r="O5" i="1" a="1"/>
  <c r="O5" i="1" s="1"/>
  <c r="Q5" i="1" s="1"/>
  <c r="M5" i="1"/>
  <c r="K5" i="1"/>
  <c r="FN334" i="5" l="1"/>
  <c r="M334" i="3"/>
  <c r="Y334" i="3"/>
  <c r="AK334" i="3"/>
  <c r="AW334" i="3"/>
  <c r="BI334" i="3"/>
  <c r="BU334" i="3"/>
  <c r="CG334" i="3"/>
  <c r="CS334" i="3"/>
  <c r="DE334" i="3"/>
  <c r="DQ334" i="3"/>
  <c r="EC334" i="3"/>
  <c r="EO334" i="3"/>
  <c r="FA334" i="3"/>
  <c r="FM334" i="3"/>
  <c r="L334" i="3"/>
  <c r="X334" i="3"/>
  <c r="AJ334" i="3"/>
  <c r="AV334" i="3"/>
  <c r="BH334" i="3"/>
  <c r="DP334" i="3"/>
  <c r="O334" i="3"/>
  <c r="AA334" i="3"/>
  <c r="AM334" i="3"/>
  <c r="AY334" i="3"/>
  <c r="J334" i="5"/>
  <c r="V334" i="5"/>
  <c r="AH334" i="5"/>
  <c r="AT334" i="5"/>
  <c r="BF334" i="5"/>
  <c r="BR334" i="5"/>
  <c r="CD334" i="5"/>
  <c r="CP334" i="5"/>
  <c r="DB334" i="5"/>
  <c r="DN334" i="5"/>
  <c r="DZ334" i="5"/>
  <c r="EL334" i="5"/>
  <c r="EX334" i="5"/>
  <c r="FJ334" i="5"/>
  <c r="FV334" i="5"/>
  <c r="N334" i="5"/>
  <c r="Z334" i="5"/>
  <c r="AL334" i="5"/>
  <c r="AX334" i="5"/>
  <c r="BJ334" i="5"/>
  <c r="BV334" i="5"/>
  <c r="CH334" i="5"/>
  <c r="CT334" i="5"/>
  <c r="DF334" i="5"/>
  <c r="DR334" i="5"/>
  <c r="ED334" i="5"/>
  <c r="EP334" i="5"/>
  <c r="FB334" i="5"/>
  <c r="EP334" i="3"/>
  <c r="BK334" i="3"/>
  <c r="BW334" i="3"/>
  <c r="CI334" i="3"/>
  <c r="CU334" i="3"/>
  <c r="DG334" i="3"/>
  <c r="DS334" i="3"/>
  <c r="L334" i="5"/>
  <c r="X334" i="5"/>
  <c r="AJ334" i="5"/>
  <c r="AV334" i="5"/>
  <c r="BH334" i="5"/>
  <c r="BT334" i="5"/>
  <c r="CF334" i="5"/>
  <c r="FL334" i="5"/>
  <c r="FX334" i="5"/>
  <c r="H334" i="3"/>
  <c r="T334" i="3"/>
  <c r="AR334" i="3"/>
  <c r="BD334" i="3"/>
  <c r="BP334" i="3"/>
  <c r="H334" i="5"/>
  <c r="T334" i="5"/>
  <c r="AF334" i="5"/>
  <c r="AR334" i="5"/>
  <c r="BD334" i="5"/>
  <c r="BP334" i="5"/>
  <c r="CB334" i="5"/>
  <c r="CN334" i="5"/>
  <c r="CZ334" i="5"/>
  <c r="DL334" i="5"/>
  <c r="DX334" i="5"/>
  <c r="EJ334" i="5"/>
  <c r="EV334" i="5"/>
  <c r="FH334" i="5"/>
  <c r="FT334" i="5"/>
  <c r="K334" i="3"/>
  <c r="W334" i="3"/>
  <c r="AI334" i="3"/>
  <c r="AU334" i="3"/>
  <c r="BG334" i="3"/>
  <c r="BS334" i="3"/>
  <c r="CE334" i="3"/>
  <c r="CQ334" i="3"/>
  <c r="DC334" i="3"/>
  <c r="DO334" i="3"/>
  <c r="EA334" i="3"/>
  <c r="EM334" i="3"/>
  <c r="EY334" i="3"/>
  <c r="FK334" i="3"/>
  <c r="FW334" i="3"/>
  <c r="EE334" i="3"/>
  <c r="EQ334" i="3"/>
  <c r="FC334" i="3"/>
  <c r="FO334" i="3"/>
  <c r="FG334" i="3"/>
  <c r="G334" i="5"/>
  <c r="S334" i="5"/>
  <c r="AE334" i="5"/>
  <c r="AQ334" i="5"/>
  <c r="BC334" i="5"/>
  <c r="BO334" i="5"/>
  <c r="CA334" i="5"/>
  <c r="CM334" i="5"/>
  <c r="CY334" i="5"/>
  <c r="DK334" i="5"/>
  <c r="DW334" i="5"/>
  <c r="EI334" i="5"/>
  <c r="J334" i="3"/>
  <c r="V334" i="3"/>
  <c r="AH334" i="3"/>
  <c r="AT334" i="3"/>
  <c r="BF334" i="3"/>
  <c r="BR334" i="3"/>
  <c r="CD334" i="3"/>
  <c r="CP334" i="3"/>
  <c r="DB334" i="3"/>
  <c r="DN334" i="3"/>
  <c r="DZ334" i="3"/>
  <c r="EL334" i="3"/>
  <c r="EX334" i="3"/>
  <c r="FJ334" i="3"/>
  <c r="FV334" i="3"/>
  <c r="F334" i="3"/>
  <c r="R334" i="3"/>
  <c r="AD334" i="3"/>
  <c r="AP334" i="3"/>
  <c r="BB334" i="3"/>
  <c r="BN334" i="3"/>
  <c r="BZ334" i="3"/>
  <c r="CL334" i="3"/>
  <c r="CX334" i="3"/>
  <c r="DJ334" i="3"/>
  <c r="FF334" i="3"/>
  <c r="FR334" i="3"/>
  <c r="F334" i="5"/>
  <c r="R334" i="5"/>
  <c r="AD334" i="5"/>
  <c r="AP334" i="5"/>
  <c r="BB334" i="5"/>
  <c r="BN334" i="5"/>
  <c r="BZ334" i="5"/>
  <c r="CL334" i="5"/>
  <c r="CX334" i="5"/>
  <c r="DJ334" i="5"/>
  <c r="DV334" i="5"/>
  <c r="EH334" i="5"/>
  <c r="ET334" i="5"/>
  <c r="FF334" i="5"/>
  <c r="FR334" i="5"/>
  <c r="M334" i="5"/>
  <c r="Y334" i="5"/>
  <c r="CG334" i="5"/>
  <c r="CS334" i="5"/>
  <c r="DE334" i="5"/>
  <c r="DQ334" i="5"/>
  <c r="EC334" i="5"/>
  <c r="EO334" i="5"/>
  <c r="FA334" i="5"/>
  <c r="FM334" i="5"/>
  <c r="O334" i="5"/>
  <c r="AA334" i="5"/>
  <c r="AM334" i="5"/>
  <c r="E334" i="3"/>
  <c r="Q334" i="3"/>
  <c r="AC334" i="3"/>
  <c r="AO334" i="3"/>
  <c r="BA334" i="3"/>
  <c r="BM334" i="3"/>
  <c r="BY334" i="3"/>
  <c r="CK334" i="3"/>
  <c r="AY334" i="5"/>
  <c r="BK334" i="5"/>
  <c r="BW334" i="5"/>
  <c r="CI334" i="5"/>
  <c r="CU334" i="5"/>
  <c r="DG334" i="5"/>
  <c r="DS334" i="5"/>
  <c r="EE334" i="5"/>
  <c r="EQ334" i="5"/>
  <c r="FC334" i="5"/>
  <c r="FO334" i="5"/>
  <c r="E334" i="5"/>
  <c r="Q334" i="5"/>
  <c r="AC334" i="5"/>
  <c r="AO334" i="5"/>
  <c r="BA334" i="5"/>
  <c r="BM334" i="5"/>
  <c r="BY334" i="5"/>
  <c r="CK334" i="5"/>
  <c r="CW334" i="5"/>
  <c r="DI334" i="5"/>
  <c r="DU334" i="5"/>
  <c r="EG334" i="5"/>
  <c r="ES334" i="5"/>
  <c r="FE334" i="5"/>
  <c r="FQ334" i="5"/>
  <c r="I334" i="3"/>
  <c r="U334" i="3"/>
  <c r="AG334" i="3"/>
  <c r="AS334" i="3"/>
  <c r="BE334" i="3"/>
  <c r="BQ334" i="3"/>
  <c r="CC334" i="3"/>
  <c r="CO334" i="3"/>
  <c r="DA334" i="3"/>
  <c r="DM334" i="3"/>
  <c r="DY334" i="3"/>
  <c r="EK334" i="3"/>
  <c r="FI334" i="3"/>
  <c r="FU334" i="3"/>
  <c r="BT334" i="3"/>
  <c r="CF334" i="3"/>
  <c r="CR334" i="3"/>
  <c r="DD334" i="3"/>
  <c r="EB334" i="3"/>
  <c r="EN334" i="3"/>
  <c r="EZ334" i="3"/>
  <c r="FL334" i="3"/>
  <c r="FX334" i="3"/>
  <c r="AF334" i="3"/>
  <c r="C109" i="4"/>
  <c r="C110" i="4" s="1"/>
  <c r="C75" i="4"/>
  <c r="D15" i="4"/>
  <c r="FT15" i="5" s="1"/>
  <c r="FZ15" i="5" s="1"/>
  <c r="C78" i="4"/>
  <c r="D33" i="4"/>
  <c r="D78" i="4" s="1"/>
  <c r="C165" i="4"/>
  <c r="C181" i="4" s="1"/>
  <c r="D40" i="4"/>
  <c r="D165" i="4" s="1"/>
  <c r="D181" i="4" s="1"/>
  <c r="G334" i="3"/>
  <c r="S334" i="3"/>
  <c r="AE334" i="3"/>
  <c r="AQ334" i="3"/>
  <c r="BC334" i="3"/>
  <c r="BO334" i="3"/>
  <c r="CA334" i="3"/>
  <c r="CM334" i="3"/>
  <c r="CY334" i="3"/>
  <c r="DK334" i="3"/>
  <c r="DW334" i="3"/>
  <c r="EU334" i="3"/>
  <c r="FS334" i="3"/>
  <c r="D34" i="4"/>
  <c r="D74" i="4" s="1"/>
  <c r="D42" i="4"/>
  <c r="D150" i="4" s="1"/>
  <c r="D152" i="4" s="1"/>
  <c r="D164" i="4" s="1"/>
  <c r="D334" i="5"/>
  <c r="P334" i="5"/>
  <c r="AB334" i="5"/>
  <c r="AN334" i="5"/>
  <c r="AZ334" i="5"/>
  <c r="BL334" i="5"/>
  <c r="BX334" i="5"/>
  <c r="CJ334" i="5"/>
  <c r="CV334" i="5"/>
  <c r="DH334" i="5"/>
  <c r="DT334" i="5"/>
  <c r="EF334" i="5"/>
  <c r="ER334" i="5"/>
  <c r="FD334" i="5"/>
  <c r="FP334" i="5"/>
  <c r="FZ236" i="3"/>
  <c r="CB334" i="3"/>
  <c r="CN334" i="3"/>
  <c r="CZ334" i="3"/>
  <c r="DL334" i="3"/>
  <c r="DX334" i="3"/>
  <c r="EJ334" i="3"/>
  <c r="EV334" i="3"/>
  <c r="FH334" i="3"/>
  <c r="FT334" i="3"/>
  <c r="FZ322" i="5"/>
  <c r="AK334" i="5"/>
  <c r="AW334" i="5"/>
  <c r="BI334" i="5"/>
  <c r="BU334" i="5"/>
  <c r="FZ119" i="5"/>
  <c r="FZ236" i="5"/>
  <c r="EU334" i="5"/>
  <c r="FG334" i="5"/>
  <c r="FS334" i="5"/>
  <c r="FZ223" i="3"/>
  <c r="CV334" i="3"/>
  <c r="EF334" i="3"/>
  <c r="D26" i="4"/>
  <c r="D66" i="4" s="1"/>
  <c r="D35" i="4"/>
  <c r="D76" i="4" s="1"/>
  <c r="FZ222" i="3"/>
  <c r="FY315" i="3"/>
  <c r="FY320" i="3" s="1"/>
  <c r="EW334" i="3"/>
  <c r="EI334" i="3"/>
  <c r="CW334" i="3"/>
  <c r="DI334" i="3"/>
  <c r="DU334" i="3"/>
  <c r="EG334" i="3"/>
  <c r="FZ223" i="5"/>
  <c r="AR130" i="2"/>
  <c r="AR124" i="2"/>
  <c r="AR85" i="2"/>
  <c r="AR79" i="2"/>
  <c r="BG96" i="2"/>
  <c r="EA96" i="2"/>
  <c r="ER96" i="2"/>
  <c r="C63" i="2"/>
  <c r="FZ16" i="2"/>
  <c r="GB16" i="2" s="1"/>
  <c r="FO67" i="2"/>
  <c r="FO72" i="2" s="1"/>
  <c r="CR67" i="2"/>
  <c r="CR72" i="2" s="1"/>
  <c r="FD96" i="2"/>
  <c r="BX67" i="2"/>
  <c r="BX72" i="2" s="1"/>
  <c r="M96" i="2"/>
  <c r="Y96" i="2"/>
  <c r="AK96" i="2"/>
  <c r="AW96" i="2"/>
  <c r="BI96" i="2"/>
  <c r="BU96" i="2"/>
  <c r="CG96" i="2"/>
  <c r="CS96" i="2"/>
  <c r="DE96" i="2"/>
  <c r="DQ96" i="2"/>
  <c r="EC96" i="2"/>
  <c r="EO96" i="2"/>
  <c r="FA96" i="2"/>
  <c r="FM96" i="2"/>
  <c r="AB96" i="2"/>
  <c r="FP96" i="2"/>
  <c r="CN130" i="2"/>
  <c r="CN124" i="2"/>
  <c r="CN85" i="2"/>
  <c r="CN79" i="2"/>
  <c r="W96" i="2"/>
  <c r="CQ96" i="2"/>
  <c r="EM96" i="2"/>
  <c r="AV67" i="2"/>
  <c r="AV72" i="2" s="1"/>
  <c r="EN67" i="2"/>
  <c r="EN72" i="2" s="1"/>
  <c r="P96" i="2"/>
  <c r="CW67" i="2"/>
  <c r="CW72" i="2" s="1"/>
  <c r="H67" i="2"/>
  <c r="H72" i="2" s="1"/>
  <c r="BD67" i="2"/>
  <c r="BD72" i="2" s="1"/>
  <c r="CZ67" i="2"/>
  <c r="CZ72" i="2" s="1"/>
  <c r="EV67" i="2"/>
  <c r="EV72" i="2" s="1"/>
  <c r="N96" i="2"/>
  <c r="Z96" i="2"/>
  <c r="AL96" i="2"/>
  <c r="AX96" i="2"/>
  <c r="BJ96" i="2"/>
  <c r="BV96" i="2"/>
  <c r="CH96" i="2"/>
  <c r="CT96" i="2"/>
  <c r="DF96" i="2"/>
  <c r="DR96" i="2"/>
  <c r="ED96" i="2"/>
  <c r="EP96" i="2"/>
  <c r="FB96" i="2"/>
  <c r="FN96" i="2"/>
  <c r="AN96" i="2"/>
  <c r="L67" i="2"/>
  <c r="L72" i="2" s="1"/>
  <c r="BH67" i="2"/>
  <c r="BH72" i="2" s="1"/>
  <c r="DD67" i="2"/>
  <c r="DD72" i="2" s="1"/>
  <c r="EZ67" i="2"/>
  <c r="EZ72" i="2" s="1"/>
  <c r="C96" i="2"/>
  <c r="FZ94" i="2"/>
  <c r="O96" i="2"/>
  <c r="AA96" i="2"/>
  <c r="AM96" i="2"/>
  <c r="AY96" i="2"/>
  <c r="BK96" i="2"/>
  <c r="BW96" i="2"/>
  <c r="CI96" i="2"/>
  <c r="CU96" i="2"/>
  <c r="DG96" i="2"/>
  <c r="DS96" i="2"/>
  <c r="EE96" i="2"/>
  <c r="EQ96" i="2"/>
  <c r="FC96" i="2"/>
  <c r="FO96" i="2"/>
  <c r="AZ96" i="2"/>
  <c r="BI67" i="2"/>
  <c r="BI72" i="2" s="1"/>
  <c r="FZ81" i="2"/>
  <c r="BL96" i="2"/>
  <c r="K96" i="2"/>
  <c r="BS96" i="2"/>
  <c r="FK96" i="2"/>
  <c r="T130" i="2"/>
  <c r="T124" i="2"/>
  <c r="T85" i="2"/>
  <c r="T79" i="2"/>
  <c r="FH130" i="2"/>
  <c r="FH124" i="2"/>
  <c r="FH79" i="2"/>
  <c r="FH85" i="2"/>
  <c r="E96" i="2"/>
  <c r="Q96" i="2"/>
  <c r="AC96" i="2"/>
  <c r="AO96" i="2"/>
  <c r="BA96" i="2"/>
  <c r="BM96" i="2"/>
  <c r="BY96" i="2"/>
  <c r="CK96" i="2"/>
  <c r="CW96" i="2"/>
  <c r="DI96" i="2"/>
  <c r="DU96" i="2"/>
  <c r="EG96" i="2"/>
  <c r="ES96" i="2"/>
  <c r="FE96" i="2"/>
  <c r="FQ96" i="2"/>
  <c r="G96" i="2"/>
  <c r="S96" i="2"/>
  <c r="AE96" i="2"/>
  <c r="AQ96" i="2"/>
  <c r="BC96" i="2"/>
  <c r="BO96" i="2"/>
  <c r="CA96" i="2"/>
  <c r="CM96" i="2"/>
  <c r="CY96" i="2"/>
  <c r="DK96" i="2"/>
  <c r="DW96" i="2"/>
  <c r="EI96" i="2"/>
  <c r="EU96" i="2"/>
  <c r="FG96" i="2"/>
  <c r="FS96" i="2"/>
  <c r="BX96" i="2"/>
  <c r="CH67" i="2"/>
  <c r="CH72" i="2" s="1"/>
  <c r="EJ130" i="2"/>
  <c r="EJ124" i="2"/>
  <c r="EJ85" i="2"/>
  <c r="EJ79" i="2"/>
  <c r="AI96" i="2"/>
  <c r="DC96" i="2"/>
  <c r="FW96" i="2"/>
  <c r="DL130" i="2"/>
  <c r="DL124" i="2"/>
  <c r="DL79" i="2"/>
  <c r="DL85" i="2"/>
  <c r="U130" i="2"/>
  <c r="U85" i="2"/>
  <c r="U79" i="2"/>
  <c r="U124" i="2"/>
  <c r="AS67" i="2"/>
  <c r="AS72" i="2" s="1"/>
  <c r="BQ67" i="2"/>
  <c r="BQ72" i="2" s="1"/>
  <c r="CO67" i="2"/>
  <c r="CO72" i="2" s="1"/>
  <c r="DM67" i="2"/>
  <c r="DM72" i="2" s="1"/>
  <c r="EK67" i="2"/>
  <c r="EK72" i="2" s="1"/>
  <c r="FI67" i="2"/>
  <c r="FI72" i="2" s="1"/>
  <c r="X67" i="2"/>
  <c r="X72" i="2" s="1"/>
  <c r="DP67" i="2"/>
  <c r="DP72" i="2" s="1"/>
  <c r="F96" i="2"/>
  <c r="R96" i="2"/>
  <c r="AD96" i="2"/>
  <c r="AP96" i="2"/>
  <c r="BB96" i="2"/>
  <c r="BN96" i="2"/>
  <c r="BZ96" i="2"/>
  <c r="CL96" i="2"/>
  <c r="CX96" i="2"/>
  <c r="DJ96" i="2"/>
  <c r="DV96" i="2"/>
  <c r="EH96" i="2"/>
  <c r="ET96" i="2"/>
  <c r="FF96" i="2"/>
  <c r="FR96" i="2"/>
  <c r="CJ96" i="2"/>
  <c r="FZ110" i="2"/>
  <c r="BP130" i="2"/>
  <c r="BP124" i="2"/>
  <c r="BP79" i="2"/>
  <c r="BP85" i="2"/>
  <c r="I130" i="2"/>
  <c r="I85" i="2"/>
  <c r="I79" i="2"/>
  <c r="I124" i="2"/>
  <c r="AG130" i="2"/>
  <c r="AG85" i="2"/>
  <c r="AG79" i="2"/>
  <c r="AG124" i="2"/>
  <c r="BE67" i="2"/>
  <c r="BE72" i="2" s="1"/>
  <c r="CC67" i="2"/>
  <c r="CC72" i="2" s="1"/>
  <c r="DA67" i="2"/>
  <c r="DA72" i="2" s="1"/>
  <c r="DY67" i="2"/>
  <c r="DY72" i="2" s="1"/>
  <c r="EW67" i="2"/>
  <c r="EW72" i="2" s="1"/>
  <c r="FU67" i="2"/>
  <c r="FU72" i="2" s="1"/>
  <c r="BT67" i="2"/>
  <c r="BT72" i="2" s="1"/>
  <c r="FL67" i="2"/>
  <c r="FL72" i="2" s="1"/>
  <c r="J67" i="2"/>
  <c r="J72" i="2" s="1"/>
  <c r="V67" i="2"/>
  <c r="V72" i="2" s="1"/>
  <c r="AH67" i="2"/>
  <c r="AH72" i="2" s="1"/>
  <c r="AT67" i="2"/>
  <c r="AT72" i="2" s="1"/>
  <c r="BF67" i="2"/>
  <c r="BF72" i="2" s="1"/>
  <c r="BR67" i="2"/>
  <c r="BR72" i="2" s="1"/>
  <c r="CD67" i="2"/>
  <c r="CD72" i="2" s="1"/>
  <c r="CP67" i="2"/>
  <c r="CP72" i="2" s="1"/>
  <c r="DB67" i="2"/>
  <c r="DB72" i="2" s="1"/>
  <c r="DN67" i="2"/>
  <c r="DN72" i="2" s="1"/>
  <c r="DZ67" i="2"/>
  <c r="DZ72" i="2" s="1"/>
  <c r="EL67" i="2"/>
  <c r="EL72" i="2" s="1"/>
  <c r="EX67" i="2"/>
  <c r="EX72" i="2" s="1"/>
  <c r="FJ67" i="2"/>
  <c r="FJ72" i="2" s="1"/>
  <c r="FV67" i="2"/>
  <c r="FV72" i="2" s="1"/>
  <c r="FM67" i="2"/>
  <c r="FM72" i="2" s="1"/>
  <c r="CV96" i="2"/>
  <c r="CE96" i="2"/>
  <c r="EY96" i="2"/>
  <c r="W67" i="2"/>
  <c r="W72" i="2" s="1"/>
  <c r="AU67" i="2"/>
  <c r="AU72" i="2" s="1"/>
  <c r="BS67" i="2"/>
  <c r="BS72" i="2" s="1"/>
  <c r="CE67" i="2"/>
  <c r="CE72" i="2" s="1"/>
  <c r="CQ67" i="2"/>
  <c r="CQ72" i="2" s="1"/>
  <c r="DC67" i="2"/>
  <c r="DC72" i="2" s="1"/>
  <c r="DO67" i="2"/>
  <c r="DO72" i="2" s="1"/>
  <c r="EA67" i="2"/>
  <c r="EA72" i="2" s="1"/>
  <c r="EM67" i="2"/>
  <c r="EM72" i="2" s="1"/>
  <c r="EY67" i="2"/>
  <c r="EY72" i="2" s="1"/>
  <c r="FK67" i="2"/>
  <c r="FK72" i="2" s="1"/>
  <c r="FW67" i="2"/>
  <c r="FW72" i="2" s="1"/>
  <c r="AF67" i="2"/>
  <c r="AF72" i="2" s="1"/>
  <c r="CB67" i="2"/>
  <c r="CB72" i="2" s="1"/>
  <c r="DX67" i="2"/>
  <c r="DX72" i="2" s="1"/>
  <c r="FT67" i="2"/>
  <c r="FT72" i="2" s="1"/>
  <c r="H96" i="2"/>
  <c r="T96" i="2"/>
  <c r="AF96" i="2"/>
  <c r="AR96" i="2"/>
  <c r="AR97" i="2" s="1"/>
  <c r="BD96" i="2"/>
  <c r="BP96" i="2"/>
  <c r="BP97" i="2" s="1"/>
  <c r="CB96" i="2"/>
  <c r="CN96" i="2"/>
  <c r="CN97" i="2" s="1"/>
  <c r="CZ96" i="2"/>
  <c r="DL96" i="2"/>
  <c r="DL97" i="2" s="1"/>
  <c r="DX96" i="2"/>
  <c r="EJ96" i="2"/>
  <c r="EJ97" i="2" s="1"/>
  <c r="EV96" i="2"/>
  <c r="FH96" i="2"/>
  <c r="FT96" i="2"/>
  <c r="DH96" i="2"/>
  <c r="F67" i="2"/>
  <c r="F72" i="2" s="1"/>
  <c r="K67" i="2"/>
  <c r="K72" i="2" s="1"/>
  <c r="AJ67" i="2"/>
  <c r="AJ72" i="2" s="1"/>
  <c r="EB67" i="2"/>
  <c r="EB72" i="2" s="1"/>
  <c r="FX67" i="2"/>
  <c r="FX72" i="2" s="1"/>
  <c r="I96" i="2"/>
  <c r="I97" i="2" s="1"/>
  <c r="U96" i="2"/>
  <c r="U97" i="2" s="1"/>
  <c r="AG96" i="2"/>
  <c r="AG97" i="2" s="1"/>
  <c r="AS96" i="2"/>
  <c r="BE96" i="2"/>
  <c r="BQ96" i="2"/>
  <c r="CC96" i="2"/>
  <c r="CO96" i="2"/>
  <c r="DA96" i="2"/>
  <c r="DM96" i="2"/>
  <c r="DY96" i="2"/>
  <c r="EK96" i="2"/>
  <c r="EW96" i="2"/>
  <c r="FI96" i="2"/>
  <c r="FU96" i="2"/>
  <c r="DT96" i="2"/>
  <c r="AU96" i="2"/>
  <c r="DO96" i="2"/>
  <c r="D96" i="2"/>
  <c r="CX67" i="2"/>
  <c r="CX72" i="2" s="1"/>
  <c r="AI67" i="2"/>
  <c r="AI72" i="2" s="1"/>
  <c r="BG67" i="2"/>
  <c r="BG72" i="2" s="1"/>
  <c r="CF67" i="2"/>
  <c r="CF72" i="2" s="1"/>
  <c r="J96" i="2"/>
  <c r="V96" i="2"/>
  <c r="AH96" i="2"/>
  <c r="AT96" i="2"/>
  <c r="BF96" i="2"/>
  <c r="BR96" i="2"/>
  <c r="CD96" i="2"/>
  <c r="CP96" i="2"/>
  <c r="DB96" i="2"/>
  <c r="DN96" i="2"/>
  <c r="DZ96" i="2"/>
  <c r="EL96" i="2"/>
  <c r="EX96" i="2"/>
  <c r="FJ96" i="2"/>
  <c r="FV96" i="2"/>
  <c r="L96" i="2"/>
  <c r="X96" i="2"/>
  <c r="AJ96" i="2"/>
  <c r="AV96" i="2"/>
  <c r="BH96" i="2"/>
  <c r="BT96" i="2"/>
  <c r="CF96" i="2"/>
  <c r="CR96" i="2"/>
  <c r="DD96" i="2"/>
  <c r="DP96" i="2"/>
  <c r="EB96" i="2"/>
  <c r="EN96" i="2"/>
  <c r="EZ96" i="2"/>
  <c r="FL96" i="2"/>
  <c r="FX96" i="2"/>
  <c r="EF96" i="2"/>
  <c r="AM24" i="5"/>
  <c r="AM86" i="5" s="1"/>
  <c r="AM24" i="3"/>
  <c r="AM86" i="3" s="1"/>
  <c r="DS24" i="5"/>
  <c r="DS86" i="5" s="1"/>
  <c r="DS24" i="3"/>
  <c r="DS86" i="3" s="1"/>
  <c r="AB25" i="5"/>
  <c r="AB87" i="5" s="1"/>
  <c r="AB25" i="3"/>
  <c r="AB87" i="3" s="1"/>
  <c r="EF25" i="5"/>
  <c r="EF87" i="5" s="1"/>
  <c r="EF25" i="3"/>
  <c r="EF87" i="3" s="1"/>
  <c r="E26" i="5"/>
  <c r="E88" i="5" s="1"/>
  <c r="E26" i="3"/>
  <c r="E88" i="3" s="1"/>
  <c r="E90" i="3" s="1"/>
  <c r="E96" i="3" s="1"/>
  <c r="DU26" i="5"/>
  <c r="DU88" i="5" s="1"/>
  <c r="DU26" i="3"/>
  <c r="DU88" i="3" s="1"/>
  <c r="M24" i="5"/>
  <c r="M86" i="5" s="1"/>
  <c r="M24" i="3"/>
  <c r="M86" i="3" s="1"/>
  <c r="Y24" i="5"/>
  <c r="Y86" i="5" s="1"/>
  <c r="Y24" i="3"/>
  <c r="Y86" i="3" s="1"/>
  <c r="AK24" i="5"/>
  <c r="AK86" i="5" s="1"/>
  <c r="AK24" i="3"/>
  <c r="AK86" i="3" s="1"/>
  <c r="AW24" i="5"/>
  <c r="AW86" i="5" s="1"/>
  <c r="AW24" i="3"/>
  <c r="AW86" i="3" s="1"/>
  <c r="BI24" i="5"/>
  <c r="BI86" i="5" s="1"/>
  <c r="BI24" i="3"/>
  <c r="BI86" i="3" s="1"/>
  <c r="BI90" i="3" s="1"/>
  <c r="BI96" i="3" s="1"/>
  <c r="BU24" i="5"/>
  <c r="BU86" i="5" s="1"/>
  <c r="BU24" i="3"/>
  <c r="BU86" i="3" s="1"/>
  <c r="CG24" i="5"/>
  <c r="CG86" i="5" s="1"/>
  <c r="CG24" i="3"/>
  <c r="CG86" i="3" s="1"/>
  <c r="CS24" i="5"/>
  <c r="CS86" i="5" s="1"/>
  <c r="CS24" i="3"/>
  <c r="CS86" i="3" s="1"/>
  <c r="DE24" i="5"/>
  <c r="DE86" i="5" s="1"/>
  <c r="DE24" i="3"/>
  <c r="DE86" i="3" s="1"/>
  <c r="DQ24" i="5"/>
  <c r="DQ86" i="5" s="1"/>
  <c r="DQ24" i="3"/>
  <c r="DQ86" i="3" s="1"/>
  <c r="EC24" i="5"/>
  <c r="EC86" i="5" s="1"/>
  <c r="EC24" i="3"/>
  <c r="EC86" i="3" s="1"/>
  <c r="EC90" i="3" s="1"/>
  <c r="EC96" i="3" s="1"/>
  <c r="EO24" i="5"/>
  <c r="EO86" i="5" s="1"/>
  <c r="EO24" i="3"/>
  <c r="EO86" i="3" s="1"/>
  <c r="FA24" i="5"/>
  <c r="FA86" i="5" s="1"/>
  <c r="FA24" i="3"/>
  <c r="FA86" i="3" s="1"/>
  <c r="FM24" i="5"/>
  <c r="FM86" i="5" s="1"/>
  <c r="FM24" i="3"/>
  <c r="FM86" i="3" s="1"/>
  <c r="N25" i="5"/>
  <c r="N87" i="5" s="1"/>
  <c r="N25" i="3"/>
  <c r="N87" i="3" s="1"/>
  <c r="Z25" i="5"/>
  <c r="Z87" i="5" s="1"/>
  <c r="Z25" i="3"/>
  <c r="Z87" i="3" s="1"/>
  <c r="AL25" i="5"/>
  <c r="AL87" i="5" s="1"/>
  <c r="AL25" i="3"/>
  <c r="AL87" i="3" s="1"/>
  <c r="AX25" i="5"/>
  <c r="AX87" i="5" s="1"/>
  <c r="AX25" i="3"/>
  <c r="AX87" i="3" s="1"/>
  <c r="BJ25" i="5"/>
  <c r="BJ87" i="5" s="1"/>
  <c r="BJ25" i="3"/>
  <c r="BJ87" i="3" s="1"/>
  <c r="BV25" i="5"/>
  <c r="BV87" i="5" s="1"/>
  <c r="BV25" i="3"/>
  <c r="BV87" i="3" s="1"/>
  <c r="CH25" i="5"/>
  <c r="CH87" i="5" s="1"/>
  <c r="CH25" i="3"/>
  <c r="CH87" i="3" s="1"/>
  <c r="CT25" i="5"/>
  <c r="CT87" i="5" s="1"/>
  <c r="CT25" i="3"/>
  <c r="CT87" i="3" s="1"/>
  <c r="DF25" i="5"/>
  <c r="DF87" i="5" s="1"/>
  <c r="DF25" i="3"/>
  <c r="DF87" i="3" s="1"/>
  <c r="DR25" i="5"/>
  <c r="DR87" i="5" s="1"/>
  <c r="DR25" i="3"/>
  <c r="DR87" i="3" s="1"/>
  <c r="ED25" i="5"/>
  <c r="ED87" i="5" s="1"/>
  <c r="ED25" i="3"/>
  <c r="ED87" i="3" s="1"/>
  <c r="EP25" i="5"/>
  <c r="EP87" i="5" s="1"/>
  <c r="EP25" i="3"/>
  <c r="EP87" i="3" s="1"/>
  <c r="FB25" i="5"/>
  <c r="FB87" i="5" s="1"/>
  <c r="FB25" i="3"/>
  <c r="FB87" i="3" s="1"/>
  <c r="FN25" i="5"/>
  <c r="FN87" i="5" s="1"/>
  <c r="FN25" i="3"/>
  <c r="FN87" i="3" s="1"/>
  <c r="C26" i="5"/>
  <c r="C26" i="3"/>
  <c r="O26" i="5"/>
  <c r="O88" i="5" s="1"/>
  <c r="O26" i="3"/>
  <c r="O88" i="3" s="1"/>
  <c r="AA26" i="5"/>
  <c r="AA88" i="5" s="1"/>
  <c r="AA26" i="3"/>
  <c r="AA88" i="3" s="1"/>
  <c r="AM26" i="5"/>
  <c r="AM88" i="5" s="1"/>
  <c r="AM26" i="3"/>
  <c r="AM88" i="3" s="1"/>
  <c r="AY26" i="5"/>
  <c r="AY88" i="5" s="1"/>
  <c r="AY26" i="3"/>
  <c r="AY88" i="3" s="1"/>
  <c r="BK26" i="5"/>
  <c r="BK88" i="5" s="1"/>
  <c r="BK26" i="3"/>
  <c r="BK88" i="3" s="1"/>
  <c r="BW26" i="5"/>
  <c r="BW88" i="5" s="1"/>
  <c r="BW26" i="3"/>
  <c r="BW88" i="3" s="1"/>
  <c r="CI26" i="5"/>
  <c r="CI88" i="5" s="1"/>
  <c r="CI26" i="3"/>
  <c r="CI88" i="3" s="1"/>
  <c r="CU26" i="5"/>
  <c r="CU88" i="5" s="1"/>
  <c r="CU26" i="3"/>
  <c r="CU88" i="3" s="1"/>
  <c r="DG26" i="5"/>
  <c r="DG88" i="5" s="1"/>
  <c r="DG26" i="3"/>
  <c r="DG88" i="3" s="1"/>
  <c r="DS26" i="5"/>
  <c r="DS88" i="5" s="1"/>
  <c r="DS26" i="3"/>
  <c r="DS88" i="3" s="1"/>
  <c r="EE26" i="5"/>
  <c r="EE88" i="5" s="1"/>
  <c r="EE26" i="3"/>
  <c r="EE88" i="3" s="1"/>
  <c r="EQ26" i="5"/>
  <c r="EQ88" i="5" s="1"/>
  <c r="EQ26" i="3"/>
  <c r="EQ88" i="3" s="1"/>
  <c r="FC26" i="5"/>
  <c r="FC88" i="5" s="1"/>
  <c r="FC26" i="3"/>
  <c r="FC88" i="3" s="1"/>
  <c r="FO26" i="5"/>
  <c r="FO88" i="5" s="1"/>
  <c r="FO26" i="3"/>
  <c r="FO88" i="3" s="1"/>
  <c r="N24" i="5"/>
  <c r="N86" i="5" s="1"/>
  <c r="N24" i="3"/>
  <c r="N86" i="3" s="1"/>
  <c r="Z24" i="5"/>
  <c r="Z86" i="5" s="1"/>
  <c r="Z24" i="3"/>
  <c r="Z86" i="3" s="1"/>
  <c r="AL24" i="5"/>
  <c r="AL86" i="5" s="1"/>
  <c r="AL24" i="3"/>
  <c r="AL86" i="3" s="1"/>
  <c r="AL90" i="3" s="1"/>
  <c r="AL96" i="3" s="1"/>
  <c r="AX24" i="5"/>
  <c r="AX86" i="5" s="1"/>
  <c r="AX24" i="3"/>
  <c r="AX86" i="3" s="1"/>
  <c r="BJ24" i="5"/>
  <c r="BJ86" i="5" s="1"/>
  <c r="BJ24" i="3"/>
  <c r="BJ86" i="3" s="1"/>
  <c r="BV24" i="5"/>
  <c r="BV86" i="5" s="1"/>
  <c r="BV24" i="3"/>
  <c r="BV86" i="3" s="1"/>
  <c r="CH24" i="5"/>
  <c r="CH86" i="5" s="1"/>
  <c r="CH24" i="3"/>
  <c r="CH86" i="3" s="1"/>
  <c r="CT24" i="5"/>
  <c r="CT86" i="5" s="1"/>
  <c r="CT24" i="3"/>
  <c r="CT86" i="3" s="1"/>
  <c r="DF24" i="5"/>
  <c r="DF86" i="5" s="1"/>
  <c r="DF24" i="3"/>
  <c r="DF86" i="3" s="1"/>
  <c r="DF90" i="3" s="1"/>
  <c r="DF96" i="3" s="1"/>
  <c r="DR24" i="5"/>
  <c r="DR86" i="5" s="1"/>
  <c r="DR24" i="3"/>
  <c r="DR86" i="3" s="1"/>
  <c r="ED24" i="5"/>
  <c r="ED86" i="5" s="1"/>
  <c r="ED24" i="3"/>
  <c r="ED86" i="3" s="1"/>
  <c r="EP24" i="5"/>
  <c r="EP86" i="5" s="1"/>
  <c r="EP24" i="3"/>
  <c r="EP86" i="3" s="1"/>
  <c r="FB24" i="5"/>
  <c r="FB86" i="5" s="1"/>
  <c r="FB24" i="3"/>
  <c r="FB86" i="3" s="1"/>
  <c r="FN24" i="5"/>
  <c r="FN86" i="5" s="1"/>
  <c r="FN24" i="3"/>
  <c r="FN86" i="3" s="1"/>
  <c r="C25" i="5"/>
  <c r="C25" i="3"/>
  <c r="O25" i="5"/>
  <c r="O87" i="5" s="1"/>
  <c r="O25" i="3"/>
  <c r="O87" i="3" s="1"/>
  <c r="AA25" i="5"/>
  <c r="AA87" i="5" s="1"/>
  <c r="AA25" i="3"/>
  <c r="AA87" i="3" s="1"/>
  <c r="AM25" i="5"/>
  <c r="AM87" i="5" s="1"/>
  <c r="AM25" i="3"/>
  <c r="AM87" i="3" s="1"/>
  <c r="AY25" i="5"/>
  <c r="AY87" i="5" s="1"/>
  <c r="AY25" i="3"/>
  <c r="AY87" i="3" s="1"/>
  <c r="BK25" i="5"/>
  <c r="BK87" i="5" s="1"/>
  <c r="BK25" i="3"/>
  <c r="BK87" i="3" s="1"/>
  <c r="BW25" i="5"/>
  <c r="BW87" i="5" s="1"/>
  <c r="BW25" i="3"/>
  <c r="BW87" i="3" s="1"/>
  <c r="BW90" i="3" s="1"/>
  <c r="BW96" i="3" s="1"/>
  <c r="CI25" i="5"/>
  <c r="CI87" i="5" s="1"/>
  <c r="CI25" i="3"/>
  <c r="CI87" i="3" s="1"/>
  <c r="CU25" i="5"/>
  <c r="CU87" i="5" s="1"/>
  <c r="CU25" i="3"/>
  <c r="CU87" i="3" s="1"/>
  <c r="DG25" i="5"/>
  <c r="DG87" i="5" s="1"/>
  <c r="DG25" i="3"/>
  <c r="DG87" i="3" s="1"/>
  <c r="DS25" i="5"/>
  <c r="DS87" i="5" s="1"/>
  <c r="DS25" i="3"/>
  <c r="DS87" i="3" s="1"/>
  <c r="EE25" i="5"/>
  <c r="EE87" i="5" s="1"/>
  <c r="EE25" i="3"/>
  <c r="EE87" i="3" s="1"/>
  <c r="EQ25" i="5"/>
  <c r="EQ87" i="5" s="1"/>
  <c r="EQ25" i="3"/>
  <c r="EQ87" i="3" s="1"/>
  <c r="FC25" i="5"/>
  <c r="FC87" i="5" s="1"/>
  <c r="FC25" i="3"/>
  <c r="FC87" i="3" s="1"/>
  <c r="FO25" i="5"/>
  <c r="FO87" i="5" s="1"/>
  <c r="FO25" i="3"/>
  <c r="FO87" i="3" s="1"/>
  <c r="D26" i="5"/>
  <c r="D88" i="5" s="1"/>
  <c r="D26" i="3"/>
  <c r="D88" i="3" s="1"/>
  <c r="P26" i="5"/>
  <c r="P88" i="5" s="1"/>
  <c r="P26" i="3"/>
  <c r="P88" i="3" s="1"/>
  <c r="AB26" i="5"/>
  <c r="AB88" i="5" s="1"/>
  <c r="AB26" i="3"/>
  <c r="AB88" i="3" s="1"/>
  <c r="AN26" i="5"/>
  <c r="AN88" i="5" s="1"/>
  <c r="AN26" i="3"/>
  <c r="AN88" i="3" s="1"/>
  <c r="AN90" i="3" s="1"/>
  <c r="AN96" i="3" s="1"/>
  <c r="AZ26" i="5"/>
  <c r="AZ88" i="5" s="1"/>
  <c r="AZ26" i="3"/>
  <c r="AZ88" i="3" s="1"/>
  <c r="BL26" i="5"/>
  <c r="BL88" i="5" s="1"/>
  <c r="BL26" i="3"/>
  <c r="BL88" i="3" s="1"/>
  <c r="BX26" i="5"/>
  <c r="BX88" i="5" s="1"/>
  <c r="BX26" i="3"/>
  <c r="BX88" i="3" s="1"/>
  <c r="CJ26" i="5"/>
  <c r="CJ88" i="5" s="1"/>
  <c r="CJ26" i="3"/>
  <c r="CJ88" i="3" s="1"/>
  <c r="CV26" i="5"/>
  <c r="CV88" i="5" s="1"/>
  <c r="CV26" i="3"/>
  <c r="CV88" i="3" s="1"/>
  <c r="DH26" i="5"/>
  <c r="DH88" i="5" s="1"/>
  <c r="DH26" i="3"/>
  <c r="DH88" i="3" s="1"/>
  <c r="DH90" i="3" s="1"/>
  <c r="DH96" i="3" s="1"/>
  <c r="DT26" i="5"/>
  <c r="DT88" i="5" s="1"/>
  <c r="DT26" i="3"/>
  <c r="DT88" i="3" s="1"/>
  <c r="EF26" i="5"/>
  <c r="EF88" i="5" s="1"/>
  <c r="EF26" i="3"/>
  <c r="EF88" i="3" s="1"/>
  <c r="ER26" i="5"/>
  <c r="ER88" i="5" s="1"/>
  <c r="ER26" i="3"/>
  <c r="ER88" i="3" s="1"/>
  <c r="FD26" i="5"/>
  <c r="FD88" i="5" s="1"/>
  <c r="FD26" i="3"/>
  <c r="FD88" i="3" s="1"/>
  <c r="FP26" i="5"/>
  <c r="FP88" i="5" s="1"/>
  <c r="FP26" i="3"/>
  <c r="FP88" i="3" s="1"/>
  <c r="FZ89" i="2"/>
  <c r="AA24" i="5"/>
  <c r="AA86" i="5" s="1"/>
  <c r="AA24" i="3"/>
  <c r="AA86" i="3" s="1"/>
  <c r="CV25" i="5"/>
  <c r="CV87" i="5" s="1"/>
  <c r="CV25" i="3"/>
  <c r="CV87" i="3" s="1"/>
  <c r="BY26" i="5"/>
  <c r="BY88" i="5" s="1"/>
  <c r="BY26" i="3"/>
  <c r="BY88" i="3" s="1"/>
  <c r="BY90" i="3" s="1"/>
  <c r="BY96" i="3" s="1"/>
  <c r="FO24" i="5"/>
  <c r="FO86" i="5" s="1"/>
  <c r="FO24" i="3"/>
  <c r="FO86" i="3" s="1"/>
  <c r="CW26" i="5"/>
  <c r="CW88" i="5" s="1"/>
  <c r="CW26" i="3"/>
  <c r="CW88" i="3" s="1"/>
  <c r="D24" i="5"/>
  <c r="D86" i="5" s="1"/>
  <c r="D24" i="3"/>
  <c r="D86" i="3" s="1"/>
  <c r="P24" i="5"/>
  <c r="P86" i="5" s="1"/>
  <c r="P24" i="3"/>
  <c r="P86" i="3" s="1"/>
  <c r="AB24" i="5"/>
  <c r="AB86" i="5" s="1"/>
  <c r="AB24" i="3"/>
  <c r="AB86" i="3" s="1"/>
  <c r="AB90" i="3" s="1"/>
  <c r="AB96" i="3" s="1"/>
  <c r="AN24" i="5"/>
  <c r="AN86" i="5" s="1"/>
  <c r="AN24" i="3"/>
  <c r="AN86" i="3" s="1"/>
  <c r="AZ24" i="5"/>
  <c r="AZ86" i="5" s="1"/>
  <c r="AZ24" i="3"/>
  <c r="AZ86" i="3" s="1"/>
  <c r="BL24" i="5"/>
  <c r="BL86" i="5" s="1"/>
  <c r="BL24" i="3"/>
  <c r="BL86" i="3" s="1"/>
  <c r="BX24" i="5"/>
  <c r="BX86" i="5" s="1"/>
  <c r="BX24" i="3"/>
  <c r="BX86" i="3" s="1"/>
  <c r="CJ24" i="5"/>
  <c r="CJ86" i="5" s="1"/>
  <c r="CJ24" i="3"/>
  <c r="CJ86" i="3" s="1"/>
  <c r="CV24" i="5"/>
  <c r="CV86" i="5" s="1"/>
  <c r="CV24" i="3"/>
  <c r="CV86" i="3" s="1"/>
  <c r="CV90" i="3" s="1"/>
  <c r="CV96" i="3" s="1"/>
  <c r="DH24" i="5"/>
  <c r="DH86" i="5" s="1"/>
  <c r="DH24" i="3"/>
  <c r="DH86" i="3" s="1"/>
  <c r="DT24" i="5"/>
  <c r="DT86" i="5" s="1"/>
  <c r="DT24" i="3"/>
  <c r="DT86" i="3" s="1"/>
  <c r="EF24" i="5"/>
  <c r="EF86" i="5" s="1"/>
  <c r="EF24" i="3"/>
  <c r="EF86" i="3" s="1"/>
  <c r="ER24" i="5"/>
  <c r="ER86" i="5" s="1"/>
  <c r="ER24" i="3"/>
  <c r="ER86" i="3" s="1"/>
  <c r="FD24" i="5"/>
  <c r="FD86" i="5" s="1"/>
  <c r="FD24" i="3"/>
  <c r="FD86" i="3" s="1"/>
  <c r="FP24" i="5"/>
  <c r="FP86" i="5" s="1"/>
  <c r="FP24" i="3"/>
  <c r="FP86" i="3" s="1"/>
  <c r="FP90" i="3" s="1"/>
  <c r="FP96" i="3" s="1"/>
  <c r="E25" i="5"/>
  <c r="E87" i="5" s="1"/>
  <c r="E25" i="3"/>
  <c r="E87" i="3" s="1"/>
  <c r="Q25" i="5"/>
  <c r="Q87" i="5" s="1"/>
  <c r="Q25" i="3"/>
  <c r="Q87" i="3" s="1"/>
  <c r="AC25" i="5"/>
  <c r="AC87" i="5" s="1"/>
  <c r="AC25" i="3"/>
  <c r="AC87" i="3" s="1"/>
  <c r="AO25" i="5"/>
  <c r="AO87" i="5" s="1"/>
  <c r="AO25" i="3"/>
  <c r="AO87" i="3" s="1"/>
  <c r="BA25" i="5"/>
  <c r="BA87" i="5" s="1"/>
  <c r="BA25" i="3"/>
  <c r="BA87" i="3" s="1"/>
  <c r="BM25" i="5"/>
  <c r="BM87" i="5" s="1"/>
  <c r="BM25" i="3"/>
  <c r="BM87" i="3" s="1"/>
  <c r="BM90" i="3" s="1"/>
  <c r="BM96" i="3" s="1"/>
  <c r="BY25" i="5"/>
  <c r="BY87" i="5" s="1"/>
  <c r="BY25" i="3"/>
  <c r="BY87" i="3" s="1"/>
  <c r="CK25" i="5"/>
  <c r="CK87" i="5" s="1"/>
  <c r="CK25" i="3"/>
  <c r="CK87" i="3" s="1"/>
  <c r="CW25" i="5"/>
  <c r="CW87" i="5" s="1"/>
  <c r="CW25" i="3"/>
  <c r="CW87" i="3" s="1"/>
  <c r="DI25" i="5"/>
  <c r="DI87" i="5" s="1"/>
  <c r="DI25" i="3"/>
  <c r="DI87" i="3" s="1"/>
  <c r="DU25" i="5"/>
  <c r="DU87" i="5" s="1"/>
  <c r="DU25" i="3"/>
  <c r="DU87" i="3" s="1"/>
  <c r="EG25" i="5"/>
  <c r="EG87" i="5" s="1"/>
  <c r="EG25" i="3"/>
  <c r="EG87" i="3" s="1"/>
  <c r="EG90" i="3" s="1"/>
  <c r="EG96" i="3" s="1"/>
  <c r="ES25" i="5"/>
  <c r="ES87" i="5" s="1"/>
  <c r="ES25" i="3"/>
  <c r="ES87" i="3" s="1"/>
  <c r="FE25" i="5"/>
  <c r="FE87" i="5" s="1"/>
  <c r="FE25" i="3"/>
  <c r="FE87" i="3" s="1"/>
  <c r="FQ25" i="5"/>
  <c r="FQ87" i="5" s="1"/>
  <c r="FQ25" i="3"/>
  <c r="FQ87" i="3" s="1"/>
  <c r="F26" i="5"/>
  <c r="F88" i="5" s="1"/>
  <c r="F26" i="3"/>
  <c r="F88" i="3" s="1"/>
  <c r="R26" i="5"/>
  <c r="R88" i="5" s="1"/>
  <c r="R26" i="3"/>
  <c r="R88" i="3" s="1"/>
  <c r="AD26" i="5"/>
  <c r="AD88" i="5" s="1"/>
  <c r="AD26" i="3"/>
  <c r="AD88" i="3" s="1"/>
  <c r="AD90" i="3" s="1"/>
  <c r="AD96" i="3" s="1"/>
  <c r="AP26" i="5"/>
  <c r="AP88" i="5" s="1"/>
  <c r="AP26" i="3"/>
  <c r="AP88" i="3" s="1"/>
  <c r="BB26" i="5"/>
  <c r="BB88" i="5" s="1"/>
  <c r="BB26" i="3"/>
  <c r="BB88" i="3" s="1"/>
  <c r="BN26" i="5"/>
  <c r="BN88" i="5" s="1"/>
  <c r="BN26" i="3"/>
  <c r="BN88" i="3" s="1"/>
  <c r="BZ26" i="5"/>
  <c r="BZ88" i="5" s="1"/>
  <c r="BZ26" i="3"/>
  <c r="BZ88" i="3" s="1"/>
  <c r="CL26" i="5"/>
  <c r="CL88" i="5" s="1"/>
  <c r="CL26" i="3"/>
  <c r="CL88" i="3" s="1"/>
  <c r="CX26" i="5"/>
  <c r="CX88" i="5" s="1"/>
  <c r="CX26" i="3"/>
  <c r="CX88" i="3" s="1"/>
  <c r="CX90" i="3" s="1"/>
  <c r="CX96" i="3" s="1"/>
  <c r="DJ26" i="5"/>
  <c r="DJ88" i="5" s="1"/>
  <c r="DJ26" i="3"/>
  <c r="DJ88" i="3" s="1"/>
  <c r="DV26" i="5"/>
  <c r="DV88" i="5" s="1"/>
  <c r="DV26" i="3"/>
  <c r="DV88" i="3" s="1"/>
  <c r="EH26" i="5"/>
  <c r="EH88" i="5" s="1"/>
  <c r="EH26" i="3"/>
  <c r="EH88" i="3" s="1"/>
  <c r="ET26" i="5"/>
  <c r="ET88" i="5" s="1"/>
  <c r="ET26" i="3"/>
  <c r="ET88" i="3" s="1"/>
  <c r="FF26" i="5"/>
  <c r="FF88" i="5" s="1"/>
  <c r="FF26" i="3"/>
  <c r="FF88" i="3" s="1"/>
  <c r="FR26" i="5"/>
  <c r="FR88" i="5" s="1"/>
  <c r="FR26" i="3"/>
  <c r="FR88" i="3" s="1"/>
  <c r="FZ70" i="2"/>
  <c r="FZ11" i="2"/>
  <c r="E24" i="5"/>
  <c r="E86" i="5" s="1"/>
  <c r="E24" i="3"/>
  <c r="E86" i="3" s="1"/>
  <c r="Q24" i="5"/>
  <c r="Q86" i="5" s="1"/>
  <c r="Q24" i="3"/>
  <c r="Q86" i="3" s="1"/>
  <c r="AC24" i="5"/>
  <c r="AC86" i="5" s="1"/>
  <c r="AC24" i="3"/>
  <c r="AC86" i="3" s="1"/>
  <c r="AC90" i="3" s="1"/>
  <c r="AC96" i="3" s="1"/>
  <c r="AO24" i="5"/>
  <c r="AO86" i="5" s="1"/>
  <c r="AO24" i="3"/>
  <c r="AO86" i="3" s="1"/>
  <c r="BA24" i="5"/>
  <c r="BA86" i="5" s="1"/>
  <c r="BA24" i="3"/>
  <c r="BA86" i="3" s="1"/>
  <c r="BM24" i="5"/>
  <c r="BM86" i="5" s="1"/>
  <c r="BM24" i="3"/>
  <c r="BM86" i="3" s="1"/>
  <c r="BY24" i="5"/>
  <c r="BY86" i="5" s="1"/>
  <c r="BY24" i="3"/>
  <c r="BY86" i="3" s="1"/>
  <c r="CK24" i="5"/>
  <c r="CK86" i="5" s="1"/>
  <c r="CK24" i="3"/>
  <c r="CK86" i="3" s="1"/>
  <c r="CW24" i="5"/>
  <c r="CW86" i="5" s="1"/>
  <c r="CW24" i="3"/>
  <c r="CW86" i="3" s="1"/>
  <c r="DI24" i="5"/>
  <c r="DI86" i="5" s="1"/>
  <c r="DI24" i="3"/>
  <c r="DI86" i="3" s="1"/>
  <c r="DU24" i="5"/>
  <c r="DU86" i="5" s="1"/>
  <c r="DU24" i="3"/>
  <c r="DU86" i="3" s="1"/>
  <c r="EG24" i="5"/>
  <c r="EG86" i="5" s="1"/>
  <c r="EG24" i="3"/>
  <c r="EG86" i="3" s="1"/>
  <c r="ES24" i="5"/>
  <c r="ES86" i="5" s="1"/>
  <c r="ES24" i="3"/>
  <c r="ES86" i="3" s="1"/>
  <c r="FE24" i="5"/>
  <c r="FE86" i="5" s="1"/>
  <c r="FE24" i="3"/>
  <c r="FE86" i="3" s="1"/>
  <c r="FQ24" i="5"/>
  <c r="FQ86" i="5" s="1"/>
  <c r="FQ24" i="3"/>
  <c r="FQ86" i="3" s="1"/>
  <c r="F25" i="5"/>
  <c r="F87" i="5" s="1"/>
  <c r="F25" i="3"/>
  <c r="F87" i="3" s="1"/>
  <c r="R25" i="5"/>
  <c r="R87" i="5" s="1"/>
  <c r="R25" i="3"/>
  <c r="R87" i="3" s="1"/>
  <c r="AD25" i="5"/>
  <c r="AD87" i="5" s="1"/>
  <c r="AD25" i="3"/>
  <c r="AD87" i="3" s="1"/>
  <c r="AP25" i="5"/>
  <c r="AP87" i="5" s="1"/>
  <c r="AP25" i="3"/>
  <c r="AP87" i="3" s="1"/>
  <c r="BB25" i="5"/>
  <c r="BB87" i="5" s="1"/>
  <c r="BB25" i="3"/>
  <c r="BB87" i="3" s="1"/>
  <c r="BN25" i="5"/>
  <c r="BN87" i="5" s="1"/>
  <c r="BN25" i="3"/>
  <c r="BN87" i="3" s="1"/>
  <c r="BN90" i="3" s="1"/>
  <c r="BN96" i="3" s="1"/>
  <c r="BZ25" i="5"/>
  <c r="BZ87" i="5" s="1"/>
  <c r="BZ25" i="3"/>
  <c r="BZ87" i="3" s="1"/>
  <c r="CL25" i="5"/>
  <c r="CL87" i="5" s="1"/>
  <c r="CL25" i="3"/>
  <c r="CL87" i="3" s="1"/>
  <c r="CX25" i="5"/>
  <c r="CX87" i="5" s="1"/>
  <c r="CX25" i="3"/>
  <c r="CX87" i="3" s="1"/>
  <c r="DJ25" i="5"/>
  <c r="DJ87" i="5" s="1"/>
  <c r="DJ25" i="3"/>
  <c r="DJ87" i="3" s="1"/>
  <c r="DV25" i="5"/>
  <c r="DV87" i="5" s="1"/>
  <c r="DV25" i="3"/>
  <c r="DV87" i="3" s="1"/>
  <c r="EH25" i="5"/>
  <c r="EH87" i="5" s="1"/>
  <c r="EH25" i="3"/>
  <c r="EH87" i="3" s="1"/>
  <c r="EH90" i="3" s="1"/>
  <c r="EH96" i="3" s="1"/>
  <c r="ET25" i="5"/>
  <c r="ET87" i="5" s="1"/>
  <c r="ET25" i="3"/>
  <c r="ET87" i="3" s="1"/>
  <c r="FF25" i="5"/>
  <c r="FF87" i="5" s="1"/>
  <c r="FF25" i="3"/>
  <c r="FF87" i="3" s="1"/>
  <c r="FR25" i="5"/>
  <c r="FR87" i="5" s="1"/>
  <c r="FR25" i="3"/>
  <c r="FR87" i="3" s="1"/>
  <c r="G26" i="5"/>
  <c r="G88" i="5" s="1"/>
  <c r="G26" i="3"/>
  <c r="G88" i="3" s="1"/>
  <c r="S26" i="5"/>
  <c r="S88" i="5" s="1"/>
  <c r="S26" i="3"/>
  <c r="S88" i="3" s="1"/>
  <c r="AE26" i="5"/>
  <c r="AE88" i="5" s="1"/>
  <c r="AE26" i="3"/>
  <c r="AE88" i="3" s="1"/>
  <c r="AE90" i="3" s="1"/>
  <c r="AE96" i="3" s="1"/>
  <c r="AQ26" i="5"/>
  <c r="AQ88" i="5" s="1"/>
  <c r="AQ26" i="3"/>
  <c r="AQ88" i="3" s="1"/>
  <c r="BC26" i="5"/>
  <c r="BC88" i="5" s="1"/>
  <c r="BC26" i="3"/>
  <c r="BC88" i="3" s="1"/>
  <c r="BO26" i="5"/>
  <c r="BO88" i="5" s="1"/>
  <c r="BO26" i="3"/>
  <c r="BO88" i="3" s="1"/>
  <c r="CA26" i="5"/>
  <c r="CA88" i="5" s="1"/>
  <c r="CA26" i="3"/>
  <c r="CA88" i="3" s="1"/>
  <c r="CM26" i="5"/>
  <c r="CM88" i="5" s="1"/>
  <c r="CM26" i="3"/>
  <c r="CM88" i="3" s="1"/>
  <c r="CY26" i="5"/>
  <c r="CY88" i="5" s="1"/>
  <c r="CY26" i="3"/>
  <c r="CY88" i="3" s="1"/>
  <c r="CY90" i="3" s="1"/>
  <c r="CY96" i="3" s="1"/>
  <c r="DK26" i="5"/>
  <c r="DK88" i="5" s="1"/>
  <c r="DK26" i="3"/>
  <c r="DK88" i="3" s="1"/>
  <c r="DW26" i="5"/>
  <c r="DW88" i="5" s="1"/>
  <c r="DW26" i="3"/>
  <c r="DW88" i="3" s="1"/>
  <c r="EI26" i="5"/>
  <c r="EI88" i="5" s="1"/>
  <c r="EI26" i="3"/>
  <c r="EI88" i="3" s="1"/>
  <c r="EU26" i="5"/>
  <c r="EU88" i="5" s="1"/>
  <c r="EU26" i="3"/>
  <c r="EU88" i="3" s="1"/>
  <c r="FG26" i="5"/>
  <c r="FG88" i="5" s="1"/>
  <c r="FG26" i="3"/>
  <c r="FG88" i="3" s="1"/>
  <c r="FS26" i="5"/>
  <c r="FS88" i="5" s="1"/>
  <c r="FS26" i="3"/>
  <c r="FS88" i="3" s="1"/>
  <c r="FS90" i="3" s="1"/>
  <c r="FS96" i="3" s="1"/>
  <c r="BW24" i="5"/>
  <c r="BW86" i="5" s="1"/>
  <c r="BW24" i="3"/>
  <c r="BW86" i="3" s="1"/>
  <c r="FC24" i="5"/>
  <c r="FC86" i="5" s="1"/>
  <c r="FC24" i="3"/>
  <c r="FC86" i="3" s="1"/>
  <c r="AZ25" i="5"/>
  <c r="AZ87" i="5" s="1"/>
  <c r="AZ25" i="3"/>
  <c r="AZ87" i="3" s="1"/>
  <c r="FD25" i="5"/>
  <c r="FD87" i="5" s="1"/>
  <c r="FD90" i="5" s="1"/>
  <c r="FD96" i="5" s="1"/>
  <c r="FD25" i="3"/>
  <c r="FD87" i="3" s="1"/>
  <c r="AO26" i="5"/>
  <c r="AO88" i="5" s="1"/>
  <c r="AO26" i="3"/>
  <c r="AO88" i="3" s="1"/>
  <c r="FE26" i="5"/>
  <c r="FE88" i="5" s="1"/>
  <c r="FE26" i="3"/>
  <c r="FE88" i="3" s="1"/>
  <c r="F24" i="5"/>
  <c r="F86" i="5" s="1"/>
  <c r="F24" i="3"/>
  <c r="F86" i="3" s="1"/>
  <c r="R24" i="5"/>
  <c r="R86" i="5" s="1"/>
  <c r="R24" i="3"/>
  <c r="R86" i="3" s="1"/>
  <c r="AD24" i="5"/>
  <c r="AD86" i="5" s="1"/>
  <c r="AD24" i="3"/>
  <c r="AD86" i="3" s="1"/>
  <c r="AP24" i="5"/>
  <c r="AP86" i="5" s="1"/>
  <c r="AP90" i="5" s="1"/>
  <c r="AP96" i="5" s="1"/>
  <c r="AP24" i="3"/>
  <c r="AP86" i="3" s="1"/>
  <c r="BB24" i="5"/>
  <c r="BB86" i="5" s="1"/>
  <c r="BB24" i="3"/>
  <c r="BB86" i="3" s="1"/>
  <c r="BN24" i="5"/>
  <c r="BN86" i="5" s="1"/>
  <c r="BN24" i="3"/>
  <c r="BN86" i="3" s="1"/>
  <c r="BZ24" i="5"/>
  <c r="BZ86" i="5" s="1"/>
  <c r="BZ24" i="3"/>
  <c r="BZ86" i="3" s="1"/>
  <c r="CL24" i="5"/>
  <c r="CL86" i="5" s="1"/>
  <c r="CL24" i="3"/>
  <c r="CL86" i="3" s="1"/>
  <c r="CX24" i="5"/>
  <c r="CX86" i="5" s="1"/>
  <c r="CX24" i="3"/>
  <c r="CX86" i="3" s="1"/>
  <c r="DJ24" i="5"/>
  <c r="DJ86" i="5" s="1"/>
  <c r="DJ90" i="5" s="1"/>
  <c r="DJ96" i="5" s="1"/>
  <c r="DJ24" i="3"/>
  <c r="DJ86" i="3" s="1"/>
  <c r="DV24" i="5"/>
  <c r="DV86" i="5" s="1"/>
  <c r="DV24" i="3"/>
  <c r="DV86" i="3" s="1"/>
  <c r="EH24" i="5"/>
  <c r="EH86" i="5" s="1"/>
  <c r="EH24" i="3"/>
  <c r="EH86" i="3" s="1"/>
  <c r="ET24" i="5"/>
  <c r="ET86" i="5" s="1"/>
  <c r="ET24" i="3"/>
  <c r="ET86" i="3" s="1"/>
  <c r="FF24" i="5"/>
  <c r="FF86" i="5" s="1"/>
  <c r="FF24" i="3"/>
  <c r="FF86" i="3" s="1"/>
  <c r="FR24" i="5"/>
  <c r="FR86" i="5" s="1"/>
  <c r="FR24" i="3"/>
  <c r="FR86" i="3" s="1"/>
  <c r="G25" i="5"/>
  <c r="G87" i="5" s="1"/>
  <c r="G90" i="5" s="1"/>
  <c r="G96" i="5" s="1"/>
  <c r="G25" i="3"/>
  <c r="G87" i="3" s="1"/>
  <c r="S25" i="5"/>
  <c r="S87" i="5" s="1"/>
  <c r="S25" i="3"/>
  <c r="S87" i="3" s="1"/>
  <c r="AE25" i="5"/>
  <c r="AE87" i="5" s="1"/>
  <c r="AE25" i="3"/>
  <c r="AE87" i="3" s="1"/>
  <c r="AQ25" i="5"/>
  <c r="AQ87" i="5" s="1"/>
  <c r="AQ25" i="3"/>
  <c r="AQ87" i="3" s="1"/>
  <c r="BC25" i="5"/>
  <c r="BC87" i="5" s="1"/>
  <c r="BC25" i="3"/>
  <c r="BC87" i="3" s="1"/>
  <c r="BO25" i="5"/>
  <c r="BO87" i="5" s="1"/>
  <c r="BO25" i="3"/>
  <c r="BO87" i="3" s="1"/>
  <c r="CA25" i="5"/>
  <c r="CA87" i="5" s="1"/>
  <c r="CA90" i="5" s="1"/>
  <c r="CA96" i="5" s="1"/>
  <c r="CA25" i="3"/>
  <c r="CA87" i="3" s="1"/>
  <c r="CM25" i="5"/>
  <c r="CM87" i="5" s="1"/>
  <c r="CM25" i="3"/>
  <c r="CM87" i="3" s="1"/>
  <c r="CY25" i="5"/>
  <c r="CY87" i="5" s="1"/>
  <c r="CY25" i="3"/>
  <c r="CY87" i="3" s="1"/>
  <c r="DK25" i="5"/>
  <c r="DK87" i="5" s="1"/>
  <c r="DK25" i="3"/>
  <c r="DK87" i="3" s="1"/>
  <c r="DK90" i="3" s="1"/>
  <c r="DK96" i="3" s="1"/>
  <c r="DW25" i="5"/>
  <c r="DW87" i="5" s="1"/>
  <c r="DW25" i="3"/>
  <c r="DW87" i="3" s="1"/>
  <c r="EI25" i="5"/>
  <c r="EI87" i="5" s="1"/>
  <c r="EI25" i="3"/>
  <c r="EI87" i="3" s="1"/>
  <c r="EU25" i="5"/>
  <c r="EU87" i="5" s="1"/>
  <c r="EU90" i="5" s="1"/>
  <c r="EU96" i="5" s="1"/>
  <c r="EU25" i="3"/>
  <c r="EU87" i="3" s="1"/>
  <c r="FG25" i="5"/>
  <c r="FG87" i="5" s="1"/>
  <c r="FG25" i="3"/>
  <c r="FG87" i="3" s="1"/>
  <c r="FS25" i="5"/>
  <c r="FS87" i="5" s="1"/>
  <c r="FS25" i="3"/>
  <c r="FS87" i="3" s="1"/>
  <c r="H26" i="5"/>
  <c r="H88" i="5" s="1"/>
  <c r="H26" i="3"/>
  <c r="H88" i="3" s="1"/>
  <c r="T26" i="5"/>
  <c r="T88" i="5" s="1"/>
  <c r="T26" i="3"/>
  <c r="T88" i="3" s="1"/>
  <c r="AF26" i="5"/>
  <c r="AF88" i="5" s="1"/>
  <c r="AF26" i="3"/>
  <c r="AF88" i="3" s="1"/>
  <c r="AR26" i="5"/>
  <c r="AR88" i="5" s="1"/>
  <c r="AR90" i="5" s="1"/>
  <c r="AR96" i="5" s="1"/>
  <c r="AR26" i="3"/>
  <c r="AR88" i="3" s="1"/>
  <c r="BD26" i="5"/>
  <c r="BD88" i="5" s="1"/>
  <c r="BD26" i="3"/>
  <c r="BD88" i="3" s="1"/>
  <c r="BP26" i="5"/>
  <c r="BP88" i="5" s="1"/>
  <c r="BP26" i="3"/>
  <c r="BP88" i="3" s="1"/>
  <c r="CB26" i="5"/>
  <c r="CB88" i="5" s="1"/>
  <c r="CB26" i="3"/>
  <c r="CB88" i="3" s="1"/>
  <c r="CN26" i="5"/>
  <c r="CN88" i="5" s="1"/>
  <c r="CN26" i="3"/>
  <c r="CN88" i="3" s="1"/>
  <c r="CZ26" i="5"/>
  <c r="CZ88" i="5" s="1"/>
  <c r="CZ26" i="3"/>
  <c r="CZ88" i="3" s="1"/>
  <c r="DL26" i="5"/>
  <c r="DL88" i="5" s="1"/>
  <c r="DL90" i="5" s="1"/>
  <c r="DL96" i="5" s="1"/>
  <c r="DL26" i="3"/>
  <c r="DL88" i="3" s="1"/>
  <c r="DX26" i="5"/>
  <c r="DX88" i="5" s="1"/>
  <c r="DX26" i="3"/>
  <c r="DX88" i="3" s="1"/>
  <c r="EJ26" i="5"/>
  <c r="EJ88" i="5" s="1"/>
  <c r="EJ26" i="3"/>
  <c r="EJ88" i="3" s="1"/>
  <c r="EV26" i="5"/>
  <c r="EV88" i="5" s="1"/>
  <c r="EV26" i="3"/>
  <c r="EV88" i="3" s="1"/>
  <c r="FH26" i="5"/>
  <c r="FH88" i="5" s="1"/>
  <c r="FH26" i="3"/>
  <c r="FH88" i="3" s="1"/>
  <c r="FT26" i="5"/>
  <c r="FT88" i="5" s="1"/>
  <c r="FT26" i="3"/>
  <c r="FT88" i="3" s="1"/>
  <c r="DG24" i="5"/>
  <c r="DG86" i="5" s="1"/>
  <c r="DG90" i="5" s="1"/>
  <c r="DG96" i="5" s="1"/>
  <c r="DG24" i="3"/>
  <c r="DG86" i="3" s="1"/>
  <c r="BX25" i="5"/>
  <c r="BX87" i="5" s="1"/>
  <c r="BX25" i="3"/>
  <c r="BX87" i="3" s="1"/>
  <c r="CK26" i="5"/>
  <c r="CK88" i="5" s="1"/>
  <c r="CK26" i="3"/>
  <c r="CK88" i="3" s="1"/>
  <c r="G24" i="5"/>
  <c r="G86" i="5" s="1"/>
  <c r="G24" i="3"/>
  <c r="G86" i="3" s="1"/>
  <c r="S24" i="5"/>
  <c r="S86" i="5" s="1"/>
  <c r="S24" i="3"/>
  <c r="S86" i="3" s="1"/>
  <c r="AE24" i="5"/>
  <c r="AE86" i="5" s="1"/>
  <c r="AE24" i="3"/>
  <c r="AE86" i="3" s="1"/>
  <c r="AQ24" i="5"/>
  <c r="AQ86" i="5" s="1"/>
  <c r="AQ90" i="5" s="1"/>
  <c r="AQ96" i="5" s="1"/>
  <c r="AQ24" i="3"/>
  <c r="AQ86" i="3" s="1"/>
  <c r="BC24" i="5"/>
  <c r="BC86" i="5" s="1"/>
  <c r="BC24" i="3"/>
  <c r="BC86" i="3" s="1"/>
  <c r="BO24" i="5"/>
  <c r="BO86" i="5" s="1"/>
  <c r="BO24" i="3"/>
  <c r="BO86" i="3" s="1"/>
  <c r="CA24" i="5"/>
  <c r="CA86" i="5" s="1"/>
  <c r="CA24" i="3"/>
  <c r="CA86" i="3" s="1"/>
  <c r="CM24" i="5"/>
  <c r="CM86" i="5" s="1"/>
  <c r="CM24" i="3"/>
  <c r="CM86" i="3" s="1"/>
  <c r="CY24" i="5"/>
  <c r="CY86" i="5" s="1"/>
  <c r="CY24" i="3"/>
  <c r="CY86" i="3" s="1"/>
  <c r="DK24" i="5"/>
  <c r="DK86" i="5" s="1"/>
  <c r="DK90" i="5" s="1"/>
  <c r="DK96" i="5" s="1"/>
  <c r="DK24" i="3"/>
  <c r="DK86" i="3" s="1"/>
  <c r="DW24" i="5"/>
  <c r="DW86" i="5" s="1"/>
  <c r="DW24" i="3"/>
  <c r="DW86" i="3" s="1"/>
  <c r="EI24" i="5"/>
  <c r="EI86" i="5" s="1"/>
  <c r="EI24" i="3"/>
  <c r="EI86" i="3" s="1"/>
  <c r="EU24" i="5"/>
  <c r="EU86" i="5" s="1"/>
  <c r="EU24" i="3"/>
  <c r="EU86" i="3" s="1"/>
  <c r="FG24" i="5"/>
  <c r="FG86" i="5" s="1"/>
  <c r="FG24" i="3"/>
  <c r="FG86" i="3" s="1"/>
  <c r="FS24" i="5"/>
  <c r="FS86" i="5" s="1"/>
  <c r="FS24" i="3"/>
  <c r="FS86" i="3" s="1"/>
  <c r="H25" i="5"/>
  <c r="H87" i="5" s="1"/>
  <c r="H90" i="5" s="1"/>
  <c r="H96" i="5" s="1"/>
  <c r="H25" i="3"/>
  <c r="H87" i="3" s="1"/>
  <c r="T25" i="5"/>
  <c r="T87" i="5" s="1"/>
  <c r="T25" i="3"/>
  <c r="T87" i="3" s="1"/>
  <c r="AF25" i="5"/>
  <c r="AF87" i="5" s="1"/>
  <c r="AF25" i="3"/>
  <c r="AF87" i="3" s="1"/>
  <c r="AR25" i="5"/>
  <c r="AR87" i="5" s="1"/>
  <c r="AR25" i="3"/>
  <c r="AR87" i="3" s="1"/>
  <c r="BD25" i="5"/>
  <c r="BD87" i="5" s="1"/>
  <c r="BD25" i="3"/>
  <c r="BD87" i="3" s="1"/>
  <c r="BP25" i="5"/>
  <c r="BP87" i="5" s="1"/>
  <c r="BP25" i="3"/>
  <c r="BP87" i="3" s="1"/>
  <c r="CB25" i="5"/>
  <c r="CB87" i="5" s="1"/>
  <c r="CB90" i="5" s="1"/>
  <c r="CB96" i="5" s="1"/>
  <c r="CB25" i="3"/>
  <c r="CB87" i="3" s="1"/>
  <c r="CN25" i="5"/>
  <c r="CN87" i="5" s="1"/>
  <c r="CN25" i="3"/>
  <c r="CN87" i="3" s="1"/>
  <c r="CZ25" i="5"/>
  <c r="CZ87" i="5" s="1"/>
  <c r="CZ25" i="3"/>
  <c r="CZ87" i="3" s="1"/>
  <c r="DL25" i="5"/>
  <c r="DL87" i="5" s="1"/>
  <c r="DL25" i="3"/>
  <c r="DL87" i="3" s="1"/>
  <c r="DX25" i="5"/>
  <c r="DX87" i="5" s="1"/>
  <c r="DX25" i="3"/>
  <c r="DX87" i="3" s="1"/>
  <c r="EJ25" i="5"/>
  <c r="EJ87" i="5" s="1"/>
  <c r="EJ25" i="3"/>
  <c r="EJ87" i="3" s="1"/>
  <c r="EV25" i="5"/>
  <c r="EV87" i="5" s="1"/>
  <c r="EV90" i="5" s="1"/>
  <c r="EV96" i="5" s="1"/>
  <c r="EV25" i="3"/>
  <c r="EV87" i="3" s="1"/>
  <c r="FH25" i="5"/>
  <c r="FH87" i="5" s="1"/>
  <c r="FH25" i="3"/>
  <c r="FH87" i="3" s="1"/>
  <c r="FT25" i="5"/>
  <c r="FT87" i="5" s="1"/>
  <c r="FT25" i="3"/>
  <c r="FT87" i="3" s="1"/>
  <c r="I26" i="5"/>
  <c r="I88" i="5" s="1"/>
  <c r="I26" i="3"/>
  <c r="I88" i="3" s="1"/>
  <c r="U26" i="5"/>
  <c r="U88" i="5" s="1"/>
  <c r="U26" i="3"/>
  <c r="U88" i="3" s="1"/>
  <c r="AG26" i="5"/>
  <c r="AG88" i="5" s="1"/>
  <c r="AG26" i="3"/>
  <c r="AG88" i="3" s="1"/>
  <c r="AS26" i="5"/>
  <c r="AS88" i="5" s="1"/>
  <c r="AS90" i="5" s="1"/>
  <c r="AS96" i="5" s="1"/>
  <c r="AS26" i="3"/>
  <c r="AS88" i="3" s="1"/>
  <c r="BE26" i="5"/>
  <c r="BE88" i="5" s="1"/>
  <c r="BE26" i="3"/>
  <c r="BE88" i="3" s="1"/>
  <c r="BQ26" i="5"/>
  <c r="BQ88" i="5" s="1"/>
  <c r="BQ26" i="3"/>
  <c r="BQ88" i="3" s="1"/>
  <c r="CC26" i="5"/>
  <c r="CC88" i="5" s="1"/>
  <c r="CC26" i="3"/>
  <c r="CC88" i="3" s="1"/>
  <c r="CO26" i="5"/>
  <c r="CO88" i="5" s="1"/>
  <c r="CO26" i="3"/>
  <c r="CO88" i="3" s="1"/>
  <c r="DA26" i="5"/>
  <c r="DA88" i="5" s="1"/>
  <c r="DA26" i="3"/>
  <c r="DA88" i="3" s="1"/>
  <c r="DM26" i="5"/>
  <c r="DM88" i="5" s="1"/>
  <c r="DM90" i="5" s="1"/>
  <c r="DM96" i="5" s="1"/>
  <c r="DM26" i="3"/>
  <c r="DM88" i="3" s="1"/>
  <c r="DY26" i="5"/>
  <c r="DY88" i="5" s="1"/>
  <c r="DY26" i="3"/>
  <c r="DY88" i="3" s="1"/>
  <c r="EK26" i="5"/>
  <c r="EK88" i="5" s="1"/>
  <c r="EK26" i="3"/>
  <c r="EK88" i="3" s="1"/>
  <c r="EW26" i="5"/>
  <c r="EW88" i="5" s="1"/>
  <c r="EW26" i="3"/>
  <c r="EW88" i="3" s="1"/>
  <c r="FI26" i="5"/>
  <c r="FI88" i="5" s="1"/>
  <c r="FI26" i="3"/>
  <c r="FI88" i="3" s="1"/>
  <c r="FU26" i="5"/>
  <c r="FU88" i="5" s="1"/>
  <c r="FU26" i="3"/>
  <c r="FU88" i="3" s="1"/>
  <c r="DQ65" i="2"/>
  <c r="AY24" i="5"/>
  <c r="AY86" i="5" s="1"/>
  <c r="AY24" i="3"/>
  <c r="AY86" i="3" s="1"/>
  <c r="EE24" i="5"/>
  <c r="EE86" i="5" s="1"/>
  <c r="EE24" i="3"/>
  <c r="EE86" i="3" s="1"/>
  <c r="AN25" i="5"/>
  <c r="AN87" i="5" s="1"/>
  <c r="AN25" i="3"/>
  <c r="AN87" i="3" s="1"/>
  <c r="DT25" i="5"/>
  <c r="DT87" i="5" s="1"/>
  <c r="DT25" i="3"/>
  <c r="DT87" i="3" s="1"/>
  <c r="Q26" i="5"/>
  <c r="Q88" i="5" s="1"/>
  <c r="Q26" i="3"/>
  <c r="Q88" i="3" s="1"/>
  <c r="DI26" i="5"/>
  <c r="DI88" i="5" s="1"/>
  <c r="DI26" i="3"/>
  <c r="DI88" i="3" s="1"/>
  <c r="DI90" i="3" s="1"/>
  <c r="DI96" i="3" s="1"/>
  <c r="H24" i="5"/>
  <c r="H86" i="5" s="1"/>
  <c r="H24" i="3"/>
  <c r="H86" i="3" s="1"/>
  <c r="T24" i="5"/>
  <c r="T86" i="5" s="1"/>
  <c r="T24" i="3"/>
  <c r="T86" i="3" s="1"/>
  <c r="AF24" i="5"/>
  <c r="AF86" i="5" s="1"/>
  <c r="AF24" i="3"/>
  <c r="AF86" i="3" s="1"/>
  <c r="AR24" i="5"/>
  <c r="AR86" i="5" s="1"/>
  <c r="AR24" i="3"/>
  <c r="AR86" i="3" s="1"/>
  <c r="BD24" i="5"/>
  <c r="BD86" i="5" s="1"/>
  <c r="BD24" i="3"/>
  <c r="BD86" i="3" s="1"/>
  <c r="BP24" i="5"/>
  <c r="BP86" i="5" s="1"/>
  <c r="BP24" i="3"/>
  <c r="BP86" i="3" s="1"/>
  <c r="BP90" i="3" s="1"/>
  <c r="BP96" i="3" s="1"/>
  <c r="CB24" i="5"/>
  <c r="CB86" i="5" s="1"/>
  <c r="CB24" i="3"/>
  <c r="CB86" i="3" s="1"/>
  <c r="CN24" i="5"/>
  <c r="CN86" i="5" s="1"/>
  <c r="CN24" i="3"/>
  <c r="CN86" i="3" s="1"/>
  <c r="CZ24" i="5"/>
  <c r="CZ86" i="5" s="1"/>
  <c r="CZ24" i="3"/>
  <c r="CZ86" i="3" s="1"/>
  <c r="DL24" i="5"/>
  <c r="DL86" i="5" s="1"/>
  <c r="DL24" i="3"/>
  <c r="DL86" i="3" s="1"/>
  <c r="DL90" i="3" s="1"/>
  <c r="DL96" i="3" s="1"/>
  <c r="DX24" i="5"/>
  <c r="DX86" i="5" s="1"/>
  <c r="DX24" i="3"/>
  <c r="DX86" i="3" s="1"/>
  <c r="EJ24" i="5"/>
  <c r="EJ86" i="5" s="1"/>
  <c r="EJ24" i="3"/>
  <c r="EJ86" i="3" s="1"/>
  <c r="EJ90" i="3" s="1"/>
  <c r="EJ96" i="3" s="1"/>
  <c r="EV24" i="5"/>
  <c r="EV86" i="5" s="1"/>
  <c r="EV24" i="3"/>
  <c r="EV86" i="3" s="1"/>
  <c r="FH24" i="5"/>
  <c r="FH86" i="5" s="1"/>
  <c r="FH24" i="3"/>
  <c r="FH86" i="3" s="1"/>
  <c r="FH90" i="3" s="1"/>
  <c r="FH96" i="3" s="1"/>
  <c r="FT24" i="5"/>
  <c r="FT86" i="5" s="1"/>
  <c r="FT24" i="3"/>
  <c r="FT86" i="3" s="1"/>
  <c r="I25" i="5"/>
  <c r="I87" i="5" s="1"/>
  <c r="I25" i="3"/>
  <c r="I87" i="3" s="1"/>
  <c r="U25" i="5"/>
  <c r="U87" i="5" s="1"/>
  <c r="U25" i="3"/>
  <c r="U87" i="3" s="1"/>
  <c r="AG25" i="5"/>
  <c r="AG87" i="5" s="1"/>
  <c r="AG25" i="3"/>
  <c r="AG87" i="3" s="1"/>
  <c r="AS25" i="5"/>
  <c r="AS87" i="5" s="1"/>
  <c r="AS25" i="3"/>
  <c r="AS87" i="3" s="1"/>
  <c r="BE25" i="5"/>
  <c r="BE87" i="5" s="1"/>
  <c r="BE25" i="3"/>
  <c r="BE87" i="3" s="1"/>
  <c r="BQ25" i="5"/>
  <c r="BQ87" i="5" s="1"/>
  <c r="BQ25" i="3"/>
  <c r="BQ87" i="3" s="1"/>
  <c r="CC25" i="5"/>
  <c r="CC87" i="5" s="1"/>
  <c r="CC25" i="3"/>
  <c r="CC87" i="3" s="1"/>
  <c r="CO25" i="5"/>
  <c r="CO87" i="5" s="1"/>
  <c r="CO25" i="3"/>
  <c r="CO87" i="3" s="1"/>
  <c r="DA25" i="5"/>
  <c r="DA87" i="5" s="1"/>
  <c r="DA25" i="3"/>
  <c r="DA87" i="3" s="1"/>
  <c r="DA90" i="3" s="1"/>
  <c r="DA96" i="3" s="1"/>
  <c r="DM25" i="5"/>
  <c r="DM87" i="5" s="1"/>
  <c r="DM25" i="3"/>
  <c r="DM87" i="3" s="1"/>
  <c r="DY25" i="5"/>
  <c r="DY87" i="5" s="1"/>
  <c r="DY25" i="3"/>
  <c r="DY87" i="3" s="1"/>
  <c r="EK25" i="5"/>
  <c r="EK87" i="5" s="1"/>
  <c r="EK25" i="3"/>
  <c r="EK87" i="3" s="1"/>
  <c r="EW25" i="5"/>
  <c r="EW87" i="5" s="1"/>
  <c r="EW25" i="3"/>
  <c r="EW87" i="3" s="1"/>
  <c r="FI25" i="5"/>
  <c r="FI87" i="5" s="1"/>
  <c r="FI25" i="3"/>
  <c r="FI87" i="3" s="1"/>
  <c r="FU25" i="5"/>
  <c r="FU87" i="5" s="1"/>
  <c r="FU25" i="3"/>
  <c r="FU87" i="3" s="1"/>
  <c r="J26" i="5"/>
  <c r="J88" i="5" s="1"/>
  <c r="J26" i="3"/>
  <c r="J88" i="3" s="1"/>
  <c r="V26" i="5"/>
  <c r="V88" i="5" s="1"/>
  <c r="V26" i="3"/>
  <c r="V88" i="3" s="1"/>
  <c r="AH26" i="5"/>
  <c r="AH88" i="5" s="1"/>
  <c r="AH26" i="3"/>
  <c r="AH88" i="3" s="1"/>
  <c r="AT26" i="5"/>
  <c r="AT88" i="5" s="1"/>
  <c r="AT26" i="3"/>
  <c r="AT88" i="3" s="1"/>
  <c r="BF26" i="5"/>
  <c r="BF88" i="5" s="1"/>
  <c r="BF26" i="3"/>
  <c r="BF88" i="3" s="1"/>
  <c r="BR26" i="5"/>
  <c r="BR88" i="5" s="1"/>
  <c r="BR26" i="3"/>
  <c r="BR88" i="3" s="1"/>
  <c r="CD26" i="5"/>
  <c r="CD88" i="5" s="1"/>
  <c r="CD26" i="3"/>
  <c r="CD88" i="3" s="1"/>
  <c r="CP26" i="5"/>
  <c r="CP88" i="5" s="1"/>
  <c r="CP26" i="3"/>
  <c r="CP88" i="3" s="1"/>
  <c r="DB26" i="5"/>
  <c r="DB88" i="5" s="1"/>
  <c r="DB26" i="3"/>
  <c r="DB88" i="3" s="1"/>
  <c r="DN26" i="5"/>
  <c r="DN88" i="5" s="1"/>
  <c r="DN26" i="3"/>
  <c r="DN88" i="3" s="1"/>
  <c r="DZ26" i="5"/>
  <c r="DZ88" i="5" s="1"/>
  <c r="DZ26" i="3"/>
  <c r="DZ88" i="3" s="1"/>
  <c r="EL26" i="5"/>
  <c r="EL88" i="5" s="1"/>
  <c r="EL26" i="3"/>
  <c r="EL88" i="3" s="1"/>
  <c r="EX26" i="5"/>
  <c r="EX88" i="5" s="1"/>
  <c r="EX26" i="3"/>
  <c r="EX88" i="3" s="1"/>
  <c r="FJ26" i="5"/>
  <c r="FJ88" i="5" s="1"/>
  <c r="FJ26" i="3"/>
  <c r="FJ88" i="3" s="1"/>
  <c r="FV26" i="5"/>
  <c r="FV88" i="5" s="1"/>
  <c r="FV26" i="3"/>
  <c r="FV88" i="3" s="1"/>
  <c r="M64" i="2"/>
  <c r="M67" i="2" s="1"/>
  <c r="M72" i="2" s="1"/>
  <c r="Y64" i="2"/>
  <c r="Y67" i="2" s="1"/>
  <c r="Y72" i="2" s="1"/>
  <c r="AK64" i="2"/>
  <c r="AK67" i="2" s="1"/>
  <c r="AK72" i="2" s="1"/>
  <c r="AW64" i="2"/>
  <c r="AW67" i="2" s="1"/>
  <c r="AW72" i="2" s="1"/>
  <c r="BI64" i="2"/>
  <c r="BU64" i="2"/>
  <c r="BU67" i="2" s="1"/>
  <c r="BU72" i="2" s="1"/>
  <c r="CG64" i="2"/>
  <c r="CG67" i="2" s="1"/>
  <c r="CG72" i="2" s="1"/>
  <c r="CS64" i="2"/>
  <c r="CS67" i="2" s="1"/>
  <c r="CS72" i="2" s="1"/>
  <c r="DE64" i="2"/>
  <c r="DE67" i="2" s="1"/>
  <c r="DE72" i="2" s="1"/>
  <c r="DQ64" i="2"/>
  <c r="DQ67" i="2" s="1"/>
  <c r="DQ72" i="2" s="1"/>
  <c r="EC64" i="2"/>
  <c r="EC67" i="2" s="1"/>
  <c r="EC72" i="2" s="1"/>
  <c r="EO64" i="2"/>
  <c r="EO67" i="2" s="1"/>
  <c r="EO72" i="2" s="1"/>
  <c r="FA64" i="2"/>
  <c r="FA67" i="2" s="1"/>
  <c r="FA72" i="2" s="1"/>
  <c r="FM64" i="2"/>
  <c r="N65" i="2"/>
  <c r="Z65" i="2"/>
  <c r="AL65" i="2"/>
  <c r="AX65" i="2"/>
  <c r="BJ65" i="2"/>
  <c r="BV65" i="2"/>
  <c r="CH65" i="2"/>
  <c r="CT65" i="2"/>
  <c r="DF65" i="2"/>
  <c r="DR65" i="2"/>
  <c r="ED65" i="2"/>
  <c r="EP65" i="2"/>
  <c r="FB65" i="2"/>
  <c r="FN65" i="2"/>
  <c r="C66" i="2"/>
  <c r="O66" i="2"/>
  <c r="AA66" i="2"/>
  <c r="AM66" i="2"/>
  <c r="AY66" i="2"/>
  <c r="BK66" i="2"/>
  <c r="BW66" i="2"/>
  <c r="CI66" i="2"/>
  <c r="CU66" i="2"/>
  <c r="DG66" i="2"/>
  <c r="DS66" i="2"/>
  <c r="EE66" i="2"/>
  <c r="EQ66" i="2"/>
  <c r="FC66" i="2"/>
  <c r="FO66" i="2"/>
  <c r="FZ114" i="2"/>
  <c r="I24" i="5"/>
  <c r="I86" i="5" s="1"/>
  <c r="I24" i="3"/>
  <c r="I86" i="3" s="1"/>
  <c r="U24" i="5"/>
  <c r="U86" i="5" s="1"/>
  <c r="U90" i="5" s="1"/>
  <c r="U96" i="5" s="1"/>
  <c r="U24" i="3"/>
  <c r="U86" i="3" s="1"/>
  <c r="AG24" i="5"/>
  <c r="AG86" i="5" s="1"/>
  <c r="AG24" i="3"/>
  <c r="AG86" i="3" s="1"/>
  <c r="AS24" i="5"/>
  <c r="AS86" i="5" s="1"/>
  <c r="AS24" i="3"/>
  <c r="AS86" i="3" s="1"/>
  <c r="BE24" i="5"/>
  <c r="BE86" i="5" s="1"/>
  <c r="BE24" i="3"/>
  <c r="BE86" i="3" s="1"/>
  <c r="BQ24" i="5"/>
  <c r="BQ86" i="5" s="1"/>
  <c r="BQ24" i="3"/>
  <c r="BQ86" i="3" s="1"/>
  <c r="CC24" i="5"/>
  <c r="CC86" i="5" s="1"/>
  <c r="CC24" i="3"/>
  <c r="CC86" i="3" s="1"/>
  <c r="CO24" i="5"/>
  <c r="CO86" i="5" s="1"/>
  <c r="CO90" i="5" s="1"/>
  <c r="CO96" i="5" s="1"/>
  <c r="CO24" i="3"/>
  <c r="CO86" i="3" s="1"/>
  <c r="DA24" i="5"/>
  <c r="DA86" i="5" s="1"/>
  <c r="DA24" i="3"/>
  <c r="DA86" i="3" s="1"/>
  <c r="DM24" i="5"/>
  <c r="DM86" i="5" s="1"/>
  <c r="DM24" i="3"/>
  <c r="DM86" i="3" s="1"/>
  <c r="DY24" i="5"/>
  <c r="DY86" i="5" s="1"/>
  <c r="DY24" i="3"/>
  <c r="DY86" i="3" s="1"/>
  <c r="EK24" i="5"/>
  <c r="EK86" i="5" s="1"/>
  <c r="EK24" i="3"/>
  <c r="EK86" i="3" s="1"/>
  <c r="EW24" i="5"/>
  <c r="EW86" i="5" s="1"/>
  <c r="EW24" i="3"/>
  <c r="EW86" i="3" s="1"/>
  <c r="FI24" i="5"/>
  <c r="FI86" i="5" s="1"/>
  <c r="FI90" i="5" s="1"/>
  <c r="FI96" i="5" s="1"/>
  <c r="FI24" i="3"/>
  <c r="FI86" i="3" s="1"/>
  <c r="FU24" i="5"/>
  <c r="FU86" i="5" s="1"/>
  <c r="FU24" i="3"/>
  <c r="FU86" i="3" s="1"/>
  <c r="J25" i="5"/>
  <c r="J87" i="5" s="1"/>
  <c r="J25" i="3"/>
  <c r="J87" i="3" s="1"/>
  <c r="V25" i="5"/>
  <c r="V87" i="5" s="1"/>
  <c r="V25" i="3"/>
  <c r="V87" i="3" s="1"/>
  <c r="AH25" i="5"/>
  <c r="AH87" i="5" s="1"/>
  <c r="AH25" i="3"/>
  <c r="AH87" i="3" s="1"/>
  <c r="AT25" i="5"/>
  <c r="AT87" i="5" s="1"/>
  <c r="AT25" i="3"/>
  <c r="AT87" i="3" s="1"/>
  <c r="BF25" i="5"/>
  <c r="BF87" i="5" s="1"/>
  <c r="BF25" i="3"/>
  <c r="BF87" i="3" s="1"/>
  <c r="BR25" i="5"/>
  <c r="BR87" i="5" s="1"/>
  <c r="BR25" i="3"/>
  <c r="BR87" i="3" s="1"/>
  <c r="CD25" i="5"/>
  <c r="CD87" i="5" s="1"/>
  <c r="CD25" i="3"/>
  <c r="CD87" i="3" s="1"/>
  <c r="CP25" i="5"/>
  <c r="CP87" i="5" s="1"/>
  <c r="CP25" i="3"/>
  <c r="CP87" i="3" s="1"/>
  <c r="DB25" i="5"/>
  <c r="DB87" i="5" s="1"/>
  <c r="DB25" i="3"/>
  <c r="DB87" i="3" s="1"/>
  <c r="DN25" i="5"/>
  <c r="DN87" i="5" s="1"/>
  <c r="DN25" i="3"/>
  <c r="DN87" i="3" s="1"/>
  <c r="DZ25" i="5"/>
  <c r="DZ87" i="5" s="1"/>
  <c r="DZ25" i="3"/>
  <c r="DZ87" i="3" s="1"/>
  <c r="EL25" i="5"/>
  <c r="EL87" i="5" s="1"/>
  <c r="EL25" i="3"/>
  <c r="EL87" i="3" s="1"/>
  <c r="EX25" i="5"/>
  <c r="EX87" i="5" s="1"/>
  <c r="EX25" i="3"/>
  <c r="EX87" i="3" s="1"/>
  <c r="FJ25" i="5"/>
  <c r="FJ87" i="5" s="1"/>
  <c r="FJ25" i="3"/>
  <c r="FJ87" i="3" s="1"/>
  <c r="FV25" i="5"/>
  <c r="FV87" i="5" s="1"/>
  <c r="FV25" i="3"/>
  <c r="FV87" i="3" s="1"/>
  <c r="K26" i="5"/>
  <c r="K88" i="5" s="1"/>
  <c r="K26" i="3"/>
  <c r="K88" i="3" s="1"/>
  <c r="W26" i="5"/>
  <c r="W88" i="5" s="1"/>
  <c r="W26" i="3"/>
  <c r="W88" i="3" s="1"/>
  <c r="AI26" i="5"/>
  <c r="AI88" i="5" s="1"/>
  <c r="AI26" i="3"/>
  <c r="AI88" i="3" s="1"/>
  <c r="AU26" i="5"/>
  <c r="AU88" i="5" s="1"/>
  <c r="AU26" i="3"/>
  <c r="AU88" i="3" s="1"/>
  <c r="BG26" i="5"/>
  <c r="BG88" i="5" s="1"/>
  <c r="BG26" i="3"/>
  <c r="BG88" i="3" s="1"/>
  <c r="BS26" i="5"/>
  <c r="BS88" i="5" s="1"/>
  <c r="BS26" i="3"/>
  <c r="BS88" i="3" s="1"/>
  <c r="CE26" i="5"/>
  <c r="CE88" i="5" s="1"/>
  <c r="CE26" i="3"/>
  <c r="CE88" i="3" s="1"/>
  <c r="CQ26" i="5"/>
  <c r="CQ88" i="5" s="1"/>
  <c r="CQ26" i="3"/>
  <c r="CQ88" i="3" s="1"/>
  <c r="DC26" i="5"/>
  <c r="DC88" i="5" s="1"/>
  <c r="DC26" i="3"/>
  <c r="DC88" i="3" s="1"/>
  <c r="DO26" i="5"/>
  <c r="DO88" i="5" s="1"/>
  <c r="DO26" i="3"/>
  <c r="DO88" i="3" s="1"/>
  <c r="EA26" i="5"/>
  <c r="EA88" i="5" s="1"/>
  <c r="EA26" i="3"/>
  <c r="EA88" i="3" s="1"/>
  <c r="EM26" i="5"/>
  <c r="EM88" i="5" s="1"/>
  <c r="EM26" i="3"/>
  <c r="EM88" i="3" s="1"/>
  <c r="EY26" i="5"/>
  <c r="EY88" i="5" s="1"/>
  <c r="EY26" i="3"/>
  <c r="EY88" i="3" s="1"/>
  <c r="FK26" i="5"/>
  <c r="FK88" i="5" s="1"/>
  <c r="FK26" i="3"/>
  <c r="FK88" i="3" s="1"/>
  <c r="FW26" i="5"/>
  <c r="FW88" i="5" s="1"/>
  <c r="FW26" i="3"/>
  <c r="FW88" i="3" s="1"/>
  <c r="N64" i="2"/>
  <c r="N67" i="2" s="1"/>
  <c r="N72" i="2" s="1"/>
  <c r="Z64" i="2"/>
  <c r="Z67" i="2" s="1"/>
  <c r="Z72" i="2" s="1"/>
  <c r="AL64" i="2"/>
  <c r="AL67" i="2" s="1"/>
  <c r="AL72" i="2" s="1"/>
  <c r="AX64" i="2"/>
  <c r="AX67" i="2" s="1"/>
  <c r="AX72" i="2" s="1"/>
  <c r="BJ64" i="2"/>
  <c r="BJ67" i="2" s="1"/>
  <c r="BJ72" i="2" s="1"/>
  <c r="BV64" i="2"/>
  <c r="BV67" i="2" s="1"/>
  <c r="BV72" i="2" s="1"/>
  <c r="CH64" i="2"/>
  <c r="CT64" i="2"/>
  <c r="CT67" i="2" s="1"/>
  <c r="CT72" i="2" s="1"/>
  <c r="DF64" i="2"/>
  <c r="DF67" i="2" s="1"/>
  <c r="DF72" i="2" s="1"/>
  <c r="DR64" i="2"/>
  <c r="DR67" i="2" s="1"/>
  <c r="DR72" i="2" s="1"/>
  <c r="ED64" i="2"/>
  <c r="ED67" i="2" s="1"/>
  <c r="ED72" i="2" s="1"/>
  <c r="EP64" i="2"/>
  <c r="EP67" i="2" s="1"/>
  <c r="EP72" i="2" s="1"/>
  <c r="FB64" i="2"/>
  <c r="FB67" i="2" s="1"/>
  <c r="FB72" i="2" s="1"/>
  <c r="FN64" i="2"/>
  <c r="FN67" i="2" s="1"/>
  <c r="FN72" i="2" s="1"/>
  <c r="C65" i="2"/>
  <c r="O65" i="2"/>
  <c r="O67" i="2" s="1"/>
  <c r="O72" i="2" s="1"/>
  <c r="AA65" i="2"/>
  <c r="AM65" i="2"/>
  <c r="AY65" i="2"/>
  <c r="BK65" i="2"/>
  <c r="BK67" i="2" s="1"/>
  <c r="BK72" i="2" s="1"/>
  <c r="BW65" i="2"/>
  <c r="CI65" i="2"/>
  <c r="CU65" i="2"/>
  <c r="CU67" i="2" s="1"/>
  <c r="CU72" i="2" s="1"/>
  <c r="DG65" i="2"/>
  <c r="DS65" i="2"/>
  <c r="EE65" i="2"/>
  <c r="EQ65" i="2"/>
  <c r="EQ67" i="2" s="1"/>
  <c r="EQ72" i="2" s="1"/>
  <c r="FC65" i="2"/>
  <c r="FO65" i="2"/>
  <c r="D66" i="2"/>
  <c r="P66" i="2"/>
  <c r="AB66" i="2"/>
  <c r="AN66" i="2"/>
  <c r="AZ66" i="2"/>
  <c r="BL66" i="2"/>
  <c r="BX66" i="2"/>
  <c r="CJ66" i="2"/>
  <c r="CV66" i="2"/>
  <c r="DH66" i="2"/>
  <c r="DT66" i="2"/>
  <c r="EF66" i="2"/>
  <c r="ER66" i="2"/>
  <c r="FD66" i="2"/>
  <c r="FP66" i="2"/>
  <c r="FZ106" i="2"/>
  <c r="S90" i="3"/>
  <c r="S96" i="3" s="1"/>
  <c r="BO90" i="3"/>
  <c r="BO96" i="3" s="1"/>
  <c r="C24" i="5"/>
  <c r="C24" i="3"/>
  <c r="CI24" i="5"/>
  <c r="CI86" i="5" s="1"/>
  <c r="CI24" i="3"/>
  <c r="CI86" i="3" s="1"/>
  <c r="P25" i="5"/>
  <c r="P87" i="5" s="1"/>
  <c r="P25" i="3"/>
  <c r="P87" i="3" s="1"/>
  <c r="DH25" i="5"/>
  <c r="DH87" i="5" s="1"/>
  <c r="DH25" i="3"/>
  <c r="DH87" i="3" s="1"/>
  <c r="AC26" i="5"/>
  <c r="AC88" i="5" s="1"/>
  <c r="AC90" i="5" s="1"/>
  <c r="AC96" i="5" s="1"/>
  <c r="AC26" i="3"/>
  <c r="AC88" i="3" s="1"/>
  <c r="FQ26" i="5"/>
  <c r="FQ88" i="5" s="1"/>
  <c r="FQ26" i="3"/>
  <c r="FQ88" i="3" s="1"/>
  <c r="J24" i="5"/>
  <c r="J86" i="5" s="1"/>
  <c r="J24" i="3"/>
  <c r="J86" i="3" s="1"/>
  <c r="V24" i="5"/>
  <c r="V86" i="5" s="1"/>
  <c r="V24" i="3"/>
  <c r="V86" i="3" s="1"/>
  <c r="AH24" i="5"/>
  <c r="AH86" i="5" s="1"/>
  <c r="AH24" i="3"/>
  <c r="AH86" i="3" s="1"/>
  <c r="AT24" i="5"/>
  <c r="AT86" i="5" s="1"/>
  <c r="AT24" i="3"/>
  <c r="AT86" i="3" s="1"/>
  <c r="BF24" i="5"/>
  <c r="BF86" i="5" s="1"/>
  <c r="BF90" i="5" s="1"/>
  <c r="BF96" i="5" s="1"/>
  <c r="BF24" i="3"/>
  <c r="BF86" i="3" s="1"/>
  <c r="BR24" i="5"/>
  <c r="BR86" i="5" s="1"/>
  <c r="BR24" i="3"/>
  <c r="BR86" i="3" s="1"/>
  <c r="CD24" i="5"/>
  <c r="CD86" i="5" s="1"/>
  <c r="CD24" i="3"/>
  <c r="CD86" i="3" s="1"/>
  <c r="CP24" i="5"/>
  <c r="CP86" i="5" s="1"/>
  <c r="CP24" i="3"/>
  <c r="CP86" i="3" s="1"/>
  <c r="DB24" i="5"/>
  <c r="DB86" i="5" s="1"/>
  <c r="DB24" i="3"/>
  <c r="DB86" i="3" s="1"/>
  <c r="DN24" i="5"/>
  <c r="DN86" i="5" s="1"/>
  <c r="DN24" i="3"/>
  <c r="DN86" i="3" s="1"/>
  <c r="DZ24" i="5"/>
  <c r="DZ86" i="5" s="1"/>
  <c r="DZ90" i="5" s="1"/>
  <c r="DZ96" i="5" s="1"/>
  <c r="DZ24" i="3"/>
  <c r="DZ86" i="3" s="1"/>
  <c r="EL24" i="5"/>
  <c r="EL86" i="5" s="1"/>
  <c r="EL24" i="3"/>
  <c r="EL86" i="3" s="1"/>
  <c r="EX24" i="5"/>
  <c r="EX86" i="5" s="1"/>
  <c r="EX24" i="3"/>
  <c r="EX86" i="3" s="1"/>
  <c r="FJ24" i="5"/>
  <c r="FJ86" i="5" s="1"/>
  <c r="FJ24" i="3"/>
  <c r="FJ86" i="3" s="1"/>
  <c r="FV24" i="5"/>
  <c r="FV86" i="5" s="1"/>
  <c r="FV24" i="3"/>
  <c r="FV86" i="3" s="1"/>
  <c r="K25" i="5"/>
  <c r="K87" i="5" s="1"/>
  <c r="K25" i="3"/>
  <c r="K87" i="3" s="1"/>
  <c r="W25" i="5"/>
  <c r="W87" i="5" s="1"/>
  <c r="W90" i="5" s="1"/>
  <c r="W96" i="5" s="1"/>
  <c r="W25" i="3"/>
  <c r="W87" i="3" s="1"/>
  <c r="AI25" i="5"/>
  <c r="AI87" i="5" s="1"/>
  <c r="AI25" i="3"/>
  <c r="AI87" i="3" s="1"/>
  <c r="AU25" i="5"/>
  <c r="AU87" i="5" s="1"/>
  <c r="AU25" i="3"/>
  <c r="AU87" i="3" s="1"/>
  <c r="BG25" i="5"/>
  <c r="BG87" i="5" s="1"/>
  <c r="BG25" i="3"/>
  <c r="BG87" i="3" s="1"/>
  <c r="BG90" i="3" s="1"/>
  <c r="BG96" i="3" s="1"/>
  <c r="BS25" i="5"/>
  <c r="BS87" i="5" s="1"/>
  <c r="BS25" i="3"/>
  <c r="BS87" i="3" s="1"/>
  <c r="CE25" i="5"/>
  <c r="CE87" i="5" s="1"/>
  <c r="CE25" i="3"/>
  <c r="CE87" i="3" s="1"/>
  <c r="CQ25" i="5"/>
  <c r="CQ87" i="5" s="1"/>
  <c r="CQ90" i="5" s="1"/>
  <c r="CQ96" i="5" s="1"/>
  <c r="CQ25" i="3"/>
  <c r="CQ87" i="3" s="1"/>
  <c r="DC25" i="5"/>
  <c r="DC87" i="5" s="1"/>
  <c r="DC25" i="3"/>
  <c r="DC87" i="3" s="1"/>
  <c r="DO25" i="5"/>
  <c r="DO87" i="5" s="1"/>
  <c r="DO25" i="3"/>
  <c r="DO87" i="3" s="1"/>
  <c r="EA25" i="5"/>
  <c r="EA87" i="5" s="1"/>
  <c r="EA25" i="3"/>
  <c r="EA87" i="3" s="1"/>
  <c r="EA90" i="3" s="1"/>
  <c r="EA96" i="3" s="1"/>
  <c r="EM25" i="5"/>
  <c r="EM87" i="5" s="1"/>
  <c r="EM25" i="3"/>
  <c r="EM87" i="3" s="1"/>
  <c r="EY25" i="5"/>
  <c r="EY87" i="5" s="1"/>
  <c r="EY25" i="3"/>
  <c r="EY87" i="3" s="1"/>
  <c r="FK25" i="5"/>
  <c r="FK87" i="5" s="1"/>
  <c r="FK90" i="5" s="1"/>
  <c r="FK96" i="5" s="1"/>
  <c r="FK25" i="3"/>
  <c r="FK87" i="3" s="1"/>
  <c r="FW25" i="5"/>
  <c r="FW87" i="5" s="1"/>
  <c r="FW25" i="3"/>
  <c r="FW87" i="3" s="1"/>
  <c r="L26" i="5"/>
  <c r="L88" i="5" s="1"/>
  <c r="L26" i="3"/>
  <c r="L88" i="3" s="1"/>
  <c r="X26" i="5"/>
  <c r="X88" i="5" s="1"/>
  <c r="X26" i="3"/>
  <c r="X88" i="3" s="1"/>
  <c r="AJ26" i="5"/>
  <c r="AJ88" i="5" s="1"/>
  <c r="AJ26" i="3"/>
  <c r="AJ88" i="3" s="1"/>
  <c r="AV26" i="5"/>
  <c r="AV88" i="5" s="1"/>
  <c r="AV26" i="3"/>
  <c r="AV88" i="3" s="1"/>
  <c r="BH26" i="5"/>
  <c r="BH88" i="5" s="1"/>
  <c r="BH26" i="3"/>
  <c r="BH88" i="3" s="1"/>
  <c r="BT26" i="5"/>
  <c r="BT88" i="5" s="1"/>
  <c r="BT26" i="3"/>
  <c r="BT88" i="3" s="1"/>
  <c r="CF26" i="5"/>
  <c r="CF88" i="5" s="1"/>
  <c r="CF26" i="3"/>
  <c r="CF88" i="3" s="1"/>
  <c r="CR26" i="5"/>
  <c r="CR88" i="5" s="1"/>
  <c r="CR26" i="3"/>
  <c r="CR88" i="3" s="1"/>
  <c r="DD26" i="5"/>
  <c r="DD88" i="5" s="1"/>
  <c r="DD26" i="3"/>
  <c r="DD88" i="3" s="1"/>
  <c r="DP26" i="5"/>
  <c r="DP88" i="5" s="1"/>
  <c r="DP26" i="3"/>
  <c r="DP88" i="3" s="1"/>
  <c r="EB26" i="5"/>
  <c r="EB88" i="5" s="1"/>
  <c r="EB26" i="3"/>
  <c r="EB88" i="3" s="1"/>
  <c r="EN26" i="5"/>
  <c r="EN88" i="5" s="1"/>
  <c r="EN26" i="3"/>
  <c r="EN88" i="3" s="1"/>
  <c r="EZ26" i="5"/>
  <c r="EZ88" i="5" s="1"/>
  <c r="EZ26" i="3"/>
  <c r="EZ88" i="3" s="1"/>
  <c r="FL26" i="5"/>
  <c r="FL88" i="5" s="1"/>
  <c r="FL26" i="3"/>
  <c r="FL88" i="3" s="1"/>
  <c r="FX26" i="5"/>
  <c r="FX88" i="5" s="1"/>
  <c r="FX26" i="3"/>
  <c r="FX88" i="3" s="1"/>
  <c r="FZ59" i="2"/>
  <c r="C64" i="2"/>
  <c r="AA64" i="2"/>
  <c r="AA67" i="2" s="1"/>
  <c r="AA72" i="2" s="1"/>
  <c r="AM64" i="2"/>
  <c r="AM67" i="2" s="1"/>
  <c r="AM72" i="2" s="1"/>
  <c r="AY64" i="2"/>
  <c r="AY67" i="2" s="1"/>
  <c r="AY72" i="2" s="1"/>
  <c r="BW64" i="2"/>
  <c r="BW67" i="2" s="1"/>
  <c r="BW72" i="2" s="1"/>
  <c r="CI64" i="2"/>
  <c r="CI67" i="2" s="1"/>
  <c r="CI72" i="2" s="1"/>
  <c r="DG64" i="2"/>
  <c r="DG67" i="2" s="1"/>
  <c r="DG72" i="2" s="1"/>
  <c r="DS64" i="2"/>
  <c r="DS67" i="2" s="1"/>
  <c r="DS72" i="2" s="1"/>
  <c r="EE64" i="2"/>
  <c r="EE67" i="2" s="1"/>
  <c r="EE72" i="2" s="1"/>
  <c r="FC64" i="2"/>
  <c r="FC67" i="2" s="1"/>
  <c r="FC72" i="2" s="1"/>
  <c r="FO64" i="2"/>
  <c r="P65" i="2"/>
  <c r="AB65" i="2"/>
  <c r="AN65" i="2"/>
  <c r="AZ65" i="2"/>
  <c r="BX65" i="2"/>
  <c r="CV65" i="2"/>
  <c r="DH65" i="2"/>
  <c r="DT65" i="2"/>
  <c r="EF65" i="2"/>
  <c r="FD65" i="2"/>
  <c r="E66" i="2"/>
  <c r="Q66" i="2"/>
  <c r="AC66" i="2"/>
  <c r="AO66" i="2"/>
  <c r="BY66" i="2"/>
  <c r="CK66" i="2"/>
  <c r="CW66" i="2"/>
  <c r="DI66" i="2"/>
  <c r="DU66" i="2"/>
  <c r="FE66" i="2"/>
  <c r="FQ66" i="2"/>
  <c r="O24" i="5"/>
  <c r="O86" i="5" s="1"/>
  <c r="O24" i="3"/>
  <c r="O86" i="3" s="1"/>
  <c r="CU24" i="5"/>
  <c r="CU86" i="5" s="1"/>
  <c r="CU24" i="3"/>
  <c r="CU86" i="3" s="1"/>
  <c r="D25" i="5"/>
  <c r="D87" i="5" s="1"/>
  <c r="D25" i="3"/>
  <c r="D87" i="3" s="1"/>
  <c r="CJ25" i="5"/>
  <c r="CJ87" i="5" s="1"/>
  <c r="CJ25" i="3"/>
  <c r="CJ87" i="3" s="1"/>
  <c r="FP25" i="5"/>
  <c r="FP87" i="5" s="1"/>
  <c r="FP90" i="5" s="1"/>
  <c r="FP96" i="5" s="1"/>
  <c r="FP25" i="3"/>
  <c r="FP87" i="3" s="1"/>
  <c r="BM26" i="5"/>
  <c r="BM88" i="5" s="1"/>
  <c r="BM26" i="3"/>
  <c r="BM88" i="3" s="1"/>
  <c r="EG26" i="5"/>
  <c r="EG88" i="5" s="1"/>
  <c r="EG26" i="3"/>
  <c r="EG88" i="3" s="1"/>
  <c r="K24" i="5"/>
  <c r="K86" i="5" s="1"/>
  <c r="K24" i="3"/>
  <c r="K86" i="3" s="1"/>
  <c r="K90" i="3" s="1"/>
  <c r="K96" i="3" s="1"/>
  <c r="W24" i="5"/>
  <c r="W86" i="5" s="1"/>
  <c r="W24" i="3"/>
  <c r="W86" i="3" s="1"/>
  <c r="AI24" i="5"/>
  <c r="AI86" i="5" s="1"/>
  <c r="AI24" i="3"/>
  <c r="AI86" i="3" s="1"/>
  <c r="AU24" i="5"/>
  <c r="AU86" i="5" s="1"/>
  <c r="AU90" i="5" s="1"/>
  <c r="AU96" i="5" s="1"/>
  <c r="AU24" i="3"/>
  <c r="AU86" i="3" s="1"/>
  <c r="BG24" i="5"/>
  <c r="BG86" i="5" s="1"/>
  <c r="BG24" i="3"/>
  <c r="BG86" i="3" s="1"/>
  <c r="BS24" i="5"/>
  <c r="BS86" i="5" s="1"/>
  <c r="BS24" i="3"/>
  <c r="BS86" i="3" s="1"/>
  <c r="CE24" i="5"/>
  <c r="CE86" i="5" s="1"/>
  <c r="CE24" i="3"/>
  <c r="CE86" i="3" s="1"/>
  <c r="CE90" i="3" s="1"/>
  <c r="CE96" i="3" s="1"/>
  <c r="CQ24" i="5"/>
  <c r="CQ86" i="5" s="1"/>
  <c r="CQ24" i="3"/>
  <c r="CQ86" i="3" s="1"/>
  <c r="DC24" i="5"/>
  <c r="DC86" i="5" s="1"/>
  <c r="DC24" i="3"/>
  <c r="DC86" i="3" s="1"/>
  <c r="DO24" i="5"/>
  <c r="DO86" i="5" s="1"/>
  <c r="DO90" i="5" s="1"/>
  <c r="DO96" i="5" s="1"/>
  <c r="DO24" i="3"/>
  <c r="DO86" i="3" s="1"/>
  <c r="EA24" i="5"/>
  <c r="EA86" i="5" s="1"/>
  <c r="EA24" i="3"/>
  <c r="EA86" i="3" s="1"/>
  <c r="EM24" i="5"/>
  <c r="EM86" i="5" s="1"/>
  <c r="EM24" i="3"/>
  <c r="EM86" i="3" s="1"/>
  <c r="EY24" i="5"/>
  <c r="EY86" i="5" s="1"/>
  <c r="EY24" i="3"/>
  <c r="EY86" i="3" s="1"/>
  <c r="EY90" i="3" s="1"/>
  <c r="EY96" i="3" s="1"/>
  <c r="FK24" i="5"/>
  <c r="FK86" i="5" s="1"/>
  <c r="FK24" i="3"/>
  <c r="FK86" i="3" s="1"/>
  <c r="FW24" i="5"/>
  <c r="FW86" i="5" s="1"/>
  <c r="FW24" i="3"/>
  <c r="FW86" i="3" s="1"/>
  <c r="L25" i="5"/>
  <c r="L87" i="5" s="1"/>
  <c r="L25" i="3"/>
  <c r="L87" i="3" s="1"/>
  <c r="X25" i="5"/>
  <c r="X87" i="5" s="1"/>
  <c r="X25" i="3"/>
  <c r="X87" i="3" s="1"/>
  <c r="AJ25" i="5"/>
  <c r="AJ87" i="5" s="1"/>
  <c r="AJ25" i="3"/>
  <c r="AJ87" i="3" s="1"/>
  <c r="AV25" i="5"/>
  <c r="AV87" i="5" s="1"/>
  <c r="AV25" i="3"/>
  <c r="AV87" i="3" s="1"/>
  <c r="AV90" i="3" s="1"/>
  <c r="AV96" i="3" s="1"/>
  <c r="BH25" i="5"/>
  <c r="BH87" i="5" s="1"/>
  <c r="BH25" i="3"/>
  <c r="BH87" i="3" s="1"/>
  <c r="BT25" i="5"/>
  <c r="BT87" i="5" s="1"/>
  <c r="BT25" i="3"/>
  <c r="BT87" i="3" s="1"/>
  <c r="CF25" i="5"/>
  <c r="CF87" i="5" s="1"/>
  <c r="CF25" i="3"/>
  <c r="CF87" i="3" s="1"/>
  <c r="CR25" i="5"/>
  <c r="CR87" i="5" s="1"/>
  <c r="CR25" i="3"/>
  <c r="CR87" i="3" s="1"/>
  <c r="DD25" i="5"/>
  <c r="DD87" i="5" s="1"/>
  <c r="DD25" i="3"/>
  <c r="DD87" i="3" s="1"/>
  <c r="DP25" i="5"/>
  <c r="DP87" i="5" s="1"/>
  <c r="DP25" i="3"/>
  <c r="DP87" i="3" s="1"/>
  <c r="EB25" i="5"/>
  <c r="EB87" i="5" s="1"/>
  <c r="EB25" i="3"/>
  <c r="EB87" i="3" s="1"/>
  <c r="EN25" i="5"/>
  <c r="EN87" i="5" s="1"/>
  <c r="EN25" i="3"/>
  <c r="EN87" i="3" s="1"/>
  <c r="EZ25" i="5"/>
  <c r="EZ87" i="5" s="1"/>
  <c r="EZ25" i="3"/>
  <c r="EZ87" i="3" s="1"/>
  <c r="FL25" i="5"/>
  <c r="FL87" i="5" s="1"/>
  <c r="FL25" i="3"/>
  <c r="FL87" i="3" s="1"/>
  <c r="FX25" i="5"/>
  <c r="FX87" i="5" s="1"/>
  <c r="FX25" i="3"/>
  <c r="FX87" i="3" s="1"/>
  <c r="M26" i="5"/>
  <c r="M88" i="5" s="1"/>
  <c r="M26" i="3"/>
  <c r="M88" i="3" s="1"/>
  <c r="Y26" i="5"/>
  <c r="Y88" i="5" s="1"/>
  <c r="Y26" i="3"/>
  <c r="Y88" i="3" s="1"/>
  <c r="AK26" i="5"/>
  <c r="AK88" i="5" s="1"/>
  <c r="AK26" i="3"/>
  <c r="AK88" i="3" s="1"/>
  <c r="AW26" i="5"/>
  <c r="AW88" i="5" s="1"/>
  <c r="AW90" i="5" s="1"/>
  <c r="AW96" i="5" s="1"/>
  <c r="AW26" i="3"/>
  <c r="AW88" i="3" s="1"/>
  <c r="BI26" i="5"/>
  <c r="BI88" i="5" s="1"/>
  <c r="BI26" i="3"/>
  <c r="BI88" i="3" s="1"/>
  <c r="BU26" i="5"/>
  <c r="BU88" i="5" s="1"/>
  <c r="BU26" i="3"/>
  <c r="BU88" i="3" s="1"/>
  <c r="CG26" i="5"/>
  <c r="CG88" i="5" s="1"/>
  <c r="CG26" i="3"/>
  <c r="CG88" i="3" s="1"/>
  <c r="CS26" i="5"/>
  <c r="CS88" i="5" s="1"/>
  <c r="CS26" i="3"/>
  <c r="CS88" i="3" s="1"/>
  <c r="DE26" i="5"/>
  <c r="DE88" i="5" s="1"/>
  <c r="DE26" i="3"/>
  <c r="DE88" i="3" s="1"/>
  <c r="DQ26" i="5"/>
  <c r="DQ88" i="5" s="1"/>
  <c r="DQ90" i="5" s="1"/>
  <c r="DQ96" i="5" s="1"/>
  <c r="DQ26" i="3"/>
  <c r="DQ88" i="3" s="1"/>
  <c r="DQ90" i="3" s="1"/>
  <c r="DQ96" i="3" s="1"/>
  <c r="EC26" i="5"/>
  <c r="EC88" i="5" s="1"/>
  <c r="EC26" i="3"/>
  <c r="EC88" i="3" s="1"/>
  <c r="EO26" i="5"/>
  <c r="EO88" i="5" s="1"/>
  <c r="EO26" i="3"/>
  <c r="EO88" i="3" s="1"/>
  <c r="FA26" i="5"/>
  <c r="FA88" i="5" s="1"/>
  <c r="FA26" i="3"/>
  <c r="FA88" i="3" s="1"/>
  <c r="FM26" i="5"/>
  <c r="FM88" i="5" s="1"/>
  <c r="FM26" i="3"/>
  <c r="FM88" i="3" s="1"/>
  <c r="FZ26" i="2"/>
  <c r="D64" i="2"/>
  <c r="D67" i="2" s="1"/>
  <c r="D72" i="2" s="1"/>
  <c r="P64" i="2"/>
  <c r="P67" i="2" s="1"/>
  <c r="P72" i="2" s="1"/>
  <c r="AB64" i="2"/>
  <c r="AB67" i="2" s="1"/>
  <c r="AB72" i="2" s="1"/>
  <c r="AN64" i="2"/>
  <c r="AN67" i="2" s="1"/>
  <c r="AN72" i="2" s="1"/>
  <c r="AZ64" i="2"/>
  <c r="AZ67" i="2" s="1"/>
  <c r="AZ72" i="2" s="1"/>
  <c r="BL64" i="2"/>
  <c r="BL67" i="2" s="1"/>
  <c r="BL72" i="2" s="1"/>
  <c r="BX64" i="2"/>
  <c r="CJ64" i="2"/>
  <c r="CJ67" i="2" s="1"/>
  <c r="CJ72" i="2" s="1"/>
  <c r="CV64" i="2"/>
  <c r="CV67" i="2" s="1"/>
  <c r="CV72" i="2" s="1"/>
  <c r="DH64" i="2"/>
  <c r="DH67" i="2" s="1"/>
  <c r="DH72" i="2" s="1"/>
  <c r="DT64" i="2"/>
  <c r="DT67" i="2" s="1"/>
  <c r="DT72" i="2" s="1"/>
  <c r="EF64" i="2"/>
  <c r="EF67" i="2" s="1"/>
  <c r="EF72" i="2" s="1"/>
  <c r="ER64" i="2"/>
  <c r="ER67" i="2" s="1"/>
  <c r="ER72" i="2" s="1"/>
  <c r="FD64" i="2"/>
  <c r="FD67" i="2" s="1"/>
  <c r="FD72" i="2" s="1"/>
  <c r="FP64" i="2"/>
  <c r="FP67" i="2" s="1"/>
  <c r="FP72" i="2" s="1"/>
  <c r="E65" i="2"/>
  <c r="Q65" i="2"/>
  <c r="AC65" i="2"/>
  <c r="AO65" i="2"/>
  <c r="BA65" i="2"/>
  <c r="BM65" i="2"/>
  <c r="BY65" i="2"/>
  <c r="CK65" i="2"/>
  <c r="CW65" i="2"/>
  <c r="DI65" i="2"/>
  <c r="DU65" i="2"/>
  <c r="EG65" i="2"/>
  <c r="ES65" i="2"/>
  <c r="FE65" i="2"/>
  <c r="FQ65" i="2"/>
  <c r="F66" i="2"/>
  <c r="R66" i="2"/>
  <c r="AD66" i="2"/>
  <c r="AP66" i="2"/>
  <c r="BB66" i="2"/>
  <c r="BN66" i="2"/>
  <c r="BZ66" i="2"/>
  <c r="CL66" i="2"/>
  <c r="CX66" i="2"/>
  <c r="DJ66" i="2"/>
  <c r="DV66" i="2"/>
  <c r="EH66" i="2"/>
  <c r="ET66" i="2"/>
  <c r="FF66" i="2"/>
  <c r="FR66" i="2"/>
  <c r="FG90" i="3"/>
  <c r="FG96" i="3" s="1"/>
  <c r="BK24" i="5"/>
  <c r="BK86" i="5" s="1"/>
  <c r="BK24" i="3"/>
  <c r="BK86" i="3" s="1"/>
  <c r="EQ24" i="5"/>
  <c r="EQ86" i="5" s="1"/>
  <c r="EQ24" i="3"/>
  <c r="EQ86" i="3" s="1"/>
  <c r="BL25" i="5"/>
  <c r="BL87" i="5" s="1"/>
  <c r="BL25" i="3"/>
  <c r="BL87" i="3" s="1"/>
  <c r="ER25" i="5"/>
  <c r="ER87" i="5" s="1"/>
  <c r="ER25" i="3"/>
  <c r="ER87" i="3" s="1"/>
  <c r="BA26" i="5"/>
  <c r="BA88" i="5" s="1"/>
  <c r="BA90" i="5" s="1"/>
  <c r="BA96" i="5" s="1"/>
  <c r="BA26" i="3"/>
  <c r="BA88" i="3" s="1"/>
  <c r="BA90" i="3" s="1"/>
  <c r="BA96" i="3" s="1"/>
  <c r="ES26" i="5"/>
  <c r="ES88" i="5" s="1"/>
  <c r="ES26" i="3"/>
  <c r="ES88" i="3" s="1"/>
  <c r="ES90" i="3" s="1"/>
  <c r="ES96" i="3" s="1"/>
  <c r="L24" i="5"/>
  <c r="L86" i="5" s="1"/>
  <c r="L24" i="3"/>
  <c r="L86" i="3" s="1"/>
  <c r="X24" i="5"/>
  <c r="X86" i="5" s="1"/>
  <c r="X24" i="3"/>
  <c r="X86" i="3" s="1"/>
  <c r="X90" i="3" s="1"/>
  <c r="X96" i="3" s="1"/>
  <c r="AJ24" i="5"/>
  <c r="AJ86" i="5" s="1"/>
  <c r="AJ24" i="3"/>
  <c r="AJ86" i="3" s="1"/>
  <c r="AV24" i="5"/>
  <c r="AV86" i="5" s="1"/>
  <c r="AV24" i="3"/>
  <c r="AV86" i="3" s="1"/>
  <c r="BH24" i="5"/>
  <c r="BH86" i="5" s="1"/>
  <c r="BH24" i="3"/>
  <c r="BH86" i="3" s="1"/>
  <c r="BT24" i="5"/>
  <c r="BT86" i="5" s="1"/>
  <c r="BT24" i="3"/>
  <c r="BT86" i="3" s="1"/>
  <c r="CF24" i="5"/>
  <c r="CF86" i="5" s="1"/>
  <c r="CF24" i="3"/>
  <c r="CF86" i="3" s="1"/>
  <c r="CR24" i="5"/>
  <c r="CR86" i="5" s="1"/>
  <c r="CR24" i="3"/>
  <c r="CR86" i="3" s="1"/>
  <c r="DD24" i="5"/>
  <c r="DD86" i="5" s="1"/>
  <c r="DD24" i="3"/>
  <c r="DD86" i="3" s="1"/>
  <c r="DP24" i="5"/>
  <c r="DP86" i="5" s="1"/>
  <c r="DP24" i="3"/>
  <c r="DP86" i="3" s="1"/>
  <c r="EB24" i="5"/>
  <c r="EB86" i="5" s="1"/>
  <c r="EB24" i="3"/>
  <c r="EB86" i="3" s="1"/>
  <c r="EN24" i="5"/>
  <c r="EN86" i="5" s="1"/>
  <c r="EN24" i="3"/>
  <c r="EN86" i="3" s="1"/>
  <c r="EZ24" i="5"/>
  <c r="EZ86" i="5" s="1"/>
  <c r="EZ24" i="3"/>
  <c r="EZ86" i="3" s="1"/>
  <c r="FL24" i="5"/>
  <c r="FL86" i="5" s="1"/>
  <c r="FL24" i="3"/>
  <c r="FL86" i="3" s="1"/>
  <c r="FL90" i="3" s="1"/>
  <c r="FL96" i="3" s="1"/>
  <c r="FX24" i="5"/>
  <c r="FX86" i="5" s="1"/>
  <c r="FX24" i="3"/>
  <c r="FX86" i="3" s="1"/>
  <c r="M25" i="5"/>
  <c r="M87" i="5" s="1"/>
  <c r="M25" i="3"/>
  <c r="M87" i="3" s="1"/>
  <c r="Y25" i="5"/>
  <c r="Y87" i="5" s="1"/>
  <c r="Y90" i="5" s="1"/>
  <c r="Y96" i="5" s="1"/>
  <c r="Y25" i="3"/>
  <c r="Y87" i="3" s="1"/>
  <c r="Y90" i="3" s="1"/>
  <c r="Y96" i="3" s="1"/>
  <c r="AK25" i="5"/>
  <c r="AK87" i="5" s="1"/>
  <c r="AK25" i="3"/>
  <c r="AK87" i="3" s="1"/>
  <c r="AW25" i="5"/>
  <c r="AW87" i="5" s="1"/>
  <c r="AW25" i="3"/>
  <c r="AW87" i="3" s="1"/>
  <c r="BI25" i="5"/>
  <c r="BI87" i="5" s="1"/>
  <c r="BI25" i="3"/>
  <c r="BI87" i="3" s="1"/>
  <c r="BU25" i="5"/>
  <c r="BU87" i="5" s="1"/>
  <c r="BU25" i="3"/>
  <c r="BU87" i="3" s="1"/>
  <c r="CG25" i="5"/>
  <c r="CG87" i="5" s="1"/>
  <c r="CG25" i="3"/>
  <c r="CG87" i="3" s="1"/>
  <c r="CS25" i="5"/>
  <c r="CS87" i="5" s="1"/>
  <c r="CS90" i="5" s="1"/>
  <c r="CS96" i="5" s="1"/>
  <c r="CS25" i="3"/>
  <c r="CS87" i="3" s="1"/>
  <c r="DE25" i="5"/>
  <c r="DE87" i="5" s="1"/>
  <c r="DE25" i="3"/>
  <c r="DE87" i="3" s="1"/>
  <c r="EC25" i="5"/>
  <c r="EC87" i="5" s="1"/>
  <c r="EC25" i="3"/>
  <c r="EC87" i="3" s="1"/>
  <c r="EO25" i="5"/>
  <c r="EO87" i="5" s="1"/>
  <c r="EO25" i="3"/>
  <c r="EO87" i="3" s="1"/>
  <c r="FA25" i="5"/>
  <c r="FA87" i="5" s="1"/>
  <c r="FA25" i="3"/>
  <c r="FA87" i="3" s="1"/>
  <c r="FM25" i="5"/>
  <c r="FM87" i="5" s="1"/>
  <c r="FM25" i="3"/>
  <c r="FM87" i="3" s="1"/>
  <c r="FZ25" i="2"/>
  <c r="N26" i="5"/>
  <c r="N88" i="5" s="1"/>
  <c r="N26" i="3"/>
  <c r="N88" i="3" s="1"/>
  <c r="Z26" i="5"/>
  <c r="Z88" i="5" s="1"/>
  <c r="Z26" i="3"/>
  <c r="Z88" i="3" s="1"/>
  <c r="AL26" i="5"/>
  <c r="AL88" i="5" s="1"/>
  <c r="AL26" i="3"/>
  <c r="AL88" i="3" s="1"/>
  <c r="AX26" i="5"/>
  <c r="AX88" i="5" s="1"/>
  <c r="AX26" i="3"/>
  <c r="AX88" i="3" s="1"/>
  <c r="BJ26" i="5"/>
  <c r="BJ88" i="5" s="1"/>
  <c r="BJ26" i="3"/>
  <c r="BJ88" i="3" s="1"/>
  <c r="BV26" i="5"/>
  <c r="BV88" i="5" s="1"/>
  <c r="BV26" i="3"/>
  <c r="BV88" i="3" s="1"/>
  <c r="CH26" i="5"/>
  <c r="CH88" i="5" s="1"/>
  <c r="CH26" i="3"/>
  <c r="CH88" i="3" s="1"/>
  <c r="CT26" i="5"/>
  <c r="CT88" i="5" s="1"/>
  <c r="CT26" i="3"/>
  <c r="CT88" i="3" s="1"/>
  <c r="DF26" i="5"/>
  <c r="DF88" i="5" s="1"/>
  <c r="DF26" i="3"/>
  <c r="DF88" i="3" s="1"/>
  <c r="DR26" i="5"/>
  <c r="DR88" i="5" s="1"/>
  <c r="DR26" i="3"/>
  <c r="DR88" i="3" s="1"/>
  <c r="ED26" i="5"/>
  <c r="ED88" i="5" s="1"/>
  <c r="ED26" i="3"/>
  <c r="ED88" i="3" s="1"/>
  <c r="EP26" i="5"/>
  <c r="EP88" i="5" s="1"/>
  <c r="EP26" i="3"/>
  <c r="EP88" i="3" s="1"/>
  <c r="EP90" i="3" s="1"/>
  <c r="EP96" i="3" s="1"/>
  <c r="FB26" i="5"/>
  <c r="FB88" i="5" s="1"/>
  <c r="FB26" i="3"/>
  <c r="FB88" i="3" s="1"/>
  <c r="FN26" i="5"/>
  <c r="FN88" i="5" s="1"/>
  <c r="FN26" i="3"/>
  <c r="FN88" i="3" s="1"/>
  <c r="E64" i="2"/>
  <c r="E67" i="2" s="1"/>
  <c r="E72" i="2" s="1"/>
  <c r="Q64" i="2"/>
  <c r="Q67" i="2" s="1"/>
  <c r="Q72" i="2" s="1"/>
  <c r="AC64" i="2"/>
  <c r="AC67" i="2" s="1"/>
  <c r="AC72" i="2" s="1"/>
  <c r="AO64" i="2"/>
  <c r="AO67" i="2" s="1"/>
  <c r="AO72" i="2" s="1"/>
  <c r="BA64" i="2"/>
  <c r="BA67" i="2" s="1"/>
  <c r="BA72" i="2" s="1"/>
  <c r="BM64" i="2"/>
  <c r="BM67" i="2" s="1"/>
  <c r="BM72" i="2" s="1"/>
  <c r="BY64" i="2"/>
  <c r="BY67" i="2" s="1"/>
  <c r="BY72" i="2" s="1"/>
  <c r="CK64" i="2"/>
  <c r="CK67" i="2" s="1"/>
  <c r="CK72" i="2" s="1"/>
  <c r="CW64" i="2"/>
  <c r="DI64" i="2"/>
  <c r="DI67" i="2" s="1"/>
  <c r="DI72" i="2" s="1"/>
  <c r="DU64" i="2"/>
  <c r="DU67" i="2" s="1"/>
  <c r="DU72" i="2" s="1"/>
  <c r="EG64" i="2"/>
  <c r="EG67" i="2" s="1"/>
  <c r="EG72" i="2" s="1"/>
  <c r="ES64" i="2"/>
  <c r="ES67" i="2" s="1"/>
  <c r="ES72" i="2" s="1"/>
  <c r="FE64" i="2"/>
  <c r="FE67" i="2" s="1"/>
  <c r="FE72" i="2" s="1"/>
  <c r="FQ64" i="2"/>
  <c r="FQ67" i="2" s="1"/>
  <c r="FQ72" i="2" s="1"/>
  <c r="F65" i="2"/>
  <c r="R65" i="2"/>
  <c r="R67" i="2" s="1"/>
  <c r="R72" i="2" s="1"/>
  <c r="AD65" i="2"/>
  <c r="AD67" i="2" s="1"/>
  <c r="AD72" i="2" s="1"/>
  <c r="AP65" i="2"/>
  <c r="AP67" i="2" s="1"/>
  <c r="AP72" i="2" s="1"/>
  <c r="BB65" i="2"/>
  <c r="BB67" i="2" s="1"/>
  <c r="BB72" i="2" s="1"/>
  <c r="BN65" i="2"/>
  <c r="BN67" i="2" s="1"/>
  <c r="BN72" i="2" s="1"/>
  <c r="BZ65" i="2"/>
  <c r="BZ67" i="2" s="1"/>
  <c r="BZ72" i="2" s="1"/>
  <c r="CL65" i="2"/>
  <c r="CL67" i="2" s="1"/>
  <c r="CL72" i="2" s="1"/>
  <c r="CX65" i="2"/>
  <c r="DJ65" i="2"/>
  <c r="DJ67" i="2" s="1"/>
  <c r="DJ72" i="2" s="1"/>
  <c r="DV65" i="2"/>
  <c r="DV67" i="2" s="1"/>
  <c r="DV72" i="2" s="1"/>
  <c r="EH65" i="2"/>
  <c r="EH67" i="2" s="1"/>
  <c r="EH72" i="2" s="1"/>
  <c r="ET65" i="2"/>
  <c r="ET67" i="2" s="1"/>
  <c r="ET72" i="2" s="1"/>
  <c r="FF65" i="2"/>
  <c r="FF67" i="2" s="1"/>
  <c r="FF72" i="2" s="1"/>
  <c r="FR65" i="2"/>
  <c r="FR67" i="2" s="1"/>
  <c r="FR72" i="2" s="1"/>
  <c r="G66" i="2"/>
  <c r="G67" i="2" s="1"/>
  <c r="G72" i="2" s="1"/>
  <c r="S66" i="2"/>
  <c r="S67" i="2" s="1"/>
  <c r="S72" i="2" s="1"/>
  <c r="AE66" i="2"/>
  <c r="AE67" i="2" s="1"/>
  <c r="AE72" i="2" s="1"/>
  <c r="AQ66" i="2"/>
  <c r="AQ67" i="2" s="1"/>
  <c r="AQ72" i="2" s="1"/>
  <c r="BC66" i="2"/>
  <c r="BC67" i="2" s="1"/>
  <c r="BC72" i="2" s="1"/>
  <c r="BO66" i="2"/>
  <c r="BO67" i="2" s="1"/>
  <c r="BO72" i="2" s="1"/>
  <c r="CA66" i="2"/>
  <c r="CA67" i="2" s="1"/>
  <c r="CA72" i="2" s="1"/>
  <c r="CM66" i="2"/>
  <c r="CM67" i="2" s="1"/>
  <c r="CM72" i="2" s="1"/>
  <c r="CY66" i="2"/>
  <c r="CY67" i="2" s="1"/>
  <c r="CY72" i="2" s="1"/>
  <c r="DK66" i="2"/>
  <c r="DK67" i="2" s="1"/>
  <c r="DK72" i="2" s="1"/>
  <c r="DW66" i="2"/>
  <c r="DW67" i="2" s="1"/>
  <c r="DW72" i="2" s="1"/>
  <c r="EI66" i="2"/>
  <c r="EI67" i="2" s="1"/>
  <c r="EI72" i="2" s="1"/>
  <c r="EU66" i="2"/>
  <c r="EU67" i="2" s="1"/>
  <c r="EU72" i="2" s="1"/>
  <c r="FG66" i="2"/>
  <c r="FG67" i="2" s="1"/>
  <c r="FG72" i="2" s="1"/>
  <c r="FS66" i="2"/>
  <c r="FS67" i="2" s="1"/>
  <c r="FS72" i="2" s="1"/>
  <c r="FZ101" i="2"/>
  <c r="BH90" i="3"/>
  <c r="BH96" i="3" s="1"/>
  <c r="DD90" i="3"/>
  <c r="DD96" i="3" s="1"/>
  <c r="BU90" i="3"/>
  <c r="BU96" i="3" s="1"/>
  <c r="K213" i="3"/>
  <c r="FZ40" i="3"/>
  <c r="FU67" i="3"/>
  <c r="FU206" i="3" s="1"/>
  <c r="FX67" i="3"/>
  <c r="FX206" i="3" s="1"/>
  <c r="FK67" i="3"/>
  <c r="FK206" i="3" s="1"/>
  <c r="EY67" i="3"/>
  <c r="EY206" i="3" s="1"/>
  <c r="EM67" i="3"/>
  <c r="EM206" i="3" s="1"/>
  <c r="EA67" i="3"/>
  <c r="EA206" i="3" s="1"/>
  <c r="DO67" i="3"/>
  <c r="DO206" i="3" s="1"/>
  <c r="DC67" i="3"/>
  <c r="DC206" i="3" s="1"/>
  <c r="CQ67" i="3"/>
  <c r="CQ206" i="3" s="1"/>
  <c r="CE67" i="3"/>
  <c r="CE206" i="3" s="1"/>
  <c r="BS67" i="3"/>
  <c r="BS206" i="3" s="1"/>
  <c r="BG67" i="3"/>
  <c r="BG206" i="3" s="1"/>
  <c r="AU67" i="3"/>
  <c r="AU206" i="3" s="1"/>
  <c r="AI67" i="3"/>
  <c r="AI206" i="3" s="1"/>
  <c r="W67" i="3"/>
  <c r="W206" i="3" s="1"/>
  <c r="K67" i="3"/>
  <c r="K206" i="3" s="1"/>
  <c r="FW67" i="3"/>
  <c r="FW206" i="3" s="1"/>
  <c r="FJ67" i="3"/>
  <c r="FJ206" i="3" s="1"/>
  <c r="EX67" i="3"/>
  <c r="EX206" i="3" s="1"/>
  <c r="EL67" i="3"/>
  <c r="EL206" i="3" s="1"/>
  <c r="DZ67" i="3"/>
  <c r="DZ206" i="3" s="1"/>
  <c r="DN67" i="3"/>
  <c r="DN206" i="3" s="1"/>
  <c r="DB67" i="3"/>
  <c r="DB206" i="3" s="1"/>
  <c r="CP67" i="3"/>
  <c r="CP206" i="3" s="1"/>
  <c r="CD67" i="3"/>
  <c r="CD206" i="3" s="1"/>
  <c r="BR67" i="3"/>
  <c r="BR206" i="3" s="1"/>
  <c r="BF67" i="3"/>
  <c r="BF206" i="3" s="1"/>
  <c r="AT67" i="3"/>
  <c r="AT206" i="3" s="1"/>
  <c r="AH67" i="3"/>
  <c r="AH206" i="3" s="1"/>
  <c r="V67" i="3"/>
  <c r="V206" i="3" s="1"/>
  <c r="J67" i="3"/>
  <c r="J206" i="3" s="1"/>
  <c r="FV67" i="3"/>
  <c r="FV206" i="3" s="1"/>
  <c r="FI67" i="3"/>
  <c r="FI206" i="3" s="1"/>
  <c r="EW67" i="3"/>
  <c r="EW206" i="3" s="1"/>
  <c r="EK67" i="3"/>
  <c r="EK206" i="3" s="1"/>
  <c r="DY67" i="3"/>
  <c r="DY206" i="3" s="1"/>
  <c r="DM67" i="3"/>
  <c r="DM206" i="3" s="1"/>
  <c r="DA67" i="3"/>
  <c r="DA206" i="3" s="1"/>
  <c r="CO67" i="3"/>
  <c r="CO206" i="3" s="1"/>
  <c r="CC67" i="3"/>
  <c r="CC206" i="3" s="1"/>
  <c r="BQ67" i="3"/>
  <c r="BQ206" i="3" s="1"/>
  <c r="BE67" i="3"/>
  <c r="BE206" i="3" s="1"/>
  <c r="AS67" i="3"/>
  <c r="AS206" i="3" s="1"/>
  <c r="AG67" i="3"/>
  <c r="AG206" i="3" s="1"/>
  <c r="U67" i="3"/>
  <c r="U206" i="3" s="1"/>
  <c r="I67" i="3"/>
  <c r="I206" i="3" s="1"/>
  <c r="FT67" i="3"/>
  <c r="FT206" i="3" s="1"/>
  <c r="FH67" i="3"/>
  <c r="FH206" i="3" s="1"/>
  <c r="EV67" i="3"/>
  <c r="EV206" i="3" s="1"/>
  <c r="EJ67" i="3"/>
  <c r="EJ206" i="3" s="1"/>
  <c r="DX67" i="3"/>
  <c r="DX206" i="3" s="1"/>
  <c r="DL67" i="3"/>
  <c r="DL206" i="3" s="1"/>
  <c r="CZ67" i="3"/>
  <c r="CZ206" i="3" s="1"/>
  <c r="CN67" i="3"/>
  <c r="CN206" i="3" s="1"/>
  <c r="CB67" i="3"/>
  <c r="CB206" i="3" s="1"/>
  <c r="BP67" i="3"/>
  <c r="BP206" i="3" s="1"/>
  <c r="BD67" i="3"/>
  <c r="BD206" i="3" s="1"/>
  <c r="AR67" i="3"/>
  <c r="AR206" i="3" s="1"/>
  <c r="AF67" i="3"/>
  <c r="AF206" i="3" s="1"/>
  <c r="T67" i="3"/>
  <c r="T206" i="3" s="1"/>
  <c r="H67" i="3"/>
  <c r="H206" i="3" s="1"/>
  <c r="FS67" i="3"/>
  <c r="FS206" i="3" s="1"/>
  <c r="FG67" i="3"/>
  <c r="FG206" i="3" s="1"/>
  <c r="EU67" i="3"/>
  <c r="EU206" i="3" s="1"/>
  <c r="EI67" i="3"/>
  <c r="EI206" i="3" s="1"/>
  <c r="DW67" i="3"/>
  <c r="DW206" i="3" s="1"/>
  <c r="DK67" i="3"/>
  <c r="DK206" i="3" s="1"/>
  <c r="CY67" i="3"/>
  <c r="CY206" i="3" s="1"/>
  <c r="CM67" i="3"/>
  <c r="CM206" i="3" s="1"/>
  <c r="CA67" i="3"/>
  <c r="CA206" i="3" s="1"/>
  <c r="BO67" i="3"/>
  <c r="BO206" i="3" s="1"/>
  <c r="BC67" i="3"/>
  <c r="BC206" i="3" s="1"/>
  <c r="AQ67" i="3"/>
  <c r="AQ206" i="3" s="1"/>
  <c r="AE67" i="3"/>
  <c r="AE206" i="3" s="1"/>
  <c r="S67" i="3"/>
  <c r="S206" i="3" s="1"/>
  <c r="G67" i="3"/>
  <c r="G206" i="3" s="1"/>
  <c r="B5" i="3"/>
  <c r="FR67" i="3"/>
  <c r="FR206" i="3" s="1"/>
  <c r="FF67" i="3"/>
  <c r="FF206" i="3" s="1"/>
  <c r="ET67" i="3"/>
  <c r="ET206" i="3" s="1"/>
  <c r="EH67" i="3"/>
  <c r="EH206" i="3" s="1"/>
  <c r="DV67" i="3"/>
  <c r="DV206" i="3" s="1"/>
  <c r="DJ67" i="3"/>
  <c r="DJ206" i="3" s="1"/>
  <c r="CX67" i="3"/>
  <c r="CX206" i="3" s="1"/>
  <c r="CL67" i="3"/>
  <c r="CL206" i="3" s="1"/>
  <c r="BZ67" i="3"/>
  <c r="BZ206" i="3" s="1"/>
  <c r="BN67" i="3"/>
  <c r="BN206" i="3" s="1"/>
  <c r="BB67" i="3"/>
  <c r="BB206" i="3" s="1"/>
  <c r="AP67" i="3"/>
  <c r="AP206" i="3" s="1"/>
  <c r="AD67" i="3"/>
  <c r="AD206" i="3" s="1"/>
  <c r="R67" i="3"/>
  <c r="R206" i="3" s="1"/>
  <c r="F67" i="3"/>
  <c r="F206" i="3" s="1"/>
  <c r="FQ67" i="3"/>
  <c r="FQ206" i="3" s="1"/>
  <c r="FE67" i="3"/>
  <c r="FE206" i="3" s="1"/>
  <c r="ES67" i="3"/>
  <c r="ES206" i="3" s="1"/>
  <c r="EG67" i="3"/>
  <c r="EG206" i="3" s="1"/>
  <c r="DU67" i="3"/>
  <c r="DU206" i="3" s="1"/>
  <c r="DI67" i="3"/>
  <c r="DI206" i="3" s="1"/>
  <c r="CW67" i="3"/>
  <c r="CW206" i="3" s="1"/>
  <c r="CK67" i="3"/>
  <c r="CK206" i="3" s="1"/>
  <c r="BY67" i="3"/>
  <c r="BY206" i="3" s="1"/>
  <c r="BM67" i="3"/>
  <c r="BM206" i="3" s="1"/>
  <c r="BA67" i="3"/>
  <c r="BA206" i="3" s="1"/>
  <c r="AO67" i="3"/>
  <c r="AO206" i="3" s="1"/>
  <c r="AC67" i="3"/>
  <c r="AC206" i="3" s="1"/>
  <c r="Q67" i="3"/>
  <c r="Q206" i="3" s="1"/>
  <c r="E67" i="3"/>
  <c r="E206" i="3" s="1"/>
  <c r="FP67" i="3"/>
  <c r="FP206" i="3" s="1"/>
  <c r="FD67" i="3"/>
  <c r="FD206" i="3" s="1"/>
  <c r="ER67" i="3"/>
  <c r="ER206" i="3" s="1"/>
  <c r="EF67" i="3"/>
  <c r="EF206" i="3" s="1"/>
  <c r="DT67" i="3"/>
  <c r="DT206" i="3" s="1"/>
  <c r="DH67" i="3"/>
  <c r="DH206" i="3" s="1"/>
  <c r="CV67" i="3"/>
  <c r="CV206" i="3" s="1"/>
  <c r="CJ67" i="3"/>
  <c r="CJ206" i="3" s="1"/>
  <c r="BX67" i="3"/>
  <c r="BX206" i="3" s="1"/>
  <c r="BL67" i="3"/>
  <c r="BL206" i="3" s="1"/>
  <c r="AZ67" i="3"/>
  <c r="AZ206" i="3" s="1"/>
  <c r="AN67" i="3"/>
  <c r="AN206" i="3" s="1"/>
  <c r="AB67" i="3"/>
  <c r="AB206" i="3" s="1"/>
  <c r="P67" i="3"/>
  <c r="P206" i="3" s="1"/>
  <c r="D67" i="3"/>
  <c r="D206" i="3" s="1"/>
  <c r="FO67" i="3"/>
  <c r="FO206" i="3" s="1"/>
  <c r="FC67" i="3"/>
  <c r="FC206" i="3" s="1"/>
  <c r="EQ67" i="3"/>
  <c r="EQ206" i="3" s="1"/>
  <c r="EE67" i="3"/>
  <c r="EE206" i="3" s="1"/>
  <c r="DS67" i="3"/>
  <c r="DS206" i="3" s="1"/>
  <c r="DG67" i="3"/>
  <c r="DG206" i="3" s="1"/>
  <c r="CU67" i="3"/>
  <c r="CU206" i="3" s="1"/>
  <c r="CI67" i="3"/>
  <c r="CI206" i="3" s="1"/>
  <c r="BW67" i="3"/>
  <c r="BW206" i="3" s="1"/>
  <c r="BK67" i="3"/>
  <c r="BK206" i="3" s="1"/>
  <c r="AY67" i="3"/>
  <c r="AY206" i="3" s="1"/>
  <c r="AM67" i="3"/>
  <c r="AM206" i="3" s="1"/>
  <c r="AA67" i="3"/>
  <c r="AA206" i="3" s="1"/>
  <c r="O67" i="3"/>
  <c r="O206" i="3" s="1"/>
  <c r="C67" i="3"/>
  <c r="C206" i="3" s="1"/>
  <c r="FM67" i="3"/>
  <c r="FM206" i="3" s="1"/>
  <c r="FA67" i="3"/>
  <c r="FA206" i="3" s="1"/>
  <c r="EO67" i="3"/>
  <c r="EO206" i="3" s="1"/>
  <c r="EC67" i="3"/>
  <c r="EC206" i="3" s="1"/>
  <c r="DQ67" i="3"/>
  <c r="DQ206" i="3" s="1"/>
  <c r="DE67" i="3"/>
  <c r="DE206" i="3" s="1"/>
  <c r="CS67" i="3"/>
  <c r="CS206" i="3" s="1"/>
  <c r="CG67" i="3"/>
  <c r="CG206" i="3" s="1"/>
  <c r="BU67" i="3"/>
  <c r="BU206" i="3" s="1"/>
  <c r="BI67" i="3"/>
  <c r="BI206" i="3" s="1"/>
  <c r="AW67" i="3"/>
  <c r="AW206" i="3" s="1"/>
  <c r="AK67" i="3"/>
  <c r="AK206" i="3" s="1"/>
  <c r="Y67" i="3"/>
  <c r="Y206" i="3" s="1"/>
  <c r="M67" i="3"/>
  <c r="M206" i="3" s="1"/>
  <c r="FL67" i="3"/>
  <c r="FL206" i="3" s="1"/>
  <c r="EZ67" i="3"/>
  <c r="EZ206" i="3" s="1"/>
  <c r="EN67" i="3"/>
  <c r="EN206" i="3" s="1"/>
  <c r="EB67" i="3"/>
  <c r="EB206" i="3" s="1"/>
  <c r="DP67" i="3"/>
  <c r="DP206" i="3" s="1"/>
  <c r="DD67" i="3"/>
  <c r="DD206" i="3" s="1"/>
  <c r="CR67" i="3"/>
  <c r="CR206" i="3" s="1"/>
  <c r="CF67" i="3"/>
  <c r="CF206" i="3" s="1"/>
  <c r="BT67" i="3"/>
  <c r="BT206" i="3" s="1"/>
  <c r="BH67" i="3"/>
  <c r="BH206" i="3" s="1"/>
  <c r="AV67" i="3"/>
  <c r="AV206" i="3" s="1"/>
  <c r="AJ67" i="3"/>
  <c r="AJ206" i="3" s="1"/>
  <c r="X67" i="3"/>
  <c r="X206" i="3" s="1"/>
  <c r="L67" i="3"/>
  <c r="L206" i="3" s="1"/>
  <c r="BJ67" i="3"/>
  <c r="BJ206" i="3" s="1"/>
  <c r="AX67" i="3"/>
  <c r="AX206" i="3" s="1"/>
  <c r="AL67" i="3"/>
  <c r="AL206" i="3" s="1"/>
  <c r="B4" i="3"/>
  <c r="FN67" i="3"/>
  <c r="FN206" i="3" s="1"/>
  <c r="Z67" i="3"/>
  <c r="Z206" i="3" s="1"/>
  <c r="D2" i="3"/>
  <c r="FB67" i="3"/>
  <c r="FB206" i="3" s="1"/>
  <c r="N67" i="3"/>
  <c r="N206" i="3" s="1"/>
  <c r="D1" i="3"/>
  <c r="EP67" i="3"/>
  <c r="EP206" i="3" s="1"/>
  <c r="ED67" i="3"/>
  <c r="ED206" i="3" s="1"/>
  <c r="DR67" i="3"/>
  <c r="DR206" i="3" s="1"/>
  <c r="DF67" i="3"/>
  <c r="DF206" i="3" s="1"/>
  <c r="CH67" i="3"/>
  <c r="CH206" i="3" s="1"/>
  <c r="BV67" i="3"/>
  <c r="BV206" i="3" s="1"/>
  <c r="T90" i="3"/>
  <c r="T96" i="3" s="1"/>
  <c r="D90" i="3"/>
  <c r="D96" i="3" s="1"/>
  <c r="P90" i="3"/>
  <c r="P96" i="3" s="1"/>
  <c r="AZ90" i="3"/>
  <c r="AZ96" i="3" s="1"/>
  <c r="BL90" i="3"/>
  <c r="BL96" i="3" s="1"/>
  <c r="CJ90" i="3"/>
  <c r="CJ96" i="3" s="1"/>
  <c r="EF90" i="3"/>
  <c r="EF96" i="3" s="1"/>
  <c r="ER90" i="3"/>
  <c r="ER96" i="3" s="1"/>
  <c r="FD90" i="3"/>
  <c r="FD96" i="3" s="1"/>
  <c r="FZ9" i="3"/>
  <c r="Q90" i="3"/>
  <c r="Q96" i="3" s="1"/>
  <c r="AO90" i="3"/>
  <c r="AO96" i="3" s="1"/>
  <c r="CK90" i="3"/>
  <c r="CK96" i="3" s="1"/>
  <c r="DU90" i="3"/>
  <c r="DU96" i="3" s="1"/>
  <c r="FE90" i="3"/>
  <c r="FE96" i="3" s="1"/>
  <c r="FQ90" i="3"/>
  <c r="FQ96" i="3" s="1"/>
  <c r="BX90" i="3"/>
  <c r="BX96" i="3" s="1"/>
  <c r="F90" i="3"/>
  <c r="F96" i="3" s="1"/>
  <c r="BZ90" i="3"/>
  <c r="BZ96" i="3" s="1"/>
  <c r="ET90" i="3"/>
  <c r="ET96" i="3" s="1"/>
  <c r="G90" i="3"/>
  <c r="G96" i="3" s="1"/>
  <c r="AQ90" i="3"/>
  <c r="AQ96" i="3" s="1"/>
  <c r="BC90" i="3"/>
  <c r="BC96" i="3" s="1"/>
  <c r="CA90" i="3"/>
  <c r="CA96" i="3" s="1"/>
  <c r="CM90" i="3"/>
  <c r="CM96" i="3" s="1"/>
  <c r="DW90" i="3"/>
  <c r="DW96" i="3" s="1"/>
  <c r="EI90" i="3"/>
  <c r="EI96" i="3" s="1"/>
  <c r="EU90" i="3"/>
  <c r="EU96" i="3" s="1"/>
  <c r="CI90" i="3"/>
  <c r="CI96" i="3" s="1"/>
  <c r="EE90" i="3"/>
  <c r="EE96" i="3" s="1"/>
  <c r="FZ10" i="3"/>
  <c r="CN90" i="3"/>
  <c r="CN96" i="3" s="1"/>
  <c r="L90" i="3"/>
  <c r="L96" i="3" s="1"/>
  <c r="BT90" i="3"/>
  <c r="BT96" i="3" s="1"/>
  <c r="CF90" i="3"/>
  <c r="CF96" i="3" s="1"/>
  <c r="CR90" i="3"/>
  <c r="CR96" i="3" s="1"/>
  <c r="EZ90" i="3"/>
  <c r="EZ96" i="3" s="1"/>
  <c r="AX90" i="3"/>
  <c r="AX96" i="3" s="1"/>
  <c r="CW90" i="3"/>
  <c r="CW96" i="3" s="1"/>
  <c r="W90" i="3"/>
  <c r="W96" i="3" s="1"/>
  <c r="AI90" i="3"/>
  <c r="AI96" i="3" s="1"/>
  <c r="AU90" i="3"/>
  <c r="AU96" i="3" s="1"/>
  <c r="BS90" i="3"/>
  <c r="BS96" i="3" s="1"/>
  <c r="CQ90" i="3"/>
  <c r="CQ96" i="3" s="1"/>
  <c r="DC90" i="3"/>
  <c r="DC96" i="3" s="1"/>
  <c r="DO90" i="3"/>
  <c r="DO96" i="3" s="1"/>
  <c r="EM90" i="3"/>
  <c r="EM96" i="3" s="1"/>
  <c r="FK90" i="3"/>
  <c r="FK96" i="3" s="1"/>
  <c r="FW90" i="3"/>
  <c r="FW96" i="3" s="1"/>
  <c r="FZ93" i="3"/>
  <c r="CZ90" i="3"/>
  <c r="CZ96" i="3" s="1"/>
  <c r="CT67" i="3"/>
  <c r="CT206" i="3" s="1"/>
  <c r="FY177" i="2"/>
  <c r="AJ90" i="3"/>
  <c r="AJ96" i="3" s="1"/>
  <c r="DP90" i="3"/>
  <c r="DP96" i="3" s="1"/>
  <c r="EB90" i="3"/>
  <c r="EB96" i="3" s="1"/>
  <c r="EN90" i="3"/>
  <c r="EN96" i="3" s="1"/>
  <c r="FX90" i="3"/>
  <c r="FX96" i="3" s="1"/>
  <c r="BJ90" i="3"/>
  <c r="BJ96" i="3" s="1"/>
  <c r="BV90" i="3"/>
  <c r="BV96" i="3" s="1"/>
  <c r="CH90" i="3"/>
  <c r="CH96" i="3" s="1"/>
  <c r="DR90" i="3"/>
  <c r="DR96" i="3" s="1"/>
  <c r="O16" i="3"/>
  <c r="O85" i="3" s="1"/>
  <c r="O90" i="3" s="1"/>
  <c r="O96" i="3" s="1"/>
  <c r="FC16" i="3"/>
  <c r="FC85" i="3" s="1"/>
  <c r="FC90" i="3" s="1"/>
  <c r="FC96" i="3" s="1"/>
  <c r="FZ89" i="3"/>
  <c r="FZ28" i="3"/>
  <c r="R90" i="3"/>
  <c r="R96" i="3" s="1"/>
  <c r="AP90" i="3"/>
  <c r="AP96" i="3" s="1"/>
  <c r="BB90" i="3"/>
  <c r="BB96" i="3" s="1"/>
  <c r="CL90" i="3"/>
  <c r="CL96" i="3" s="1"/>
  <c r="DJ90" i="3"/>
  <c r="DJ96" i="3" s="1"/>
  <c r="DV90" i="3"/>
  <c r="DV96" i="3" s="1"/>
  <c r="FF90" i="3"/>
  <c r="FF96" i="3" s="1"/>
  <c r="FR90" i="3"/>
  <c r="FR96" i="3" s="1"/>
  <c r="ED90" i="3"/>
  <c r="ED96" i="3" s="1"/>
  <c r="AR90" i="3"/>
  <c r="AR96" i="3" s="1"/>
  <c r="E132" i="3"/>
  <c r="E134" i="3" s="1"/>
  <c r="E135" i="3" s="1"/>
  <c r="FZ17" i="3"/>
  <c r="AX105" i="3"/>
  <c r="AY90" i="3"/>
  <c r="AY96" i="3" s="1"/>
  <c r="I172" i="3"/>
  <c r="I101" i="3"/>
  <c r="U172" i="3"/>
  <c r="U101" i="3"/>
  <c r="AG172" i="3"/>
  <c r="AG101" i="3"/>
  <c r="AS172" i="3"/>
  <c r="AS101" i="3"/>
  <c r="BE172" i="3"/>
  <c r="BE101" i="3"/>
  <c r="BQ172" i="3"/>
  <c r="BQ101" i="3"/>
  <c r="CC172" i="3"/>
  <c r="CC101" i="3"/>
  <c r="CO172" i="3"/>
  <c r="CO101" i="3"/>
  <c r="DA172" i="3"/>
  <c r="DA101" i="3"/>
  <c r="DM172" i="3"/>
  <c r="DM101" i="3"/>
  <c r="FZ95" i="3"/>
  <c r="I100" i="3"/>
  <c r="FZ35" i="3"/>
  <c r="CJ97" i="3"/>
  <c r="C181" i="2"/>
  <c r="FZ181" i="2" s="1"/>
  <c r="I90" i="3"/>
  <c r="I96" i="3" s="1"/>
  <c r="U90" i="3"/>
  <c r="U96" i="3" s="1"/>
  <c r="AG90" i="3"/>
  <c r="AG96" i="3" s="1"/>
  <c r="AS90" i="3"/>
  <c r="AS96" i="3" s="1"/>
  <c r="BE90" i="3"/>
  <c r="BE96" i="3" s="1"/>
  <c r="BQ90" i="3"/>
  <c r="BQ96" i="3" s="1"/>
  <c r="CC90" i="3"/>
  <c r="CC96" i="3" s="1"/>
  <c r="CO90" i="3"/>
  <c r="CO96" i="3" s="1"/>
  <c r="DM90" i="3"/>
  <c r="DM96" i="3" s="1"/>
  <c r="DY90" i="3"/>
  <c r="DY96" i="3" s="1"/>
  <c r="EK90" i="3"/>
  <c r="EK96" i="3" s="1"/>
  <c r="EW90" i="3"/>
  <c r="EW96" i="3" s="1"/>
  <c r="FI90" i="3"/>
  <c r="FI96" i="3" s="1"/>
  <c r="FU90" i="3"/>
  <c r="FU96" i="3" s="1"/>
  <c r="Z90" i="3"/>
  <c r="Z96" i="3" s="1"/>
  <c r="DG90" i="3"/>
  <c r="DG96" i="3" s="1"/>
  <c r="FN90" i="3"/>
  <c r="FN96" i="3" s="1"/>
  <c r="H90" i="3"/>
  <c r="H96" i="3" s="1"/>
  <c r="BD90" i="3"/>
  <c r="BD96" i="3" s="1"/>
  <c r="EV90" i="3"/>
  <c r="EV96" i="3" s="1"/>
  <c r="X105" i="3"/>
  <c r="AJ105" i="3"/>
  <c r="AV105" i="3"/>
  <c r="BT105" i="3"/>
  <c r="CF105" i="3"/>
  <c r="CR105" i="3"/>
  <c r="DP105" i="3"/>
  <c r="EB105" i="3"/>
  <c r="EN105" i="3"/>
  <c r="FL105" i="3"/>
  <c r="FX105" i="3"/>
  <c r="EF97" i="3"/>
  <c r="AT217" i="3"/>
  <c r="J11" i="3"/>
  <c r="J16" i="3" s="1"/>
  <c r="J85" i="3" s="1"/>
  <c r="J90" i="3" s="1"/>
  <c r="J96" i="3" s="1"/>
  <c r="V11" i="3"/>
  <c r="V16" i="3" s="1"/>
  <c r="V85" i="3" s="1"/>
  <c r="V90" i="3" s="1"/>
  <c r="V96" i="3" s="1"/>
  <c r="AH11" i="3"/>
  <c r="AH16" i="3" s="1"/>
  <c r="AH85" i="3" s="1"/>
  <c r="AH90" i="3" s="1"/>
  <c r="AH96" i="3" s="1"/>
  <c r="AT11" i="3"/>
  <c r="AT16" i="3" s="1"/>
  <c r="AT85" i="3" s="1"/>
  <c r="AT90" i="3" s="1"/>
  <c r="AT96" i="3" s="1"/>
  <c r="BF11" i="3"/>
  <c r="BF16" i="3" s="1"/>
  <c r="BF85" i="3" s="1"/>
  <c r="BF90" i="3" s="1"/>
  <c r="BF96" i="3" s="1"/>
  <c r="BR11" i="3"/>
  <c r="BR16" i="3" s="1"/>
  <c r="BR85" i="3" s="1"/>
  <c r="CD11" i="3"/>
  <c r="CD16" i="3" s="1"/>
  <c r="CD85" i="3" s="1"/>
  <c r="CD90" i="3" s="1"/>
  <c r="CD96" i="3" s="1"/>
  <c r="CP11" i="3"/>
  <c r="CP16" i="3" s="1"/>
  <c r="CP85" i="3" s="1"/>
  <c r="CP90" i="3" s="1"/>
  <c r="CP96" i="3" s="1"/>
  <c r="DB11" i="3"/>
  <c r="DB16" i="3" s="1"/>
  <c r="DB85" i="3" s="1"/>
  <c r="DB90" i="3" s="1"/>
  <c r="DB96" i="3" s="1"/>
  <c r="DN11" i="3"/>
  <c r="DN16" i="3" s="1"/>
  <c r="DN85" i="3" s="1"/>
  <c r="DN90" i="3" s="1"/>
  <c r="DN96" i="3" s="1"/>
  <c r="DZ11" i="3"/>
  <c r="DZ16" i="3" s="1"/>
  <c r="DZ85" i="3" s="1"/>
  <c r="DZ90" i="3" s="1"/>
  <c r="DZ96" i="3" s="1"/>
  <c r="EL11" i="3"/>
  <c r="EL16" i="3" s="1"/>
  <c r="EL85" i="3" s="1"/>
  <c r="EX11" i="3"/>
  <c r="EX16" i="3" s="1"/>
  <c r="EX85" i="3" s="1"/>
  <c r="EX90" i="3" s="1"/>
  <c r="EX96" i="3" s="1"/>
  <c r="FJ11" i="3"/>
  <c r="FJ16" i="3" s="1"/>
  <c r="FJ85" i="3" s="1"/>
  <c r="FJ90" i="3" s="1"/>
  <c r="FJ96" i="3" s="1"/>
  <c r="FV11" i="3"/>
  <c r="FV16" i="3" s="1"/>
  <c r="FV85" i="3" s="1"/>
  <c r="FV90" i="3" s="1"/>
  <c r="FV96" i="3" s="1"/>
  <c r="AA16" i="3"/>
  <c r="AA85" i="3" s="1"/>
  <c r="AA90" i="3" s="1"/>
  <c r="AA96" i="3" s="1"/>
  <c r="FO16" i="3"/>
  <c r="FO85" i="3" s="1"/>
  <c r="FO90" i="3" s="1"/>
  <c r="FO96" i="3" s="1"/>
  <c r="D218" i="3"/>
  <c r="D179" i="3"/>
  <c r="D180" i="3" s="1"/>
  <c r="D99" i="3"/>
  <c r="FZ15" i="3"/>
  <c r="P218" i="3"/>
  <c r="P179" i="3"/>
  <c r="P180" i="3" s="1"/>
  <c r="P99" i="3"/>
  <c r="AB218" i="3"/>
  <c r="AB179" i="3"/>
  <c r="AB180" i="3" s="1"/>
  <c r="AB99" i="3"/>
  <c r="AN218" i="3"/>
  <c r="AN179" i="3"/>
  <c r="AN180" i="3" s="1"/>
  <c r="AN99" i="3"/>
  <c r="AZ218" i="3"/>
  <c r="AZ179" i="3"/>
  <c r="AZ180" i="3" s="1"/>
  <c r="AZ99" i="3"/>
  <c r="BL218" i="3"/>
  <c r="BL179" i="3"/>
  <c r="BL180" i="3" s="1"/>
  <c r="BL99" i="3"/>
  <c r="BX218" i="3"/>
  <c r="BX179" i="3"/>
  <c r="BX180" i="3" s="1"/>
  <c r="BX99" i="3"/>
  <c r="CJ218" i="3"/>
  <c r="CJ179" i="3"/>
  <c r="CJ180" i="3" s="1"/>
  <c r="CJ99" i="3"/>
  <c r="CV218" i="3"/>
  <c r="CV179" i="3"/>
  <c r="CV180" i="3" s="1"/>
  <c r="CV99" i="3"/>
  <c r="DH218" i="3"/>
  <c r="DH179" i="3"/>
  <c r="DH180" i="3" s="1"/>
  <c r="DH99" i="3"/>
  <c r="DT218" i="3"/>
  <c r="DT179" i="3"/>
  <c r="DT180" i="3" s="1"/>
  <c r="DT99" i="3"/>
  <c r="EF218" i="3"/>
  <c r="EF179" i="3"/>
  <c r="EF180" i="3" s="1"/>
  <c r="EF99" i="3"/>
  <c r="ER218" i="3"/>
  <c r="ER179" i="3"/>
  <c r="ER180" i="3" s="1"/>
  <c r="ER99" i="3"/>
  <c r="FD218" i="3"/>
  <c r="FD179" i="3"/>
  <c r="FD180" i="3" s="1"/>
  <c r="FD99" i="3"/>
  <c r="FP218" i="3"/>
  <c r="FP179" i="3"/>
  <c r="FP180" i="3" s="1"/>
  <c r="FP99" i="3"/>
  <c r="FZ22" i="3"/>
  <c r="FZ63" i="3"/>
  <c r="AW90" i="3"/>
  <c r="AW96" i="3" s="1"/>
  <c r="C16" i="3"/>
  <c r="EQ16" i="3"/>
  <c r="EQ85" i="3" s="1"/>
  <c r="EQ90" i="3" s="1"/>
  <c r="EQ96" i="3" s="1"/>
  <c r="M172" i="3"/>
  <c r="M101" i="3"/>
  <c r="Y172" i="3"/>
  <c r="Y101" i="3"/>
  <c r="AK172" i="3"/>
  <c r="AK101" i="3"/>
  <c r="AK217" i="3" s="1"/>
  <c r="AW172" i="3"/>
  <c r="AW101" i="3"/>
  <c r="BI172" i="3"/>
  <c r="BI101" i="3"/>
  <c r="BU172" i="3"/>
  <c r="BU101" i="3"/>
  <c r="BU217" i="3" s="1"/>
  <c r="CG172" i="3"/>
  <c r="CG101" i="3"/>
  <c r="CS172" i="3"/>
  <c r="CS101" i="3"/>
  <c r="DE172" i="3"/>
  <c r="DE101" i="3"/>
  <c r="DE217" i="3" s="1"/>
  <c r="DQ172" i="3"/>
  <c r="DQ101" i="3"/>
  <c r="EC172" i="3"/>
  <c r="EC101" i="3"/>
  <c r="EO172" i="3"/>
  <c r="EO101" i="3"/>
  <c r="EO217" i="3" s="1"/>
  <c r="FA172" i="3"/>
  <c r="FA101" i="3"/>
  <c r="FM172" i="3"/>
  <c r="FM101" i="3"/>
  <c r="N176" i="3"/>
  <c r="N97" i="3"/>
  <c r="Z176" i="3"/>
  <c r="Z97" i="3"/>
  <c r="AL176" i="3"/>
  <c r="AL97" i="3"/>
  <c r="AX176" i="3"/>
  <c r="AX97" i="3"/>
  <c r="BJ176" i="3"/>
  <c r="BJ97" i="3"/>
  <c r="BV176" i="3"/>
  <c r="BV97" i="3"/>
  <c r="CH176" i="3"/>
  <c r="CH97" i="3"/>
  <c r="CT176" i="3"/>
  <c r="CT97" i="3"/>
  <c r="DF176" i="3"/>
  <c r="DF97" i="3"/>
  <c r="DR176" i="3"/>
  <c r="DR97" i="3"/>
  <c r="ED176" i="3"/>
  <c r="ED97" i="3"/>
  <c r="EP176" i="3"/>
  <c r="EP97" i="3"/>
  <c r="FB176" i="3"/>
  <c r="FB97" i="3"/>
  <c r="FN176" i="3"/>
  <c r="FN97" i="3"/>
  <c r="F218" i="3"/>
  <c r="F179" i="3"/>
  <c r="F180" i="3" s="1"/>
  <c r="F99" i="3"/>
  <c r="R218" i="3"/>
  <c r="R179" i="3"/>
  <c r="R180" i="3" s="1"/>
  <c r="R99" i="3"/>
  <c r="AD218" i="3"/>
  <c r="AD179" i="3"/>
  <c r="AD180" i="3" s="1"/>
  <c r="AD99" i="3"/>
  <c r="AP218" i="3"/>
  <c r="AP179" i="3"/>
  <c r="AP180" i="3" s="1"/>
  <c r="AP99" i="3"/>
  <c r="BB218" i="3"/>
  <c r="BB179" i="3"/>
  <c r="BB180" i="3" s="1"/>
  <c r="BB99" i="3"/>
  <c r="BN218" i="3"/>
  <c r="BN179" i="3"/>
  <c r="BN180" i="3" s="1"/>
  <c r="BN99" i="3"/>
  <c r="BZ218" i="3"/>
  <c r="BZ179" i="3"/>
  <c r="BZ180" i="3" s="1"/>
  <c r="BZ99" i="3"/>
  <c r="CL218" i="3"/>
  <c r="CL179" i="3"/>
  <c r="CL180" i="3" s="1"/>
  <c r="CL99" i="3"/>
  <c r="CX218" i="3"/>
  <c r="CX179" i="3"/>
  <c r="CX180" i="3" s="1"/>
  <c r="CX99" i="3"/>
  <c r="DJ218" i="3"/>
  <c r="DJ179" i="3"/>
  <c r="DJ180" i="3" s="1"/>
  <c r="DJ99" i="3"/>
  <c r="DV218" i="3"/>
  <c r="DV179" i="3"/>
  <c r="DV180" i="3" s="1"/>
  <c r="DV99" i="3"/>
  <c r="EH218" i="3"/>
  <c r="EH179" i="3"/>
  <c r="EH180" i="3" s="1"/>
  <c r="EH99" i="3"/>
  <c r="ET218" i="3"/>
  <c r="ET179" i="3"/>
  <c r="ET180" i="3" s="1"/>
  <c r="ET99" i="3"/>
  <c r="FF218" i="3"/>
  <c r="FF179" i="3"/>
  <c r="FF180" i="3" s="1"/>
  <c r="FF99" i="3"/>
  <c r="FR218" i="3"/>
  <c r="FR179" i="3"/>
  <c r="FR180" i="3" s="1"/>
  <c r="FR99" i="3"/>
  <c r="W134" i="3"/>
  <c r="W135" i="3" s="1"/>
  <c r="CQ134" i="3"/>
  <c r="CQ135" i="3" s="1"/>
  <c r="FK134" i="3"/>
  <c r="FK135" i="3" s="1"/>
  <c r="EP105" i="3"/>
  <c r="EX134" i="3"/>
  <c r="EX135" i="3" s="1"/>
  <c r="M90" i="3"/>
  <c r="M96" i="3" s="1"/>
  <c r="AK90" i="3"/>
  <c r="AK96" i="3" s="1"/>
  <c r="CG90" i="3"/>
  <c r="CG96" i="3" s="1"/>
  <c r="CS90" i="3"/>
  <c r="CS96" i="3" s="1"/>
  <c r="DE90" i="3"/>
  <c r="DE96" i="3" s="1"/>
  <c r="EO90" i="3"/>
  <c r="EO96" i="3" s="1"/>
  <c r="FA90" i="3"/>
  <c r="FA96" i="3" s="1"/>
  <c r="FZ8" i="3"/>
  <c r="BK16" i="3"/>
  <c r="BK85" i="3" s="1"/>
  <c r="BK90" i="3" s="1"/>
  <c r="BK96" i="3" s="1"/>
  <c r="FZ13" i="3"/>
  <c r="G218" i="3"/>
  <c r="G179" i="3"/>
  <c r="G180" i="3" s="1"/>
  <c r="G99" i="3"/>
  <c r="S218" i="3"/>
  <c r="S179" i="3"/>
  <c r="S180" i="3" s="1"/>
  <c r="AE218" i="3"/>
  <c r="AE179" i="3"/>
  <c r="AE180" i="3" s="1"/>
  <c r="AE99" i="3"/>
  <c r="AQ218" i="3"/>
  <c r="AQ179" i="3"/>
  <c r="AQ180" i="3" s="1"/>
  <c r="AQ99" i="3"/>
  <c r="BC218" i="3"/>
  <c r="BC179" i="3"/>
  <c r="BC180" i="3" s="1"/>
  <c r="BC99" i="3"/>
  <c r="BO218" i="3"/>
  <c r="BO179" i="3"/>
  <c r="BO180" i="3" s="1"/>
  <c r="CA218" i="3"/>
  <c r="CA179" i="3"/>
  <c r="CA180" i="3" s="1"/>
  <c r="CA99" i="3"/>
  <c r="CM218" i="3"/>
  <c r="CM179" i="3"/>
  <c r="CM180" i="3" s="1"/>
  <c r="CM99" i="3"/>
  <c r="CY218" i="3"/>
  <c r="CY179" i="3"/>
  <c r="CY180" i="3" s="1"/>
  <c r="CY99" i="3"/>
  <c r="DK218" i="3"/>
  <c r="DK179" i="3"/>
  <c r="DK180" i="3" s="1"/>
  <c r="DW218" i="3"/>
  <c r="DW179" i="3"/>
  <c r="DW180" i="3" s="1"/>
  <c r="DW99" i="3"/>
  <c r="EI218" i="3"/>
  <c r="EI179" i="3"/>
  <c r="EI180" i="3" s="1"/>
  <c r="EI99" i="3"/>
  <c r="EU218" i="3"/>
  <c r="EU179" i="3"/>
  <c r="EU180" i="3" s="1"/>
  <c r="EU99" i="3"/>
  <c r="FG218" i="3"/>
  <c r="FG179" i="3"/>
  <c r="FG180" i="3" s="1"/>
  <c r="FS218" i="3"/>
  <c r="FS179" i="3"/>
  <c r="FS180" i="3" s="1"/>
  <c r="FS99" i="3"/>
  <c r="FG99" i="3"/>
  <c r="DS90" i="3"/>
  <c r="DS96" i="3" s="1"/>
  <c r="C172" i="3"/>
  <c r="C101" i="3"/>
  <c r="O172" i="3"/>
  <c r="O101" i="3"/>
  <c r="AA172" i="3"/>
  <c r="AA101" i="3"/>
  <c r="AM172" i="3"/>
  <c r="AM101" i="3"/>
  <c r="AY172" i="3"/>
  <c r="AY101" i="3"/>
  <c r="AY217" i="3" s="1"/>
  <c r="BK172" i="3"/>
  <c r="BK101" i="3"/>
  <c r="BW172" i="3"/>
  <c r="BW101" i="3"/>
  <c r="CI172" i="3"/>
  <c r="CI101" i="3"/>
  <c r="CU172" i="3"/>
  <c r="CU101" i="3"/>
  <c r="DG172" i="3"/>
  <c r="DG101" i="3"/>
  <c r="DS172" i="3"/>
  <c r="DS101" i="3"/>
  <c r="DS217" i="3" s="1"/>
  <c r="EE172" i="3"/>
  <c r="EE101" i="3"/>
  <c r="EQ172" i="3"/>
  <c r="EQ101" i="3"/>
  <c r="FC172" i="3"/>
  <c r="FC101" i="3"/>
  <c r="FO172" i="3"/>
  <c r="FO101" i="3"/>
  <c r="D176" i="3"/>
  <c r="D97" i="3"/>
  <c r="P176" i="3"/>
  <c r="P97" i="3"/>
  <c r="AB176" i="3"/>
  <c r="AB97" i="3"/>
  <c r="AZ176" i="3"/>
  <c r="AZ97" i="3"/>
  <c r="BL176" i="3"/>
  <c r="BL97" i="3"/>
  <c r="BX176" i="3"/>
  <c r="BX97" i="3"/>
  <c r="CV176" i="3"/>
  <c r="CV97" i="3"/>
  <c r="DH176" i="3"/>
  <c r="DH97" i="3"/>
  <c r="DT176" i="3"/>
  <c r="DT97" i="3"/>
  <c r="ER176" i="3"/>
  <c r="ER97" i="3"/>
  <c r="FD176" i="3"/>
  <c r="FD97" i="3"/>
  <c r="FP176" i="3"/>
  <c r="FP97" i="3"/>
  <c r="C166" i="3"/>
  <c r="FZ29" i="3"/>
  <c r="C291" i="3"/>
  <c r="FZ47" i="3"/>
  <c r="AM90" i="3"/>
  <c r="AM96" i="3" s="1"/>
  <c r="CT90" i="3"/>
  <c r="CT96" i="3" s="1"/>
  <c r="DT90" i="3"/>
  <c r="DT96" i="3" s="1"/>
  <c r="D172" i="3"/>
  <c r="D101" i="3"/>
  <c r="D217" i="3" s="1"/>
  <c r="P172" i="3"/>
  <c r="P101" i="3"/>
  <c r="AB172" i="3"/>
  <c r="AB101" i="3"/>
  <c r="AN172" i="3"/>
  <c r="AN101" i="3"/>
  <c r="AN217" i="3" s="1"/>
  <c r="AZ172" i="3"/>
  <c r="AZ101" i="3"/>
  <c r="AZ217" i="3" s="1"/>
  <c r="BL172" i="3"/>
  <c r="BL101" i="3"/>
  <c r="BX172" i="3"/>
  <c r="BX101" i="3"/>
  <c r="CJ172" i="3"/>
  <c r="CJ101" i="3"/>
  <c r="CJ217" i="3" s="1"/>
  <c r="CV172" i="3"/>
  <c r="CV101" i="3"/>
  <c r="DH172" i="3"/>
  <c r="DH101" i="3"/>
  <c r="DT172" i="3"/>
  <c r="DT101" i="3"/>
  <c r="DT217" i="3" s="1"/>
  <c r="EF172" i="3"/>
  <c r="EF101" i="3"/>
  <c r="ER172" i="3"/>
  <c r="ER101" i="3"/>
  <c r="FD172" i="3"/>
  <c r="FD101" i="3"/>
  <c r="FD217" i="3" s="1"/>
  <c r="FP172" i="3"/>
  <c r="FP101" i="3"/>
  <c r="FP217" i="3" s="1"/>
  <c r="E176" i="3"/>
  <c r="E97" i="3"/>
  <c r="Q176" i="3"/>
  <c r="Q97" i="3"/>
  <c r="AC176" i="3"/>
  <c r="AC97" i="3"/>
  <c r="AO176" i="3"/>
  <c r="AO97" i="3"/>
  <c r="BA176" i="3"/>
  <c r="BA97" i="3"/>
  <c r="BM176" i="3"/>
  <c r="BM97" i="3"/>
  <c r="BY176" i="3"/>
  <c r="BY97" i="3"/>
  <c r="CK176" i="3"/>
  <c r="CK97" i="3"/>
  <c r="CW176" i="3"/>
  <c r="CW97" i="3"/>
  <c r="DI176" i="3"/>
  <c r="DI97" i="3"/>
  <c r="DU176" i="3"/>
  <c r="DU97" i="3"/>
  <c r="EG176" i="3"/>
  <c r="EG97" i="3"/>
  <c r="ES176" i="3"/>
  <c r="ES97" i="3"/>
  <c r="FE176" i="3"/>
  <c r="FE97" i="3"/>
  <c r="FQ176" i="3"/>
  <c r="FQ97" i="3"/>
  <c r="AF90" i="3"/>
  <c r="AF96" i="3" s="1"/>
  <c r="CB90" i="3"/>
  <c r="CB96" i="3" s="1"/>
  <c r="DX90" i="3"/>
  <c r="DX96" i="3" s="1"/>
  <c r="FT90" i="3"/>
  <c r="FT96" i="3" s="1"/>
  <c r="FZ27" i="3"/>
  <c r="N90" i="3"/>
  <c r="N96" i="3" s="1"/>
  <c r="CU90" i="3"/>
  <c r="CU96" i="3" s="1"/>
  <c r="FB90" i="3"/>
  <c r="FB96" i="3" s="1"/>
  <c r="E172" i="3"/>
  <c r="E101" i="3"/>
  <c r="E217" i="3" s="1"/>
  <c r="Q172" i="3"/>
  <c r="Q101" i="3"/>
  <c r="AC172" i="3"/>
  <c r="AC101" i="3"/>
  <c r="AC217" i="3" s="1"/>
  <c r="FZ34" i="3"/>
  <c r="K172" i="3"/>
  <c r="K101" i="3"/>
  <c r="W172" i="3"/>
  <c r="W101" i="3"/>
  <c r="AI172" i="3"/>
  <c r="AI101" i="3"/>
  <c r="AU172" i="3"/>
  <c r="AU101" i="3"/>
  <c r="BG172" i="3"/>
  <c r="BG101" i="3"/>
  <c r="BS172" i="3"/>
  <c r="BS101" i="3"/>
  <c r="BS217" i="3" s="1"/>
  <c r="CE172" i="3"/>
  <c r="CE101" i="3"/>
  <c r="CQ172" i="3"/>
  <c r="CQ101" i="3"/>
  <c r="DC172" i="3"/>
  <c r="DC101" i="3"/>
  <c r="DO172" i="3"/>
  <c r="DO101" i="3"/>
  <c r="EA172" i="3"/>
  <c r="EA101" i="3"/>
  <c r="EM172" i="3"/>
  <c r="EM101" i="3"/>
  <c r="EM217" i="3" s="1"/>
  <c r="EY172" i="3"/>
  <c r="EY101" i="3"/>
  <c r="FK172" i="3"/>
  <c r="FK101" i="3"/>
  <c r="FW172" i="3"/>
  <c r="FW101" i="3"/>
  <c r="L176" i="3"/>
  <c r="L97" i="3"/>
  <c r="X176" i="3"/>
  <c r="X97" i="3"/>
  <c r="AJ176" i="3"/>
  <c r="AJ97" i="3"/>
  <c r="AV176" i="3"/>
  <c r="AV97" i="3"/>
  <c r="BH176" i="3"/>
  <c r="BH97" i="3"/>
  <c r="BT176" i="3"/>
  <c r="BT97" i="3"/>
  <c r="CF176" i="3"/>
  <c r="CF97" i="3"/>
  <c r="CR176" i="3"/>
  <c r="CR97" i="3"/>
  <c r="DD176" i="3"/>
  <c r="DD97" i="3"/>
  <c r="DP176" i="3"/>
  <c r="DP97" i="3"/>
  <c r="EB176" i="3"/>
  <c r="EB97" i="3"/>
  <c r="EN176" i="3"/>
  <c r="EN97" i="3"/>
  <c r="EZ176" i="3"/>
  <c r="EZ97" i="3"/>
  <c r="FL176" i="3"/>
  <c r="FL97" i="3"/>
  <c r="FX176" i="3"/>
  <c r="FX97" i="3"/>
  <c r="N218" i="3"/>
  <c r="N99" i="3"/>
  <c r="Z218" i="3"/>
  <c r="Z179" i="3"/>
  <c r="Z180" i="3" s="1"/>
  <c r="Z99" i="3"/>
  <c r="AL218" i="3"/>
  <c r="AL179" i="3"/>
  <c r="AL180" i="3" s="1"/>
  <c r="AL99" i="3"/>
  <c r="AX218" i="3"/>
  <c r="AX179" i="3"/>
  <c r="AX180" i="3" s="1"/>
  <c r="AX99" i="3"/>
  <c r="BJ218" i="3"/>
  <c r="BJ179" i="3"/>
  <c r="BJ180" i="3" s="1"/>
  <c r="BJ99" i="3"/>
  <c r="BV218" i="3"/>
  <c r="BV179" i="3"/>
  <c r="BV180" i="3" s="1"/>
  <c r="BV99" i="3"/>
  <c r="CH218" i="3"/>
  <c r="CH179" i="3"/>
  <c r="CH180" i="3" s="1"/>
  <c r="CH99" i="3"/>
  <c r="CT218" i="3"/>
  <c r="CT179" i="3"/>
  <c r="CT180" i="3" s="1"/>
  <c r="CT99" i="3"/>
  <c r="DF218" i="3"/>
  <c r="DF179" i="3"/>
  <c r="DF180" i="3" s="1"/>
  <c r="DF99" i="3"/>
  <c r="DR218" i="3"/>
  <c r="DR179" i="3"/>
  <c r="DR180" i="3" s="1"/>
  <c r="DR99" i="3"/>
  <c r="ED218" i="3"/>
  <c r="ED179" i="3"/>
  <c r="ED180" i="3" s="1"/>
  <c r="ED99" i="3"/>
  <c r="EP218" i="3"/>
  <c r="EP179" i="3"/>
  <c r="EP180" i="3" s="1"/>
  <c r="EP99" i="3"/>
  <c r="FB218" i="3"/>
  <c r="FB99" i="3"/>
  <c r="FN218" i="3"/>
  <c r="FN179" i="3"/>
  <c r="FN180" i="3" s="1"/>
  <c r="FN99" i="3"/>
  <c r="L172" i="3"/>
  <c r="L101" i="3"/>
  <c r="L217" i="3" s="1"/>
  <c r="X172" i="3"/>
  <c r="X101" i="3"/>
  <c r="X217" i="3" s="1"/>
  <c r="AJ172" i="3"/>
  <c r="AJ101" i="3"/>
  <c r="AV172" i="3"/>
  <c r="AV101" i="3"/>
  <c r="AV217" i="3" s="1"/>
  <c r="BH172" i="3"/>
  <c r="BH101" i="3"/>
  <c r="BH217" i="3" s="1"/>
  <c r="BT172" i="3"/>
  <c r="BT101" i="3"/>
  <c r="CF172" i="3"/>
  <c r="CF101" i="3"/>
  <c r="CF217" i="3" s="1"/>
  <c r="CR172" i="3"/>
  <c r="CR101" i="3"/>
  <c r="CR217" i="3" s="1"/>
  <c r="DD172" i="3"/>
  <c r="DD101" i="3"/>
  <c r="DP172" i="3"/>
  <c r="DP101" i="3"/>
  <c r="DP217" i="3" s="1"/>
  <c r="EB172" i="3"/>
  <c r="EB101" i="3"/>
  <c r="EB217" i="3" s="1"/>
  <c r="EN172" i="3"/>
  <c r="EN101" i="3"/>
  <c r="EZ172" i="3"/>
  <c r="EZ101" i="3"/>
  <c r="EZ217" i="3" s="1"/>
  <c r="FL172" i="3"/>
  <c r="FL101" i="3"/>
  <c r="FL217" i="3" s="1"/>
  <c r="FX172" i="3"/>
  <c r="FX101" i="3"/>
  <c r="M176" i="3"/>
  <c r="M97" i="3"/>
  <c r="Y176" i="3"/>
  <c r="Y97" i="3"/>
  <c r="AK176" i="3"/>
  <c r="AK97" i="3"/>
  <c r="AW176" i="3"/>
  <c r="AW97" i="3"/>
  <c r="BI176" i="3"/>
  <c r="BI97" i="3"/>
  <c r="BU176" i="3"/>
  <c r="BU97" i="3"/>
  <c r="CG176" i="3"/>
  <c r="CG97" i="3"/>
  <c r="CS176" i="3"/>
  <c r="CS97" i="3"/>
  <c r="DE176" i="3"/>
  <c r="DE97" i="3"/>
  <c r="DQ176" i="3"/>
  <c r="DQ97" i="3"/>
  <c r="EC176" i="3"/>
  <c r="EC97" i="3"/>
  <c r="EO176" i="3"/>
  <c r="EO97" i="3"/>
  <c r="FA176" i="3"/>
  <c r="FA97" i="3"/>
  <c r="FM176" i="3"/>
  <c r="FM97" i="3"/>
  <c r="C179" i="3"/>
  <c r="C218" i="3"/>
  <c r="C99" i="3"/>
  <c r="O179" i="3"/>
  <c r="O180" i="3" s="1"/>
  <c r="O218" i="3"/>
  <c r="O99" i="3"/>
  <c r="AA179" i="3"/>
  <c r="AA180" i="3" s="1"/>
  <c r="AA218" i="3"/>
  <c r="AA99" i="3"/>
  <c r="AM179" i="3"/>
  <c r="AM180" i="3" s="1"/>
  <c r="AM218" i="3"/>
  <c r="AM99" i="3"/>
  <c r="AY179" i="3"/>
  <c r="AY180" i="3" s="1"/>
  <c r="AY218" i="3"/>
  <c r="AY99" i="3"/>
  <c r="BK179" i="3"/>
  <c r="BK180" i="3" s="1"/>
  <c r="BK218" i="3"/>
  <c r="BK99" i="3"/>
  <c r="BW179" i="3"/>
  <c r="BW180" i="3" s="1"/>
  <c r="BW218" i="3"/>
  <c r="BW99" i="3"/>
  <c r="CI218" i="3"/>
  <c r="CI179" i="3"/>
  <c r="CI180" i="3" s="1"/>
  <c r="CI99" i="3"/>
  <c r="CU218" i="3"/>
  <c r="CU179" i="3"/>
  <c r="CU180" i="3" s="1"/>
  <c r="CU99" i="3"/>
  <c r="DG218" i="3"/>
  <c r="DG179" i="3"/>
  <c r="DG180" i="3" s="1"/>
  <c r="DG99" i="3"/>
  <c r="DS218" i="3"/>
  <c r="DS179" i="3"/>
  <c r="DS180" i="3" s="1"/>
  <c r="DS99" i="3"/>
  <c r="EE179" i="3"/>
  <c r="EE180" i="3" s="1"/>
  <c r="EE218" i="3"/>
  <c r="EE99" i="3"/>
  <c r="EQ179" i="3"/>
  <c r="EQ180" i="3" s="1"/>
  <c r="EQ218" i="3"/>
  <c r="EQ99" i="3"/>
  <c r="FC179" i="3"/>
  <c r="FC180" i="3" s="1"/>
  <c r="FC218" i="3"/>
  <c r="FC99" i="3"/>
  <c r="FO179" i="3"/>
  <c r="FO180" i="3" s="1"/>
  <c r="FO218" i="3"/>
  <c r="FO99" i="3"/>
  <c r="D134" i="3"/>
  <c r="D135" i="3" s="1"/>
  <c r="FZ135" i="3" s="1"/>
  <c r="P134" i="3"/>
  <c r="P135" i="3" s="1"/>
  <c r="AB134" i="3"/>
  <c r="AB135" i="3" s="1"/>
  <c r="AN134" i="3"/>
  <c r="AN135" i="3" s="1"/>
  <c r="AZ134" i="3"/>
  <c r="AZ135" i="3" s="1"/>
  <c r="BL134" i="3"/>
  <c r="BL135" i="3" s="1"/>
  <c r="BX134" i="3"/>
  <c r="BX135" i="3" s="1"/>
  <c r="CJ134" i="3"/>
  <c r="CJ135" i="3" s="1"/>
  <c r="CV134" i="3"/>
  <c r="CV135" i="3" s="1"/>
  <c r="DH134" i="3"/>
  <c r="DH135" i="3" s="1"/>
  <c r="DT134" i="3"/>
  <c r="DT135" i="3" s="1"/>
  <c r="EF134" i="3"/>
  <c r="EF135" i="3" s="1"/>
  <c r="ER134" i="3"/>
  <c r="ER135" i="3" s="1"/>
  <c r="FD134" i="3"/>
  <c r="FD135" i="3" s="1"/>
  <c r="FP134" i="3"/>
  <c r="FP135" i="3" s="1"/>
  <c r="FZ94" i="3"/>
  <c r="O105" i="3"/>
  <c r="AM105" i="3"/>
  <c r="BK105" i="3"/>
  <c r="BW105" i="3"/>
  <c r="CI105" i="3"/>
  <c r="DG105" i="3"/>
  <c r="DS105" i="3"/>
  <c r="EE105" i="3"/>
  <c r="FC105" i="3"/>
  <c r="FO105" i="3"/>
  <c r="C98" i="3"/>
  <c r="AR101" i="3"/>
  <c r="CN101" i="3"/>
  <c r="EJ101" i="3"/>
  <c r="C105" i="3"/>
  <c r="N172" i="3"/>
  <c r="N101" i="3"/>
  <c r="N217" i="3" s="1"/>
  <c r="Z172" i="3"/>
  <c r="Z101" i="3"/>
  <c r="Z217" i="3" s="1"/>
  <c r="AL172" i="3"/>
  <c r="AL101" i="3"/>
  <c r="AL217" i="3" s="1"/>
  <c r="AX172" i="3"/>
  <c r="AX101" i="3"/>
  <c r="BJ172" i="3"/>
  <c r="BJ101" i="3"/>
  <c r="BJ217" i="3" s="1"/>
  <c r="BV172" i="3"/>
  <c r="BV101" i="3"/>
  <c r="BV217" i="3" s="1"/>
  <c r="CH172" i="3"/>
  <c r="CH101" i="3"/>
  <c r="CH217" i="3" s="1"/>
  <c r="CT172" i="3"/>
  <c r="CT101" i="3"/>
  <c r="CT217" i="3" s="1"/>
  <c r="DF172" i="3"/>
  <c r="DF101" i="3"/>
  <c r="DF217" i="3" s="1"/>
  <c r="DR172" i="3"/>
  <c r="DR101" i="3"/>
  <c r="ED172" i="3"/>
  <c r="ED101" i="3"/>
  <c r="ED217" i="3" s="1"/>
  <c r="EP172" i="3"/>
  <c r="EP101" i="3"/>
  <c r="EP217" i="3" s="1"/>
  <c r="FB172" i="3"/>
  <c r="FB101" i="3"/>
  <c r="FB217" i="3" s="1"/>
  <c r="FN172" i="3"/>
  <c r="FN101" i="3"/>
  <c r="FN217" i="3" s="1"/>
  <c r="C176" i="3"/>
  <c r="C97" i="3"/>
  <c r="O176" i="3"/>
  <c r="O97" i="3"/>
  <c r="AA176" i="3"/>
  <c r="AA97" i="3"/>
  <c r="AM176" i="3"/>
  <c r="AM97" i="3"/>
  <c r="AY176" i="3"/>
  <c r="AY97" i="3"/>
  <c r="BK176" i="3"/>
  <c r="BK97" i="3"/>
  <c r="BW176" i="3"/>
  <c r="BW97" i="3"/>
  <c r="CI176" i="3"/>
  <c r="CI97" i="3"/>
  <c r="CU176" i="3"/>
  <c r="CU97" i="3"/>
  <c r="DG176" i="3"/>
  <c r="DG97" i="3"/>
  <c r="DS176" i="3"/>
  <c r="DS97" i="3"/>
  <c r="EE176" i="3"/>
  <c r="EE97" i="3"/>
  <c r="EQ176" i="3"/>
  <c r="EQ97" i="3"/>
  <c r="FC176" i="3"/>
  <c r="FC97" i="3"/>
  <c r="FO176" i="3"/>
  <c r="FO97" i="3"/>
  <c r="E218" i="3"/>
  <c r="E179" i="3"/>
  <c r="E180" i="3" s="1"/>
  <c r="Q218" i="3"/>
  <c r="Q179" i="3"/>
  <c r="Q180" i="3" s="1"/>
  <c r="AC218" i="3"/>
  <c r="AC179" i="3"/>
  <c r="AC180" i="3" s="1"/>
  <c r="AO218" i="3"/>
  <c r="AO179" i="3"/>
  <c r="AO180" i="3" s="1"/>
  <c r="BA218" i="3"/>
  <c r="BA179" i="3"/>
  <c r="BA180" i="3" s="1"/>
  <c r="BM218" i="3"/>
  <c r="BM179" i="3"/>
  <c r="BM180" i="3" s="1"/>
  <c r="BY218" i="3"/>
  <c r="BY179" i="3"/>
  <c r="BY180" i="3" s="1"/>
  <c r="CK218" i="3"/>
  <c r="CK179" i="3"/>
  <c r="CK180" i="3" s="1"/>
  <c r="CW218" i="3"/>
  <c r="CW179" i="3"/>
  <c r="CW180" i="3" s="1"/>
  <c r="DI218" i="3"/>
  <c r="DI179" i="3"/>
  <c r="DI180" i="3" s="1"/>
  <c r="DU218" i="3"/>
  <c r="DU179" i="3"/>
  <c r="DU180" i="3" s="1"/>
  <c r="EG218" i="3"/>
  <c r="EG179" i="3"/>
  <c r="EG180" i="3" s="1"/>
  <c r="ES218" i="3"/>
  <c r="ES179" i="3"/>
  <c r="ES180" i="3" s="1"/>
  <c r="FE218" i="3"/>
  <c r="FE179" i="3"/>
  <c r="FE180" i="3" s="1"/>
  <c r="FQ218" i="3"/>
  <c r="FQ179" i="3"/>
  <c r="FQ180" i="3" s="1"/>
  <c r="H144" i="3"/>
  <c r="H142" i="3"/>
  <c r="H146" i="3" s="1"/>
  <c r="F105" i="3"/>
  <c r="R105" i="3"/>
  <c r="AD105" i="3"/>
  <c r="AP105" i="3"/>
  <c r="BB105" i="3"/>
  <c r="BN105" i="3"/>
  <c r="BZ105" i="3"/>
  <c r="CL105" i="3"/>
  <c r="CX105" i="3"/>
  <c r="DJ105" i="3"/>
  <c r="DV105" i="3"/>
  <c r="EH105" i="3"/>
  <c r="ET105" i="3"/>
  <c r="FF105" i="3"/>
  <c r="FR105" i="3"/>
  <c r="C330" i="3"/>
  <c r="C332" i="3"/>
  <c r="C328" i="3"/>
  <c r="C279" i="3"/>
  <c r="L105" i="3"/>
  <c r="BH105" i="3"/>
  <c r="DD105" i="3"/>
  <c r="EZ105" i="3"/>
  <c r="AC99" i="3"/>
  <c r="BY99" i="3"/>
  <c r="DU99" i="3"/>
  <c r="FQ99" i="3"/>
  <c r="H101" i="3"/>
  <c r="H217" i="3" s="1"/>
  <c r="BD101" i="3"/>
  <c r="CZ101" i="3"/>
  <c r="EV101" i="3"/>
  <c r="G144" i="3"/>
  <c r="DK142" i="3"/>
  <c r="FG144" i="3"/>
  <c r="FG146" i="3" s="1"/>
  <c r="FG148" i="3" s="1"/>
  <c r="N179" i="3"/>
  <c r="N180" i="3" s="1"/>
  <c r="G105" i="3"/>
  <c r="S105" i="3"/>
  <c r="AE105" i="3"/>
  <c r="AQ105" i="3"/>
  <c r="BC105" i="3"/>
  <c r="BO105" i="3"/>
  <c r="CA105" i="3"/>
  <c r="CM105" i="3"/>
  <c r="CY105" i="3"/>
  <c r="DK105" i="3"/>
  <c r="DW105" i="3"/>
  <c r="EI105" i="3"/>
  <c r="EU105" i="3"/>
  <c r="FG105" i="3"/>
  <c r="FS105" i="3"/>
  <c r="FZ48" i="3"/>
  <c r="N105" i="3"/>
  <c r="BJ105" i="3"/>
  <c r="DF105" i="3"/>
  <c r="FB105" i="3"/>
  <c r="J101" i="3"/>
  <c r="J217" i="3" s="1"/>
  <c r="BF101" i="3"/>
  <c r="BF217" i="3" s="1"/>
  <c r="DB101" i="3"/>
  <c r="EX101" i="3"/>
  <c r="FB179" i="3"/>
  <c r="FB180" i="3" s="1"/>
  <c r="AO172" i="3"/>
  <c r="AO101" i="3"/>
  <c r="AO217" i="3" s="1"/>
  <c r="BA172" i="3"/>
  <c r="BA101" i="3"/>
  <c r="BA217" i="3" s="1"/>
  <c r="BM172" i="3"/>
  <c r="BM101" i="3"/>
  <c r="BM217" i="3" s="1"/>
  <c r="BY172" i="3"/>
  <c r="BY101" i="3"/>
  <c r="BY217" i="3" s="1"/>
  <c r="CK172" i="3"/>
  <c r="CK101" i="3"/>
  <c r="CW172" i="3"/>
  <c r="CW101" i="3"/>
  <c r="CW217" i="3" s="1"/>
  <c r="DI172" i="3"/>
  <c r="DI101" i="3"/>
  <c r="DI217" i="3" s="1"/>
  <c r="DU172" i="3"/>
  <c r="DU101" i="3"/>
  <c r="DU217" i="3" s="1"/>
  <c r="EG172" i="3"/>
  <c r="EG101" i="3"/>
  <c r="EG217" i="3" s="1"/>
  <c r="ES172" i="3"/>
  <c r="ES101" i="3"/>
  <c r="ES217" i="3" s="1"/>
  <c r="FE172" i="3"/>
  <c r="FE101" i="3"/>
  <c r="FQ172" i="3"/>
  <c r="FQ101" i="3"/>
  <c r="FQ217" i="3" s="1"/>
  <c r="F176" i="3"/>
  <c r="F97" i="3"/>
  <c r="R176" i="3"/>
  <c r="R97" i="3"/>
  <c r="AD176" i="3"/>
  <c r="AD97" i="3"/>
  <c r="AP176" i="3"/>
  <c r="AP97" i="3"/>
  <c r="BB176" i="3"/>
  <c r="BB97" i="3"/>
  <c r="BN176" i="3"/>
  <c r="BN97" i="3"/>
  <c r="BZ176" i="3"/>
  <c r="BZ97" i="3"/>
  <c r="CL176" i="3"/>
  <c r="CL97" i="3"/>
  <c r="CX176" i="3"/>
  <c r="CX97" i="3"/>
  <c r="DJ176" i="3"/>
  <c r="DJ97" i="3"/>
  <c r="DV176" i="3"/>
  <c r="DV97" i="3"/>
  <c r="EH176" i="3"/>
  <c r="EH97" i="3"/>
  <c r="ET176" i="3"/>
  <c r="ET97" i="3"/>
  <c r="FF176" i="3"/>
  <c r="FF97" i="3"/>
  <c r="FR176" i="3"/>
  <c r="FR97" i="3"/>
  <c r="H218" i="3"/>
  <c r="H179" i="3"/>
  <c r="H180" i="3" s="1"/>
  <c r="H99" i="3"/>
  <c r="T218" i="3"/>
  <c r="T179" i="3"/>
  <c r="T180" i="3" s="1"/>
  <c r="T99" i="3"/>
  <c r="AF218" i="3"/>
  <c r="AF179" i="3"/>
  <c r="AF180" i="3" s="1"/>
  <c r="AF99" i="3"/>
  <c r="AR218" i="3"/>
  <c r="AR179" i="3"/>
  <c r="AR180" i="3" s="1"/>
  <c r="AR99" i="3"/>
  <c r="BD218" i="3"/>
  <c r="BD179" i="3"/>
  <c r="BD180" i="3" s="1"/>
  <c r="BD99" i="3"/>
  <c r="BP218" i="3"/>
  <c r="BP179" i="3"/>
  <c r="BP180" i="3" s="1"/>
  <c r="BP99" i="3"/>
  <c r="CB218" i="3"/>
  <c r="CB179" i="3"/>
  <c r="CB180" i="3" s="1"/>
  <c r="CB99" i="3"/>
  <c r="CN218" i="3"/>
  <c r="CN179" i="3"/>
  <c r="CN180" i="3" s="1"/>
  <c r="CN99" i="3"/>
  <c r="CZ218" i="3"/>
  <c r="CZ179" i="3"/>
  <c r="CZ180" i="3" s="1"/>
  <c r="CZ99" i="3"/>
  <c r="DL218" i="3"/>
  <c r="DL179" i="3"/>
  <c r="DL180" i="3" s="1"/>
  <c r="DL99" i="3"/>
  <c r="DX218" i="3"/>
  <c r="DX179" i="3"/>
  <c r="DX180" i="3" s="1"/>
  <c r="DX99" i="3"/>
  <c r="EJ218" i="3"/>
  <c r="EJ179" i="3"/>
  <c r="EJ180" i="3" s="1"/>
  <c r="EJ99" i="3"/>
  <c r="EV218" i="3"/>
  <c r="EV179" i="3"/>
  <c r="EV180" i="3" s="1"/>
  <c r="EV99" i="3"/>
  <c r="FH218" i="3"/>
  <c r="FH179" i="3"/>
  <c r="FH180" i="3" s="1"/>
  <c r="FH99" i="3"/>
  <c r="FT218" i="3"/>
  <c r="FT179" i="3"/>
  <c r="FT180" i="3" s="1"/>
  <c r="FT99" i="3"/>
  <c r="H105" i="3"/>
  <c r="T105" i="3"/>
  <c r="AF105" i="3"/>
  <c r="AR105" i="3"/>
  <c r="BD105" i="3"/>
  <c r="BP105" i="3"/>
  <c r="CB105" i="3"/>
  <c r="CN105" i="3"/>
  <c r="CZ105" i="3"/>
  <c r="DL105" i="3"/>
  <c r="DX105" i="3"/>
  <c r="EJ105" i="3"/>
  <c r="EV105" i="3"/>
  <c r="FH105" i="3"/>
  <c r="FT105" i="3"/>
  <c r="AG144" i="3"/>
  <c r="AS144" i="3"/>
  <c r="AS146" i="3" s="1"/>
  <c r="AS148" i="3" s="1"/>
  <c r="BE144" i="3"/>
  <c r="CO142" i="3"/>
  <c r="DA144" i="3"/>
  <c r="DA146" i="3" s="1"/>
  <c r="DA148" i="3" s="1"/>
  <c r="DY144" i="3"/>
  <c r="EK144" i="3"/>
  <c r="EW142" i="3"/>
  <c r="F172" i="3"/>
  <c r="F101" i="3"/>
  <c r="R172" i="3"/>
  <c r="R101" i="3"/>
  <c r="R217" i="3" s="1"/>
  <c r="AD172" i="3"/>
  <c r="AD101" i="3"/>
  <c r="AD217" i="3" s="1"/>
  <c r="AP172" i="3"/>
  <c r="AP101" i="3"/>
  <c r="BB172" i="3"/>
  <c r="BB101" i="3"/>
  <c r="BB217" i="3" s="1"/>
  <c r="BN172" i="3"/>
  <c r="BN101" i="3"/>
  <c r="BN217" i="3" s="1"/>
  <c r="BZ172" i="3"/>
  <c r="BZ101" i="3"/>
  <c r="CL172" i="3"/>
  <c r="CL101" i="3"/>
  <c r="CL217" i="3" s="1"/>
  <c r="CX172" i="3"/>
  <c r="CX101" i="3"/>
  <c r="CX217" i="3" s="1"/>
  <c r="DJ172" i="3"/>
  <c r="DJ101" i="3"/>
  <c r="DV172" i="3"/>
  <c r="DV101" i="3"/>
  <c r="DV217" i="3" s="1"/>
  <c r="EH172" i="3"/>
  <c r="EH101" i="3"/>
  <c r="EH217" i="3" s="1"/>
  <c r="ET172" i="3"/>
  <c r="ET101" i="3"/>
  <c r="FF172" i="3"/>
  <c r="FF101" i="3"/>
  <c r="FF217" i="3" s="1"/>
  <c r="FR172" i="3"/>
  <c r="FR101" i="3"/>
  <c r="FR217" i="3" s="1"/>
  <c r="G176" i="3"/>
  <c r="S176" i="3"/>
  <c r="AE176" i="3"/>
  <c r="AQ176" i="3"/>
  <c r="BC176" i="3"/>
  <c r="BO176" i="3"/>
  <c r="CA176" i="3"/>
  <c r="CM176" i="3"/>
  <c r="CY176" i="3"/>
  <c r="DK176" i="3"/>
  <c r="DW176" i="3"/>
  <c r="EI176" i="3"/>
  <c r="EU176" i="3"/>
  <c r="FG176" i="3"/>
  <c r="FS176" i="3"/>
  <c r="I218" i="3"/>
  <c r="I179" i="3"/>
  <c r="I180" i="3" s="1"/>
  <c r="I99" i="3"/>
  <c r="U218" i="3"/>
  <c r="U179" i="3"/>
  <c r="U180" i="3" s="1"/>
  <c r="U99" i="3"/>
  <c r="AG218" i="3"/>
  <c r="AG179" i="3"/>
  <c r="AG180" i="3" s="1"/>
  <c r="AG99" i="3"/>
  <c r="AS218" i="3"/>
  <c r="AS179" i="3"/>
  <c r="AS180" i="3" s="1"/>
  <c r="AS99" i="3"/>
  <c r="BE218" i="3"/>
  <c r="BE179" i="3"/>
  <c r="BE180" i="3" s="1"/>
  <c r="BE99" i="3"/>
  <c r="BQ218" i="3"/>
  <c r="BQ179" i="3"/>
  <c r="BQ180" i="3" s="1"/>
  <c r="BQ99" i="3"/>
  <c r="CC218" i="3"/>
  <c r="CC179" i="3"/>
  <c r="CC180" i="3" s="1"/>
  <c r="CC99" i="3"/>
  <c r="CO218" i="3"/>
  <c r="CO179" i="3"/>
  <c r="CO180" i="3" s="1"/>
  <c r="CO99" i="3"/>
  <c r="DA218" i="3"/>
  <c r="DA179" i="3"/>
  <c r="DA180" i="3" s="1"/>
  <c r="DA99" i="3"/>
  <c r="DM218" i="3"/>
  <c r="DM179" i="3"/>
  <c r="DM180" i="3" s="1"/>
  <c r="DM99" i="3"/>
  <c r="DY218" i="3"/>
  <c r="DY179" i="3"/>
  <c r="DY180" i="3" s="1"/>
  <c r="DY99" i="3"/>
  <c r="EK218" i="3"/>
  <c r="EK179" i="3"/>
  <c r="EK180" i="3" s="1"/>
  <c r="EK99" i="3"/>
  <c r="EW218" i="3"/>
  <c r="EW179" i="3"/>
  <c r="EW180" i="3" s="1"/>
  <c r="EW99" i="3"/>
  <c r="FI218" i="3"/>
  <c r="FI179" i="3"/>
  <c r="FI180" i="3" s="1"/>
  <c r="FI99" i="3"/>
  <c r="FU218" i="3"/>
  <c r="FU179" i="3"/>
  <c r="FU180" i="3" s="1"/>
  <c r="FU99" i="3"/>
  <c r="V134" i="3"/>
  <c r="V135" i="3" s="1"/>
  <c r="AH134" i="3"/>
  <c r="AH135" i="3" s="1"/>
  <c r="AT134" i="3"/>
  <c r="AT135" i="3" s="1"/>
  <c r="BF134" i="3"/>
  <c r="BF135" i="3" s="1"/>
  <c r="CP134" i="3"/>
  <c r="CP135" i="3" s="1"/>
  <c r="DB134" i="3"/>
  <c r="DB135" i="3" s="1"/>
  <c r="DN134" i="3"/>
  <c r="DN135" i="3" s="1"/>
  <c r="DZ134" i="3"/>
  <c r="DZ135" i="3" s="1"/>
  <c r="FJ134" i="3"/>
  <c r="FJ135" i="3" s="1"/>
  <c r="FV134" i="3"/>
  <c r="FV135" i="3" s="1"/>
  <c r="FZ20" i="3"/>
  <c r="I105" i="3"/>
  <c r="U105" i="3"/>
  <c r="AG105" i="3"/>
  <c r="AS105" i="3"/>
  <c r="BE105" i="3"/>
  <c r="BQ105" i="3"/>
  <c r="CC105" i="3"/>
  <c r="CO105" i="3"/>
  <c r="DA105" i="3"/>
  <c r="DM105" i="3"/>
  <c r="DY105" i="3"/>
  <c r="EK105" i="3"/>
  <c r="EW105" i="3"/>
  <c r="FI105" i="3"/>
  <c r="FU105" i="3"/>
  <c r="AO99" i="3"/>
  <c r="CK99" i="3"/>
  <c r="EG99" i="3"/>
  <c r="T101" i="3"/>
  <c r="BP101" i="3"/>
  <c r="BP217" i="3" s="1"/>
  <c r="DL101" i="3"/>
  <c r="DL217" i="3" s="1"/>
  <c r="FH101" i="3"/>
  <c r="G172" i="3"/>
  <c r="G101" i="3"/>
  <c r="G217" i="3" s="1"/>
  <c r="S172" i="3"/>
  <c r="S101" i="3"/>
  <c r="S217" i="3" s="1"/>
  <c r="AE172" i="3"/>
  <c r="AE101" i="3"/>
  <c r="AE217" i="3" s="1"/>
  <c r="AQ172" i="3"/>
  <c r="AQ101" i="3"/>
  <c r="AQ217" i="3" s="1"/>
  <c r="BC172" i="3"/>
  <c r="BC101" i="3"/>
  <c r="BC217" i="3" s="1"/>
  <c r="BO172" i="3"/>
  <c r="BO101" i="3"/>
  <c r="BO217" i="3" s="1"/>
  <c r="CA172" i="3"/>
  <c r="CA101" i="3"/>
  <c r="CA217" i="3" s="1"/>
  <c r="CM172" i="3"/>
  <c r="CM101" i="3"/>
  <c r="CM217" i="3" s="1"/>
  <c r="CY172" i="3"/>
  <c r="CY101" i="3"/>
  <c r="CY217" i="3" s="1"/>
  <c r="DK172" i="3"/>
  <c r="DK101" i="3"/>
  <c r="DW172" i="3"/>
  <c r="DW101" i="3"/>
  <c r="DW217" i="3" s="1"/>
  <c r="EI172" i="3"/>
  <c r="EI101" i="3"/>
  <c r="EI217" i="3" s="1"/>
  <c r="EU172" i="3"/>
  <c r="EU101" i="3"/>
  <c r="EU217" i="3" s="1"/>
  <c r="FG172" i="3"/>
  <c r="FG101" i="3"/>
  <c r="FG217" i="3" s="1"/>
  <c r="FS172" i="3"/>
  <c r="FS101" i="3"/>
  <c r="FS217" i="3" s="1"/>
  <c r="H176" i="3"/>
  <c r="H97" i="3"/>
  <c r="T176" i="3"/>
  <c r="T97" i="3"/>
  <c r="AF176" i="3"/>
  <c r="AF97" i="3"/>
  <c r="AR176" i="3"/>
  <c r="AR97" i="3"/>
  <c r="BD176" i="3"/>
  <c r="BD97" i="3"/>
  <c r="BP176" i="3"/>
  <c r="BP97" i="3"/>
  <c r="CB176" i="3"/>
  <c r="CB97" i="3"/>
  <c r="CN176" i="3"/>
  <c r="CN97" i="3"/>
  <c r="CZ176" i="3"/>
  <c r="CZ97" i="3"/>
  <c r="DL176" i="3"/>
  <c r="DL97" i="3"/>
  <c r="DX176" i="3"/>
  <c r="DX97" i="3"/>
  <c r="EJ176" i="3"/>
  <c r="EJ97" i="3"/>
  <c r="EV176" i="3"/>
  <c r="EV97" i="3"/>
  <c r="FH176" i="3"/>
  <c r="FH97" i="3"/>
  <c r="FT176" i="3"/>
  <c r="FT97" i="3"/>
  <c r="J218" i="3"/>
  <c r="J179" i="3"/>
  <c r="J180" i="3" s="1"/>
  <c r="V218" i="3"/>
  <c r="V179" i="3"/>
  <c r="V180" i="3" s="1"/>
  <c r="AH218" i="3"/>
  <c r="AH179" i="3"/>
  <c r="AH180" i="3" s="1"/>
  <c r="AT218" i="3"/>
  <c r="AT179" i="3"/>
  <c r="AT180" i="3" s="1"/>
  <c r="BF218" i="3"/>
  <c r="BF179" i="3"/>
  <c r="BF180" i="3" s="1"/>
  <c r="BR218" i="3"/>
  <c r="BR179" i="3"/>
  <c r="BR180" i="3" s="1"/>
  <c r="CD218" i="3"/>
  <c r="CD179" i="3"/>
  <c r="CD180" i="3" s="1"/>
  <c r="CP218" i="3"/>
  <c r="CP179" i="3"/>
  <c r="CP180" i="3" s="1"/>
  <c r="DB218" i="3"/>
  <c r="DB179" i="3"/>
  <c r="DB180" i="3" s="1"/>
  <c r="DN218" i="3"/>
  <c r="DN179" i="3"/>
  <c r="DN180" i="3" s="1"/>
  <c r="DZ218" i="3"/>
  <c r="DZ179" i="3"/>
  <c r="DZ180" i="3" s="1"/>
  <c r="EL218" i="3"/>
  <c r="EL179" i="3"/>
  <c r="EL180" i="3" s="1"/>
  <c r="EX218" i="3"/>
  <c r="EX179" i="3"/>
  <c r="EX180" i="3" s="1"/>
  <c r="FJ218" i="3"/>
  <c r="FJ179" i="3"/>
  <c r="FJ180" i="3" s="1"/>
  <c r="FV218" i="3"/>
  <c r="FV179" i="3"/>
  <c r="FV180" i="3" s="1"/>
  <c r="K134" i="3"/>
  <c r="K135" i="3" s="1"/>
  <c r="AI134" i="3"/>
  <c r="AI135" i="3" s="1"/>
  <c r="AU134" i="3"/>
  <c r="AU135" i="3" s="1"/>
  <c r="BG134" i="3"/>
  <c r="BG135" i="3" s="1"/>
  <c r="BS134" i="3"/>
  <c r="BS135" i="3" s="1"/>
  <c r="CE134" i="3"/>
  <c r="CE135" i="3" s="1"/>
  <c r="DC134" i="3"/>
  <c r="DC135" i="3" s="1"/>
  <c r="DO134" i="3"/>
  <c r="DO135" i="3" s="1"/>
  <c r="EA134" i="3"/>
  <c r="EA135" i="3" s="1"/>
  <c r="EM134" i="3"/>
  <c r="EM135" i="3" s="1"/>
  <c r="EY134" i="3"/>
  <c r="EY135" i="3" s="1"/>
  <c r="FW134" i="3"/>
  <c r="FW135" i="3" s="1"/>
  <c r="EC146" i="3"/>
  <c r="EC148" i="3" s="1"/>
  <c r="AH105" i="3"/>
  <c r="AT105" i="3"/>
  <c r="CD105" i="3"/>
  <c r="CP105" i="3"/>
  <c r="DZ105" i="3"/>
  <c r="EL105" i="3"/>
  <c r="FV105" i="3"/>
  <c r="FZ33" i="3"/>
  <c r="FZ100" i="3"/>
  <c r="V101" i="3"/>
  <c r="V217" i="3" s="1"/>
  <c r="BR101" i="3"/>
  <c r="DN101" i="3"/>
  <c r="DN217" i="3" s="1"/>
  <c r="FJ101" i="3"/>
  <c r="FJ217" i="3" s="1"/>
  <c r="I176" i="3"/>
  <c r="I97" i="3"/>
  <c r="U176" i="3"/>
  <c r="U97" i="3"/>
  <c r="AG176" i="3"/>
  <c r="AG97" i="3"/>
  <c r="AS176" i="3"/>
  <c r="AS97" i="3"/>
  <c r="BE176" i="3"/>
  <c r="BE97" i="3"/>
  <c r="BQ176" i="3"/>
  <c r="BQ97" i="3"/>
  <c r="CC176" i="3"/>
  <c r="CC97" i="3"/>
  <c r="CO176" i="3"/>
  <c r="CO97" i="3"/>
  <c r="DA176" i="3"/>
  <c r="DA97" i="3"/>
  <c r="DM176" i="3"/>
  <c r="DM97" i="3"/>
  <c r="DY176" i="3"/>
  <c r="DY97" i="3"/>
  <c r="EK176" i="3"/>
  <c r="EK97" i="3"/>
  <c r="EW176" i="3"/>
  <c r="EW97" i="3"/>
  <c r="FI176" i="3"/>
  <c r="FI97" i="3"/>
  <c r="FU176" i="3"/>
  <c r="FU97" i="3"/>
  <c r="K218" i="3"/>
  <c r="K179" i="3"/>
  <c r="K180" i="3" s="1"/>
  <c r="K99" i="3"/>
  <c r="W218" i="3"/>
  <c r="W179" i="3"/>
  <c r="W180" i="3" s="1"/>
  <c r="W99" i="3"/>
  <c r="AI218" i="3"/>
  <c r="AI99" i="3"/>
  <c r="AI179" i="3"/>
  <c r="AI180" i="3" s="1"/>
  <c r="AU218" i="3"/>
  <c r="AU179" i="3"/>
  <c r="AU180" i="3" s="1"/>
  <c r="AU99" i="3"/>
  <c r="BG218" i="3"/>
  <c r="BG179" i="3"/>
  <c r="BG180" i="3" s="1"/>
  <c r="BG99" i="3"/>
  <c r="BS218" i="3"/>
  <c r="BS179" i="3"/>
  <c r="BS180" i="3" s="1"/>
  <c r="BS99" i="3"/>
  <c r="CE218" i="3"/>
  <c r="CE179" i="3"/>
  <c r="CE180" i="3" s="1"/>
  <c r="CE99" i="3"/>
  <c r="CQ218" i="3"/>
  <c r="CQ179" i="3"/>
  <c r="CQ180" i="3" s="1"/>
  <c r="CQ99" i="3"/>
  <c r="DC218" i="3"/>
  <c r="DC179" i="3"/>
  <c r="DC180" i="3" s="1"/>
  <c r="DC99" i="3"/>
  <c r="DO218" i="3"/>
  <c r="DO179" i="3"/>
  <c r="DO180" i="3" s="1"/>
  <c r="DO99" i="3"/>
  <c r="EA218" i="3"/>
  <c r="EA179" i="3"/>
  <c r="EA180" i="3" s="1"/>
  <c r="EA99" i="3"/>
  <c r="EM218" i="3"/>
  <c r="EM179" i="3"/>
  <c r="EM180" i="3" s="1"/>
  <c r="EM99" i="3"/>
  <c r="EY218" i="3"/>
  <c r="EY179" i="3"/>
  <c r="EY180" i="3" s="1"/>
  <c r="EY99" i="3"/>
  <c r="FK218" i="3"/>
  <c r="FK179" i="3"/>
  <c r="FK180" i="3" s="1"/>
  <c r="FK99" i="3"/>
  <c r="FW218" i="3"/>
  <c r="FW99" i="3"/>
  <c r="FW179" i="3"/>
  <c r="FW180" i="3" s="1"/>
  <c r="AJ134" i="3"/>
  <c r="AJ135" i="3" s="1"/>
  <c r="AV134" i="3"/>
  <c r="AV135" i="3" s="1"/>
  <c r="DD134" i="3"/>
  <c r="DD135" i="3" s="1"/>
  <c r="DP134" i="3"/>
  <c r="DP135" i="3" s="1"/>
  <c r="FX134" i="3"/>
  <c r="FX135" i="3" s="1"/>
  <c r="FZ18" i="3"/>
  <c r="K105" i="3"/>
  <c r="W105" i="3"/>
  <c r="AI105" i="3"/>
  <c r="AU105" i="3"/>
  <c r="BG105" i="3"/>
  <c r="BS105" i="3"/>
  <c r="CE105" i="3"/>
  <c r="CQ105" i="3"/>
  <c r="DC105" i="3"/>
  <c r="DO105" i="3"/>
  <c r="EA105" i="3"/>
  <c r="EM105" i="3"/>
  <c r="EY105" i="3"/>
  <c r="FK105" i="3"/>
  <c r="FW105" i="3"/>
  <c r="FZ32" i="3"/>
  <c r="S97" i="3"/>
  <c r="BO97" i="3"/>
  <c r="DK97" i="3"/>
  <c r="FG97" i="3"/>
  <c r="AT99" i="3"/>
  <c r="CP99" i="3"/>
  <c r="EL99" i="3"/>
  <c r="DY172" i="3"/>
  <c r="DY101" i="3"/>
  <c r="EK172" i="3"/>
  <c r="EK101" i="3"/>
  <c r="EK217" i="3" s="1"/>
  <c r="EW172" i="3"/>
  <c r="EW101" i="3"/>
  <c r="EW217" i="3" s="1"/>
  <c r="FI172" i="3"/>
  <c r="FI101" i="3"/>
  <c r="FU172" i="3"/>
  <c r="FU101" i="3"/>
  <c r="FU217" i="3" s="1"/>
  <c r="J176" i="3"/>
  <c r="J97" i="3"/>
  <c r="V176" i="3"/>
  <c r="V97" i="3"/>
  <c r="AH176" i="3"/>
  <c r="AH97" i="3"/>
  <c r="AT176" i="3"/>
  <c r="AT97" i="3"/>
  <c r="BF176" i="3"/>
  <c r="BF97" i="3"/>
  <c r="BR176" i="3"/>
  <c r="BR97" i="3"/>
  <c r="CD176" i="3"/>
  <c r="CD97" i="3"/>
  <c r="CP176" i="3"/>
  <c r="CP97" i="3"/>
  <c r="CP217" i="3" s="1"/>
  <c r="DB176" i="3"/>
  <c r="DB97" i="3"/>
  <c r="DN176" i="3"/>
  <c r="DN97" i="3"/>
  <c r="DZ176" i="3"/>
  <c r="DZ97" i="3"/>
  <c r="EL176" i="3"/>
  <c r="EL97" i="3"/>
  <c r="EL217" i="3" s="1"/>
  <c r="EX176" i="3"/>
  <c r="EX97" i="3"/>
  <c r="FJ176" i="3"/>
  <c r="FJ97" i="3"/>
  <c r="FV176" i="3"/>
  <c r="FV97" i="3"/>
  <c r="L218" i="3"/>
  <c r="L179" i="3"/>
  <c r="L180" i="3" s="1"/>
  <c r="L99" i="3"/>
  <c r="X218" i="3"/>
  <c r="X179" i="3"/>
  <c r="X180" i="3" s="1"/>
  <c r="X99" i="3"/>
  <c r="AJ218" i="3"/>
  <c r="AJ179" i="3"/>
  <c r="AJ180" i="3" s="1"/>
  <c r="AJ99" i="3"/>
  <c r="AV218" i="3"/>
  <c r="AV179" i="3"/>
  <c r="AV180" i="3" s="1"/>
  <c r="AV99" i="3"/>
  <c r="BH218" i="3"/>
  <c r="BH179" i="3"/>
  <c r="BH180" i="3" s="1"/>
  <c r="BH99" i="3"/>
  <c r="BT218" i="3"/>
  <c r="BT179" i="3"/>
  <c r="BT180" i="3" s="1"/>
  <c r="BT99" i="3"/>
  <c r="CF218" i="3"/>
  <c r="CF179" i="3"/>
  <c r="CF180" i="3" s="1"/>
  <c r="CF99" i="3"/>
  <c r="CR218" i="3"/>
  <c r="CR179" i="3"/>
  <c r="CR180" i="3" s="1"/>
  <c r="CR99" i="3"/>
  <c r="DD218" i="3"/>
  <c r="DD179" i="3"/>
  <c r="DD180" i="3" s="1"/>
  <c r="DD99" i="3"/>
  <c r="DP218" i="3"/>
  <c r="DP179" i="3"/>
  <c r="DP180" i="3" s="1"/>
  <c r="DP99" i="3"/>
  <c r="EB218" i="3"/>
  <c r="EB179" i="3"/>
  <c r="EB180" i="3" s="1"/>
  <c r="EB99" i="3"/>
  <c r="EN218" i="3"/>
  <c r="EN179" i="3"/>
  <c r="EN180" i="3" s="1"/>
  <c r="EN99" i="3"/>
  <c r="EZ218" i="3"/>
  <c r="EZ179" i="3"/>
  <c r="EZ180" i="3" s="1"/>
  <c r="EZ99" i="3"/>
  <c r="FL218" i="3"/>
  <c r="FL179" i="3"/>
  <c r="FL180" i="3" s="1"/>
  <c r="FL99" i="3"/>
  <c r="FX218" i="3"/>
  <c r="FX179" i="3"/>
  <c r="FX180" i="3" s="1"/>
  <c r="FX99" i="3"/>
  <c r="BI134" i="3"/>
  <c r="BI135" i="3" s="1"/>
  <c r="EC134" i="3"/>
  <c r="EC135" i="3" s="1"/>
  <c r="FZ102" i="3"/>
  <c r="E99" i="3"/>
  <c r="BA99" i="3"/>
  <c r="CW99" i="3"/>
  <c r="ES99" i="3"/>
  <c r="AF101" i="3"/>
  <c r="AF217" i="3" s="1"/>
  <c r="CB101" i="3"/>
  <c r="CB217" i="3" s="1"/>
  <c r="DX101" i="3"/>
  <c r="FT101" i="3"/>
  <c r="K176" i="3"/>
  <c r="K97" i="3"/>
  <c r="W176" i="3"/>
  <c r="W97" i="3"/>
  <c r="AI176" i="3"/>
  <c r="AI97" i="3"/>
  <c r="AU176" i="3"/>
  <c r="AU97" i="3"/>
  <c r="BG176" i="3"/>
  <c r="BG97" i="3"/>
  <c r="BS176" i="3"/>
  <c r="BS97" i="3"/>
  <c r="CE176" i="3"/>
  <c r="CE97" i="3"/>
  <c r="CQ176" i="3"/>
  <c r="CQ97" i="3"/>
  <c r="DC176" i="3"/>
  <c r="DC97" i="3"/>
  <c r="DO176" i="3"/>
  <c r="DO97" i="3"/>
  <c r="EA176" i="3"/>
  <c r="EA97" i="3"/>
  <c r="EM176" i="3"/>
  <c r="EM97" i="3"/>
  <c r="EY176" i="3"/>
  <c r="EY97" i="3"/>
  <c r="FK176" i="3"/>
  <c r="FK97" i="3"/>
  <c r="FW176" i="3"/>
  <c r="FW97" i="3"/>
  <c r="M218" i="3"/>
  <c r="M179" i="3"/>
  <c r="M180" i="3" s="1"/>
  <c r="M99" i="3"/>
  <c r="Y218" i="3"/>
  <c r="Y179" i="3"/>
  <c r="Y180" i="3" s="1"/>
  <c r="Y99" i="3"/>
  <c r="AK218" i="3"/>
  <c r="AK179" i="3"/>
  <c r="AK180" i="3" s="1"/>
  <c r="AK99" i="3"/>
  <c r="AW218" i="3"/>
  <c r="AW179" i="3"/>
  <c r="AW180" i="3" s="1"/>
  <c r="AW99" i="3"/>
  <c r="BI218" i="3"/>
  <c r="BI179" i="3"/>
  <c r="BI180" i="3" s="1"/>
  <c r="BI99" i="3"/>
  <c r="BU218" i="3"/>
  <c r="BU179" i="3"/>
  <c r="BU180" i="3" s="1"/>
  <c r="BU99" i="3"/>
  <c r="CG218" i="3"/>
  <c r="CG179" i="3"/>
  <c r="CG180" i="3" s="1"/>
  <c r="CG99" i="3"/>
  <c r="CS218" i="3"/>
  <c r="CS179" i="3"/>
  <c r="CS180" i="3" s="1"/>
  <c r="CS99" i="3"/>
  <c r="DE218" i="3"/>
  <c r="DE179" i="3"/>
  <c r="DE180" i="3" s="1"/>
  <c r="DE99" i="3"/>
  <c r="DQ218" i="3"/>
  <c r="DQ179" i="3"/>
  <c r="DQ180" i="3" s="1"/>
  <c r="DQ99" i="3"/>
  <c r="EC218" i="3"/>
  <c r="EC179" i="3"/>
  <c r="EC180" i="3" s="1"/>
  <c r="EC99" i="3"/>
  <c r="EO218" i="3"/>
  <c r="EO179" i="3"/>
  <c r="EO180" i="3" s="1"/>
  <c r="EO99" i="3"/>
  <c r="FA218" i="3"/>
  <c r="FA179" i="3"/>
  <c r="FA180" i="3" s="1"/>
  <c r="FA99" i="3"/>
  <c r="FM218" i="3"/>
  <c r="FM179" i="3"/>
  <c r="FM180" i="3" s="1"/>
  <c r="FM99" i="3"/>
  <c r="M105" i="3"/>
  <c r="Y105" i="3"/>
  <c r="AK105" i="3"/>
  <c r="AW105" i="3"/>
  <c r="BI105" i="3"/>
  <c r="BU105" i="3"/>
  <c r="CG105" i="3"/>
  <c r="CS105" i="3"/>
  <c r="DE105" i="3"/>
  <c r="DQ105" i="3"/>
  <c r="EC105" i="3"/>
  <c r="EO105" i="3"/>
  <c r="FA105" i="3"/>
  <c r="FM105" i="3"/>
  <c r="FZ30" i="3"/>
  <c r="AH101" i="3"/>
  <c r="CD101" i="3"/>
  <c r="DZ101" i="3"/>
  <c r="DZ217" i="3" s="1"/>
  <c r="FV101" i="3"/>
  <c r="FV217" i="3" s="1"/>
  <c r="E192" i="3"/>
  <c r="Q192" i="3"/>
  <c r="AC192" i="3"/>
  <c r="AC144" i="3"/>
  <c r="AC142" i="3"/>
  <c r="AC146" i="3" s="1"/>
  <c r="AC148" i="3" s="1"/>
  <c r="AO192" i="3"/>
  <c r="BA192" i="3"/>
  <c r="BY192" i="3"/>
  <c r="CK144" i="3"/>
  <c r="CK192" i="3"/>
  <c r="CK142" i="3"/>
  <c r="CW192" i="3"/>
  <c r="DI192" i="3"/>
  <c r="DU192" i="3"/>
  <c r="EG192" i="3"/>
  <c r="ES192" i="3"/>
  <c r="FE192" i="3"/>
  <c r="FQ192" i="3"/>
  <c r="FQ144" i="3"/>
  <c r="FQ142" i="3"/>
  <c r="F192" i="3"/>
  <c r="R192" i="3"/>
  <c r="AD192" i="3"/>
  <c r="AD144" i="3"/>
  <c r="AD142" i="3"/>
  <c r="AP192" i="3"/>
  <c r="BB192" i="3"/>
  <c r="BN192" i="3"/>
  <c r="BZ192" i="3"/>
  <c r="CL192" i="3"/>
  <c r="CL144" i="3"/>
  <c r="CL142" i="3"/>
  <c r="CX192" i="3"/>
  <c r="DJ192" i="3"/>
  <c r="DV192" i="3"/>
  <c r="DV144" i="3"/>
  <c r="DV142" i="3"/>
  <c r="EH192" i="3"/>
  <c r="ET192" i="3"/>
  <c r="FF192" i="3"/>
  <c r="FR192" i="3"/>
  <c r="FR144" i="3"/>
  <c r="FR142" i="3"/>
  <c r="FR146" i="3" s="1"/>
  <c r="FR148" i="3" s="1"/>
  <c r="FZ120" i="3"/>
  <c r="AR142" i="3"/>
  <c r="FH142" i="3"/>
  <c r="BM192" i="3"/>
  <c r="FZ119" i="3"/>
  <c r="BF144" i="3"/>
  <c r="CD144" i="3"/>
  <c r="AU142" i="3"/>
  <c r="CE142" i="3"/>
  <c r="CE146" i="3" s="1"/>
  <c r="CE148" i="3" s="1"/>
  <c r="EA142" i="3"/>
  <c r="FZ139" i="3"/>
  <c r="CU144" i="3"/>
  <c r="M192" i="3"/>
  <c r="Y192" i="3"/>
  <c r="AK192" i="3"/>
  <c r="AW192" i="3"/>
  <c r="BI192" i="3"/>
  <c r="BU192" i="3"/>
  <c r="CG192" i="3"/>
  <c r="CS192" i="3"/>
  <c r="DE192" i="3"/>
  <c r="DQ192" i="3"/>
  <c r="EC192" i="3"/>
  <c r="EO192" i="3"/>
  <c r="FA192" i="3"/>
  <c r="FM192" i="3"/>
  <c r="BE142" i="3"/>
  <c r="BE146" i="3" s="1"/>
  <c r="BU142" i="3"/>
  <c r="BU146" i="3" s="1"/>
  <c r="BU148" i="3" s="1"/>
  <c r="DY142" i="3"/>
  <c r="DY146" i="3" s="1"/>
  <c r="DY148" i="3" s="1"/>
  <c r="CS144" i="3"/>
  <c r="N192" i="3"/>
  <c r="N144" i="3"/>
  <c r="Z192" i="3"/>
  <c r="Z144" i="3"/>
  <c r="AL192" i="3"/>
  <c r="AX192" i="3"/>
  <c r="BJ192" i="3"/>
  <c r="BJ144" i="3"/>
  <c r="BV192" i="3"/>
  <c r="BV144" i="3"/>
  <c r="CH192" i="3"/>
  <c r="CT192" i="3"/>
  <c r="DF192" i="3"/>
  <c r="DR192" i="3"/>
  <c r="ED192" i="3"/>
  <c r="ED144" i="3"/>
  <c r="EP192" i="3"/>
  <c r="EP144" i="3"/>
  <c r="FB192" i="3"/>
  <c r="FN192" i="3"/>
  <c r="BV142" i="3"/>
  <c r="EP142" i="3"/>
  <c r="EP146" i="3" s="1"/>
  <c r="EP148" i="3" s="1"/>
  <c r="FA144" i="3"/>
  <c r="C192" i="3"/>
  <c r="O192" i="3"/>
  <c r="AA192" i="3"/>
  <c r="AM192" i="3"/>
  <c r="AY192" i="3"/>
  <c r="BK192" i="3"/>
  <c r="BW192" i="3"/>
  <c r="CI192" i="3"/>
  <c r="CU192" i="3"/>
  <c r="DG192" i="3"/>
  <c r="DS192" i="3"/>
  <c r="EE192" i="3"/>
  <c r="EQ192" i="3"/>
  <c r="EQ142" i="3"/>
  <c r="FC192" i="3"/>
  <c r="FC142" i="3"/>
  <c r="FO192" i="3"/>
  <c r="BW142" i="3"/>
  <c r="FC144" i="3"/>
  <c r="D192" i="3"/>
  <c r="P192" i="3"/>
  <c r="AB192" i="3"/>
  <c r="AN192" i="3"/>
  <c r="AZ192" i="3"/>
  <c r="BL192" i="3"/>
  <c r="BX192" i="3"/>
  <c r="BX144" i="3"/>
  <c r="CJ192" i="3"/>
  <c r="CV192" i="3"/>
  <c r="CV144" i="3"/>
  <c r="DH192" i="3"/>
  <c r="DT192" i="3"/>
  <c r="EF192" i="3"/>
  <c r="ER192" i="3"/>
  <c r="ER144" i="3"/>
  <c r="ER146" i="3" s="1"/>
  <c r="ER148" i="3" s="1"/>
  <c r="FD192" i="3"/>
  <c r="FP192" i="3"/>
  <c r="G142" i="3"/>
  <c r="G146" i="3" s="1"/>
  <c r="G148" i="3" s="1"/>
  <c r="AG142" i="3"/>
  <c r="BJ142" i="3"/>
  <c r="BX142" i="3"/>
  <c r="BX146" i="3" s="1"/>
  <c r="BX148" i="3" s="1"/>
  <c r="ED142" i="3"/>
  <c r="ED146" i="3" s="1"/>
  <c r="ED148" i="3" s="1"/>
  <c r="AA144" i="3"/>
  <c r="AW144" i="3"/>
  <c r="AW146" i="3" s="1"/>
  <c r="AW148" i="3" s="1"/>
  <c r="BW144" i="3"/>
  <c r="EC144" i="3"/>
  <c r="G192" i="3"/>
  <c r="S192" i="3"/>
  <c r="AE192" i="3"/>
  <c r="AQ192" i="3"/>
  <c r="BC192" i="3"/>
  <c r="BO192" i="3"/>
  <c r="CA192" i="3"/>
  <c r="CM192" i="3"/>
  <c r="CY192" i="3"/>
  <c r="DK192" i="3"/>
  <c r="DW192" i="3"/>
  <c r="EI192" i="3"/>
  <c r="EU192" i="3"/>
  <c r="FG192" i="3"/>
  <c r="FS192" i="3"/>
  <c r="H148" i="3"/>
  <c r="BD148" i="3"/>
  <c r="CA142" i="3"/>
  <c r="CA146" i="3" s="1"/>
  <c r="CA148" i="3" s="1"/>
  <c r="DE142" i="3"/>
  <c r="DE146" i="3" s="1"/>
  <c r="FM142" i="3"/>
  <c r="DG144" i="3"/>
  <c r="FM144" i="3"/>
  <c r="H192" i="3"/>
  <c r="T192" i="3"/>
  <c r="AF192" i="3"/>
  <c r="AR192" i="3"/>
  <c r="AR144" i="3"/>
  <c r="BD192" i="3"/>
  <c r="BD144" i="3"/>
  <c r="BP192" i="3"/>
  <c r="CB192" i="3"/>
  <c r="CB144" i="3"/>
  <c r="CN192" i="3"/>
  <c r="CN144" i="3"/>
  <c r="CN146" i="3" s="1"/>
  <c r="CN148" i="3" s="1"/>
  <c r="CZ192" i="3"/>
  <c r="DL192" i="3"/>
  <c r="DX192" i="3"/>
  <c r="DX144" i="3"/>
  <c r="EJ192" i="3"/>
  <c r="EV192" i="3"/>
  <c r="FH192" i="3"/>
  <c r="FH144" i="3"/>
  <c r="FT192" i="3"/>
  <c r="BE148" i="3"/>
  <c r="CB142" i="3"/>
  <c r="CB146" i="3" s="1"/>
  <c r="CB148" i="3" s="1"/>
  <c r="CG144" i="3"/>
  <c r="DK144" i="3"/>
  <c r="I192" i="3"/>
  <c r="U192" i="3"/>
  <c r="AG192" i="3"/>
  <c r="AS192" i="3"/>
  <c r="BE192" i="3"/>
  <c r="BQ192" i="3"/>
  <c r="CC192" i="3"/>
  <c r="CO192" i="3"/>
  <c r="DA192" i="3"/>
  <c r="DM192" i="3"/>
  <c r="DY192" i="3"/>
  <c r="EK192" i="3"/>
  <c r="EW192" i="3"/>
  <c r="FI192" i="3"/>
  <c r="FU192" i="3"/>
  <c r="AT148" i="3"/>
  <c r="CD148" i="3"/>
  <c r="DB148" i="3"/>
  <c r="Z142" i="3"/>
  <c r="CS142" i="3"/>
  <c r="CS146" i="3" s="1"/>
  <c r="DG142" i="3"/>
  <c r="O144" i="3"/>
  <c r="FS144" i="3"/>
  <c r="J192" i="3"/>
  <c r="V192" i="3"/>
  <c r="AH192" i="3"/>
  <c r="AT192" i="3"/>
  <c r="AT142" i="3"/>
  <c r="AT146" i="3" s="1"/>
  <c r="BF192" i="3"/>
  <c r="BF142" i="3"/>
  <c r="BR192" i="3"/>
  <c r="CD192" i="3"/>
  <c r="CD142" i="3"/>
  <c r="CD146" i="3" s="1"/>
  <c r="CP192" i="3"/>
  <c r="DB192" i="3"/>
  <c r="DB142" i="3"/>
  <c r="DB146" i="3" s="1"/>
  <c r="DN192" i="3"/>
  <c r="DZ192" i="3"/>
  <c r="DZ142" i="3"/>
  <c r="DZ146" i="3" s="1"/>
  <c r="DZ148" i="3" s="1"/>
  <c r="EL192" i="3"/>
  <c r="EX192" i="3"/>
  <c r="FJ192" i="3"/>
  <c r="FJ142" i="3"/>
  <c r="FJ146" i="3" s="1"/>
  <c r="FJ148" i="3" s="1"/>
  <c r="FV192" i="3"/>
  <c r="N142" i="3"/>
  <c r="N146" i="3" s="1"/>
  <c r="N148" i="3" s="1"/>
  <c r="AA142" i="3"/>
  <c r="AA146" i="3" s="1"/>
  <c r="AA148" i="3" s="1"/>
  <c r="FA142" i="3"/>
  <c r="EQ144" i="3"/>
  <c r="K192" i="3"/>
  <c r="W192" i="3"/>
  <c r="AI192" i="3"/>
  <c r="AU192" i="3"/>
  <c r="AU144" i="3"/>
  <c r="BG192" i="3"/>
  <c r="BS192" i="3"/>
  <c r="CE192" i="3"/>
  <c r="CE144" i="3"/>
  <c r="CQ192" i="3"/>
  <c r="DC192" i="3"/>
  <c r="DC144" i="3"/>
  <c r="DC146" i="3" s="1"/>
  <c r="DC148" i="3" s="1"/>
  <c r="DO192" i="3"/>
  <c r="EA192" i="3"/>
  <c r="EA144" i="3"/>
  <c r="EM192" i="3"/>
  <c r="EY192" i="3"/>
  <c r="FK192" i="3"/>
  <c r="FW192" i="3"/>
  <c r="BH148" i="3"/>
  <c r="FX148" i="3"/>
  <c r="O142" i="3"/>
  <c r="O146" i="3" s="1"/>
  <c r="O148" i="3" s="1"/>
  <c r="AB142" i="3"/>
  <c r="AB146" i="3" s="1"/>
  <c r="AB148" i="3" s="1"/>
  <c r="CG142" i="3"/>
  <c r="CG146" i="3" s="1"/>
  <c r="CU142" i="3"/>
  <c r="CU146" i="3" s="1"/>
  <c r="CU148" i="3" s="1"/>
  <c r="EK142" i="3"/>
  <c r="FS142" i="3"/>
  <c r="CO144" i="3"/>
  <c r="DQ144" i="3"/>
  <c r="DQ146" i="3" s="1"/>
  <c r="DQ148" i="3" s="1"/>
  <c r="L192" i="3"/>
  <c r="X192" i="3"/>
  <c r="AJ192" i="3"/>
  <c r="AV192" i="3"/>
  <c r="BH192" i="3"/>
  <c r="BH142" i="3"/>
  <c r="BH146" i="3" s="1"/>
  <c r="BH144" i="3"/>
  <c r="BT192" i="3"/>
  <c r="BT142" i="3"/>
  <c r="BT146" i="3" s="1"/>
  <c r="BT148" i="3" s="1"/>
  <c r="BT144" i="3"/>
  <c r="CF192" i="3"/>
  <c r="CR192" i="3"/>
  <c r="CR142" i="3"/>
  <c r="CR146" i="3" s="1"/>
  <c r="CR148" i="3" s="1"/>
  <c r="CR144" i="3"/>
  <c r="DD192" i="3"/>
  <c r="DP192" i="3"/>
  <c r="DP142" i="3"/>
  <c r="DP146" i="3" s="1"/>
  <c r="DP148" i="3" s="1"/>
  <c r="DP144" i="3"/>
  <c r="EB192" i="3"/>
  <c r="EN192" i="3"/>
  <c r="EZ192" i="3"/>
  <c r="FL192" i="3"/>
  <c r="FL142" i="3"/>
  <c r="FL146" i="3" s="1"/>
  <c r="FL148" i="3" s="1"/>
  <c r="FL144" i="3"/>
  <c r="FX192" i="3"/>
  <c r="FX142" i="3"/>
  <c r="FX146" i="3" s="1"/>
  <c r="FX144" i="3"/>
  <c r="CG148" i="3"/>
  <c r="CS148" i="3"/>
  <c r="DE148" i="3"/>
  <c r="BD142" i="3"/>
  <c r="BD146" i="3" s="1"/>
  <c r="CV142" i="3"/>
  <c r="CV146" i="3" s="1"/>
  <c r="CV148" i="3" s="1"/>
  <c r="DX142" i="3"/>
  <c r="DX146" i="3" s="1"/>
  <c r="DX148" i="3" s="1"/>
  <c r="EW144" i="3"/>
  <c r="FZ213" i="3"/>
  <c r="ET90" i="5"/>
  <c r="ET96" i="5" s="1"/>
  <c r="FZ257" i="3"/>
  <c r="FZ224" i="3"/>
  <c r="GB224" i="3" s="1"/>
  <c r="DV334" i="3"/>
  <c r="ET334" i="3"/>
  <c r="FT9" i="5"/>
  <c r="FT11" i="5" s="1"/>
  <c r="D11" i="4"/>
  <c r="EE90" i="5"/>
  <c r="EE96" i="5" s="1"/>
  <c r="CH334" i="3"/>
  <c r="DR334" i="3"/>
  <c r="M90" i="5"/>
  <c r="M96" i="5" s="1"/>
  <c r="AK90" i="5"/>
  <c r="AK96" i="5" s="1"/>
  <c r="BU90" i="5"/>
  <c r="BU96" i="5" s="1"/>
  <c r="CG90" i="5"/>
  <c r="CG96" i="5" s="1"/>
  <c r="EC90" i="5"/>
  <c r="EC96" i="5" s="1"/>
  <c r="FM90" i="5"/>
  <c r="FM96" i="5" s="1"/>
  <c r="CI90" i="5"/>
  <c r="EO90" i="5"/>
  <c r="EO96" i="5" s="1"/>
  <c r="N334" i="3"/>
  <c r="Z334" i="3"/>
  <c r="AL334" i="3"/>
  <c r="AX334" i="3"/>
  <c r="BJ334" i="3"/>
  <c r="BV334" i="3"/>
  <c r="CT334" i="3"/>
  <c r="DF334" i="3"/>
  <c r="ED334" i="3"/>
  <c r="FB334" i="3"/>
  <c r="FN334" i="3"/>
  <c r="AM90" i="5"/>
  <c r="C334" i="3"/>
  <c r="D162" i="4"/>
  <c r="FA90" i="5"/>
  <c r="FA96" i="5" s="1"/>
  <c r="FZ322" i="3"/>
  <c r="D334" i="3"/>
  <c r="P334" i="3"/>
  <c r="AB334" i="3"/>
  <c r="AN334" i="3"/>
  <c r="AZ334" i="3"/>
  <c r="BL334" i="3"/>
  <c r="BX334" i="3"/>
  <c r="CJ334" i="3"/>
  <c r="DH334" i="3"/>
  <c r="DT334" i="3"/>
  <c r="ER334" i="3"/>
  <c r="FD334" i="3"/>
  <c r="FP334" i="3"/>
  <c r="EH334" i="3"/>
  <c r="DE90" i="5"/>
  <c r="DE96" i="5" s="1"/>
  <c r="D16" i="5"/>
  <c r="D85" i="5" s="1"/>
  <c r="D90" i="5" s="1"/>
  <c r="D96" i="5" s="1"/>
  <c r="P90" i="5"/>
  <c r="P96" i="5" s="1"/>
  <c r="AB90" i="5"/>
  <c r="AB96" i="5" s="1"/>
  <c r="AN90" i="5"/>
  <c r="AN96" i="5" s="1"/>
  <c r="AZ90" i="5"/>
  <c r="AZ96" i="5" s="1"/>
  <c r="BL90" i="5"/>
  <c r="BL96" i="5" s="1"/>
  <c r="BX90" i="5"/>
  <c r="BX96" i="5" s="1"/>
  <c r="CJ90" i="5"/>
  <c r="CJ96" i="5" s="1"/>
  <c r="CV90" i="5"/>
  <c r="CV96" i="5" s="1"/>
  <c r="DH90" i="5"/>
  <c r="DH96" i="5" s="1"/>
  <c r="DT90" i="5"/>
  <c r="DT96" i="5" s="1"/>
  <c r="EF90" i="5"/>
  <c r="EF96" i="5" s="1"/>
  <c r="ER90" i="5"/>
  <c r="ER96" i="5" s="1"/>
  <c r="BI90" i="5"/>
  <c r="BI96" i="5" s="1"/>
  <c r="L218" i="5"/>
  <c r="L179" i="5"/>
  <c r="L180" i="5" s="1"/>
  <c r="L99" i="5"/>
  <c r="X218" i="5"/>
  <c r="X179" i="5"/>
  <c r="X180" i="5" s="1"/>
  <c r="X99" i="5"/>
  <c r="AJ218" i="5"/>
  <c r="AJ179" i="5"/>
  <c r="AJ180" i="5" s="1"/>
  <c r="AJ99" i="5"/>
  <c r="AV218" i="5"/>
  <c r="AV179" i="5"/>
  <c r="AV180" i="5" s="1"/>
  <c r="AV99" i="5"/>
  <c r="BH218" i="5"/>
  <c r="BH179" i="5"/>
  <c r="BH180" i="5" s="1"/>
  <c r="BH99" i="5"/>
  <c r="BT218" i="5"/>
  <c r="BT179" i="5"/>
  <c r="BT180" i="5" s="1"/>
  <c r="BT99" i="5"/>
  <c r="CF218" i="5"/>
  <c r="CF179" i="5"/>
  <c r="CF180" i="5" s="1"/>
  <c r="CF99" i="5"/>
  <c r="CR218" i="5"/>
  <c r="CR179" i="5"/>
  <c r="CR180" i="5" s="1"/>
  <c r="CR99" i="5"/>
  <c r="DD218" i="5"/>
  <c r="DD179" i="5"/>
  <c r="DD180" i="5" s="1"/>
  <c r="DD99" i="5"/>
  <c r="DP218" i="5"/>
  <c r="DP179" i="5"/>
  <c r="DP180" i="5" s="1"/>
  <c r="DP99" i="5"/>
  <c r="EB218" i="5"/>
  <c r="EB179" i="5"/>
  <c r="EB180" i="5" s="1"/>
  <c r="EB99" i="5"/>
  <c r="EN218" i="5"/>
  <c r="EN179" i="5"/>
  <c r="EN180" i="5" s="1"/>
  <c r="EN99" i="5"/>
  <c r="EZ218" i="5"/>
  <c r="EZ179" i="5"/>
  <c r="EZ180" i="5" s="1"/>
  <c r="EZ99" i="5"/>
  <c r="FL218" i="5"/>
  <c r="FL179" i="5"/>
  <c r="FL180" i="5" s="1"/>
  <c r="FL99" i="5"/>
  <c r="F90" i="5"/>
  <c r="F96" i="5" s="1"/>
  <c r="R90" i="5"/>
  <c r="R96" i="5" s="1"/>
  <c r="AD90" i="5"/>
  <c r="AD96" i="5" s="1"/>
  <c r="BB90" i="5"/>
  <c r="BB96" i="5" s="1"/>
  <c r="BN90" i="5"/>
  <c r="BN96" i="5" s="1"/>
  <c r="CL90" i="5"/>
  <c r="CL96" i="5" s="1"/>
  <c r="CX90" i="5"/>
  <c r="CX96" i="5" s="1"/>
  <c r="DV90" i="5"/>
  <c r="DV96" i="5" s="1"/>
  <c r="EH90" i="5"/>
  <c r="EH96" i="5" s="1"/>
  <c r="FF90" i="5"/>
  <c r="FF96" i="5" s="1"/>
  <c r="BZ90" i="5"/>
  <c r="BZ96" i="5" s="1"/>
  <c r="C77" i="4"/>
  <c r="C114" i="4"/>
  <c r="D12" i="4"/>
  <c r="E90" i="5"/>
  <c r="E96" i="5" s="1"/>
  <c r="Q90" i="5"/>
  <c r="Q96" i="5" s="1"/>
  <c r="AO90" i="5"/>
  <c r="AO96" i="5" s="1"/>
  <c r="BM90" i="5"/>
  <c r="BM96" i="5" s="1"/>
  <c r="BY90" i="5"/>
  <c r="BY96" i="5" s="1"/>
  <c r="CK90" i="5"/>
  <c r="CK96" i="5" s="1"/>
  <c r="CW90" i="5"/>
  <c r="CW96" i="5" s="1"/>
  <c r="DI90" i="5"/>
  <c r="DI96" i="5" s="1"/>
  <c r="DU90" i="5"/>
  <c r="DU96" i="5" s="1"/>
  <c r="EG90" i="5"/>
  <c r="EG96" i="5" s="1"/>
  <c r="ES90" i="5"/>
  <c r="ES96" i="5" s="1"/>
  <c r="FE90" i="5"/>
  <c r="FE96" i="5" s="1"/>
  <c r="FQ90" i="5"/>
  <c r="FQ96" i="5" s="1"/>
  <c r="CN90" i="5"/>
  <c r="CN96" i="5" s="1"/>
  <c r="EJ90" i="5"/>
  <c r="EJ96" i="5" s="1"/>
  <c r="C64" i="4"/>
  <c r="D24" i="4"/>
  <c r="D64" i="4" s="1"/>
  <c r="FR90" i="5"/>
  <c r="FR96" i="5" s="1"/>
  <c r="S90" i="5"/>
  <c r="S96" i="5" s="1"/>
  <c r="AE90" i="5"/>
  <c r="AE96" i="5" s="1"/>
  <c r="BC90" i="5"/>
  <c r="BC96" i="5" s="1"/>
  <c r="BO90" i="5"/>
  <c r="BO96" i="5" s="1"/>
  <c r="CM90" i="5"/>
  <c r="CM96" i="5" s="1"/>
  <c r="CY90" i="5"/>
  <c r="CY96" i="5" s="1"/>
  <c r="DW90" i="5"/>
  <c r="DW96" i="5" s="1"/>
  <c r="EI90" i="5"/>
  <c r="EI96" i="5" s="1"/>
  <c r="FG90" i="5"/>
  <c r="FG96" i="5" s="1"/>
  <c r="FS90" i="5"/>
  <c r="FS96" i="5" s="1"/>
  <c r="FW90" i="5"/>
  <c r="FW96" i="5" s="1"/>
  <c r="AY90" i="5"/>
  <c r="CU90" i="5"/>
  <c r="CU96" i="5" s="1"/>
  <c r="EQ90" i="5"/>
  <c r="FV176" i="5"/>
  <c r="FV97" i="5"/>
  <c r="C93" i="4"/>
  <c r="C69" i="4"/>
  <c r="FU90" i="5"/>
  <c r="FU96" i="5" s="1"/>
  <c r="K90" i="5"/>
  <c r="K96" i="5" s="1"/>
  <c r="AI90" i="5"/>
  <c r="AI96" i="5" s="1"/>
  <c r="BG90" i="5"/>
  <c r="BG96" i="5" s="1"/>
  <c r="BS90" i="5"/>
  <c r="BS96" i="5" s="1"/>
  <c r="CE90" i="5"/>
  <c r="CE96" i="5" s="1"/>
  <c r="DC90" i="5"/>
  <c r="DC96" i="5" s="1"/>
  <c r="EA90" i="5"/>
  <c r="EA96" i="5" s="1"/>
  <c r="EM90" i="5"/>
  <c r="EM96" i="5" s="1"/>
  <c r="EY90" i="5"/>
  <c r="EY96" i="5" s="1"/>
  <c r="BD90" i="5"/>
  <c r="BD96" i="5" s="1"/>
  <c r="CZ90" i="5"/>
  <c r="CZ96" i="5" s="1"/>
  <c r="J176" i="5"/>
  <c r="J97" i="5"/>
  <c r="V176" i="5"/>
  <c r="V97" i="5"/>
  <c r="AH176" i="5"/>
  <c r="AH97" i="5"/>
  <c r="AT176" i="5"/>
  <c r="AT97" i="5"/>
  <c r="BF176" i="5"/>
  <c r="BF97" i="5"/>
  <c r="BR176" i="5"/>
  <c r="BR97" i="5"/>
  <c r="CD176" i="5"/>
  <c r="CD97" i="5"/>
  <c r="CP176" i="5"/>
  <c r="CP97" i="5"/>
  <c r="DB176" i="5"/>
  <c r="DB97" i="5"/>
  <c r="DN176" i="5"/>
  <c r="DN97" i="5"/>
  <c r="DZ176" i="5"/>
  <c r="DZ97" i="5"/>
  <c r="EL176" i="5"/>
  <c r="EL97" i="5"/>
  <c r="EX176" i="5"/>
  <c r="EX97" i="5"/>
  <c r="FJ176" i="5"/>
  <c r="FJ97" i="5"/>
  <c r="FT10" i="5"/>
  <c r="FT93" i="5" s="1"/>
  <c r="FZ93" i="5" s="1"/>
  <c r="D69" i="4"/>
  <c r="C106" i="4"/>
  <c r="C73" i="4"/>
  <c r="I90" i="5"/>
  <c r="I96" i="5" s="1"/>
  <c r="AG90" i="5"/>
  <c r="AG96" i="5" s="1"/>
  <c r="BE90" i="5"/>
  <c r="BE96" i="5" s="1"/>
  <c r="BQ90" i="5"/>
  <c r="BQ96" i="5" s="1"/>
  <c r="CC90" i="5"/>
  <c r="CC96" i="5" s="1"/>
  <c r="DA90" i="5"/>
  <c r="DA96" i="5" s="1"/>
  <c r="DY90" i="5"/>
  <c r="DY96" i="5" s="1"/>
  <c r="EK90" i="5"/>
  <c r="EK96" i="5" s="1"/>
  <c r="EW90" i="5"/>
  <c r="EW96" i="5" s="1"/>
  <c r="FV90" i="5"/>
  <c r="FV96" i="5" s="1"/>
  <c r="FU172" i="5"/>
  <c r="FU101" i="5"/>
  <c r="E218" i="5"/>
  <c r="E179" i="5"/>
  <c r="E180" i="5" s="1"/>
  <c r="E99" i="5"/>
  <c r="Q218" i="5"/>
  <c r="Q179" i="5"/>
  <c r="Q180" i="5" s="1"/>
  <c r="Q99" i="5"/>
  <c r="AC218" i="5"/>
  <c r="AC179" i="5"/>
  <c r="AC180" i="5" s="1"/>
  <c r="AC99" i="5"/>
  <c r="AO218" i="5"/>
  <c r="AO179" i="5"/>
  <c r="AO180" i="5" s="1"/>
  <c r="AO99" i="5"/>
  <c r="BA218" i="5"/>
  <c r="BA179" i="5"/>
  <c r="BA180" i="5" s="1"/>
  <c r="BA99" i="5"/>
  <c r="BM218" i="5"/>
  <c r="BM179" i="5"/>
  <c r="BM180" i="5" s="1"/>
  <c r="BM99" i="5"/>
  <c r="BY218" i="5"/>
  <c r="BY179" i="5"/>
  <c r="BY180" i="5" s="1"/>
  <c r="BY99" i="5"/>
  <c r="CK218" i="5"/>
  <c r="CK179" i="5"/>
  <c r="CK180" i="5" s="1"/>
  <c r="CK99" i="5"/>
  <c r="CW218" i="5"/>
  <c r="CW179" i="5"/>
  <c r="CW180" i="5" s="1"/>
  <c r="CW99" i="5"/>
  <c r="DI218" i="5"/>
  <c r="DI179" i="5"/>
  <c r="DI180" i="5" s="1"/>
  <c r="DI99" i="5"/>
  <c r="DU218" i="5"/>
  <c r="DU179" i="5"/>
  <c r="DU180" i="5" s="1"/>
  <c r="DU99" i="5"/>
  <c r="EG218" i="5"/>
  <c r="EG179" i="5"/>
  <c r="EG180" i="5" s="1"/>
  <c r="EG99" i="5"/>
  <c r="ES218" i="5"/>
  <c r="ES179" i="5"/>
  <c r="ES180" i="5" s="1"/>
  <c r="ES99" i="5"/>
  <c r="FE218" i="5"/>
  <c r="FE179" i="5"/>
  <c r="FE180" i="5" s="1"/>
  <c r="FE99" i="5"/>
  <c r="FQ218" i="5"/>
  <c r="FQ179" i="5"/>
  <c r="FQ180" i="5" s="1"/>
  <c r="FQ99" i="5"/>
  <c r="FZ22" i="5"/>
  <c r="C101" i="4"/>
  <c r="C71" i="4"/>
  <c r="D32" i="4"/>
  <c r="D71" i="4" s="1"/>
  <c r="J90" i="5"/>
  <c r="J96" i="5" s="1"/>
  <c r="V90" i="5"/>
  <c r="V96" i="5" s="1"/>
  <c r="AH90" i="5"/>
  <c r="AH96" i="5" s="1"/>
  <c r="AT90" i="5"/>
  <c r="AT96" i="5" s="1"/>
  <c r="BR90" i="5"/>
  <c r="BR96" i="5" s="1"/>
  <c r="CD90" i="5"/>
  <c r="CD96" i="5" s="1"/>
  <c r="CP90" i="5"/>
  <c r="CP96" i="5" s="1"/>
  <c r="DB90" i="5"/>
  <c r="DB96" i="5" s="1"/>
  <c r="DN90" i="5"/>
  <c r="DN96" i="5" s="1"/>
  <c r="EL90" i="5"/>
  <c r="EL96" i="5" s="1"/>
  <c r="EX90" i="5"/>
  <c r="EX96" i="5" s="1"/>
  <c r="FJ90" i="5"/>
  <c r="FJ96" i="5" s="1"/>
  <c r="O90" i="5"/>
  <c r="BK90" i="5"/>
  <c r="FC90" i="5"/>
  <c r="FC96" i="5" s="1"/>
  <c r="I172" i="5"/>
  <c r="I101" i="5"/>
  <c r="U172" i="5"/>
  <c r="U101" i="5"/>
  <c r="AG172" i="5"/>
  <c r="AG101" i="5"/>
  <c r="AS172" i="5"/>
  <c r="AS101" i="5"/>
  <c r="BE172" i="5"/>
  <c r="BE101" i="5"/>
  <c r="BQ172" i="5"/>
  <c r="BQ101" i="5"/>
  <c r="BQ217" i="5" s="1"/>
  <c r="CC172" i="5"/>
  <c r="CC101" i="5"/>
  <c r="CO172" i="5"/>
  <c r="CO101" i="5"/>
  <c r="DA172" i="5"/>
  <c r="DA101" i="5"/>
  <c r="DM172" i="5"/>
  <c r="DM101" i="5"/>
  <c r="DY172" i="5"/>
  <c r="DY101" i="5"/>
  <c r="EK172" i="5"/>
  <c r="EK101" i="5"/>
  <c r="EK217" i="5" s="1"/>
  <c r="EW172" i="5"/>
  <c r="EW101" i="5"/>
  <c r="FI172" i="5"/>
  <c r="FI101" i="5"/>
  <c r="ES334" i="3"/>
  <c r="FE334" i="3"/>
  <c r="FQ334" i="3"/>
  <c r="D13" i="4"/>
  <c r="C65" i="4"/>
  <c r="C133" i="4"/>
  <c r="D131" i="4"/>
  <c r="C152" i="4"/>
  <c r="FX90" i="5"/>
  <c r="FX96" i="5" s="1"/>
  <c r="T90" i="5"/>
  <c r="T96" i="5" s="1"/>
  <c r="BP90" i="5"/>
  <c r="BP96" i="5" s="1"/>
  <c r="FH90" i="5"/>
  <c r="FH96" i="5" s="1"/>
  <c r="FZ14" i="5"/>
  <c r="F6" i="4"/>
  <c r="C132" i="4"/>
  <c r="L16" i="5"/>
  <c r="L85" i="5" s="1"/>
  <c r="X16" i="5"/>
  <c r="X85" i="5" s="1"/>
  <c r="X90" i="5" s="1"/>
  <c r="X96" i="5" s="1"/>
  <c r="AJ16" i="5"/>
  <c r="AJ85" i="5" s="1"/>
  <c r="AJ90" i="5" s="1"/>
  <c r="AJ96" i="5" s="1"/>
  <c r="AV16" i="5"/>
  <c r="AV85" i="5" s="1"/>
  <c r="AV90" i="5" s="1"/>
  <c r="AV96" i="5" s="1"/>
  <c r="BH16" i="5"/>
  <c r="BH85" i="5" s="1"/>
  <c r="BT16" i="5"/>
  <c r="BT85" i="5" s="1"/>
  <c r="BT90" i="5" s="1"/>
  <c r="BT96" i="5" s="1"/>
  <c r="CF16" i="5"/>
  <c r="CF85" i="5" s="1"/>
  <c r="CF90" i="5" s="1"/>
  <c r="CF96" i="5" s="1"/>
  <c r="CR16" i="5"/>
  <c r="CR85" i="5" s="1"/>
  <c r="CR90" i="5" s="1"/>
  <c r="CR96" i="5" s="1"/>
  <c r="DD16" i="5"/>
  <c r="DD85" i="5" s="1"/>
  <c r="DD90" i="5" s="1"/>
  <c r="DD96" i="5" s="1"/>
  <c r="DP16" i="5"/>
  <c r="DP85" i="5" s="1"/>
  <c r="DP90" i="5" s="1"/>
  <c r="DP96" i="5" s="1"/>
  <c r="EB16" i="5"/>
  <c r="EB85" i="5" s="1"/>
  <c r="EN16" i="5"/>
  <c r="EN85" i="5" s="1"/>
  <c r="EN90" i="5" s="1"/>
  <c r="EN96" i="5" s="1"/>
  <c r="EZ16" i="5"/>
  <c r="EZ85" i="5" s="1"/>
  <c r="FL16" i="5"/>
  <c r="FL85" i="5" s="1"/>
  <c r="FL90" i="5" s="1"/>
  <c r="FL96" i="5" s="1"/>
  <c r="D29" i="4"/>
  <c r="D119" i="4" s="1"/>
  <c r="C119" i="4"/>
  <c r="C59" i="4"/>
  <c r="D53" i="4"/>
  <c r="C72" i="4"/>
  <c r="FN67" i="5"/>
  <c r="FN206" i="5" s="1"/>
  <c r="FB67" i="5"/>
  <c r="FB206" i="5" s="1"/>
  <c r="EP67" i="5"/>
  <c r="EP206" i="5" s="1"/>
  <c r="ED67" i="5"/>
  <c r="ED206" i="5" s="1"/>
  <c r="DR67" i="5"/>
  <c r="DR206" i="5" s="1"/>
  <c r="DF67" i="5"/>
  <c r="DF206" i="5" s="1"/>
  <c r="CT67" i="5"/>
  <c r="CT206" i="5" s="1"/>
  <c r="CH67" i="5"/>
  <c r="CH206" i="5" s="1"/>
  <c r="BV67" i="5"/>
  <c r="BV206" i="5" s="1"/>
  <c r="BJ67" i="5"/>
  <c r="BJ206" i="5" s="1"/>
  <c r="AX67" i="5"/>
  <c r="AX206" i="5" s="1"/>
  <c r="AL67" i="5"/>
  <c r="AL206" i="5" s="1"/>
  <c r="Z67" i="5"/>
  <c r="Z206" i="5" s="1"/>
  <c r="N67" i="5"/>
  <c r="N206" i="5" s="1"/>
  <c r="FM67" i="5"/>
  <c r="FM206" i="5" s="1"/>
  <c r="FA67" i="5"/>
  <c r="FA206" i="5" s="1"/>
  <c r="EO67" i="5"/>
  <c r="EO206" i="5" s="1"/>
  <c r="EC67" i="5"/>
  <c r="EC206" i="5" s="1"/>
  <c r="DQ67" i="5"/>
  <c r="DQ206" i="5" s="1"/>
  <c r="DE67" i="5"/>
  <c r="DE206" i="5" s="1"/>
  <c r="CS67" i="5"/>
  <c r="CS206" i="5" s="1"/>
  <c r="CG67" i="5"/>
  <c r="CG206" i="5" s="1"/>
  <c r="BU67" i="5"/>
  <c r="BU206" i="5" s="1"/>
  <c r="BI67" i="5"/>
  <c r="BI206" i="5" s="1"/>
  <c r="AW67" i="5"/>
  <c r="AW206" i="5" s="1"/>
  <c r="AK67" i="5"/>
  <c r="AK206" i="5" s="1"/>
  <c r="Y67" i="5"/>
  <c r="Y206" i="5" s="1"/>
  <c r="M67" i="5"/>
  <c r="M206" i="5" s="1"/>
  <c r="FX67" i="5"/>
  <c r="FX206" i="5" s="1"/>
  <c r="FL67" i="5"/>
  <c r="FL206" i="5" s="1"/>
  <c r="EZ67" i="5"/>
  <c r="EZ206" i="5" s="1"/>
  <c r="EN67" i="5"/>
  <c r="EN206" i="5" s="1"/>
  <c r="EB67" i="5"/>
  <c r="EB206" i="5" s="1"/>
  <c r="DP67" i="5"/>
  <c r="DP206" i="5" s="1"/>
  <c r="DD67" i="5"/>
  <c r="DD206" i="5" s="1"/>
  <c r="CR67" i="5"/>
  <c r="CR206" i="5" s="1"/>
  <c r="CF67" i="5"/>
  <c r="CF206" i="5" s="1"/>
  <c r="BT67" i="5"/>
  <c r="BT206" i="5" s="1"/>
  <c r="BH67" i="5"/>
  <c r="BH206" i="5" s="1"/>
  <c r="AV67" i="5"/>
  <c r="AV206" i="5" s="1"/>
  <c r="AJ67" i="5"/>
  <c r="AJ206" i="5" s="1"/>
  <c r="X67" i="5"/>
  <c r="X206" i="5" s="1"/>
  <c r="L67" i="5"/>
  <c r="L206" i="5" s="1"/>
  <c r="FW67" i="5"/>
  <c r="FW206" i="5" s="1"/>
  <c r="FK67" i="5"/>
  <c r="FK206" i="5" s="1"/>
  <c r="EY67" i="5"/>
  <c r="EY206" i="5" s="1"/>
  <c r="EM67" i="5"/>
  <c r="EM206" i="5" s="1"/>
  <c r="EA67" i="5"/>
  <c r="EA206" i="5" s="1"/>
  <c r="DO67" i="5"/>
  <c r="DO206" i="5" s="1"/>
  <c r="DC67" i="5"/>
  <c r="DC206" i="5" s="1"/>
  <c r="CQ67" i="5"/>
  <c r="CQ206" i="5" s="1"/>
  <c r="CE67" i="5"/>
  <c r="CE206" i="5" s="1"/>
  <c r="BS67" i="5"/>
  <c r="BS206" i="5" s="1"/>
  <c r="BG67" i="5"/>
  <c r="BG206" i="5" s="1"/>
  <c r="AU67" i="5"/>
  <c r="AU206" i="5" s="1"/>
  <c r="AI67" i="5"/>
  <c r="AI206" i="5" s="1"/>
  <c r="W67" i="5"/>
  <c r="W206" i="5" s="1"/>
  <c r="K67" i="5"/>
  <c r="K206" i="5" s="1"/>
  <c r="FV67" i="5"/>
  <c r="FV206" i="5" s="1"/>
  <c r="FJ67" i="5"/>
  <c r="FJ206" i="5" s="1"/>
  <c r="EX67" i="5"/>
  <c r="EX206" i="5" s="1"/>
  <c r="EL67" i="5"/>
  <c r="EL206" i="5" s="1"/>
  <c r="DZ67" i="5"/>
  <c r="DZ206" i="5" s="1"/>
  <c r="DN67" i="5"/>
  <c r="DN206" i="5" s="1"/>
  <c r="DB67" i="5"/>
  <c r="DB206" i="5" s="1"/>
  <c r="CP67" i="5"/>
  <c r="CP206" i="5" s="1"/>
  <c r="CD67" i="5"/>
  <c r="CD206" i="5" s="1"/>
  <c r="BR67" i="5"/>
  <c r="BR206" i="5" s="1"/>
  <c r="BF67" i="5"/>
  <c r="BF206" i="5" s="1"/>
  <c r="AT67" i="5"/>
  <c r="AT206" i="5" s="1"/>
  <c r="AH67" i="5"/>
  <c r="AH206" i="5" s="1"/>
  <c r="V67" i="5"/>
  <c r="V206" i="5" s="1"/>
  <c r="J67" i="5"/>
  <c r="J206" i="5" s="1"/>
  <c r="FU67" i="5"/>
  <c r="FU206" i="5" s="1"/>
  <c r="FI67" i="5"/>
  <c r="FI206" i="5" s="1"/>
  <c r="EW67" i="5"/>
  <c r="EW206" i="5" s="1"/>
  <c r="EK67" i="5"/>
  <c r="EK206" i="5" s="1"/>
  <c r="DY67" i="5"/>
  <c r="DY206" i="5" s="1"/>
  <c r="DM67" i="5"/>
  <c r="DM206" i="5" s="1"/>
  <c r="DA67" i="5"/>
  <c r="DA206" i="5" s="1"/>
  <c r="CO67" i="5"/>
  <c r="CO206" i="5" s="1"/>
  <c r="CC67" i="5"/>
  <c r="CC206" i="5" s="1"/>
  <c r="BQ67" i="5"/>
  <c r="BQ206" i="5" s="1"/>
  <c r="BE67" i="5"/>
  <c r="BE206" i="5" s="1"/>
  <c r="AS67" i="5"/>
  <c r="AS206" i="5" s="1"/>
  <c r="AG67" i="5"/>
  <c r="AG206" i="5" s="1"/>
  <c r="U67" i="5"/>
  <c r="U206" i="5" s="1"/>
  <c r="I67" i="5"/>
  <c r="I206" i="5" s="1"/>
  <c r="B5" i="5"/>
  <c r="C41" i="5" s="1"/>
  <c r="FT67" i="5"/>
  <c r="FT206" i="5" s="1"/>
  <c r="FH67" i="5"/>
  <c r="FH206" i="5" s="1"/>
  <c r="EV67" i="5"/>
  <c r="EV206" i="5" s="1"/>
  <c r="EJ67" i="5"/>
  <c r="EJ206" i="5" s="1"/>
  <c r="DX67" i="5"/>
  <c r="DX206" i="5" s="1"/>
  <c r="DL67" i="5"/>
  <c r="DL206" i="5" s="1"/>
  <c r="CZ67" i="5"/>
  <c r="CZ206" i="5" s="1"/>
  <c r="CN67" i="5"/>
  <c r="CN206" i="5" s="1"/>
  <c r="CB67" i="5"/>
  <c r="CB206" i="5" s="1"/>
  <c r="BP67" i="5"/>
  <c r="BP206" i="5" s="1"/>
  <c r="BD67" i="5"/>
  <c r="BD206" i="5" s="1"/>
  <c r="AR67" i="5"/>
  <c r="AR206" i="5" s="1"/>
  <c r="AF67" i="5"/>
  <c r="AF206" i="5" s="1"/>
  <c r="T67" i="5"/>
  <c r="T206" i="5" s="1"/>
  <c r="H67" i="5"/>
  <c r="H206" i="5" s="1"/>
  <c r="B4" i="5"/>
  <c r="C39" i="5" s="1"/>
  <c r="FS67" i="5"/>
  <c r="FS206" i="5" s="1"/>
  <c r="FG67" i="5"/>
  <c r="FG206" i="5" s="1"/>
  <c r="EU67" i="5"/>
  <c r="EU206" i="5" s="1"/>
  <c r="EI67" i="5"/>
  <c r="EI206" i="5" s="1"/>
  <c r="DW67" i="5"/>
  <c r="DW206" i="5" s="1"/>
  <c r="DK67" i="5"/>
  <c r="DK206" i="5" s="1"/>
  <c r="CY67" i="5"/>
  <c r="CY206" i="5" s="1"/>
  <c r="CM67" i="5"/>
  <c r="CM206" i="5" s="1"/>
  <c r="CA67" i="5"/>
  <c r="CA206" i="5" s="1"/>
  <c r="BO67" i="5"/>
  <c r="BO206" i="5" s="1"/>
  <c r="BC67" i="5"/>
  <c r="BC206" i="5" s="1"/>
  <c r="AQ67" i="5"/>
  <c r="AQ206" i="5" s="1"/>
  <c r="AE67" i="5"/>
  <c r="AE206" i="5" s="1"/>
  <c r="S67" i="5"/>
  <c r="S206" i="5" s="1"/>
  <c r="G67" i="5"/>
  <c r="G206" i="5" s="1"/>
  <c r="FR67" i="5"/>
  <c r="FR206" i="5" s="1"/>
  <c r="FF67" i="5"/>
  <c r="FF206" i="5" s="1"/>
  <c r="ET67" i="5"/>
  <c r="ET206" i="5" s="1"/>
  <c r="EH67" i="5"/>
  <c r="EH206" i="5" s="1"/>
  <c r="DV67" i="5"/>
  <c r="DV206" i="5" s="1"/>
  <c r="DJ67" i="5"/>
  <c r="DJ206" i="5" s="1"/>
  <c r="CX67" i="5"/>
  <c r="CX206" i="5" s="1"/>
  <c r="CL67" i="5"/>
  <c r="CL206" i="5" s="1"/>
  <c r="BZ67" i="5"/>
  <c r="BZ206" i="5" s="1"/>
  <c r="BN67" i="5"/>
  <c r="BN206" i="5" s="1"/>
  <c r="BB67" i="5"/>
  <c r="BB206" i="5" s="1"/>
  <c r="AP67" i="5"/>
  <c r="AP206" i="5" s="1"/>
  <c r="AD67" i="5"/>
  <c r="AD206" i="5" s="1"/>
  <c r="R67" i="5"/>
  <c r="R206" i="5" s="1"/>
  <c r="F67" i="5"/>
  <c r="F206" i="5" s="1"/>
  <c r="D1" i="5"/>
  <c r="FQ67" i="5"/>
  <c r="FQ206" i="5" s="1"/>
  <c r="FE67" i="5"/>
  <c r="FE206" i="5" s="1"/>
  <c r="ES67" i="5"/>
  <c r="ES206" i="5" s="1"/>
  <c r="EG67" i="5"/>
  <c r="EG206" i="5" s="1"/>
  <c r="DU67" i="5"/>
  <c r="DU206" i="5" s="1"/>
  <c r="DI67" i="5"/>
  <c r="DI206" i="5" s="1"/>
  <c r="CW67" i="5"/>
  <c r="CW206" i="5" s="1"/>
  <c r="CK67" i="5"/>
  <c r="CK206" i="5" s="1"/>
  <c r="BY67" i="5"/>
  <c r="BY206" i="5" s="1"/>
  <c r="BM67" i="5"/>
  <c r="BM206" i="5" s="1"/>
  <c r="BA67" i="5"/>
  <c r="BA206" i="5" s="1"/>
  <c r="AO67" i="5"/>
  <c r="AO206" i="5" s="1"/>
  <c r="AC67" i="5"/>
  <c r="AC206" i="5" s="1"/>
  <c r="Q67" i="5"/>
  <c r="Q206" i="5" s="1"/>
  <c r="E67" i="5"/>
  <c r="E206" i="5" s="1"/>
  <c r="FP67" i="5"/>
  <c r="FP206" i="5" s="1"/>
  <c r="FD67" i="5"/>
  <c r="FD206" i="5" s="1"/>
  <c r="ER67" i="5"/>
  <c r="ER206" i="5" s="1"/>
  <c r="EF67" i="5"/>
  <c r="EF206" i="5" s="1"/>
  <c r="DT67" i="5"/>
  <c r="DT206" i="5" s="1"/>
  <c r="DH67" i="5"/>
  <c r="DH206" i="5" s="1"/>
  <c r="CV67" i="5"/>
  <c r="CV206" i="5" s="1"/>
  <c r="CJ67" i="5"/>
  <c r="CJ206" i="5" s="1"/>
  <c r="BX67" i="5"/>
  <c r="BX206" i="5" s="1"/>
  <c r="BL67" i="5"/>
  <c r="BL206" i="5" s="1"/>
  <c r="AZ67" i="5"/>
  <c r="AZ206" i="5" s="1"/>
  <c r="AN67" i="5"/>
  <c r="AN206" i="5" s="1"/>
  <c r="AB67" i="5"/>
  <c r="AB206" i="5" s="1"/>
  <c r="P67" i="5"/>
  <c r="P206" i="5" s="1"/>
  <c r="D67" i="5"/>
  <c r="D206" i="5" s="1"/>
  <c r="FO67" i="5"/>
  <c r="FO206" i="5" s="1"/>
  <c r="FC67" i="5"/>
  <c r="FC206" i="5" s="1"/>
  <c r="EQ67" i="5"/>
  <c r="EQ206" i="5" s="1"/>
  <c r="EE67" i="5"/>
  <c r="EE206" i="5" s="1"/>
  <c r="DS67" i="5"/>
  <c r="DS206" i="5" s="1"/>
  <c r="DG67" i="5"/>
  <c r="DG206" i="5" s="1"/>
  <c r="CU67" i="5"/>
  <c r="CU206" i="5" s="1"/>
  <c r="CI67" i="5"/>
  <c r="CI206" i="5" s="1"/>
  <c r="BW67" i="5"/>
  <c r="BW206" i="5" s="1"/>
  <c r="BK67" i="5"/>
  <c r="BK206" i="5" s="1"/>
  <c r="AY67" i="5"/>
  <c r="AY206" i="5" s="1"/>
  <c r="AM67" i="5"/>
  <c r="AM206" i="5" s="1"/>
  <c r="AA67" i="5"/>
  <c r="AA206" i="5" s="1"/>
  <c r="O67" i="5"/>
  <c r="O206" i="5" s="1"/>
  <c r="C67" i="5"/>
  <c r="C206" i="5" s="1"/>
  <c r="AA90" i="5"/>
  <c r="BW90" i="5"/>
  <c r="DS90" i="5"/>
  <c r="FO90" i="5"/>
  <c r="C176" i="5"/>
  <c r="C97" i="5"/>
  <c r="O176" i="5"/>
  <c r="O97" i="5"/>
  <c r="AA176" i="5"/>
  <c r="AA97" i="5"/>
  <c r="AM176" i="5"/>
  <c r="AM97" i="5"/>
  <c r="AY176" i="5"/>
  <c r="AY97" i="5"/>
  <c r="BK176" i="5"/>
  <c r="BK97" i="5"/>
  <c r="BW176" i="5"/>
  <c r="BW97" i="5"/>
  <c r="CI176" i="5"/>
  <c r="CI97" i="5"/>
  <c r="CU176" i="5"/>
  <c r="CU97" i="5"/>
  <c r="DG176" i="5"/>
  <c r="DG97" i="5"/>
  <c r="DS176" i="5"/>
  <c r="DS97" i="5"/>
  <c r="EE176" i="5"/>
  <c r="EE97" i="5"/>
  <c r="EQ176" i="5"/>
  <c r="EQ97" i="5"/>
  <c r="FC176" i="5"/>
  <c r="FC97" i="5"/>
  <c r="FO176" i="5"/>
  <c r="FO97" i="5"/>
  <c r="D30" i="4"/>
  <c r="D70" i="4" s="1"/>
  <c r="C70" i="4"/>
  <c r="N90" i="5"/>
  <c r="N96" i="5" s="1"/>
  <c r="Z90" i="5"/>
  <c r="Z96" i="5" s="1"/>
  <c r="AL90" i="5"/>
  <c r="AL96" i="5" s="1"/>
  <c r="AX90" i="5"/>
  <c r="AX96" i="5" s="1"/>
  <c r="BJ90" i="5"/>
  <c r="BJ96" i="5" s="1"/>
  <c r="BV90" i="5"/>
  <c r="BV96" i="5" s="1"/>
  <c r="CH90" i="5"/>
  <c r="CH96" i="5" s="1"/>
  <c r="CT90" i="5"/>
  <c r="CT96" i="5" s="1"/>
  <c r="DF90" i="5"/>
  <c r="DF96" i="5" s="1"/>
  <c r="DR90" i="5"/>
  <c r="DR96" i="5" s="1"/>
  <c r="ED90" i="5"/>
  <c r="ED96" i="5" s="1"/>
  <c r="EP90" i="5"/>
  <c r="EP96" i="5" s="1"/>
  <c r="FB90" i="5"/>
  <c r="FB96" i="5" s="1"/>
  <c r="FN90" i="5"/>
  <c r="FN96" i="5" s="1"/>
  <c r="AF90" i="5"/>
  <c r="AF96" i="5" s="1"/>
  <c r="DX90" i="5"/>
  <c r="DX96" i="5" s="1"/>
  <c r="C90" i="4"/>
  <c r="C91" i="4" s="1"/>
  <c r="C92" i="4" s="1"/>
  <c r="C94" i="4" s="1"/>
  <c r="N172" i="5"/>
  <c r="N101" i="5"/>
  <c r="Z172" i="5"/>
  <c r="Z101" i="5"/>
  <c r="AL172" i="5"/>
  <c r="AL101" i="5"/>
  <c r="AL217" i="5" s="1"/>
  <c r="AX172" i="5"/>
  <c r="AX101" i="5"/>
  <c r="BJ172" i="5"/>
  <c r="BJ101" i="5"/>
  <c r="BV172" i="5"/>
  <c r="BV101" i="5"/>
  <c r="BV217" i="5" s="1"/>
  <c r="CH172" i="5"/>
  <c r="CH101" i="5"/>
  <c r="CT172" i="5"/>
  <c r="CT101" i="5"/>
  <c r="DF172" i="5"/>
  <c r="DF101" i="5"/>
  <c r="DF217" i="5" s="1"/>
  <c r="DR172" i="5"/>
  <c r="DR101" i="5"/>
  <c r="ED172" i="5"/>
  <c r="ED101" i="5"/>
  <c r="EP172" i="5"/>
  <c r="EP101" i="5"/>
  <c r="EP217" i="5" s="1"/>
  <c r="FB172" i="5"/>
  <c r="FB101" i="5"/>
  <c r="FN172" i="5"/>
  <c r="FN101" i="5"/>
  <c r="FX218" i="5"/>
  <c r="FX179" i="5"/>
  <c r="FX180" i="5" s="1"/>
  <c r="FX99" i="5"/>
  <c r="FZ23" i="5"/>
  <c r="FZ54" i="5" s="1"/>
  <c r="C147" i="4"/>
  <c r="L172" i="5"/>
  <c r="L101" i="5"/>
  <c r="L217" i="5" s="1"/>
  <c r="X172" i="5"/>
  <c r="X101" i="5"/>
  <c r="AJ172" i="5"/>
  <c r="AJ101" i="5"/>
  <c r="AV172" i="5"/>
  <c r="AV101" i="5"/>
  <c r="BH172" i="5"/>
  <c r="BH101" i="5"/>
  <c r="BT172" i="5"/>
  <c r="BT101" i="5"/>
  <c r="CF172" i="5"/>
  <c r="CF101" i="5"/>
  <c r="CF217" i="5" s="1"/>
  <c r="CR172" i="5"/>
  <c r="CR101" i="5"/>
  <c r="DD172" i="5"/>
  <c r="DD101" i="5"/>
  <c r="DP172" i="5"/>
  <c r="DP101" i="5"/>
  <c r="EB172" i="5"/>
  <c r="EB101" i="5"/>
  <c r="EN172" i="5"/>
  <c r="EN101" i="5"/>
  <c r="EZ172" i="5"/>
  <c r="EZ101" i="5"/>
  <c r="EZ217" i="5" s="1"/>
  <c r="FL172" i="5"/>
  <c r="FL101" i="5"/>
  <c r="FX172" i="5"/>
  <c r="FX101" i="5"/>
  <c r="M176" i="5"/>
  <c r="M97" i="5"/>
  <c r="Y176" i="5"/>
  <c r="Y97" i="5"/>
  <c r="AK176" i="5"/>
  <c r="AK97" i="5"/>
  <c r="AW176" i="5"/>
  <c r="AW97" i="5"/>
  <c r="BI176" i="5"/>
  <c r="BI97" i="5"/>
  <c r="BU176" i="5"/>
  <c r="BU97" i="5"/>
  <c r="CG176" i="5"/>
  <c r="CG97" i="5"/>
  <c r="CS176" i="5"/>
  <c r="CS97" i="5"/>
  <c r="DE176" i="5"/>
  <c r="DE97" i="5"/>
  <c r="DQ176" i="5"/>
  <c r="DQ97" i="5"/>
  <c r="EC176" i="5"/>
  <c r="EC97" i="5"/>
  <c r="EO176" i="5"/>
  <c r="EO97" i="5"/>
  <c r="FA176" i="5"/>
  <c r="FA97" i="5"/>
  <c r="FM176" i="5"/>
  <c r="FM97" i="5"/>
  <c r="C218" i="5"/>
  <c r="C179" i="5"/>
  <c r="C99" i="5"/>
  <c r="O218" i="5"/>
  <c r="O179" i="5"/>
  <c r="O180" i="5" s="1"/>
  <c r="O99" i="5"/>
  <c r="AA218" i="5"/>
  <c r="AA179" i="5"/>
  <c r="AA180" i="5" s="1"/>
  <c r="AA99" i="5"/>
  <c r="AM218" i="5"/>
  <c r="AM179" i="5"/>
  <c r="AM180" i="5" s="1"/>
  <c r="AM99" i="5"/>
  <c r="AY218" i="5"/>
  <c r="AY179" i="5"/>
  <c r="AY180" i="5" s="1"/>
  <c r="AY99" i="5"/>
  <c r="BK218" i="5"/>
  <c r="BK179" i="5"/>
  <c r="BK180" i="5" s="1"/>
  <c r="BK99" i="5"/>
  <c r="BW218" i="5"/>
  <c r="BW179" i="5"/>
  <c r="BW180" i="5" s="1"/>
  <c r="BW99" i="5"/>
  <c r="CI218" i="5"/>
  <c r="CI179" i="5"/>
  <c r="CI180" i="5" s="1"/>
  <c r="CI99" i="5"/>
  <c r="CU218" i="5"/>
  <c r="CU179" i="5"/>
  <c r="CU180" i="5" s="1"/>
  <c r="CU99" i="5"/>
  <c r="DG218" i="5"/>
  <c r="DG179" i="5"/>
  <c r="DG180" i="5" s="1"/>
  <c r="DG99" i="5"/>
  <c r="DS218" i="5"/>
  <c r="DS179" i="5"/>
  <c r="DS180" i="5" s="1"/>
  <c r="DS99" i="5"/>
  <c r="EE218" i="5"/>
  <c r="EE179" i="5"/>
  <c r="EE180" i="5" s="1"/>
  <c r="EE99" i="5"/>
  <c r="EQ218" i="5"/>
  <c r="EQ179" i="5"/>
  <c r="EQ180" i="5" s="1"/>
  <c r="EQ99" i="5"/>
  <c r="FC218" i="5"/>
  <c r="FC179" i="5"/>
  <c r="FC180" i="5" s="1"/>
  <c r="FO218" i="5"/>
  <c r="FO179" i="5"/>
  <c r="FO180" i="5" s="1"/>
  <c r="FO99" i="5"/>
  <c r="Q105" i="5"/>
  <c r="BA105" i="5"/>
  <c r="CK105" i="5"/>
  <c r="DU105" i="5"/>
  <c r="FE105" i="5"/>
  <c r="FZ47" i="5"/>
  <c r="FC99" i="5"/>
  <c r="M172" i="5"/>
  <c r="M101" i="5"/>
  <c r="Y172" i="5"/>
  <c r="Y101" i="5"/>
  <c r="AK172" i="5"/>
  <c r="AK101" i="5"/>
  <c r="AK217" i="5" s="1"/>
  <c r="AW172" i="5"/>
  <c r="AW101" i="5"/>
  <c r="BI172" i="5"/>
  <c r="BI101" i="5"/>
  <c r="BU172" i="5"/>
  <c r="BU101" i="5"/>
  <c r="BU217" i="5" s="1"/>
  <c r="CG172" i="5"/>
  <c r="CG101" i="5"/>
  <c r="CS172" i="5"/>
  <c r="CS101" i="5"/>
  <c r="DE172" i="5"/>
  <c r="DE101" i="5"/>
  <c r="DE217" i="5" s="1"/>
  <c r="DQ172" i="5"/>
  <c r="DQ101" i="5"/>
  <c r="EC172" i="5"/>
  <c r="EC101" i="5"/>
  <c r="EO172" i="5"/>
  <c r="EO101" i="5"/>
  <c r="EO217" i="5" s="1"/>
  <c r="FA172" i="5"/>
  <c r="FA101" i="5"/>
  <c r="FM172" i="5"/>
  <c r="FM101" i="5"/>
  <c r="N176" i="5"/>
  <c r="N97" i="5"/>
  <c r="Z176" i="5"/>
  <c r="Z97" i="5"/>
  <c r="AL176" i="5"/>
  <c r="AL97" i="5"/>
  <c r="AX176" i="5"/>
  <c r="AX97" i="5"/>
  <c r="BJ176" i="5"/>
  <c r="BJ97" i="5"/>
  <c r="BV176" i="5"/>
  <c r="BV97" i="5"/>
  <c r="CH176" i="5"/>
  <c r="CH97" i="5"/>
  <c r="CT176" i="5"/>
  <c r="CT97" i="5"/>
  <c r="DF176" i="5"/>
  <c r="DF97" i="5"/>
  <c r="DR176" i="5"/>
  <c r="DR97" i="5"/>
  <c r="ED176" i="5"/>
  <c r="ED97" i="5"/>
  <c r="EP176" i="5"/>
  <c r="EP97" i="5"/>
  <c r="FB176" i="5"/>
  <c r="FB97" i="5"/>
  <c r="FN176" i="5"/>
  <c r="FN97" i="5"/>
  <c r="D218" i="5"/>
  <c r="D179" i="5"/>
  <c r="D180" i="5" s="1"/>
  <c r="D99" i="5"/>
  <c r="P218" i="5"/>
  <c r="P179" i="5"/>
  <c r="P180" i="5" s="1"/>
  <c r="P99" i="5"/>
  <c r="AB218" i="5"/>
  <c r="AB179" i="5"/>
  <c r="AB180" i="5" s="1"/>
  <c r="AB99" i="5"/>
  <c r="AN218" i="5"/>
  <c r="AN179" i="5"/>
  <c r="AN180" i="5" s="1"/>
  <c r="AN99" i="5"/>
  <c r="AZ218" i="5"/>
  <c r="AZ179" i="5"/>
  <c r="AZ180" i="5" s="1"/>
  <c r="AZ99" i="5"/>
  <c r="BL218" i="5"/>
  <c r="BL179" i="5"/>
  <c r="BL180" i="5" s="1"/>
  <c r="BL99" i="5"/>
  <c r="BX218" i="5"/>
  <c r="BX179" i="5"/>
  <c r="BX180" i="5" s="1"/>
  <c r="BX99" i="5"/>
  <c r="CJ218" i="5"/>
  <c r="CJ179" i="5"/>
  <c r="CJ180" i="5" s="1"/>
  <c r="CJ99" i="5"/>
  <c r="CV218" i="5"/>
  <c r="CV179" i="5"/>
  <c r="CV180" i="5" s="1"/>
  <c r="CV99" i="5"/>
  <c r="DH218" i="5"/>
  <c r="DH179" i="5"/>
  <c r="DH180" i="5" s="1"/>
  <c r="DH99" i="5"/>
  <c r="DT218" i="5"/>
  <c r="DT179" i="5"/>
  <c r="DT180" i="5" s="1"/>
  <c r="EF218" i="5"/>
  <c r="EF179" i="5"/>
  <c r="EF180" i="5" s="1"/>
  <c r="EF99" i="5"/>
  <c r="ER218" i="5"/>
  <c r="ER179" i="5"/>
  <c r="ER180" i="5" s="1"/>
  <c r="ER99" i="5"/>
  <c r="FD218" i="5"/>
  <c r="FD179" i="5"/>
  <c r="FD180" i="5" s="1"/>
  <c r="FD99" i="5"/>
  <c r="FP218" i="5"/>
  <c r="FP179" i="5"/>
  <c r="FP180" i="5" s="1"/>
  <c r="FP99" i="5"/>
  <c r="I137" i="5"/>
  <c r="I139" i="5" s="1"/>
  <c r="U137" i="5"/>
  <c r="U139" i="5" s="1"/>
  <c r="AG137" i="5"/>
  <c r="AG139" i="5" s="1"/>
  <c r="AS137" i="5"/>
  <c r="AS139" i="5" s="1"/>
  <c r="BE137" i="5"/>
  <c r="BE139" i="5" s="1"/>
  <c r="BQ137" i="5"/>
  <c r="BQ139" i="5" s="1"/>
  <c r="CC137" i="5"/>
  <c r="CC139" i="5" s="1"/>
  <c r="CO137" i="5"/>
  <c r="CO139" i="5" s="1"/>
  <c r="DA137" i="5"/>
  <c r="DA139" i="5" s="1"/>
  <c r="DM137" i="5"/>
  <c r="DM139" i="5" s="1"/>
  <c r="DY137" i="5"/>
  <c r="DY139" i="5" s="1"/>
  <c r="EK137" i="5"/>
  <c r="EK139" i="5" s="1"/>
  <c r="EW137" i="5"/>
  <c r="EW139" i="5" s="1"/>
  <c r="FI137" i="5"/>
  <c r="FI139" i="5" s="1"/>
  <c r="FU137" i="5"/>
  <c r="FU139" i="5" s="1"/>
  <c r="FZ89" i="5"/>
  <c r="C328" i="5"/>
  <c r="C330" i="5"/>
  <c r="C334" i="5" s="1"/>
  <c r="C332" i="5"/>
  <c r="C279" i="5"/>
  <c r="AE97" i="5"/>
  <c r="S105" i="5"/>
  <c r="CM105" i="5"/>
  <c r="AV97" i="5"/>
  <c r="C172" i="5"/>
  <c r="C101" i="5"/>
  <c r="O172" i="5"/>
  <c r="O101" i="5"/>
  <c r="O217" i="5" s="1"/>
  <c r="AA172" i="5"/>
  <c r="AA101" i="5"/>
  <c r="AA217" i="5" s="1"/>
  <c r="AM172" i="5"/>
  <c r="AM101" i="5"/>
  <c r="AM217" i="5" s="1"/>
  <c r="AY172" i="5"/>
  <c r="AY101" i="5"/>
  <c r="AY217" i="5" s="1"/>
  <c r="BK172" i="5"/>
  <c r="BK101" i="5"/>
  <c r="BW172" i="5"/>
  <c r="BW101" i="5"/>
  <c r="BW217" i="5" s="1"/>
  <c r="CI172" i="5"/>
  <c r="CI101" i="5"/>
  <c r="CI217" i="5" s="1"/>
  <c r="CU172" i="5"/>
  <c r="CU101" i="5"/>
  <c r="CU217" i="5" s="1"/>
  <c r="DG172" i="5"/>
  <c r="DG101" i="5"/>
  <c r="DG217" i="5" s="1"/>
  <c r="DS172" i="5"/>
  <c r="DS101" i="5"/>
  <c r="DS217" i="5" s="1"/>
  <c r="EE172" i="5"/>
  <c r="EE101" i="5"/>
  <c r="EQ172" i="5"/>
  <c r="EQ101" i="5"/>
  <c r="EQ217" i="5" s="1"/>
  <c r="FC172" i="5"/>
  <c r="FC101" i="5"/>
  <c r="FC217" i="5" s="1"/>
  <c r="FO172" i="5"/>
  <c r="FO101" i="5"/>
  <c r="FO217" i="5" s="1"/>
  <c r="D176" i="5"/>
  <c r="D97" i="5"/>
  <c r="P176" i="5"/>
  <c r="P97" i="5"/>
  <c r="AB176" i="5"/>
  <c r="AB97" i="5"/>
  <c r="AN176" i="5"/>
  <c r="AN97" i="5"/>
  <c r="AZ176" i="5"/>
  <c r="AZ97" i="5"/>
  <c r="BL176" i="5"/>
  <c r="BL97" i="5"/>
  <c r="BX176" i="5"/>
  <c r="BX97" i="5"/>
  <c r="CJ176" i="5"/>
  <c r="CJ97" i="5"/>
  <c r="CV176" i="5"/>
  <c r="CV97" i="5"/>
  <c r="DH176" i="5"/>
  <c r="DH97" i="5"/>
  <c r="DT176" i="5"/>
  <c r="DT97" i="5"/>
  <c r="EF176" i="5"/>
  <c r="EF97" i="5"/>
  <c r="ER176" i="5"/>
  <c r="ER97" i="5"/>
  <c r="FD176" i="5"/>
  <c r="FD97" i="5"/>
  <c r="FP176" i="5"/>
  <c r="FP97" i="5"/>
  <c r="F218" i="5"/>
  <c r="F179" i="5"/>
  <c r="F180" i="5" s="1"/>
  <c r="F99" i="5"/>
  <c r="R218" i="5"/>
  <c r="R179" i="5"/>
  <c r="R180" i="5" s="1"/>
  <c r="R99" i="5"/>
  <c r="AD218" i="5"/>
  <c r="AD179" i="5"/>
  <c r="AD180" i="5" s="1"/>
  <c r="AD99" i="5"/>
  <c r="AP218" i="5"/>
  <c r="AP179" i="5"/>
  <c r="AP180" i="5" s="1"/>
  <c r="AP99" i="5"/>
  <c r="BB218" i="5"/>
  <c r="BB179" i="5"/>
  <c r="BB180" i="5" s="1"/>
  <c r="BB99" i="5"/>
  <c r="BN218" i="5"/>
  <c r="BN179" i="5"/>
  <c r="BN180" i="5" s="1"/>
  <c r="BN99" i="5"/>
  <c r="BZ218" i="5"/>
  <c r="BZ179" i="5"/>
  <c r="BZ180" i="5" s="1"/>
  <c r="BZ99" i="5"/>
  <c r="CL218" i="5"/>
  <c r="CL179" i="5"/>
  <c r="CL180" i="5" s="1"/>
  <c r="CL99" i="5"/>
  <c r="CX218" i="5"/>
  <c r="CX179" i="5"/>
  <c r="CX180" i="5" s="1"/>
  <c r="CX99" i="5"/>
  <c r="DJ218" i="5"/>
  <c r="DJ179" i="5"/>
  <c r="DJ180" i="5" s="1"/>
  <c r="DJ99" i="5"/>
  <c r="DV218" i="5"/>
  <c r="DV179" i="5"/>
  <c r="DV180" i="5" s="1"/>
  <c r="DV99" i="5"/>
  <c r="EH218" i="5"/>
  <c r="EH179" i="5"/>
  <c r="EH180" i="5" s="1"/>
  <c r="EH99" i="5"/>
  <c r="ET218" i="5"/>
  <c r="ET179" i="5"/>
  <c r="ET180" i="5" s="1"/>
  <c r="ET99" i="5"/>
  <c r="FF218" i="5"/>
  <c r="FF179" i="5"/>
  <c r="FF180" i="5" s="1"/>
  <c r="FF99" i="5"/>
  <c r="FR218" i="5"/>
  <c r="FR179" i="5"/>
  <c r="FR180" i="5" s="1"/>
  <c r="FR99" i="5"/>
  <c r="FH105" i="5"/>
  <c r="FZ35" i="5"/>
  <c r="D172" i="5"/>
  <c r="D101" i="5"/>
  <c r="D217" i="5" s="1"/>
  <c r="P172" i="5"/>
  <c r="P101" i="5"/>
  <c r="AB172" i="5"/>
  <c r="AB101" i="5"/>
  <c r="AN172" i="5"/>
  <c r="AN101" i="5"/>
  <c r="AN217" i="5" s="1"/>
  <c r="AZ172" i="5"/>
  <c r="AZ101" i="5"/>
  <c r="BL172" i="5"/>
  <c r="BL101" i="5"/>
  <c r="BX172" i="5"/>
  <c r="BX101" i="5"/>
  <c r="BX217" i="5" s="1"/>
  <c r="CJ172" i="5"/>
  <c r="CJ101" i="5"/>
  <c r="CV172" i="5"/>
  <c r="CV101" i="5"/>
  <c r="DH172" i="5"/>
  <c r="DH101" i="5"/>
  <c r="DH217" i="5" s="1"/>
  <c r="DT172" i="5"/>
  <c r="DT101" i="5"/>
  <c r="EF172" i="5"/>
  <c r="EF101" i="5"/>
  <c r="ER172" i="5"/>
  <c r="ER101" i="5"/>
  <c r="ER217" i="5" s="1"/>
  <c r="FD172" i="5"/>
  <c r="FD101" i="5"/>
  <c r="FP172" i="5"/>
  <c r="FP101" i="5"/>
  <c r="E176" i="5"/>
  <c r="E97" i="5"/>
  <c r="Q176" i="5"/>
  <c r="Q97" i="5"/>
  <c r="AC176" i="5"/>
  <c r="AC97" i="5"/>
  <c r="AO176" i="5"/>
  <c r="AO97" i="5"/>
  <c r="BA176" i="5"/>
  <c r="BA97" i="5"/>
  <c r="BM176" i="5"/>
  <c r="BM97" i="5"/>
  <c r="BY176" i="5"/>
  <c r="BY97" i="5"/>
  <c r="CK176" i="5"/>
  <c r="CK97" i="5"/>
  <c r="CW176" i="5"/>
  <c r="CW97" i="5"/>
  <c r="DI176" i="5"/>
  <c r="DI97" i="5"/>
  <c r="DU176" i="5"/>
  <c r="DU97" i="5"/>
  <c r="EG176" i="5"/>
  <c r="EG97" i="5"/>
  <c r="ES176" i="5"/>
  <c r="ES97" i="5"/>
  <c r="FE176" i="5"/>
  <c r="FE97" i="5"/>
  <c r="FQ176" i="5"/>
  <c r="FQ97" i="5"/>
  <c r="G218" i="5"/>
  <c r="G179" i="5"/>
  <c r="G180" i="5" s="1"/>
  <c r="G99" i="5"/>
  <c r="S218" i="5"/>
  <c r="S179" i="5"/>
  <c r="S180" i="5" s="1"/>
  <c r="S99" i="5"/>
  <c r="AE218" i="5"/>
  <c r="AE179" i="5"/>
  <c r="AE180" i="5" s="1"/>
  <c r="AE99" i="5"/>
  <c r="AQ218" i="5"/>
  <c r="AQ179" i="5"/>
  <c r="AQ180" i="5" s="1"/>
  <c r="AQ99" i="5"/>
  <c r="BC218" i="5"/>
  <c r="BC179" i="5"/>
  <c r="BC180" i="5" s="1"/>
  <c r="BC99" i="5"/>
  <c r="BO218" i="5"/>
  <c r="BO179" i="5"/>
  <c r="BO180" i="5" s="1"/>
  <c r="BO99" i="5"/>
  <c r="CA218" i="5"/>
  <c r="CA179" i="5"/>
  <c r="CA180" i="5" s="1"/>
  <c r="CA99" i="5"/>
  <c r="CM218" i="5"/>
  <c r="CM179" i="5"/>
  <c r="CM180" i="5" s="1"/>
  <c r="CM99" i="5"/>
  <c r="CY218" i="5"/>
  <c r="CY179" i="5"/>
  <c r="CY180" i="5" s="1"/>
  <c r="CY99" i="5"/>
  <c r="DK218" i="5"/>
  <c r="DK179" i="5"/>
  <c r="DK180" i="5" s="1"/>
  <c r="DK99" i="5"/>
  <c r="DW218" i="5"/>
  <c r="DW179" i="5"/>
  <c r="DW180" i="5" s="1"/>
  <c r="DW99" i="5"/>
  <c r="EI218" i="5"/>
  <c r="EI179" i="5"/>
  <c r="EI180" i="5" s="1"/>
  <c r="EI99" i="5"/>
  <c r="EU218" i="5"/>
  <c r="EU179" i="5"/>
  <c r="EU180" i="5" s="1"/>
  <c r="EU99" i="5"/>
  <c r="FG218" i="5"/>
  <c r="FG179" i="5"/>
  <c r="FG180" i="5" s="1"/>
  <c r="FG99" i="5"/>
  <c r="FS218" i="5"/>
  <c r="FS179" i="5"/>
  <c r="FS180" i="5" s="1"/>
  <c r="FS99" i="5"/>
  <c r="FZ34" i="5"/>
  <c r="EP105" i="5"/>
  <c r="CA97" i="5"/>
  <c r="FZ8" i="5"/>
  <c r="E172" i="5"/>
  <c r="E101" i="5"/>
  <c r="Q172" i="5"/>
  <c r="Q101" i="5"/>
  <c r="AC172" i="5"/>
  <c r="AC101" i="5"/>
  <c r="AC217" i="5" s="1"/>
  <c r="AO172" i="5"/>
  <c r="AO101" i="5"/>
  <c r="BA172" i="5"/>
  <c r="BA101" i="5"/>
  <c r="BM172" i="5"/>
  <c r="BM101" i="5"/>
  <c r="BM217" i="5" s="1"/>
  <c r="BY172" i="5"/>
  <c r="BY101" i="5"/>
  <c r="CK172" i="5"/>
  <c r="CK101" i="5"/>
  <c r="CW172" i="5"/>
  <c r="CW101" i="5"/>
  <c r="CW217" i="5" s="1"/>
  <c r="DI172" i="5"/>
  <c r="DI101" i="5"/>
  <c r="DU172" i="5"/>
  <c r="DU101" i="5"/>
  <c r="EG172" i="5"/>
  <c r="EG101" i="5"/>
  <c r="EG217" i="5" s="1"/>
  <c r="ES172" i="5"/>
  <c r="ES101" i="5"/>
  <c r="FE172" i="5"/>
  <c r="FE101" i="5"/>
  <c r="FQ172" i="5"/>
  <c r="FQ101" i="5"/>
  <c r="FQ217" i="5" s="1"/>
  <c r="F176" i="5"/>
  <c r="F97" i="5"/>
  <c r="R176" i="5"/>
  <c r="R97" i="5"/>
  <c r="AD176" i="5"/>
  <c r="AD97" i="5"/>
  <c r="AP176" i="5"/>
  <c r="AP97" i="5"/>
  <c r="BB176" i="5"/>
  <c r="BB97" i="5"/>
  <c r="BN176" i="5"/>
  <c r="BN97" i="5"/>
  <c r="BZ176" i="5"/>
  <c r="BZ97" i="5"/>
  <c r="CL176" i="5"/>
  <c r="CL97" i="5"/>
  <c r="CX176" i="5"/>
  <c r="CX97" i="5"/>
  <c r="DJ176" i="5"/>
  <c r="DJ97" i="5"/>
  <c r="DV176" i="5"/>
  <c r="DV97" i="5"/>
  <c r="EH176" i="5"/>
  <c r="EH97" i="5"/>
  <c r="ET176" i="5"/>
  <c r="ET97" i="5"/>
  <c r="FF176" i="5"/>
  <c r="FF97" i="5"/>
  <c r="FR176" i="5"/>
  <c r="FR97" i="5"/>
  <c r="H218" i="5"/>
  <c r="H179" i="5"/>
  <c r="H180" i="5" s="1"/>
  <c r="H99" i="5"/>
  <c r="T218" i="5"/>
  <c r="T179" i="5"/>
  <c r="T180" i="5" s="1"/>
  <c r="T99" i="5"/>
  <c r="AF218" i="5"/>
  <c r="AF179" i="5"/>
  <c r="AF180" i="5" s="1"/>
  <c r="AF99" i="5"/>
  <c r="AR218" i="5"/>
  <c r="AR179" i="5"/>
  <c r="AR180" i="5" s="1"/>
  <c r="AR99" i="5"/>
  <c r="BD218" i="5"/>
  <c r="BD179" i="5"/>
  <c r="BD180" i="5" s="1"/>
  <c r="BD99" i="5"/>
  <c r="BP218" i="5"/>
  <c r="BP179" i="5"/>
  <c r="BP180" i="5" s="1"/>
  <c r="BP99" i="5"/>
  <c r="CB218" i="5"/>
  <c r="CB179" i="5"/>
  <c r="CB180" i="5" s="1"/>
  <c r="CB99" i="5"/>
  <c r="CN218" i="5"/>
  <c r="CN179" i="5"/>
  <c r="CN180" i="5" s="1"/>
  <c r="CN99" i="5"/>
  <c r="CZ218" i="5"/>
  <c r="CZ179" i="5"/>
  <c r="CZ180" i="5" s="1"/>
  <c r="CZ99" i="5"/>
  <c r="DL218" i="5"/>
  <c r="DL179" i="5"/>
  <c r="DL180" i="5" s="1"/>
  <c r="DL99" i="5"/>
  <c r="DX218" i="5"/>
  <c r="DX179" i="5"/>
  <c r="DX180" i="5" s="1"/>
  <c r="DX99" i="5"/>
  <c r="EJ218" i="5"/>
  <c r="EJ179" i="5"/>
  <c r="EJ180" i="5" s="1"/>
  <c r="EJ99" i="5"/>
  <c r="EV218" i="5"/>
  <c r="EV179" i="5"/>
  <c r="EV180" i="5" s="1"/>
  <c r="EV99" i="5"/>
  <c r="FH218" i="5"/>
  <c r="FH179" i="5"/>
  <c r="FH180" i="5" s="1"/>
  <c r="FH99" i="5"/>
  <c r="FZ33" i="5"/>
  <c r="FZ100" i="5"/>
  <c r="CR97" i="5"/>
  <c r="F172" i="5"/>
  <c r="F101" i="5"/>
  <c r="F217" i="5" s="1"/>
  <c r="R172" i="5"/>
  <c r="R101" i="5"/>
  <c r="R217" i="5" s="1"/>
  <c r="AD172" i="5"/>
  <c r="AD101" i="5"/>
  <c r="AP172" i="5"/>
  <c r="AP101" i="5"/>
  <c r="AP217" i="5" s="1"/>
  <c r="BN172" i="5"/>
  <c r="BN101" i="5"/>
  <c r="BZ172" i="5"/>
  <c r="BZ101" i="5"/>
  <c r="BZ217" i="5" s="1"/>
  <c r="CL172" i="5"/>
  <c r="CL101" i="5"/>
  <c r="CL217" i="5" s="1"/>
  <c r="CX172" i="5"/>
  <c r="CX101" i="5"/>
  <c r="DJ172" i="5"/>
  <c r="DJ101" i="5"/>
  <c r="DJ217" i="5" s="1"/>
  <c r="EH172" i="5"/>
  <c r="EH101" i="5"/>
  <c r="ET172" i="5"/>
  <c r="ET101" i="5"/>
  <c r="FF172" i="5"/>
  <c r="FF101" i="5"/>
  <c r="FF217" i="5" s="1"/>
  <c r="FR172" i="5"/>
  <c r="FR101" i="5"/>
  <c r="G176" i="5"/>
  <c r="G97" i="5"/>
  <c r="S176" i="5"/>
  <c r="S97" i="5"/>
  <c r="AQ176" i="5"/>
  <c r="AQ97" i="5"/>
  <c r="BC176" i="5"/>
  <c r="BC97" i="5"/>
  <c r="BO176" i="5"/>
  <c r="BO97" i="5"/>
  <c r="CM176" i="5"/>
  <c r="CM97" i="5"/>
  <c r="CY176" i="5"/>
  <c r="CY97" i="5"/>
  <c r="DK176" i="5"/>
  <c r="DK97" i="5"/>
  <c r="EI176" i="5"/>
  <c r="EI97" i="5"/>
  <c r="EU176" i="5"/>
  <c r="EU97" i="5"/>
  <c r="FG176" i="5"/>
  <c r="FG97" i="5"/>
  <c r="FS176" i="5"/>
  <c r="FS97" i="5"/>
  <c r="I218" i="5"/>
  <c r="I179" i="5"/>
  <c r="I180" i="5" s="1"/>
  <c r="I99" i="5"/>
  <c r="U218" i="5"/>
  <c r="U179" i="5"/>
  <c r="U180" i="5" s="1"/>
  <c r="U99" i="5"/>
  <c r="AG218" i="5"/>
  <c r="AG179" i="5"/>
  <c r="AG180" i="5" s="1"/>
  <c r="AG99" i="5"/>
  <c r="AS218" i="5"/>
  <c r="AS179" i="5"/>
  <c r="AS180" i="5" s="1"/>
  <c r="AS99" i="5"/>
  <c r="BE218" i="5"/>
  <c r="BE179" i="5"/>
  <c r="BE180" i="5" s="1"/>
  <c r="BE99" i="5"/>
  <c r="BQ218" i="5"/>
  <c r="BQ179" i="5"/>
  <c r="BQ180" i="5" s="1"/>
  <c r="BQ99" i="5"/>
  <c r="CC218" i="5"/>
  <c r="CC179" i="5"/>
  <c r="CC180" i="5" s="1"/>
  <c r="CC99" i="5"/>
  <c r="CO218" i="5"/>
  <c r="CO179" i="5"/>
  <c r="CO180" i="5" s="1"/>
  <c r="CO99" i="5"/>
  <c r="DA218" i="5"/>
  <c r="DA179" i="5"/>
  <c r="DA180" i="5" s="1"/>
  <c r="DA99" i="5"/>
  <c r="DM179" i="5"/>
  <c r="DM180" i="5" s="1"/>
  <c r="DM218" i="5"/>
  <c r="DM99" i="5"/>
  <c r="DY218" i="5"/>
  <c r="DY179" i="5"/>
  <c r="DY180" i="5" s="1"/>
  <c r="DY99" i="5"/>
  <c r="EK218" i="5"/>
  <c r="EK179" i="5"/>
  <c r="EK180" i="5" s="1"/>
  <c r="EK99" i="5"/>
  <c r="EW218" i="5"/>
  <c r="EW179" i="5"/>
  <c r="EW180" i="5" s="1"/>
  <c r="EW99" i="5"/>
  <c r="FI179" i="5"/>
  <c r="FI180" i="5" s="1"/>
  <c r="FI218" i="5"/>
  <c r="FI99" i="5"/>
  <c r="FU218" i="5"/>
  <c r="FU179" i="5"/>
  <c r="FU180" i="5" s="1"/>
  <c r="FU99" i="5"/>
  <c r="N137" i="5"/>
  <c r="N139" i="5" s="1"/>
  <c r="Z137" i="5"/>
  <c r="Z139" i="5" s="1"/>
  <c r="AL137" i="5"/>
  <c r="AL139" i="5" s="1"/>
  <c r="AX137" i="5"/>
  <c r="AX139" i="5" s="1"/>
  <c r="BJ137" i="5"/>
  <c r="BJ139" i="5" s="1"/>
  <c r="BV137" i="5"/>
  <c r="BV139" i="5" s="1"/>
  <c r="CH137" i="5"/>
  <c r="CH139" i="5" s="1"/>
  <c r="CT137" i="5"/>
  <c r="CT139" i="5" s="1"/>
  <c r="DF137" i="5"/>
  <c r="DF139" i="5" s="1"/>
  <c r="DR137" i="5"/>
  <c r="DR139" i="5" s="1"/>
  <c r="ED137" i="5"/>
  <c r="ED139" i="5" s="1"/>
  <c r="EP137" i="5"/>
  <c r="EP139" i="5" s="1"/>
  <c r="FB137" i="5"/>
  <c r="FB139" i="5" s="1"/>
  <c r="FN137" i="5"/>
  <c r="FN139" i="5" s="1"/>
  <c r="K105" i="5"/>
  <c r="W105" i="5"/>
  <c r="AI105" i="5"/>
  <c r="AU105" i="5"/>
  <c r="BG105" i="5"/>
  <c r="BS105" i="5"/>
  <c r="CE105" i="5"/>
  <c r="CQ105" i="5"/>
  <c r="DC105" i="5"/>
  <c r="DO105" i="5"/>
  <c r="EA105" i="5"/>
  <c r="EM105" i="5"/>
  <c r="EY105" i="5"/>
  <c r="FK105" i="5"/>
  <c r="FW105" i="5"/>
  <c r="FZ32" i="5"/>
  <c r="BB101" i="5"/>
  <c r="BB217" i="5" s="1"/>
  <c r="G172" i="5"/>
  <c r="G101" i="5"/>
  <c r="G217" i="5" s="1"/>
  <c r="S172" i="5"/>
  <c r="S101" i="5"/>
  <c r="AE172" i="5"/>
  <c r="AE101" i="5"/>
  <c r="AE217" i="5" s="1"/>
  <c r="AQ172" i="5"/>
  <c r="AQ101" i="5"/>
  <c r="AQ217" i="5" s="1"/>
  <c r="BC172" i="5"/>
  <c r="BC101" i="5"/>
  <c r="BC217" i="5" s="1"/>
  <c r="BO172" i="5"/>
  <c r="BO101" i="5"/>
  <c r="BO217" i="5" s="1"/>
  <c r="CA172" i="5"/>
  <c r="CA101" i="5"/>
  <c r="CA217" i="5" s="1"/>
  <c r="CM172" i="5"/>
  <c r="CM101" i="5"/>
  <c r="CY172" i="5"/>
  <c r="CY101" i="5"/>
  <c r="DK172" i="5"/>
  <c r="DK101" i="5"/>
  <c r="DK217" i="5" s="1"/>
  <c r="DW172" i="5"/>
  <c r="DW101" i="5"/>
  <c r="EI172" i="5"/>
  <c r="EI101" i="5"/>
  <c r="EI217" i="5" s="1"/>
  <c r="EU172" i="5"/>
  <c r="EU101" i="5"/>
  <c r="FG172" i="5"/>
  <c r="FG101" i="5"/>
  <c r="FS172" i="5"/>
  <c r="FS101" i="5"/>
  <c r="FS217" i="5" s="1"/>
  <c r="H176" i="5"/>
  <c r="H97" i="5"/>
  <c r="T176" i="5"/>
  <c r="T97" i="5"/>
  <c r="AF176" i="5"/>
  <c r="AF97" i="5"/>
  <c r="AR176" i="5"/>
  <c r="AR97" i="5"/>
  <c r="BD176" i="5"/>
  <c r="BD97" i="5"/>
  <c r="BP176" i="5"/>
  <c r="BP97" i="5"/>
  <c r="CB176" i="5"/>
  <c r="CB97" i="5"/>
  <c r="CN176" i="5"/>
  <c r="CN97" i="5"/>
  <c r="CZ176" i="5"/>
  <c r="CZ97" i="5"/>
  <c r="DL176" i="5"/>
  <c r="DL97" i="5"/>
  <c r="DX176" i="5"/>
  <c r="DX97" i="5"/>
  <c r="EJ176" i="5"/>
  <c r="EJ97" i="5"/>
  <c r="EV176" i="5"/>
  <c r="EV97" i="5"/>
  <c r="J218" i="5"/>
  <c r="J179" i="5"/>
  <c r="J180" i="5" s="1"/>
  <c r="J99" i="5"/>
  <c r="V179" i="5"/>
  <c r="V180" i="5" s="1"/>
  <c r="V218" i="5"/>
  <c r="V99" i="5"/>
  <c r="AH218" i="5"/>
  <c r="AH179" i="5"/>
  <c r="AH180" i="5" s="1"/>
  <c r="AH99" i="5"/>
  <c r="AT218" i="5"/>
  <c r="AT179" i="5"/>
  <c r="AT180" i="5" s="1"/>
  <c r="AT99" i="5"/>
  <c r="BF218" i="5"/>
  <c r="BF179" i="5"/>
  <c r="BF180" i="5" s="1"/>
  <c r="BF99" i="5"/>
  <c r="BR218" i="5"/>
  <c r="BR179" i="5"/>
  <c r="BR180" i="5" s="1"/>
  <c r="BR99" i="5"/>
  <c r="CD218" i="5"/>
  <c r="CD179" i="5"/>
  <c r="CD180" i="5" s="1"/>
  <c r="CD99" i="5"/>
  <c r="CP218" i="5"/>
  <c r="CP179" i="5"/>
  <c r="CP180" i="5" s="1"/>
  <c r="CP99" i="5"/>
  <c r="DB218" i="5"/>
  <c r="DB179" i="5"/>
  <c r="DB180" i="5" s="1"/>
  <c r="DB99" i="5"/>
  <c r="DN179" i="5"/>
  <c r="DN180" i="5" s="1"/>
  <c r="DN218" i="5"/>
  <c r="DN99" i="5"/>
  <c r="DZ218" i="5"/>
  <c r="DZ179" i="5"/>
  <c r="DZ180" i="5" s="1"/>
  <c r="DZ99" i="5"/>
  <c r="EL218" i="5"/>
  <c r="EL179" i="5"/>
  <c r="EL180" i="5" s="1"/>
  <c r="EL99" i="5"/>
  <c r="EX218" i="5"/>
  <c r="EX179" i="5"/>
  <c r="EX180" i="5" s="1"/>
  <c r="EX99" i="5"/>
  <c r="FJ179" i="5"/>
  <c r="FJ180" i="5" s="1"/>
  <c r="FJ218" i="5"/>
  <c r="FJ99" i="5"/>
  <c r="FV218" i="5"/>
  <c r="FV179" i="5"/>
  <c r="FV180" i="5" s="1"/>
  <c r="FV99" i="5"/>
  <c r="L105" i="5"/>
  <c r="X105" i="5"/>
  <c r="AJ105" i="5"/>
  <c r="AV105" i="5"/>
  <c r="BH105" i="5"/>
  <c r="BT105" i="5"/>
  <c r="CF105" i="5"/>
  <c r="CR105" i="5"/>
  <c r="DD105" i="5"/>
  <c r="DP105" i="5"/>
  <c r="EB105" i="5"/>
  <c r="EN105" i="5"/>
  <c r="EZ105" i="5"/>
  <c r="FL105" i="5"/>
  <c r="FX105" i="5"/>
  <c r="FZ102" i="5"/>
  <c r="DW97" i="5"/>
  <c r="DV101" i="5"/>
  <c r="DV217" i="5" s="1"/>
  <c r="H172" i="5"/>
  <c r="H101" i="5"/>
  <c r="H217" i="5" s="1"/>
  <c r="T172" i="5"/>
  <c r="T101" i="5"/>
  <c r="T217" i="5" s="1"/>
  <c r="AF172" i="5"/>
  <c r="AF101" i="5"/>
  <c r="AR172" i="5"/>
  <c r="AR101" i="5"/>
  <c r="AR217" i="5" s="1"/>
  <c r="BD172" i="5"/>
  <c r="BD101" i="5"/>
  <c r="BD217" i="5" s="1"/>
  <c r="BP172" i="5"/>
  <c r="BP101" i="5"/>
  <c r="CB172" i="5"/>
  <c r="CB101" i="5"/>
  <c r="CB217" i="5" s="1"/>
  <c r="CN172" i="5"/>
  <c r="CN101" i="5"/>
  <c r="CN217" i="5" s="1"/>
  <c r="CZ172" i="5"/>
  <c r="CZ101" i="5"/>
  <c r="DL172" i="5"/>
  <c r="DL101" i="5"/>
  <c r="DL217" i="5" s="1"/>
  <c r="DX172" i="5"/>
  <c r="DX101" i="5"/>
  <c r="DX217" i="5" s="1"/>
  <c r="EJ172" i="5"/>
  <c r="EJ101" i="5"/>
  <c r="EV172" i="5"/>
  <c r="EV101" i="5"/>
  <c r="EV217" i="5" s="1"/>
  <c r="FH172" i="5"/>
  <c r="FH101" i="5"/>
  <c r="I176" i="5"/>
  <c r="I97" i="5"/>
  <c r="U176" i="5"/>
  <c r="U97" i="5"/>
  <c r="AG176" i="5"/>
  <c r="AG97" i="5"/>
  <c r="AS176" i="5"/>
  <c r="AS97" i="5"/>
  <c r="BE176" i="5"/>
  <c r="BE97" i="5"/>
  <c r="BQ176" i="5"/>
  <c r="BQ97" i="5"/>
  <c r="CC176" i="5"/>
  <c r="CC97" i="5"/>
  <c r="CO176" i="5"/>
  <c r="CO97" i="5"/>
  <c r="DA176" i="5"/>
  <c r="DA97" i="5"/>
  <c r="DM176" i="5"/>
  <c r="DM97" i="5"/>
  <c r="DY176" i="5"/>
  <c r="DY97" i="5"/>
  <c r="EK176" i="5"/>
  <c r="EK97" i="5"/>
  <c r="EW176" i="5"/>
  <c r="EW97" i="5"/>
  <c r="FI176" i="5"/>
  <c r="FI97" i="5"/>
  <c r="FU176" i="5"/>
  <c r="FU97" i="5"/>
  <c r="K218" i="5"/>
  <c r="K179" i="5"/>
  <c r="K180" i="5" s="1"/>
  <c r="K99" i="5"/>
  <c r="W218" i="5"/>
  <c r="W179" i="5"/>
  <c r="W180" i="5" s="1"/>
  <c r="W99" i="5"/>
  <c r="AI218" i="5"/>
  <c r="AI179" i="5"/>
  <c r="AI180" i="5" s="1"/>
  <c r="AI99" i="5"/>
  <c r="AU218" i="5"/>
  <c r="AU179" i="5"/>
  <c r="AU180" i="5" s="1"/>
  <c r="AU99" i="5"/>
  <c r="BG218" i="5"/>
  <c r="BG179" i="5"/>
  <c r="BG180" i="5" s="1"/>
  <c r="BG99" i="5"/>
  <c r="BS218" i="5"/>
  <c r="BS179" i="5"/>
  <c r="BS180" i="5" s="1"/>
  <c r="BS99" i="5"/>
  <c r="CE218" i="5"/>
  <c r="CE179" i="5"/>
  <c r="CE180" i="5" s="1"/>
  <c r="CE99" i="5"/>
  <c r="CQ218" i="5"/>
  <c r="CQ179" i="5"/>
  <c r="CQ180" i="5" s="1"/>
  <c r="CQ99" i="5"/>
  <c r="DC218" i="5"/>
  <c r="DC179" i="5"/>
  <c r="DC180" i="5" s="1"/>
  <c r="DC99" i="5"/>
  <c r="DO218" i="5"/>
  <c r="DO179" i="5"/>
  <c r="DO180" i="5" s="1"/>
  <c r="DO99" i="5"/>
  <c r="EA218" i="5"/>
  <c r="EA179" i="5"/>
  <c r="EA180" i="5" s="1"/>
  <c r="EA99" i="5"/>
  <c r="EM218" i="5"/>
  <c r="EM179" i="5"/>
  <c r="EM180" i="5" s="1"/>
  <c r="EM99" i="5"/>
  <c r="EY218" i="5"/>
  <c r="EY179" i="5"/>
  <c r="EY180" i="5" s="1"/>
  <c r="EY99" i="5"/>
  <c r="FK218" i="5"/>
  <c r="FK179" i="5"/>
  <c r="FK180" i="5" s="1"/>
  <c r="FK99" i="5"/>
  <c r="FW218" i="5"/>
  <c r="FW179" i="5"/>
  <c r="FW180" i="5" s="1"/>
  <c r="FW99" i="5"/>
  <c r="EN97" i="5"/>
  <c r="FH97" i="5"/>
  <c r="J172" i="5"/>
  <c r="J101" i="5"/>
  <c r="J217" i="5" s="1"/>
  <c r="V172" i="5"/>
  <c r="V101" i="5"/>
  <c r="V217" i="5" s="1"/>
  <c r="AH172" i="5"/>
  <c r="AH101" i="5"/>
  <c r="AT172" i="5"/>
  <c r="AT101" i="5"/>
  <c r="AT217" i="5" s="1"/>
  <c r="BF172" i="5"/>
  <c r="BF101" i="5"/>
  <c r="BF217" i="5" s="1"/>
  <c r="BR172" i="5"/>
  <c r="BR101" i="5"/>
  <c r="BR217" i="5" s="1"/>
  <c r="CD172" i="5"/>
  <c r="CD101" i="5"/>
  <c r="CD217" i="5" s="1"/>
  <c r="CP172" i="5"/>
  <c r="CP101" i="5"/>
  <c r="CP217" i="5" s="1"/>
  <c r="DB172" i="5"/>
  <c r="DB101" i="5"/>
  <c r="DN172" i="5"/>
  <c r="DN101" i="5"/>
  <c r="DN217" i="5" s="1"/>
  <c r="DZ172" i="5"/>
  <c r="DZ101" i="5"/>
  <c r="DZ217" i="5" s="1"/>
  <c r="EL172" i="5"/>
  <c r="EL101" i="5"/>
  <c r="EL217" i="5" s="1"/>
  <c r="EX172" i="5"/>
  <c r="EX101" i="5"/>
  <c r="EX217" i="5" s="1"/>
  <c r="FJ172" i="5"/>
  <c r="FJ101" i="5"/>
  <c r="FJ217" i="5" s="1"/>
  <c r="FV172" i="5"/>
  <c r="FV101" i="5"/>
  <c r="FV217" i="5" s="1"/>
  <c r="K176" i="5"/>
  <c r="K97" i="5"/>
  <c r="W176" i="5"/>
  <c r="W97" i="5"/>
  <c r="AI176" i="5"/>
  <c r="AI97" i="5"/>
  <c r="AU176" i="5"/>
  <c r="AU97" i="5"/>
  <c r="BG176" i="5"/>
  <c r="BG97" i="5"/>
  <c r="BS176" i="5"/>
  <c r="BS97" i="5"/>
  <c r="CE176" i="5"/>
  <c r="CE97" i="5"/>
  <c r="CQ176" i="5"/>
  <c r="CQ97" i="5"/>
  <c r="DC176" i="5"/>
  <c r="DC97" i="5"/>
  <c r="DO176" i="5"/>
  <c r="DO97" i="5"/>
  <c r="EA176" i="5"/>
  <c r="EA97" i="5"/>
  <c r="EM176" i="5"/>
  <c r="EM97" i="5"/>
  <c r="EY176" i="5"/>
  <c r="EY97" i="5"/>
  <c r="FK176" i="5"/>
  <c r="FK97" i="5"/>
  <c r="FW176" i="5"/>
  <c r="FW97" i="5"/>
  <c r="M218" i="5"/>
  <c r="M179" i="5"/>
  <c r="M180" i="5" s="1"/>
  <c r="M99" i="5"/>
  <c r="Y218" i="5"/>
  <c r="Y179" i="5"/>
  <c r="Y180" i="5" s="1"/>
  <c r="AK218" i="5"/>
  <c r="AK179" i="5"/>
  <c r="AK180" i="5" s="1"/>
  <c r="AK99" i="5"/>
  <c r="AW218" i="5"/>
  <c r="AW179" i="5"/>
  <c r="AW180" i="5" s="1"/>
  <c r="BI218" i="5"/>
  <c r="BI179" i="5"/>
  <c r="BI180" i="5" s="1"/>
  <c r="BI99" i="5"/>
  <c r="BU218" i="5"/>
  <c r="BU179" i="5"/>
  <c r="BU180" i="5" s="1"/>
  <c r="CG218" i="5"/>
  <c r="CG179" i="5"/>
  <c r="CG180" i="5" s="1"/>
  <c r="CG99" i="5"/>
  <c r="CS218" i="5"/>
  <c r="CS179" i="5"/>
  <c r="CS180" i="5" s="1"/>
  <c r="DE218" i="5"/>
  <c r="DE179" i="5"/>
  <c r="DE180" i="5" s="1"/>
  <c r="DE99" i="5"/>
  <c r="DQ218" i="5"/>
  <c r="DQ179" i="5"/>
  <c r="DQ180" i="5" s="1"/>
  <c r="DQ99" i="5"/>
  <c r="EC218" i="5"/>
  <c r="EC179" i="5"/>
  <c r="EC180" i="5" s="1"/>
  <c r="EC99" i="5"/>
  <c r="EO218" i="5"/>
  <c r="EO179" i="5"/>
  <c r="EO180" i="5" s="1"/>
  <c r="EO99" i="5"/>
  <c r="FA218" i="5"/>
  <c r="FA179" i="5"/>
  <c r="FA180" i="5" s="1"/>
  <c r="FA99" i="5"/>
  <c r="FM218" i="5"/>
  <c r="FM179" i="5"/>
  <c r="FM180" i="5" s="1"/>
  <c r="FM99" i="5"/>
  <c r="C94" i="5"/>
  <c r="O94" i="5"/>
  <c r="O105" i="5" s="1"/>
  <c r="AA94" i="5"/>
  <c r="AA105" i="5" s="1"/>
  <c r="AM94" i="5"/>
  <c r="AM105" i="5" s="1"/>
  <c r="AY94" i="5"/>
  <c r="AY105" i="5" s="1"/>
  <c r="BK94" i="5"/>
  <c r="BK105" i="5" s="1"/>
  <c r="BW94" i="5"/>
  <c r="BW105" i="5" s="1"/>
  <c r="CI94" i="5"/>
  <c r="CI105" i="5" s="1"/>
  <c r="CU94" i="5"/>
  <c r="CU105" i="5" s="1"/>
  <c r="DG94" i="5"/>
  <c r="DG105" i="5" s="1"/>
  <c r="DS94" i="5"/>
  <c r="DS105" i="5" s="1"/>
  <c r="EE94" i="5"/>
  <c r="EE105" i="5" s="1"/>
  <c r="EQ94" i="5"/>
  <c r="EQ105" i="5" s="1"/>
  <c r="FC94" i="5"/>
  <c r="FC105" i="5" s="1"/>
  <c r="FO94" i="5"/>
  <c r="FO105" i="5" s="1"/>
  <c r="CS99" i="5"/>
  <c r="K172" i="5"/>
  <c r="K101" i="5"/>
  <c r="K217" i="5" s="1"/>
  <c r="W172" i="5"/>
  <c r="W101" i="5"/>
  <c r="AI172" i="5"/>
  <c r="AI101" i="5"/>
  <c r="AU172" i="5"/>
  <c r="AU101" i="5"/>
  <c r="AU217" i="5" s="1"/>
  <c r="BG172" i="5"/>
  <c r="BG101" i="5"/>
  <c r="BS172" i="5"/>
  <c r="BS101" i="5"/>
  <c r="CE172" i="5"/>
  <c r="CE101" i="5"/>
  <c r="CE217" i="5" s="1"/>
  <c r="CQ172" i="5"/>
  <c r="CQ101" i="5"/>
  <c r="DC172" i="5"/>
  <c r="DC101" i="5"/>
  <c r="DO172" i="5"/>
  <c r="DO101" i="5"/>
  <c r="DO217" i="5" s="1"/>
  <c r="EA172" i="5"/>
  <c r="EA101" i="5"/>
  <c r="EM172" i="5"/>
  <c r="EM101" i="5"/>
  <c r="EY172" i="5"/>
  <c r="EY101" i="5"/>
  <c r="EY217" i="5" s="1"/>
  <c r="FK172" i="5"/>
  <c r="FK101" i="5"/>
  <c r="FW172" i="5"/>
  <c r="FW101" i="5"/>
  <c r="L176" i="5"/>
  <c r="L97" i="5"/>
  <c r="X176" i="5"/>
  <c r="X97" i="5"/>
  <c r="AJ176" i="5"/>
  <c r="AJ97" i="5"/>
  <c r="BH176" i="5"/>
  <c r="BH97" i="5"/>
  <c r="BT176" i="5"/>
  <c r="BT97" i="5"/>
  <c r="CF176" i="5"/>
  <c r="CF97" i="5"/>
  <c r="DD176" i="5"/>
  <c r="DD97" i="5"/>
  <c r="DP176" i="5"/>
  <c r="DP97" i="5"/>
  <c r="EB176" i="5"/>
  <c r="EB97" i="5"/>
  <c r="EZ176" i="5"/>
  <c r="EZ97" i="5"/>
  <c r="FL176" i="5"/>
  <c r="FL97" i="5"/>
  <c r="FX176" i="5"/>
  <c r="FX97" i="5"/>
  <c r="N218" i="5"/>
  <c r="N179" i="5"/>
  <c r="N180" i="5" s="1"/>
  <c r="N99" i="5"/>
  <c r="Z218" i="5"/>
  <c r="Z179" i="5"/>
  <c r="Z180" i="5" s="1"/>
  <c r="Z99" i="5"/>
  <c r="AL218" i="5"/>
  <c r="AL179" i="5"/>
  <c r="AL180" i="5" s="1"/>
  <c r="AL99" i="5"/>
  <c r="AX218" i="5"/>
  <c r="AX179" i="5"/>
  <c r="AX180" i="5" s="1"/>
  <c r="AX99" i="5"/>
  <c r="BJ218" i="5"/>
  <c r="BJ179" i="5"/>
  <c r="BJ180" i="5" s="1"/>
  <c r="BJ99" i="5"/>
  <c r="BV218" i="5"/>
  <c r="BV179" i="5"/>
  <c r="BV180" i="5" s="1"/>
  <c r="BV99" i="5"/>
  <c r="CH218" i="5"/>
  <c r="CH179" i="5"/>
  <c r="CH180" i="5" s="1"/>
  <c r="CH99" i="5"/>
  <c r="CT218" i="5"/>
  <c r="CT179" i="5"/>
  <c r="CT180" i="5" s="1"/>
  <c r="CT99" i="5"/>
  <c r="DF218" i="5"/>
  <c r="DF179" i="5"/>
  <c r="DF180" i="5" s="1"/>
  <c r="DF99" i="5"/>
  <c r="DR218" i="5"/>
  <c r="DR179" i="5"/>
  <c r="DR180" i="5" s="1"/>
  <c r="DR99" i="5"/>
  <c r="ED218" i="5"/>
  <c r="ED179" i="5"/>
  <c r="ED180" i="5" s="1"/>
  <c r="ED99" i="5"/>
  <c r="EP218" i="5"/>
  <c r="EP179" i="5"/>
  <c r="EP180" i="5" s="1"/>
  <c r="EP99" i="5"/>
  <c r="FB218" i="5"/>
  <c r="FB179" i="5"/>
  <c r="FB180" i="5" s="1"/>
  <c r="FB99" i="5"/>
  <c r="FN218" i="5"/>
  <c r="FN179" i="5"/>
  <c r="FN180" i="5" s="1"/>
  <c r="FN99" i="5"/>
  <c r="C137" i="5"/>
  <c r="FZ27" i="5"/>
  <c r="FZ40" i="5"/>
  <c r="C305" i="5"/>
  <c r="FZ291" i="5"/>
  <c r="FZ63" i="5"/>
  <c r="DT99" i="5"/>
  <c r="AJ135" i="5"/>
  <c r="AJ137" i="5" s="1"/>
  <c r="AJ139" i="5" s="1"/>
  <c r="BT135" i="5"/>
  <c r="BT137" i="5" s="1"/>
  <c r="BT139" i="5" s="1"/>
  <c r="DD135" i="5"/>
  <c r="DD137" i="5" s="1"/>
  <c r="DD139" i="5" s="1"/>
  <c r="EN135" i="5"/>
  <c r="EN137" i="5" s="1"/>
  <c r="EN139" i="5" s="1"/>
  <c r="FX135" i="5"/>
  <c r="FX137" i="5" s="1"/>
  <c r="FX139" i="5" s="1"/>
  <c r="FZ120" i="5"/>
  <c r="E135" i="5"/>
  <c r="E137" i="5" s="1"/>
  <c r="E139" i="5" s="1"/>
  <c r="Q135" i="5"/>
  <c r="Q137" i="5" s="1"/>
  <c r="Q139" i="5" s="1"/>
  <c r="AC135" i="5"/>
  <c r="AC137" i="5" s="1"/>
  <c r="AC139" i="5" s="1"/>
  <c r="AO135" i="5"/>
  <c r="AO137" i="5" s="1"/>
  <c r="AO139" i="5" s="1"/>
  <c r="BA135" i="5"/>
  <c r="BA137" i="5" s="1"/>
  <c r="BA139" i="5" s="1"/>
  <c r="BM135" i="5"/>
  <c r="BM137" i="5" s="1"/>
  <c r="BM139" i="5" s="1"/>
  <c r="BY135" i="5"/>
  <c r="BY137" i="5" s="1"/>
  <c r="BY139" i="5" s="1"/>
  <c r="CK135" i="5"/>
  <c r="CK137" i="5" s="1"/>
  <c r="CK139" i="5" s="1"/>
  <c r="CW135" i="5"/>
  <c r="CW137" i="5" s="1"/>
  <c r="CW139" i="5" s="1"/>
  <c r="DI135" i="5"/>
  <c r="DI137" i="5" s="1"/>
  <c r="DI139" i="5" s="1"/>
  <c r="DU135" i="5"/>
  <c r="DU137" i="5" s="1"/>
  <c r="DU139" i="5" s="1"/>
  <c r="EG135" i="5"/>
  <c r="EG137" i="5" s="1"/>
  <c r="EG139" i="5" s="1"/>
  <c r="ES135" i="5"/>
  <c r="ES137" i="5" s="1"/>
  <c r="ES139" i="5" s="1"/>
  <c r="FE135" i="5"/>
  <c r="FE137" i="5" s="1"/>
  <c r="FE139" i="5" s="1"/>
  <c r="FQ135" i="5"/>
  <c r="FQ137" i="5" s="1"/>
  <c r="FQ139" i="5" s="1"/>
  <c r="O135" i="5"/>
  <c r="O137" i="5" s="1"/>
  <c r="O139" i="5" s="1"/>
  <c r="AA135" i="5"/>
  <c r="AA137" i="5" s="1"/>
  <c r="AA139" i="5" s="1"/>
  <c r="AM135" i="5"/>
  <c r="AM137" i="5" s="1"/>
  <c r="AM139" i="5" s="1"/>
  <c r="AY135" i="5"/>
  <c r="AY137" i="5" s="1"/>
  <c r="AY139" i="5" s="1"/>
  <c r="BK135" i="5"/>
  <c r="BK137" i="5" s="1"/>
  <c r="BK139" i="5" s="1"/>
  <c r="BW135" i="5"/>
  <c r="BW137" i="5" s="1"/>
  <c r="BW139" i="5" s="1"/>
  <c r="CI135" i="5"/>
  <c r="CI137" i="5" s="1"/>
  <c r="CI139" i="5" s="1"/>
  <c r="CU135" i="5"/>
  <c r="CU137" i="5" s="1"/>
  <c r="CU139" i="5" s="1"/>
  <c r="DG135" i="5"/>
  <c r="DG137" i="5" s="1"/>
  <c r="DG139" i="5" s="1"/>
  <c r="DS135" i="5"/>
  <c r="DS137" i="5" s="1"/>
  <c r="DS139" i="5" s="1"/>
  <c r="EE135" i="5"/>
  <c r="EE137" i="5" s="1"/>
  <c r="EE139" i="5" s="1"/>
  <c r="EQ135" i="5"/>
  <c r="EQ137" i="5" s="1"/>
  <c r="EQ139" i="5" s="1"/>
  <c r="FC135" i="5"/>
  <c r="FC137" i="5" s="1"/>
  <c r="FC139" i="5" s="1"/>
  <c r="FO135" i="5"/>
  <c r="FO137" i="5" s="1"/>
  <c r="FO139" i="5" s="1"/>
  <c r="D135" i="5"/>
  <c r="D137" i="5" s="1"/>
  <c r="D139" i="5" s="1"/>
  <c r="P135" i="5"/>
  <c r="P137" i="5" s="1"/>
  <c r="P139" i="5" s="1"/>
  <c r="AB135" i="5"/>
  <c r="AB137" i="5" s="1"/>
  <c r="AB139" i="5" s="1"/>
  <c r="AN135" i="5"/>
  <c r="AN137" i="5" s="1"/>
  <c r="AN139" i="5" s="1"/>
  <c r="AZ135" i="5"/>
  <c r="AZ137" i="5" s="1"/>
  <c r="AZ139" i="5" s="1"/>
  <c r="BL135" i="5"/>
  <c r="BL137" i="5" s="1"/>
  <c r="BL139" i="5" s="1"/>
  <c r="BX135" i="5"/>
  <c r="BX137" i="5" s="1"/>
  <c r="BX139" i="5" s="1"/>
  <c r="CJ135" i="5"/>
  <c r="CJ137" i="5" s="1"/>
  <c r="CJ139" i="5" s="1"/>
  <c r="CV135" i="5"/>
  <c r="CV137" i="5" s="1"/>
  <c r="CV139" i="5" s="1"/>
  <c r="DH135" i="5"/>
  <c r="DH137" i="5" s="1"/>
  <c r="DH139" i="5" s="1"/>
  <c r="DT135" i="5"/>
  <c r="DT137" i="5" s="1"/>
  <c r="DT139" i="5" s="1"/>
  <c r="EF135" i="5"/>
  <c r="EF137" i="5" s="1"/>
  <c r="EF139" i="5" s="1"/>
  <c r="ER135" i="5"/>
  <c r="ER137" i="5" s="1"/>
  <c r="ER139" i="5" s="1"/>
  <c r="FD135" i="5"/>
  <c r="FD137" i="5" s="1"/>
  <c r="FD139" i="5" s="1"/>
  <c r="FP135" i="5"/>
  <c r="FP137" i="5" s="1"/>
  <c r="FP139" i="5" s="1"/>
  <c r="F135" i="5"/>
  <c r="F137" i="5" s="1"/>
  <c r="F139" i="5" s="1"/>
  <c r="R135" i="5"/>
  <c r="R137" i="5" s="1"/>
  <c r="R139" i="5" s="1"/>
  <c r="AD135" i="5"/>
  <c r="AD137" i="5" s="1"/>
  <c r="AD139" i="5" s="1"/>
  <c r="AP135" i="5"/>
  <c r="AP137" i="5" s="1"/>
  <c r="AP139" i="5" s="1"/>
  <c r="BB135" i="5"/>
  <c r="BB137" i="5" s="1"/>
  <c r="BB139" i="5" s="1"/>
  <c r="BN135" i="5"/>
  <c r="BN137" i="5" s="1"/>
  <c r="BN139" i="5" s="1"/>
  <c r="BZ135" i="5"/>
  <c r="BZ137" i="5" s="1"/>
  <c r="BZ139" i="5" s="1"/>
  <c r="CL135" i="5"/>
  <c r="CL137" i="5" s="1"/>
  <c r="CL139" i="5" s="1"/>
  <c r="CX135" i="5"/>
  <c r="CX137" i="5" s="1"/>
  <c r="CX139" i="5" s="1"/>
  <c r="DJ135" i="5"/>
  <c r="DJ137" i="5" s="1"/>
  <c r="DJ139" i="5" s="1"/>
  <c r="DV135" i="5"/>
  <c r="DV137" i="5" s="1"/>
  <c r="DV139" i="5" s="1"/>
  <c r="EH135" i="5"/>
  <c r="EH137" i="5" s="1"/>
  <c r="EH139" i="5" s="1"/>
  <c r="ET135" i="5"/>
  <c r="ET137" i="5" s="1"/>
  <c r="ET139" i="5" s="1"/>
  <c r="FF135" i="5"/>
  <c r="FF137" i="5" s="1"/>
  <c r="FF139" i="5" s="1"/>
  <c r="FR135" i="5"/>
  <c r="FR137" i="5" s="1"/>
  <c r="FR139" i="5" s="1"/>
  <c r="G135" i="5"/>
  <c r="G137" i="5" s="1"/>
  <c r="G139" i="5" s="1"/>
  <c r="S135" i="5"/>
  <c r="S137" i="5" s="1"/>
  <c r="S139" i="5" s="1"/>
  <c r="AE135" i="5"/>
  <c r="AE137" i="5" s="1"/>
  <c r="AE139" i="5" s="1"/>
  <c r="AQ135" i="5"/>
  <c r="AQ137" i="5" s="1"/>
  <c r="AQ139" i="5" s="1"/>
  <c r="BC135" i="5"/>
  <c r="BC137" i="5" s="1"/>
  <c r="BC139" i="5" s="1"/>
  <c r="BO135" i="5"/>
  <c r="BO137" i="5" s="1"/>
  <c r="BO139" i="5" s="1"/>
  <c r="CA135" i="5"/>
  <c r="CA137" i="5" s="1"/>
  <c r="CA139" i="5" s="1"/>
  <c r="CM135" i="5"/>
  <c r="CM137" i="5" s="1"/>
  <c r="CM139" i="5" s="1"/>
  <c r="CY135" i="5"/>
  <c r="CY137" i="5" s="1"/>
  <c r="CY139" i="5" s="1"/>
  <c r="DK135" i="5"/>
  <c r="DK137" i="5" s="1"/>
  <c r="DK139" i="5" s="1"/>
  <c r="DW135" i="5"/>
  <c r="DW137" i="5" s="1"/>
  <c r="DW139" i="5" s="1"/>
  <c r="EI135" i="5"/>
  <c r="EI137" i="5" s="1"/>
  <c r="EI139" i="5" s="1"/>
  <c r="EU135" i="5"/>
  <c r="EU137" i="5" s="1"/>
  <c r="EU139" i="5" s="1"/>
  <c r="FG135" i="5"/>
  <c r="FG137" i="5" s="1"/>
  <c r="FG139" i="5" s="1"/>
  <c r="FS135" i="5"/>
  <c r="FS137" i="5" s="1"/>
  <c r="FS139" i="5" s="1"/>
  <c r="J135" i="5"/>
  <c r="J137" i="5" s="1"/>
  <c r="J139" i="5" s="1"/>
  <c r="V135" i="5"/>
  <c r="V137" i="5" s="1"/>
  <c r="V139" i="5" s="1"/>
  <c r="AH135" i="5"/>
  <c r="AH137" i="5" s="1"/>
  <c r="AH139" i="5" s="1"/>
  <c r="AT135" i="5"/>
  <c r="AT137" i="5" s="1"/>
  <c r="AT139" i="5" s="1"/>
  <c r="BF135" i="5"/>
  <c r="BF137" i="5" s="1"/>
  <c r="BF139" i="5" s="1"/>
  <c r="BR135" i="5"/>
  <c r="BR137" i="5" s="1"/>
  <c r="BR139" i="5" s="1"/>
  <c r="CD135" i="5"/>
  <c r="CD137" i="5" s="1"/>
  <c r="CD139" i="5" s="1"/>
  <c r="CP135" i="5"/>
  <c r="CP137" i="5" s="1"/>
  <c r="CP139" i="5" s="1"/>
  <c r="DB135" i="5"/>
  <c r="DB137" i="5" s="1"/>
  <c r="DB139" i="5" s="1"/>
  <c r="DN135" i="5"/>
  <c r="DN137" i="5" s="1"/>
  <c r="DN139" i="5" s="1"/>
  <c r="DZ135" i="5"/>
  <c r="DZ137" i="5" s="1"/>
  <c r="DZ139" i="5" s="1"/>
  <c r="EL135" i="5"/>
  <c r="EL137" i="5" s="1"/>
  <c r="EL139" i="5" s="1"/>
  <c r="EX135" i="5"/>
  <c r="EX137" i="5" s="1"/>
  <c r="EX139" i="5" s="1"/>
  <c r="FJ135" i="5"/>
  <c r="FJ137" i="5" s="1"/>
  <c r="FJ139" i="5" s="1"/>
  <c r="FV135" i="5"/>
  <c r="FV137" i="5" s="1"/>
  <c r="FV139" i="5" s="1"/>
  <c r="K135" i="5"/>
  <c r="K137" i="5" s="1"/>
  <c r="K139" i="5" s="1"/>
  <c r="W135" i="5"/>
  <c r="W137" i="5" s="1"/>
  <c r="W139" i="5" s="1"/>
  <c r="AI135" i="5"/>
  <c r="AI137" i="5" s="1"/>
  <c r="AI139" i="5" s="1"/>
  <c r="AU135" i="5"/>
  <c r="AU137" i="5" s="1"/>
  <c r="AU139" i="5" s="1"/>
  <c r="BG135" i="5"/>
  <c r="BG137" i="5" s="1"/>
  <c r="BG139" i="5" s="1"/>
  <c r="BS135" i="5"/>
  <c r="BS137" i="5" s="1"/>
  <c r="BS139" i="5" s="1"/>
  <c r="CE135" i="5"/>
  <c r="CE137" i="5" s="1"/>
  <c r="CE139" i="5" s="1"/>
  <c r="CQ135" i="5"/>
  <c r="CQ137" i="5" s="1"/>
  <c r="CQ139" i="5" s="1"/>
  <c r="DC135" i="5"/>
  <c r="DC137" i="5" s="1"/>
  <c r="DC139" i="5" s="1"/>
  <c r="DO135" i="5"/>
  <c r="DO137" i="5" s="1"/>
  <c r="DO139" i="5" s="1"/>
  <c r="EA135" i="5"/>
  <c r="EA137" i="5" s="1"/>
  <c r="EA139" i="5" s="1"/>
  <c r="EM135" i="5"/>
  <c r="EM137" i="5" s="1"/>
  <c r="EM139" i="5" s="1"/>
  <c r="EY135" i="5"/>
  <c r="EY137" i="5" s="1"/>
  <c r="EY139" i="5" s="1"/>
  <c r="FK135" i="5"/>
  <c r="FK137" i="5" s="1"/>
  <c r="FK139" i="5" s="1"/>
  <c r="FW135" i="5"/>
  <c r="FW137" i="5" s="1"/>
  <c r="FW139" i="5" s="1"/>
  <c r="M135" i="5"/>
  <c r="M137" i="5" s="1"/>
  <c r="M139" i="5" s="1"/>
  <c r="Y135" i="5"/>
  <c r="Y137" i="5" s="1"/>
  <c r="Y139" i="5" s="1"/>
  <c r="AK135" i="5"/>
  <c r="AK137" i="5" s="1"/>
  <c r="AK139" i="5" s="1"/>
  <c r="AW135" i="5"/>
  <c r="AW137" i="5" s="1"/>
  <c r="AW139" i="5" s="1"/>
  <c r="BI135" i="5"/>
  <c r="BI137" i="5" s="1"/>
  <c r="BI139" i="5" s="1"/>
  <c r="BU135" i="5"/>
  <c r="BU137" i="5" s="1"/>
  <c r="BU139" i="5" s="1"/>
  <c r="CG135" i="5"/>
  <c r="CG137" i="5" s="1"/>
  <c r="CG139" i="5" s="1"/>
  <c r="CS135" i="5"/>
  <c r="CS137" i="5" s="1"/>
  <c r="CS139" i="5" s="1"/>
  <c r="DE135" i="5"/>
  <c r="DE137" i="5" s="1"/>
  <c r="DE139" i="5" s="1"/>
  <c r="DQ135" i="5"/>
  <c r="DQ137" i="5" s="1"/>
  <c r="DQ139" i="5" s="1"/>
  <c r="EC135" i="5"/>
  <c r="EC137" i="5" s="1"/>
  <c r="EC139" i="5" s="1"/>
  <c r="EO135" i="5"/>
  <c r="EO137" i="5" s="1"/>
  <c r="EO139" i="5" s="1"/>
  <c r="FA135" i="5"/>
  <c r="FA137" i="5" s="1"/>
  <c r="FA139" i="5" s="1"/>
  <c r="FM135" i="5"/>
  <c r="FM137" i="5" s="1"/>
  <c r="FM139" i="5" s="1"/>
  <c r="FZ213" i="5"/>
  <c r="FZ224" i="5"/>
  <c r="FZ222" i="5"/>
  <c r="FZ257" i="5"/>
  <c r="FY315" i="5"/>
  <c r="FY320" i="5" s="1"/>
  <c r="I334" i="5"/>
  <c r="U334" i="5"/>
  <c r="AG334" i="5"/>
  <c r="AS334" i="5"/>
  <c r="BE334" i="5"/>
  <c r="BQ334" i="5"/>
  <c r="CC334" i="5"/>
  <c r="CO334" i="5"/>
  <c r="DA334" i="5"/>
  <c r="DM334" i="5"/>
  <c r="DY334" i="5"/>
  <c r="EK334" i="5"/>
  <c r="EW334" i="5"/>
  <c r="FI334" i="5"/>
  <c r="FU334" i="5"/>
  <c r="K334" i="5"/>
  <c r="W334" i="5"/>
  <c r="AI334" i="5"/>
  <c r="AU334" i="5"/>
  <c r="BG334" i="5"/>
  <c r="BS334" i="5"/>
  <c r="CE334" i="5"/>
  <c r="CQ334" i="5"/>
  <c r="DC334" i="5"/>
  <c r="DO334" i="5"/>
  <c r="EA334" i="5"/>
  <c r="EM334" i="5"/>
  <c r="EY334" i="5"/>
  <c r="FK334" i="5"/>
  <c r="FW334" i="5"/>
  <c r="CR334" i="5"/>
  <c r="DD334" i="5"/>
  <c r="DP334" i="5"/>
  <c r="EB334" i="5"/>
  <c r="EN334" i="5"/>
  <c r="EZ334" i="5"/>
  <c r="D151" i="4" l="1"/>
  <c r="FZ9" i="5"/>
  <c r="D109" i="4"/>
  <c r="D110" i="4" s="1"/>
  <c r="D75" i="4"/>
  <c r="C81" i="4"/>
  <c r="EJ214" i="3"/>
  <c r="EJ127" i="3"/>
  <c r="EJ103" i="3"/>
  <c r="AQ130" i="2"/>
  <c r="AQ124" i="2"/>
  <c r="AQ85" i="2"/>
  <c r="AQ79" i="2"/>
  <c r="BZ124" i="2"/>
  <c r="BZ130" i="2"/>
  <c r="BZ85" i="2"/>
  <c r="BZ79" i="2"/>
  <c r="DI124" i="2"/>
  <c r="DI130" i="2"/>
  <c r="DI79" i="2"/>
  <c r="DI85" i="2"/>
  <c r="CV124" i="2"/>
  <c r="CV130" i="2"/>
  <c r="CV79" i="2"/>
  <c r="CV85" i="2"/>
  <c r="AV214" i="3"/>
  <c r="AV127" i="3"/>
  <c r="AV103" i="3"/>
  <c r="EY214" i="3"/>
  <c r="EY127" i="3"/>
  <c r="EY103" i="3"/>
  <c r="CE214" i="3"/>
  <c r="CE127" i="3"/>
  <c r="CE103" i="3"/>
  <c r="K214" i="3"/>
  <c r="K127" i="3"/>
  <c r="K103" i="3"/>
  <c r="BV124" i="2"/>
  <c r="BV130" i="2"/>
  <c r="BV79" i="2"/>
  <c r="BV85" i="2"/>
  <c r="CS124" i="2"/>
  <c r="CS130" i="2"/>
  <c r="CS79" i="2"/>
  <c r="CS85" i="2"/>
  <c r="DI214" i="3"/>
  <c r="DI127" i="3"/>
  <c r="DI103" i="3"/>
  <c r="FS130" i="2"/>
  <c r="FS124" i="2"/>
  <c r="FS85" i="2"/>
  <c r="FS79" i="2"/>
  <c r="AE130" i="2"/>
  <c r="AE124" i="2"/>
  <c r="AE85" i="2"/>
  <c r="AE79" i="2"/>
  <c r="BN124" i="2"/>
  <c r="BN130" i="2"/>
  <c r="BN85" i="2"/>
  <c r="BN79" i="2"/>
  <c r="Y214" i="3"/>
  <c r="Y127" i="3"/>
  <c r="Y103" i="3"/>
  <c r="BA214" i="3"/>
  <c r="BA127" i="3"/>
  <c r="BA103" i="3"/>
  <c r="CJ124" i="2"/>
  <c r="CJ130" i="2"/>
  <c r="CJ79" i="2"/>
  <c r="CJ85" i="2"/>
  <c r="BJ124" i="2"/>
  <c r="BJ130" i="2"/>
  <c r="BJ79" i="2"/>
  <c r="BJ85" i="2"/>
  <c r="CG124" i="2"/>
  <c r="CG130" i="2"/>
  <c r="CG79" i="2"/>
  <c r="CG85" i="2"/>
  <c r="FG130" i="2"/>
  <c r="FG124" i="2"/>
  <c r="FG85" i="2"/>
  <c r="FG79" i="2"/>
  <c r="Y214" i="5"/>
  <c r="Y127" i="5"/>
  <c r="Y103" i="5"/>
  <c r="O124" i="2"/>
  <c r="O130" i="2"/>
  <c r="O79" i="2"/>
  <c r="O85" i="2"/>
  <c r="DA214" i="3"/>
  <c r="DA127" i="3"/>
  <c r="DA103" i="3"/>
  <c r="DM214" i="5"/>
  <c r="DM127" i="5"/>
  <c r="DM103" i="5"/>
  <c r="H214" i="5"/>
  <c r="H127" i="5"/>
  <c r="H103" i="5"/>
  <c r="AQ214" i="5"/>
  <c r="AQ127" i="5"/>
  <c r="AQ103" i="5"/>
  <c r="DL214" i="5"/>
  <c r="DL127" i="5"/>
  <c r="DL103" i="5"/>
  <c r="AR214" i="5"/>
  <c r="AR127" i="5"/>
  <c r="AR103" i="5"/>
  <c r="FD214" i="5"/>
  <c r="FD127" i="5"/>
  <c r="FD103" i="5"/>
  <c r="EU130" i="2"/>
  <c r="EU124" i="2"/>
  <c r="EU85" i="2"/>
  <c r="EU79" i="2"/>
  <c r="G130" i="2"/>
  <c r="G124" i="2"/>
  <c r="G85" i="2"/>
  <c r="G79" i="2"/>
  <c r="AP124" i="2"/>
  <c r="AP130" i="2"/>
  <c r="AP85" i="2"/>
  <c r="AP79" i="2"/>
  <c r="BY124" i="2"/>
  <c r="BY130" i="2"/>
  <c r="BY79" i="2"/>
  <c r="BY85" i="2"/>
  <c r="BL124" i="2"/>
  <c r="BL130" i="2"/>
  <c r="BL79" i="2"/>
  <c r="BL85" i="2"/>
  <c r="EE124" i="2"/>
  <c r="EE130" i="2"/>
  <c r="EE79" i="2"/>
  <c r="EE85" i="2"/>
  <c r="EA214" i="3"/>
  <c r="EA127" i="3"/>
  <c r="EA103" i="3"/>
  <c r="BG214" i="3"/>
  <c r="BG127" i="3"/>
  <c r="BG103" i="3"/>
  <c r="EQ124" i="2"/>
  <c r="EQ130" i="2"/>
  <c r="EQ79" i="2"/>
  <c r="EQ85" i="2"/>
  <c r="AL124" i="2"/>
  <c r="AL130" i="2"/>
  <c r="AL79" i="2"/>
  <c r="AL85" i="2"/>
  <c r="BY214" i="3"/>
  <c r="BY127" i="3"/>
  <c r="BY103" i="3"/>
  <c r="CS214" i="5"/>
  <c r="CS127" i="5"/>
  <c r="CS103" i="5"/>
  <c r="BU124" i="2"/>
  <c r="BU130" i="2"/>
  <c r="BU79" i="2"/>
  <c r="BU85" i="2"/>
  <c r="BP214" i="3"/>
  <c r="BP127" i="3"/>
  <c r="BP103" i="3"/>
  <c r="CB214" i="5"/>
  <c r="CB127" i="5"/>
  <c r="CB103" i="5"/>
  <c r="DK214" i="5"/>
  <c r="DK127" i="5"/>
  <c r="DK103" i="5"/>
  <c r="DG214" i="5"/>
  <c r="DG127" i="5"/>
  <c r="DG103" i="5"/>
  <c r="EU214" i="5"/>
  <c r="EU127" i="5"/>
  <c r="EU103" i="5"/>
  <c r="EI130" i="2"/>
  <c r="EI124" i="2"/>
  <c r="EI85" i="2"/>
  <c r="EI79" i="2"/>
  <c r="FR124" i="2"/>
  <c r="FR130" i="2"/>
  <c r="FR85" i="2"/>
  <c r="FR79" i="2"/>
  <c r="AD124" i="2"/>
  <c r="AD130" i="2"/>
  <c r="AD85" i="2"/>
  <c r="AD79" i="2"/>
  <c r="BM124" i="2"/>
  <c r="BM130" i="2"/>
  <c r="BM79" i="2"/>
  <c r="BM85" i="2"/>
  <c r="AZ124" i="2"/>
  <c r="AZ130" i="2"/>
  <c r="AZ79" i="2"/>
  <c r="AZ85" i="2"/>
  <c r="DS124" i="2"/>
  <c r="DS130" i="2"/>
  <c r="DS79" i="2"/>
  <c r="DS85" i="2"/>
  <c r="FN124" i="2"/>
  <c r="FN130" i="2"/>
  <c r="FN79" i="2"/>
  <c r="FN85" i="2"/>
  <c r="Z124" i="2"/>
  <c r="Z130" i="2"/>
  <c r="Z79" i="2"/>
  <c r="Z85" i="2"/>
  <c r="AW124" i="2"/>
  <c r="AW130" i="2"/>
  <c r="AW79" i="2"/>
  <c r="AW85" i="2"/>
  <c r="BB124" i="2"/>
  <c r="BB130" i="2"/>
  <c r="BB85" i="2"/>
  <c r="BB79" i="2"/>
  <c r="G214" i="5"/>
  <c r="G127" i="5"/>
  <c r="G103" i="5"/>
  <c r="DW130" i="2"/>
  <c r="DW124" i="2"/>
  <c r="DW85" i="2"/>
  <c r="DW79" i="2"/>
  <c r="FF124" i="2"/>
  <c r="FF130" i="2"/>
  <c r="FF85" i="2"/>
  <c r="FF79" i="2"/>
  <c r="R124" i="2"/>
  <c r="R130" i="2"/>
  <c r="R85" i="2"/>
  <c r="R79" i="2"/>
  <c r="BA124" i="2"/>
  <c r="BA130" i="2"/>
  <c r="BA79" i="2"/>
  <c r="BA85" i="2"/>
  <c r="AN124" i="2"/>
  <c r="AN130" i="2"/>
  <c r="AN79" i="2"/>
  <c r="AN85" i="2"/>
  <c r="DG124" i="2"/>
  <c r="DG130" i="2"/>
  <c r="DG79" i="2"/>
  <c r="DG85" i="2"/>
  <c r="FB124" i="2"/>
  <c r="FB130" i="2"/>
  <c r="FB79" i="2"/>
  <c r="FB97" i="2" s="1"/>
  <c r="FB85" i="2"/>
  <c r="N124" i="2"/>
  <c r="N130" i="2"/>
  <c r="N79" i="2"/>
  <c r="N85" i="2"/>
  <c r="AK124" i="2"/>
  <c r="AK79" i="2"/>
  <c r="AK130" i="2"/>
  <c r="AK85" i="2"/>
  <c r="CX214" i="3"/>
  <c r="CX127" i="3"/>
  <c r="CX103" i="3"/>
  <c r="AD214" i="3"/>
  <c r="AD127" i="3"/>
  <c r="AD103" i="3"/>
  <c r="EG214" i="3"/>
  <c r="EG127" i="3"/>
  <c r="EG103" i="3"/>
  <c r="BM214" i="3"/>
  <c r="BM127" i="3"/>
  <c r="BM103" i="3"/>
  <c r="FP214" i="3"/>
  <c r="FP127" i="3"/>
  <c r="FP103" i="3"/>
  <c r="CV214" i="3"/>
  <c r="CV127" i="3"/>
  <c r="CV103" i="3"/>
  <c r="AB214" i="3"/>
  <c r="AB127" i="3"/>
  <c r="AB103" i="3"/>
  <c r="C96" i="4"/>
  <c r="EP214" i="3"/>
  <c r="EP127" i="3"/>
  <c r="EP103" i="3"/>
  <c r="AX124" i="2"/>
  <c r="AX130" i="2"/>
  <c r="AX79" i="2"/>
  <c r="AX85" i="2"/>
  <c r="DJ214" i="5"/>
  <c r="DJ127" i="5"/>
  <c r="DJ103" i="5"/>
  <c r="DK130" i="2"/>
  <c r="DK124" i="2"/>
  <c r="DK85" i="2"/>
  <c r="DK79" i="2"/>
  <c r="ET124" i="2"/>
  <c r="ET130" i="2"/>
  <c r="ET85" i="2"/>
  <c r="ET79" i="2"/>
  <c r="AO124" i="2"/>
  <c r="AO130" i="2"/>
  <c r="AO79" i="2"/>
  <c r="AO85" i="2"/>
  <c r="FP124" i="2"/>
  <c r="FP130" i="2"/>
  <c r="FP79" i="2"/>
  <c r="FP85" i="2"/>
  <c r="AB124" i="2"/>
  <c r="AB130" i="2"/>
  <c r="AB79" i="2"/>
  <c r="AB85" i="2"/>
  <c r="DQ214" i="3"/>
  <c r="DQ127" i="3"/>
  <c r="DQ103" i="3"/>
  <c r="CI124" i="2"/>
  <c r="CI130" i="2"/>
  <c r="CI79" i="2"/>
  <c r="CI85" i="2"/>
  <c r="EP124" i="2"/>
  <c r="EP130" i="2"/>
  <c r="EP79" i="2"/>
  <c r="EP85" i="2"/>
  <c r="Y124" i="2"/>
  <c r="Y79" i="2"/>
  <c r="Y130" i="2"/>
  <c r="Y85" i="2"/>
  <c r="DL214" i="3"/>
  <c r="DL127" i="3"/>
  <c r="DL103" i="3"/>
  <c r="EC214" i="3"/>
  <c r="EC127" i="3"/>
  <c r="EC103" i="3"/>
  <c r="BI214" i="3"/>
  <c r="BI127" i="3"/>
  <c r="BI103" i="3"/>
  <c r="E214" i="3"/>
  <c r="E127" i="3"/>
  <c r="E103" i="3"/>
  <c r="CK124" i="2"/>
  <c r="CK130" i="2"/>
  <c r="CK79" i="2"/>
  <c r="CK85" i="2"/>
  <c r="FC124" i="2"/>
  <c r="FC130" i="2"/>
  <c r="FC79" i="2"/>
  <c r="FC85" i="2"/>
  <c r="CA214" i="5"/>
  <c r="CA127" i="5"/>
  <c r="CA103" i="5"/>
  <c r="CY130" i="2"/>
  <c r="CY124" i="2"/>
  <c r="CY85" i="2"/>
  <c r="CY79" i="2"/>
  <c r="EH124" i="2"/>
  <c r="EH130" i="2"/>
  <c r="EH85" i="2"/>
  <c r="EH79" i="2"/>
  <c r="FQ124" i="2"/>
  <c r="FQ130" i="2"/>
  <c r="FQ79" i="2"/>
  <c r="FQ85" i="2"/>
  <c r="AC124" i="2"/>
  <c r="AC130" i="2"/>
  <c r="AC79" i="2"/>
  <c r="AC85" i="2"/>
  <c r="FL214" i="3"/>
  <c r="FL127" i="3"/>
  <c r="FL103" i="3"/>
  <c r="X214" i="3"/>
  <c r="X127" i="3"/>
  <c r="X103" i="3"/>
  <c r="FD124" i="2"/>
  <c r="FD130" i="2"/>
  <c r="FD79" i="2"/>
  <c r="FD85" i="2"/>
  <c r="P124" i="2"/>
  <c r="P130" i="2"/>
  <c r="P79" i="2"/>
  <c r="P85" i="2"/>
  <c r="DQ214" i="5"/>
  <c r="DQ127" i="5"/>
  <c r="DQ103" i="5"/>
  <c r="AW214" i="5"/>
  <c r="AW127" i="5"/>
  <c r="AW103" i="5"/>
  <c r="DO214" i="5"/>
  <c r="DO127" i="5"/>
  <c r="DO103" i="5"/>
  <c r="AU214" i="5"/>
  <c r="AU127" i="5"/>
  <c r="AU103" i="5"/>
  <c r="FP214" i="5"/>
  <c r="FP127" i="5"/>
  <c r="FP103" i="5"/>
  <c r="BW124" i="2"/>
  <c r="BW130" i="2"/>
  <c r="BW79" i="2"/>
  <c r="BW85" i="2"/>
  <c r="CU124" i="2"/>
  <c r="CU130" i="2"/>
  <c r="CU79" i="2"/>
  <c r="CU85" i="2"/>
  <c r="ED124" i="2"/>
  <c r="ED130" i="2"/>
  <c r="ED79" i="2"/>
  <c r="ED85" i="2"/>
  <c r="FA124" i="2"/>
  <c r="FA79" i="2"/>
  <c r="FA130" i="2"/>
  <c r="FA85" i="2"/>
  <c r="M124" i="2"/>
  <c r="M79" i="2"/>
  <c r="M130" i="2"/>
  <c r="M85" i="2"/>
  <c r="DK214" i="3"/>
  <c r="DK127" i="3"/>
  <c r="DK103" i="3"/>
  <c r="S130" i="2"/>
  <c r="S124" i="2"/>
  <c r="S85" i="2"/>
  <c r="S79" i="2"/>
  <c r="BA214" i="5"/>
  <c r="BA127" i="5"/>
  <c r="BA103" i="5"/>
  <c r="AP214" i="5"/>
  <c r="AP127" i="5"/>
  <c r="AP103" i="5"/>
  <c r="CM130" i="2"/>
  <c r="CM124" i="2"/>
  <c r="CM85" i="2"/>
  <c r="CM79" i="2"/>
  <c r="DV124" i="2"/>
  <c r="DV130" i="2"/>
  <c r="DV85" i="2"/>
  <c r="DV79" i="2"/>
  <c r="DV97" i="2" s="1"/>
  <c r="FE124" i="2"/>
  <c r="FE130" i="2"/>
  <c r="FE79" i="2"/>
  <c r="FE85" i="2"/>
  <c r="Q124" i="2"/>
  <c r="Q130" i="2"/>
  <c r="Q79" i="2"/>
  <c r="Q85" i="2"/>
  <c r="ER124" i="2"/>
  <c r="ER130" i="2"/>
  <c r="ER79" i="2"/>
  <c r="ER85" i="2"/>
  <c r="D124" i="2"/>
  <c r="D130" i="2"/>
  <c r="D79" i="2"/>
  <c r="D85" i="2"/>
  <c r="AY124" i="2"/>
  <c r="AY130" i="2"/>
  <c r="AY79" i="2"/>
  <c r="AY85" i="2"/>
  <c r="DR124" i="2"/>
  <c r="DR130" i="2"/>
  <c r="DR79" i="2"/>
  <c r="DR85" i="2"/>
  <c r="EO124" i="2"/>
  <c r="EO79" i="2"/>
  <c r="EO130" i="2"/>
  <c r="EO85" i="2"/>
  <c r="DH214" i="3"/>
  <c r="DH127" i="3"/>
  <c r="DH103" i="3"/>
  <c r="AN214" i="3"/>
  <c r="AN127" i="3"/>
  <c r="AN103" i="3"/>
  <c r="BW214" i="3"/>
  <c r="BW127" i="3"/>
  <c r="BW103" i="3"/>
  <c r="DF214" i="3"/>
  <c r="DF127" i="3"/>
  <c r="DF103" i="3"/>
  <c r="AL214" i="3"/>
  <c r="AL127" i="3"/>
  <c r="AL103" i="3"/>
  <c r="EV214" i="5"/>
  <c r="EV127" i="5"/>
  <c r="EV103" i="5"/>
  <c r="CA130" i="2"/>
  <c r="CA124" i="2"/>
  <c r="CA85" i="2"/>
  <c r="CA79" i="2"/>
  <c r="DJ124" i="2"/>
  <c r="DJ130" i="2"/>
  <c r="DJ85" i="2"/>
  <c r="DJ79" i="2"/>
  <c r="ES124" i="2"/>
  <c r="ES130" i="2"/>
  <c r="ES79" i="2"/>
  <c r="ES85" i="2"/>
  <c r="E124" i="2"/>
  <c r="E130" i="2"/>
  <c r="E79" i="2"/>
  <c r="E85" i="2"/>
  <c r="EF124" i="2"/>
  <c r="EF130" i="2"/>
  <c r="EF79" i="2"/>
  <c r="EF85" i="2"/>
  <c r="AM124" i="2"/>
  <c r="AM130" i="2"/>
  <c r="AM79" i="2"/>
  <c r="AM85" i="2"/>
  <c r="DF124" i="2"/>
  <c r="DF130" i="2"/>
  <c r="DF79" i="2"/>
  <c r="DF85" i="2"/>
  <c r="FI214" i="5"/>
  <c r="FI127" i="5"/>
  <c r="FI103" i="5"/>
  <c r="CO214" i="5"/>
  <c r="CO127" i="5"/>
  <c r="CO103" i="5"/>
  <c r="U214" i="5"/>
  <c r="U127" i="5"/>
  <c r="U103" i="5"/>
  <c r="EC124" i="2"/>
  <c r="EC79" i="2"/>
  <c r="EC85" i="2"/>
  <c r="EC130" i="2"/>
  <c r="FS214" i="3"/>
  <c r="FS127" i="3"/>
  <c r="FS103" i="3"/>
  <c r="CY214" i="3"/>
  <c r="CY127" i="3"/>
  <c r="CY103" i="3"/>
  <c r="AE214" i="3"/>
  <c r="AE127" i="3"/>
  <c r="AE103" i="3"/>
  <c r="EH214" i="3"/>
  <c r="EH127" i="3"/>
  <c r="EH103" i="3"/>
  <c r="BN214" i="3"/>
  <c r="BN127" i="3"/>
  <c r="BN103" i="3"/>
  <c r="AC214" i="3"/>
  <c r="AC127" i="3"/>
  <c r="AC103" i="3"/>
  <c r="AS214" i="5"/>
  <c r="AS127" i="5"/>
  <c r="AS103" i="5"/>
  <c r="BO130" i="2"/>
  <c r="BO124" i="2"/>
  <c r="BO85" i="2"/>
  <c r="BO79" i="2"/>
  <c r="DT124" i="2"/>
  <c r="DT130" i="2"/>
  <c r="DT79" i="2"/>
  <c r="DT85" i="2"/>
  <c r="AA124" i="2"/>
  <c r="AA130" i="2"/>
  <c r="AA79" i="2"/>
  <c r="AA85" i="2"/>
  <c r="FK214" i="5"/>
  <c r="FK127" i="5"/>
  <c r="FK103" i="5"/>
  <c r="CQ214" i="5"/>
  <c r="CQ127" i="5"/>
  <c r="CQ103" i="5"/>
  <c r="W214" i="5"/>
  <c r="W127" i="5"/>
  <c r="W103" i="5"/>
  <c r="DZ214" i="5"/>
  <c r="DZ127" i="5"/>
  <c r="DZ103" i="5"/>
  <c r="BF214" i="5"/>
  <c r="BF127" i="5"/>
  <c r="BF103" i="5"/>
  <c r="AC214" i="5"/>
  <c r="AC127" i="5"/>
  <c r="AC103" i="5"/>
  <c r="BK124" i="2"/>
  <c r="BK130" i="2"/>
  <c r="BK79" i="2"/>
  <c r="BK97" i="2" s="1"/>
  <c r="BK85" i="2"/>
  <c r="CT124" i="2"/>
  <c r="CT130" i="2"/>
  <c r="CT79" i="2"/>
  <c r="CT85" i="2"/>
  <c r="DQ124" i="2"/>
  <c r="DQ79" i="2"/>
  <c r="DQ97" i="2" s="1"/>
  <c r="DQ85" i="2"/>
  <c r="DQ130" i="2"/>
  <c r="FH214" i="3"/>
  <c r="FH127" i="3"/>
  <c r="FH103" i="3"/>
  <c r="EG124" i="2"/>
  <c r="EG130" i="2"/>
  <c r="EG79" i="2"/>
  <c r="EG85" i="2"/>
  <c r="BC130" i="2"/>
  <c r="BC124" i="2"/>
  <c r="BC85" i="2"/>
  <c r="BC79" i="2"/>
  <c r="CL124" i="2"/>
  <c r="CL130" i="2"/>
  <c r="CL85" i="2"/>
  <c r="CL79" i="2"/>
  <c r="DU124" i="2"/>
  <c r="DU130" i="2"/>
  <c r="DU79" i="2"/>
  <c r="DU85" i="2"/>
  <c r="ES214" i="3"/>
  <c r="ES127" i="3"/>
  <c r="ES103" i="3"/>
  <c r="DH124" i="2"/>
  <c r="DH130" i="2"/>
  <c r="DH79" i="2"/>
  <c r="DH85" i="2"/>
  <c r="DE124" i="2"/>
  <c r="DE79" i="2"/>
  <c r="DE85" i="2"/>
  <c r="DE130" i="2"/>
  <c r="CU214" i="5"/>
  <c r="CU103" i="5"/>
  <c r="CU127" i="5"/>
  <c r="CW214" i="3"/>
  <c r="CW127" i="3"/>
  <c r="CW103" i="3"/>
  <c r="C87" i="3"/>
  <c r="FZ87" i="3" s="1"/>
  <c r="FZ25" i="3"/>
  <c r="DX130" i="2"/>
  <c r="DX124" i="2"/>
  <c r="DX85" i="2"/>
  <c r="DX79" i="2"/>
  <c r="DA130" i="2"/>
  <c r="DA85" i="2"/>
  <c r="DA124" i="2"/>
  <c r="DA79" i="2"/>
  <c r="BN97" i="2"/>
  <c r="BW97" i="2"/>
  <c r="BX124" i="2"/>
  <c r="BX130" i="2"/>
  <c r="BX79" i="2"/>
  <c r="BX85" i="2"/>
  <c r="EM217" i="5"/>
  <c r="BS217" i="5"/>
  <c r="FG217" i="5"/>
  <c r="CM217" i="5"/>
  <c r="S217" i="5"/>
  <c r="FE217" i="5"/>
  <c r="CK217" i="5"/>
  <c r="Q217" i="5"/>
  <c r="EC217" i="5"/>
  <c r="BI217" i="5"/>
  <c r="ED217" i="5"/>
  <c r="BJ217" i="5"/>
  <c r="CT214" i="5"/>
  <c r="CT127" i="5"/>
  <c r="CT103" i="5"/>
  <c r="BT214" i="5"/>
  <c r="BT127" i="5"/>
  <c r="BT103" i="5"/>
  <c r="T214" i="5"/>
  <c r="T127" i="5"/>
  <c r="T103" i="5"/>
  <c r="FI217" i="5"/>
  <c r="CO217" i="5"/>
  <c r="U217" i="5"/>
  <c r="FT218" i="5"/>
  <c r="FZ218" i="5" s="1"/>
  <c r="FT179" i="5"/>
  <c r="FT180" i="5" s="1"/>
  <c r="FT99" i="5"/>
  <c r="BD214" i="5"/>
  <c r="BD127" i="5"/>
  <c r="BD103" i="5"/>
  <c r="AY96" i="5"/>
  <c r="EJ214" i="5"/>
  <c r="EJ127" i="5"/>
  <c r="EJ103" i="5"/>
  <c r="BM214" i="5"/>
  <c r="BM127" i="5"/>
  <c r="BM103" i="5"/>
  <c r="DV214" i="5"/>
  <c r="DV127" i="5"/>
  <c r="DV103" i="5"/>
  <c r="F214" i="5"/>
  <c r="F127" i="5"/>
  <c r="F103" i="5"/>
  <c r="CV214" i="5"/>
  <c r="CV127" i="5"/>
  <c r="CV103" i="5"/>
  <c r="D16" i="4"/>
  <c r="D63" i="4" s="1"/>
  <c r="D67" i="4" s="1"/>
  <c r="D72" i="4" s="1"/>
  <c r="E5" i="4"/>
  <c r="FM146" i="3"/>
  <c r="FM148" i="3" s="1"/>
  <c r="BW146" i="3"/>
  <c r="BW148" i="3" s="1"/>
  <c r="BV146" i="3"/>
  <c r="BV148" i="3" s="1"/>
  <c r="FH146" i="3"/>
  <c r="FH148" i="3" s="1"/>
  <c r="FI217" i="3"/>
  <c r="FZ97" i="3"/>
  <c r="FZ218" i="3"/>
  <c r="EN217" i="3"/>
  <c r="BT217" i="3"/>
  <c r="CB214" i="3"/>
  <c r="CB127" i="3"/>
  <c r="CB103" i="3"/>
  <c r="ER217" i="3"/>
  <c r="BX217" i="3"/>
  <c r="BK214" i="3"/>
  <c r="BK127" i="3"/>
  <c r="BK103" i="3"/>
  <c r="FZ16" i="3"/>
  <c r="GB16" i="3" s="1"/>
  <c r="C85" i="3"/>
  <c r="CD214" i="3"/>
  <c r="CD127" i="3"/>
  <c r="CD103" i="3"/>
  <c r="FI214" i="3"/>
  <c r="FI127" i="3"/>
  <c r="FI103" i="3"/>
  <c r="U214" i="3"/>
  <c r="U127" i="3"/>
  <c r="U103" i="3"/>
  <c r="CO217" i="3"/>
  <c r="U217" i="3"/>
  <c r="FF214" i="3"/>
  <c r="FF127" i="3"/>
  <c r="FF103" i="3"/>
  <c r="BJ214" i="3"/>
  <c r="BJ127" i="3"/>
  <c r="BJ103" i="3"/>
  <c r="EE214" i="3"/>
  <c r="EE127" i="3"/>
  <c r="EE103" i="3"/>
  <c r="BC214" i="3"/>
  <c r="BC127" i="3"/>
  <c r="BC103" i="3"/>
  <c r="FE214" i="3"/>
  <c r="FE127" i="3"/>
  <c r="FE103" i="3"/>
  <c r="D214" i="3"/>
  <c r="D127" i="3"/>
  <c r="D103" i="3"/>
  <c r="FZ64" i="2"/>
  <c r="FZ66" i="2"/>
  <c r="FZ25" i="5"/>
  <c r="C87" i="5"/>
  <c r="FZ87" i="5" s="1"/>
  <c r="C88" i="5"/>
  <c r="FZ88" i="5" s="1"/>
  <c r="FZ26" i="5"/>
  <c r="FJ97" i="2"/>
  <c r="V97" i="2"/>
  <c r="CB130" i="2"/>
  <c r="CB124" i="2"/>
  <c r="CB85" i="2"/>
  <c r="CB79" i="2"/>
  <c r="AU124" i="2"/>
  <c r="AU130" i="2"/>
  <c r="AU79" i="2"/>
  <c r="AU85" i="2"/>
  <c r="BR130" i="2"/>
  <c r="BR124" i="2"/>
  <c r="BR79" i="2"/>
  <c r="BR85" i="2"/>
  <c r="CC130" i="2"/>
  <c r="CC85" i="2"/>
  <c r="CC124" i="2"/>
  <c r="CC79" i="2"/>
  <c r="FI130" i="2"/>
  <c r="FI85" i="2"/>
  <c r="FI79" i="2"/>
  <c r="FI97" i="2" s="1"/>
  <c r="FI124" i="2"/>
  <c r="DL136" i="2"/>
  <c r="DL80" i="2"/>
  <c r="CH97" i="2"/>
  <c r="N97" i="2"/>
  <c r="P97" i="2"/>
  <c r="BU97" i="2"/>
  <c r="ER97" i="2"/>
  <c r="BP214" i="5"/>
  <c r="BP127" i="5"/>
  <c r="BP103" i="5"/>
  <c r="CM214" i="5"/>
  <c r="CM127" i="5"/>
  <c r="CM103" i="5"/>
  <c r="FR214" i="3"/>
  <c r="FR127" i="3"/>
  <c r="FR103" i="3"/>
  <c r="CX124" i="2"/>
  <c r="CX130" i="2"/>
  <c r="CX85" i="2"/>
  <c r="CX79" i="2"/>
  <c r="FM124" i="2"/>
  <c r="FM79" i="2"/>
  <c r="FM130" i="2"/>
  <c r="FM85" i="2"/>
  <c r="EH97" i="2"/>
  <c r="BI124" i="2"/>
  <c r="BI130" i="2"/>
  <c r="BI79" i="2"/>
  <c r="BI85" i="2"/>
  <c r="CW124" i="2"/>
  <c r="CW130" i="2"/>
  <c r="CW79" i="2"/>
  <c r="CW85" i="2"/>
  <c r="CZ217" i="5"/>
  <c r="AF217" i="5"/>
  <c r="ET217" i="5"/>
  <c r="BN217" i="5"/>
  <c r="FP217" i="5"/>
  <c r="CV217" i="5"/>
  <c r="AB217" i="5"/>
  <c r="C217" i="5"/>
  <c r="C180" i="5"/>
  <c r="EN217" i="5"/>
  <c r="BT217" i="5"/>
  <c r="C162" i="4"/>
  <c r="C151" i="4"/>
  <c r="CH214" i="5"/>
  <c r="CH127" i="5"/>
  <c r="CH103" i="5"/>
  <c r="FV39" i="5"/>
  <c r="FJ39" i="5"/>
  <c r="EX39" i="5"/>
  <c r="EL39" i="5"/>
  <c r="DZ39" i="5"/>
  <c r="DN39" i="5"/>
  <c r="DB39" i="5"/>
  <c r="CP39" i="5"/>
  <c r="CD39" i="5"/>
  <c r="BR39" i="5"/>
  <c r="BF39" i="5"/>
  <c r="AT39" i="5"/>
  <c r="AH39" i="5"/>
  <c r="V39" i="5"/>
  <c r="J39" i="5"/>
  <c r="FU39" i="5"/>
  <c r="FI39" i="5"/>
  <c r="EW39" i="5"/>
  <c r="EK39" i="5"/>
  <c r="DY39" i="5"/>
  <c r="DM39" i="5"/>
  <c r="DA39" i="5"/>
  <c r="CO39" i="5"/>
  <c r="CC39" i="5"/>
  <c r="BQ39" i="5"/>
  <c r="BE39" i="5"/>
  <c r="AS39" i="5"/>
  <c r="AG39" i="5"/>
  <c r="U39" i="5"/>
  <c r="I39" i="5"/>
  <c r="FT39" i="5"/>
  <c r="FH39" i="5"/>
  <c r="EV39" i="5"/>
  <c r="EJ39" i="5"/>
  <c r="DX39" i="5"/>
  <c r="DL39" i="5"/>
  <c r="CZ39" i="5"/>
  <c r="CN39" i="5"/>
  <c r="CB39" i="5"/>
  <c r="BP39" i="5"/>
  <c r="BD39" i="5"/>
  <c r="AR39" i="5"/>
  <c r="AF39" i="5"/>
  <c r="T39" i="5"/>
  <c r="H39" i="5"/>
  <c r="FS39" i="5"/>
  <c r="FG39" i="5"/>
  <c r="EU39" i="5"/>
  <c r="EI39" i="5"/>
  <c r="DW39" i="5"/>
  <c r="DK39" i="5"/>
  <c r="CY39" i="5"/>
  <c r="CM39" i="5"/>
  <c r="CA39" i="5"/>
  <c r="BO39" i="5"/>
  <c r="BC39" i="5"/>
  <c r="AQ39" i="5"/>
  <c r="AE39" i="5"/>
  <c r="S39" i="5"/>
  <c r="G39" i="5"/>
  <c r="FR39" i="5"/>
  <c r="FF39" i="5"/>
  <c r="ET39" i="5"/>
  <c r="EH39" i="5"/>
  <c r="DV39" i="5"/>
  <c r="DJ39" i="5"/>
  <c r="CX39" i="5"/>
  <c r="CL39" i="5"/>
  <c r="BZ39" i="5"/>
  <c r="BN39" i="5"/>
  <c r="BB39" i="5"/>
  <c r="AP39" i="5"/>
  <c r="AD39" i="5"/>
  <c r="R39" i="5"/>
  <c r="F39" i="5"/>
  <c r="FQ39" i="5"/>
  <c r="FE39" i="5"/>
  <c r="ES39" i="5"/>
  <c r="EG39" i="5"/>
  <c r="DU39" i="5"/>
  <c r="DI39" i="5"/>
  <c r="CW39" i="5"/>
  <c r="CK39" i="5"/>
  <c r="BY39" i="5"/>
  <c r="BM39" i="5"/>
  <c r="BA39" i="5"/>
  <c r="AO39" i="5"/>
  <c r="AC39" i="5"/>
  <c r="Q39" i="5"/>
  <c r="E39" i="5"/>
  <c r="FP39" i="5"/>
  <c r="FD39" i="5"/>
  <c r="ER39" i="5"/>
  <c r="EF39" i="5"/>
  <c r="DT39" i="5"/>
  <c r="DH39" i="5"/>
  <c r="CV39" i="5"/>
  <c r="CJ39" i="5"/>
  <c r="BX39" i="5"/>
  <c r="BL39" i="5"/>
  <c r="AZ39" i="5"/>
  <c r="AN39" i="5"/>
  <c r="AB39" i="5"/>
  <c r="P39" i="5"/>
  <c r="D39" i="5"/>
  <c r="FO39" i="5"/>
  <c r="FC39" i="5"/>
  <c r="EQ39" i="5"/>
  <c r="EE39" i="5"/>
  <c r="DS39" i="5"/>
  <c r="DG39" i="5"/>
  <c r="CU39" i="5"/>
  <c r="CI39" i="5"/>
  <c r="BW39" i="5"/>
  <c r="BK39" i="5"/>
  <c r="AY39" i="5"/>
  <c r="AM39" i="5"/>
  <c r="AA39" i="5"/>
  <c r="O39" i="5"/>
  <c r="FN39" i="5"/>
  <c r="FB39" i="5"/>
  <c r="EP39" i="5"/>
  <c r="ED39" i="5"/>
  <c r="DR39" i="5"/>
  <c r="DF39" i="5"/>
  <c r="CT39" i="5"/>
  <c r="CH39" i="5"/>
  <c r="BV39" i="5"/>
  <c r="BJ39" i="5"/>
  <c r="AX39" i="5"/>
  <c r="AL39" i="5"/>
  <c r="Z39" i="5"/>
  <c r="N39" i="5"/>
  <c r="FM39" i="5"/>
  <c r="FA39" i="5"/>
  <c r="EO39" i="5"/>
  <c r="EC39" i="5"/>
  <c r="DQ39" i="5"/>
  <c r="DE39" i="5"/>
  <c r="CS39" i="5"/>
  <c r="CG39" i="5"/>
  <c r="BU39" i="5"/>
  <c r="BI39" i="5"/>
  <c r="AW39" i="5"/>
  <c r="AK39" i="5"/>
  <c r="Y39" i="5"/>
  <c r="M39" i="5"/>
  <c r="FX39" i="5"/>
  <c r="FL39" i="5"/>
  <c r="EZ39" i="5"/>
  <c r="EN39" i="5"/>
  <c r="EB39" i="5"/>
  <c r="DP39" i="5"/>
  <c r="DD39" i="5"/>
  <c r="CR39" i="5"/>
  <c r="CF39" i="5"/>
  <c r="BT39" i="5"/>
  <c r="BH39" i="5"/>
  <c r="AV39" i="5"/>
  <c r="AJ39" i="5"/>
  <c r="X39" i="5"/>
  <c r="L39" i="5"/>
  <c r="FW39" i="5"/>
  <c r="FK39" i="5"/>
  <c r="EY39" i="5"/>
  <c r="EM39" i="5"/>
  <c r="EA39" i="5"/>
  <c r="DO39" i="5"/>
  <c r="DC39" i="5"/>
  <c r="CQ39" i="5"/>
  <c r="CE39" i="5"/>
  <c r="BS39" i="5"/>
  <c r="BG39" i="5"/>
  <c r="AU39" i="5"/>
  <c r="AI39" i="5"/>
  <c r="W39" i="5"/>
  <c r="K39" i="5"/>
  <c r="D59" i="4"/>
  <c r="D156" i="4" s="1"/>
  <c r="D157" i="4" s="1"/>
  <c r="C156" i="4"/>
  <c r="C157" i="4" s="1"/>
  <c r="BH90" i="5"/>
  <c r="BH96" i="5" s="1"/>
  <c r="FX214" i="5"/>
  <c r="FX127" i="5"/>
  <c r="FX103" i="5"/>
  <c r="DN214" i="5"/>
  <c r="DN127" i="5"/>
  <c r="DN103" i="5"/>
  <c r="CC214" i="5"/>
  <c r="CC127" i="5"/>
  <c r="CC103" i="5"/>
  <c r="AI214" i="5"/>
  <c r="AI127" i="5"/>
  <c r="AI103" i="5"/>
  <c r="BO214" i="5"/>
  <c r="BO127" i="5"/>
  <c r="BO103" i="5"/>
  <c r="CN214" i="5"/>
  <c r="CN127" i="5"/>
  <c r="CN103" i="5"/>
  <c r="CJ214" i="5"/>
  <c r="CJ127" i="5"/>
  <c r="CJ103" i="5"/>
  <c r="EO214" i="5"/>
  <c r="EO127" i="5"/>
  <c r="EO103" i="5"/>
  <c r="FS146" i="3"/>
  <c r="FS148" i="3" s="1"/>
  <c r="FT217" i="3"/>
  <c r="ET217" i="3"/>
  <c r="BZ217" i="3"/>
  <c r="F217" i="3"/>
  <c r="FZ176" i="3"/>
  <c r="FZ179" i="3"/>
  <c r="C180" i="3"/>
  <c r="FZ180" i="3" s="1"/>
  <c r="EA217" i="3"/>
  <c r="BG217" i="3"/>
  <c r="AF214" i="3"/>
  <c r="AF127" i="3"/>
  <c r="AF103" i="3"/>
  <c r="DG217" i="3"/>
  <c r="AM217" i="3"/>
  <c r="EC217" i="3"/>
  <c r="BI217" i="3"/>
  <c r="FZ11" i="3"/>
  <c r="BR90" i="3"/>
  <c r="BR96" i="3" s="1"/>
  <c r="EW214" i="3"/>
  <c r="EW103" i="3"/>
  <c r="EW127" i="3"/>
  <c r="I214" i="3"/>
  <c r="I103" i="3"/>
  <c r="I127" i="3"/>
  <c r="FX214" i="3"/>
  <c r="FX127" i="3"/>
  <c r="FX103" i="3"/>
  <c r="BS214" i="3"/>
  <c r="BS127" i="3"/>
  <c r="BS103" i="3"/>
  <c r="AX214" i="3"/>
  <c r="AX127" i="3"/>
  <c r="AX103" i="3"/>
  <c r="AQ214" i="3"/>
  <c r="AQ127" i="3"/>
  <c r="AQ103" i="3"/>
  <c r="DX97" i="2"/>
  <c r="AF130" i="2"/>
  <c r="AF124" i="2"/>
  <c r="AF79" i="2"/>
  <c r="AF85" i="2"/>
  <c r="W124" i="2"/>
  <c r="W130" i="2"/>
  <c r="W79" i="2"/>
  <c r="W85" i="2"/>
  <c r="BF130" i="2"/>
  <c r="BF124" i="2"/>
  <c r="BF79" i="2"/>
  <c r="BF85" i="2"/>
  <c r="BE130" i="2"/>
  <c r="BE85" i="2"/>
  <c r="BE124" i="2"/>
  <c r="BE79" i="2"/>
  <c r="BP136" i="2"/>
  <c r="BP80" i="2"/>
  <c r="BB97" i="2"/>
  <c r="EK130" i="2"/>
  <c r="EK124" i="2"/>
  <c r="EK85" i="2"/>
  <c r="EK79" i="2"/>
  <c r="EU97" i="2"/>
  <c r="CA97" i="2"/>
  <c r="G97" i="2"/>
  <c r="DI97" i="2"/>
  <c r="AO97" i="2"/>
  <c r="T136" i="2"/>
  <c r="T80" i="2"/>
  <c r="EZ124" i="2"/>
  <c r="EZ130" i="2"/>
  <c r="EZ85" i="2"/>
  <c r="EZ79" i="2"/>
  <c r="EV130" i="2"/>
  <c r="EV124" i="2"/>
  <c r="EV85" i="2"/>
  <c r="EV79" i="2"/>
  <c r="EN124" i="2"/>
  <c r="EN130" i="2"/>
  <c r="EN79" i="2"/>
  <c r="EN85" i="2"/>
  <c r="CF214" i="5"/>
  <c r="CF127" i="5"/>
  <c r="CF103" i="5"/>
  <c r="CQ214" i="3"/>
  <c r="CQ127" i="3"/>
  <c r="CQ103" i="3"/>
  <c r="C88" i="3"/>
  <c r="FZ88" i="3" s="1"/>
  <c r="FZ26" i="3"/>
  <c r="BS124" i="2"/>
  <c r="BS130" i="2"/>
  <c r="BS79" i="2"/>
  <c r="BS85" i="2"/>
  <c r="CH124" i="2"/>
  <c r="CH130" i="2"/>
  <c r="CH79" i="2"/>
  <c r="CH85" i="2"/>
  <c r="FG97" i="2"/>
  <c r="S97" i="2"/>
  <c r="EQ97" i="2"/>
  <c r="EA217" i="5"/>
  <c r="BG217" i="5"/>
  <c r="EU217" i="5"/>
  <c r="ES217" i="5"/>
  <c r="BY217" i="5"/>
  <c r="E217" i="5"/>
  <c r="DQ217" i="5"/>
  <c r="AW217" i="5"/>
  <c r="DR217" i="5"/>
  <c r="AX217" i="5"/>
  <c r="BV214" i="5"/>
  <c r="BV127" i="5"/>
  <c r="BV103" i="5"/>
  <c r="AV214" i="5"/>
  <c r="AV127" i="5"/>
  <c r="AV103" i="5"/>
  <c r="C164" i="4"/>
  <c r="C158" i="4"/>
  <c r="EW217" i="5"/>
  <c r="CC217" i="5"/>
  <c r="I217" i="5"/>
  <c r="DB214" i="5"/>
  <c r="DB127" i="5"/>
  <c r="DB103" i="5"/>
  <c r="FU217" i="5"/>
  <c r="BQ214" i="5"/>
  <c r="BQ127" i="5"/>
  <c r="BQ103" i="5"/>
  <c r="BC214" i="5"/>
  <c r="BC127" i="5"/>
  <c r="BC103" i="5"/>
  <c r="AO214" i="5"/>
  <c r="AO127" i="5"/>
  <c r="AO103" i="5"/>
  <c r="CX214" i="5"/>
  <c r="CX127" i="5"/>
  <c r="CX103" i="5"/>
  <c r="BX214" i="5"/>
  <c r="BX127" i="5"/>
  <c r="BX103" i="5"/>
  <c r="CI96" i="5"/>
  <c r="DG146" i="3"/>
  <c r="DG148" i="3" s="1"/>
  <c r="EA146" i="3"/>
  <c r="EA148" i="3" s="1"/>
  <c r="DX217" i="3"/>
  <c r="EX217" i="3"/>
  <c r="EV217" i="3"/>
  <c r="FB214" i="3"/>
  <c r="FB127" i="3"/>
  <c r="FB103" i="3"/>
  <c r="EF217" i="3"/>
  <c r="BL217" i="3"/>
  <c r="DT214" i="3"/>
  <c r="DT127" i="3"/>
  <c r="DT103" i="3"/>
  <c r="FA214" i="3"/>
  <c r="FA127" i="3"/>
  <c r="FA103" i="3"/>
  <c r="FO214" i="3"/>
  <c r="FO127" i="3"/>
  <c r="FO103" i="3"/>
  <c r="BF214" i="3"/>
  <c r="BF127" i="3"/>
  <c r="BF103" i="3"/>
  <c r="EK214" i="3"/>
  <c r="EK103" i="3"/>
  <c r="EK127" i="3"/>
  <c r="CC217" i="3"/>
  <c r="I217" i="3"/>
  <c r="DV214" i="3"/>
  <c r="DV127" i="3"/>
  <c r="DV103" i="3"/>
  <c r="EN214" i="3"/>
  <c r="EN127" i="3"/>
  <c r="EN103" i="3"/>
  <c r="CZ214" i="3"/>
  <c r="CZ127" i="3"/>
  <c r="CZ103" i="3"/>
  <c r="CN214" i="3"/>
  <c r="CN127" i="3"/>
  <c r="CN103" i="3"/>
  <c r="ET214" i="3"/>
  <c r="ET127" i="3"/>
  <c r="ET103" i="3"/>
  <c r="DU214" i="3"/>
  <c r="DU127" i="3"/>
  <c r="DU103" i="3"/>
  <c r="FD214" i="3"/>
  <c r="FD127" i="3"/>
  <c r="FD103" i="3"/>
  <c r="C41" i="3"/>
  <c r="J2" i="1" a="1"/>
  <c r="J2" i="1" s="1"/>
  <c r="B3" i="2"/>
  <c r="EF97" i="2"/>
  <c r="DH97" i="2"/>
  <c r="FW124" i="2"/>
  <c r="FW130" i="2"/>
  <c r="FW79" i="2"/>
  <c r="FW85" i="2"/>
  <c r="AT130" i="2"/>
  <c r="AT124" i="2"/>
  <c r="AT79" i="2"/>
  <c r="AT85" i="2"/>
  <c r="DM130" i="2"/>
  <c r="DM85" i="2"/>
  <c r="DM124" i="2"/>
  <c r="DM79" i="2"/>
  <c r="DD124" i="2"/>
  <c r="DD130" i="2"/>
  <c r="DD79" i="2"/>
  <c r="DD85" i="2"/>
  <c r="EP97" i="2"/>
  <c r="BV97" i="2"/>
  <c r="CZ130" i="2"/>
  <c r="CZ124" i="2"/>
  <c r="CZ85" i="2"/>
  <c r="CZ79" i="2"/>
  <c r="AV124" i="2"/>
  <c r="AV130" i="2"/>
  <c r="AV79" i="2"/>
  <c r="AV85" i="2"/>
  <c r="EC97" i="2"/>
  <c r="DA214" i="5"/>
  <c r="DA127" i="5"/>
  <c r="DA103" i="5"/>
  <c r="FU214" i="3"/>
  <c r="FU127" i="3"/>
  <c r="FU103" i="3"/>
  <c r="F124" i="2"/>
  <c r="F130" i="2"/>
  <c r="F85" i="2"/>
  <c r="F79" i="2"/>
  <c r="CD130" i="2"/>
  <c r="CD124" i="2"/>
  <c r="CD79" i="2"/>
  <c r="CD85" i="2"/>
  <c r="X124" i="2"/>
  <c r="X130" i="2"/>
  <c r="X85" i="2"/>
  <c r="X79" i="2"/>
  <c r="DU97" i="2"/>
  <c r="FO19" i="2"/>
  <c r="FC19" i="2"/>
  <c r="EQ19" i="2"/>
  <c r="EE19" i="2"/>
  <c r="DS19" i="2"/>
  <c r="DG19" i="2"/>
  <c r="CU19" i="2"/>
  <c r="CI19" i="2"/>
  <c r="BW19" i="2"/>
  <c r="BK19" i="2"/>
  <c r="AY19" i="2"/>
  <c r="AM19" i="2"/>
  <c r="AA19" i="2"/>
  <c r="O19" i="2"/>
  <c r="C19" i="2"/>
  <c r="FF19" i="2"/>
  <c r="DJ19" i="2"/>
  <c r="BZ19" i="2"/>
  <c r="AD19" i="2"/>
  <c r="FN19" i="2"/>
  <c r="FB19" i="2"/>
  <c r="EP19" i="2"/>
  <c r="ED19" i="2"/>
  <c r="DR19" i="2"/>
  <c r="DF19" i="2"/>
  <c r="CT19" i="2"/>
  <c r="CH19" i="2"/>
  <c r="BV19" i="2"/>
  <c r="BJ19" i="2"/>
  <c r="AX19" i="2"/>
  <c r="AL19" i="2"/>
  <c r="Z19" i="2"/>
  <c r="N19" i="2"/>
  <c r="FM19" i="2"/>
  <c r="FA19" i="2"/>
  <c r="EO19" i="2"/>
  <c r="EC19" i="2"/>
  <c r="DQ19" i="2"/>
  <c r="DE19" i="2"/>
  <c r="CS19" i="2"/>
  <c r="CG19" i="2"/>
  <c r="BU19" i="2"/>
  <c r="BI19" i="2"/>
  <c r="AW19" i="2"/>
  <c r="AK19" i="2"/>
  <c r="Y19" i="2"/>
  <c r="M19" i="2"/>
  <c r="FX19" i="2"/>
  <c r="FZ19" i="2" s="1"/>
  <c r="FL19" i="2"/>
  <c r="EZ19" i="2"/>
  <c r="EN19" i="2"/>
  <c r="EB19" i="2"/>
  <c r="DP19" i="2"/>
  <c r="DD19" i="2"/>
  <c r="CR19" i="2"/>
  <c r="CF19" i="2"/>
  <c r="BT19" i="2"/>
  <c r="BH19" i="2"/>
  <c r="AV19" i="2"/>
  <c r="AJ19" i="2"/>
  <c r="X19" i="2"/>
  <c r="L19" i="2"/>
  <c r="FW19" i="2"/>
  <c r="FK19" i="2"/>
  <c r="EY19" i="2"/>
  <c r="EM19" i="2"/>
  <c r="EA19" i="2"/>
  <c r="DO19" i="2"/>
  <c r="DC19" i="2"/>
  <c r="CQ19" i="2"/>
  <c r="CE19" i="2"/>
  <c r="BS19" i="2"/>
  <c r="BG19" i="2"/>
  <c r="AU19" i="2"/>
  <c r="AI19" i="2"/>
  <c r="W19" i="2"/>
  <c r="K19" i="2"/>
  <c r="CL19" i="2"/>
  <c r="GB94" i="2"/>
  <c r="FV19" i="2"/>
  <c r="FJ19" i="2"/>
  <c r="EX19" i="2"/>
  <c r="EL19" i="2"/>
  <c r="DZ19" i="2"/>
  <c r="DN19" i="2"/>
  <c r="DB19" i="2"/>
  <c r="CP19" i="2"/>
  <c r="CD19" i="2"/>
  <c r="BR19" i="2"/>
  <c r="BF19" i="2"/>
  <c r="AT19" i="2"/>
  <c r="AH19" i="2"/>
  <c r="V19" i="2"/>
  <c r="J19" i="2"/>
  <c r="EH19" i="2"/>
  <c r="R19" i="2"/>
  <c r="FU19" i="2"/>
  <c r="FI19" i="2"/>
  <c r="EW19" i="2"/>
  <c r="EK19" i="2"/>
  <c r="DY19" i="2"/>
  <c r="DM19" i="2"/>
  <c r="DA19" i="2"/>
  <c r="CO19" i="2"/>
  <c r="CC19" i="2"/>
  <c r="BQ19" i="2"/>
  <c r="BE19" i="2"/>
  <c r="AS19" i="2"/>
  <c r="AG19" i="2"/>
  <c r="U19" i="2"/>
  <c r="I19" i="2"/>
  <c r="ET19" i="2"/>
  <c r="DV19" i="2"/>
  <c r="CX19" i="2"/>
  <c r="AP19" i="2"/>
  <c r="F19" i="2"/>
  <c r="FT19" i="2"/>
  <c r="FH19" i="2"/>
  <c r="EV19" i="2"/>
  <c r="EJ19" i="2"/>
  <c r="DX19" i="2"/>
  <c r="DL19" i="2"/>
  <c r="CZ19" i="2"/>
  <c r="CN19" i="2"/>
  <c r="CB19" i="2"/>
  <c r="BP19" i="2"/>
  <c r="BD19" i="2"/>
  <c r="AR19" i="2"/>
  <c r="AF19" i="2"/>
  <c r="T19" i="2"/>
  <c r="H19" i="2"/>
  <c r="FS19" i="2"/>
  <c r="FG19" i="2"/>
  <c r="EU19" i="2"/>
  <c r="EI19" i="2"/>
  <c r="DW19" i="2"/>
  <c r="DK19" i="2"/>
  <c r="CY19" i="2"/>
  <c r="CM19" i="2"/>
  <c r="CA19" i="2"/>
  <c r="BO19" i="2"/>
  <c r="BC19" i="2"/>
  <c r="AQ19" i="2"/>
  <c r="AE19" i="2"/>
  <c r="S19" i="2"/>
  <c r="G19" i="2"/>
  <c r="FR19" i="2"/>
  <c r="BB19" i="2"/>
  <c r="FQ19" i="2"/>
  <c r="FE19" i="2"/>
  <c r="ES19" i="2"/>
  <c r="EG19" i="2"/>
  <c r="DU19" i="2"/>
  <c r="DI19" i="2"/>
  <c r="CW19" i="2"/>
  <c r="CK19" i="2"/>
  <c r="BY19" i="2"/>
  <c r="BM19" i="2"/>
  <c r="BA19" i="2"/>
  <c r="AO19" i="2"/>
  <c r="AC19" i="2"/>
  <c r="Q19" i="2"/>
  <c r="E19" i="2"/>
  <c r="FP19" i="2"/>
  <c r="FD19" i="2"/>
  <c r="ER19" i="2"/>
  <c r="EF19" i="2"/>
  <c r="DT19" i="2"/>
  <c r="DH19" i="2"/>
  <c r="CV19" i="2"/>
  <c r="CJ19" i="2"/>
  <c r="BX19" i="2"/>
  <c r="BL19" i="2"/>
  <c r="AZ19" i="2"/>
  <c r="AN19" i="2"/>
  <c r="AB19" i="2"/>
  <c r="P19" i="2"/>
  <c r="D19" i="2"/>
  <c r="BN19" i="2"/>
  <c r="FO124" i="2"/>
  <c r="FO130" i="2"/>
  <c r="FO79" i="2"/>
  <c r="FO85" i="2"/>
  <c r="FH217" i="5"/>
  <c r="EH217" i="5"/>
  <c r="FD217" i="5"/>
  <c r="CJ217" i="5"/>
  <c r="P217" i="5"/>
  <c r="EE217" i="5"/>
  <c r="BK217" i="5"/>
  <c r="FZ10" i="5"/>
  <c r="EB217" i="5"/>
  <c r="BH217" i="5"/>
  <c r="DX214" i="5"/>
  <c r="DX127" i="5"/>
  <c r="DX103" i="5"/>
  <c r="BJ214" i="5"/>
  <c r="BJ127" i="5"/>
  <c r="BJ103" i="5"/>
  <c r="AJ214" i="5"/>
  <c r="AJ127" i="5"/>
  <c r="AJ103" i="5"/>
  <c r="CP214" i="5"/>
  <c r="CP127" i="5"/>
  <c r="CP103" i="5"/>
  <c r="BE214" i="5"/>
  <c r="BE127" i="5"/>
  <c r="BE103" i="5"/>
  <c r="EY214" i="5"/>
  <c r="EY127" i="5"/>
  <c r="EY103" i="5"/>
  <c r="K214" i="5"/>
  <c r="K127" i="5"/>
  <c r="K103" i="5"/>
  <c r="FW214" i="5"/>
  <c r="FW127" i="5"/>
  <c r="FW103" i="5"/>
  <c r="FQ214" i="5"/>
  <c r="FQ127" i="5"/>
  <c r="FQ103" i="5"/>
  <c r="CL214" i="5"/>
  <c r="CL127" i="5"/>
  <c r="CL103" i="5"/>
  <c r="BL214" i="5"/>
  <c r="BL127" i="5"/>
  <c r="BL103" i="5"/>
  <c r="FM214" i="5"/>
  <c r="FM127" i="5"/>
  <c r="FM103" i="5"/>
  <c r="EK146" i="3"/>
  <c r="EK148" i="3" s="1"/>
  <c r="FA146" i="3"/>
  <c r="FA148" i="3" s="1"/>
  <c r="CK146" i="3"/>
  <c r="CK148" i="3" s="1"/>
  <c r="FH217" i="3"/>
  <c r="EW146" i="3"/>
  <c r="EW148" i="3" s="1"/>
  <c r="FE217" i="3"/>
  <c r="CK217" i="3"/>
  <c r="DB217" i="3"/>
  <c r="CZ217" i="3"/>
  <c r="DO217" i="3"/>
  <c r="AU217" i="3"/>
  <c r="CU214" i="3"/>
  <c r="CU127" i="3"/>
  <c r="CU103" i="3"/>
  <c r="CT214" i="3"/>
  <c r="CT127" i="3"/>
  <c r="CT103" i="3"/>
  <c r="FO217" i="3"/>
  <c r="CU217" i="3"/>
  <c r="AA217" i="3"/>
  <c r="EO214" i="3"/>
  <c r="EO127" i="3"/>
  <c r="EO103" i="3"/>
  <c r="DQ217" i="3"/>
  <c r="AW217" i="3"/>
  <c r="AW214" i="3"/>
  <c r="AW127" i="3"/>
  <c r="AW103" i="3"/>
  <c r="AA214" i="3"/>
  <c r="AA127" i="3"/>
  <c r="AA103" i="3"/>
  <c r="AT214" i="3"/>
  <c r="AT127" i="3"/>
  <c r="AT103" i="3"/>
  <c r="DY214" i="3"/>
  <c r="DY103" i="3"/>
  <c r="DY127" i="3"/>
  <c r="DJ214" i="3"/>
  <c r="DJ127" i="3"/>
  <c r="DJ103" i="3"/>
  <c r="EB214" i="3"/>
  <c r="EB127" i="3"/>
  <c r="EB103" i="3"/>
  <c r="AU214" i="3"/>
  <c r="AU127" i="3"/>
  <c r="AU103" i="3"/>
  <c r="EZ214" i="3"/>
  <c r="EZ127" i="3"/>
  <c r="EZ103" i="3"/>
  <c r="G214" i="3"/>
  <c r="G127" i="3"/>
  <c r="G103" i="3"/>
  <c r="BZ214" i="3"/>
  <c r="BZ127" i="3"/>
  <c r="BZ103" i="3"/>
  <c r="ER214" i="3"/>
  <c r="ER127" i="3"/>
  <c r="ER103" i="3"/>
  <c r="AV97" i="2"/>
  <c r="FK124" i="2"/>
  <c r="FK130" i="2"/>
  <c r="FK79" i="2"/>
  <c r="FK85" i="2"/>
  <c r="FV130" i="2"/>
  <c r="FV124" i="2"/>
  <c r="FV79" i="2"/>
  <c r="FV85" i="2"/>
  <c r="AH130" i="2"/>
  <c r="AH124" i="2"/>
  <c r="AH79" i="2"/>
  <c r="AH85" i="2"/>
  <c r="AG136" i="2"/>
  <c r="AG80" i="2"/>
  <c r="CJ97" i="2"/>
  <c r="DJ97" i="2"/>
  <c r="AP97" i="2"/>
  <c r="CO130" i="2"/>
  <c r="CO85" i="2"/>
  <c r="CO124" i="2"/>
  <c r="CO79" i="2"/>
  <c r="EI97" i="2"/>
  <c r="BO97" i="2"/>
  <c r="FQ97" i="2"/>
  <c r="CW97" i="2"/>
  <c r="AC97" i="2"/>
  <c r="BS97" i="2"/>
  <c r="AY97" i="2"/>
  <c r="BH124" i="2"/>
  <c r="BH130" i="2"/>
  <c r="BH79" i="2"/>
  <c r="BH85" i="2"/>
  <c r="BD130" i="2"/>
  <c r="BD124" i="2"/>
  <c r="BD85" i="2"/>
  <c r="BD79" i="2"/>
  <c r="BD97" i="2" s="1"/>
  <c r="BG214" i="5"/>
  <c r="BG127" i="5"/>
  <c r="BG103" i="5"/>
  <c r="AX214" i="5"/>
  <c r="AX127" i="5"/>
  <c r="AX103" i="5"/>
  <c r="FL214" i="5"/>
  <c r="FL127" i="5"/>
  <c r="FL103" i="5"/>
  <c r="X214" i="5"/>
  <c r="X127" i="5"/>
  <c r="X103" i="5"/>
  <c r="D132" i="4"/>
  <c r="D133" i="4"/>
  <c r="FC214" i="5"/>
  <c r="FC103" i="5"/>
  <c r="FC127" i="5"/>
  <c r="CD214" i="5"/>
  <c r="CD127" i="5"/>
  <c r="CD103" i="5"/>
  <c r="EM214" i="5"/>
  <c r="EM127" i="5"/>
  <c r="EM103" i="5"/>
  <c r="FU214" i="5"/>
  <c r="FU127" i="5"/>
  <c r="FU103" i="5"/>
  <c r="FS214" i="5"/>
  <c r="FS127" i="5"/>
  <c r="FS103" i="5"/>
  <c r="AE214" i="5"/>
  <c r="AE127" i="5"/>
  <c r="AE103" i="5"/>
  <c r="FE214" i="5"/>
  <c r="FE127" i="5"/>
  <c r="FE103" i="5"/>
  <c r="Q214" i="5"/>
  <c r="Q127" i="5"/>
  <c r="Q103" i="5"/>
  <c r="BN214" i="5"/>
  <c r="BN127" i="5"/>
  <c r="BN103" i="5"/>
  <c r="AZ214" i="5"/>
  <c r="AZ127" i="5"/>
  <c r="AZ103" i="5"/>
  <c r="EC214" i="5"/>
  <c r="EC127" i="5"/>
  <c r="EC103" i="5"/>
  <c r="AR146" i="3"/>
  <c r="AR148" i="3" s="1"/>
  <c r="BD217" i="3"/>
  <c r="FZ105" i="3"/>
  <c r="N214" i="3"/>
  <c r="N127" i="3"/>
  <c r="N103" i="3"/>
  <c r="AM214" i="3"/>
  <c r="AM127" i="3"/>
  <c r="AM103" i="3"/>
  <c r="FV214" i="3"/>
  <c r="FV127" i="3"/>
  <c r="FV103" i="3"/>
  <c r="AH214" i="3"/>
  <c r="AH127" i="3"/>
  <c r="AH103" i="3"/>
  <c r="DM214" i="3"/>
  <c r="DM127" i="3"/>
  <c r="DM103" i="3"/>
  <c r="BQ217" i="3"/>
  <c r="DP214" i="3"/>
  <c r="DP127" i="3"/>
  <c r="DP103" i="3"/>
  <c r="FW214" i="3"/>
  <c r="FW127" i="3"/>
  <c r="FW103" i="3"/>
  <c r="AI214" i="3"/>
  <c r="AI127" i="3"/>
  <c r="AI103" i="3"/>
  <c r="CR214" i="3"/>
  <c r="CR127" i="3"/>
  <c r="CR103" i="3"/>
  <c r="CI214" i="3"/>
  <c r="CI127" i="3"/>
  <c r="CI103" i="3"/>
  <c r="F214" i="3"/>
  <c r="F127" i="3"/>
  <c r="F103" i="3"/>
  <c r="CK214" i="3"/>
  <c r="CK127" i="3"/>
  <c r="CK103" i="3"/>
  <c r="EF214" i="3"/>
  <c r="EF127" i="3"/>
  <c r="EF103" i="3"/>
  <c r="BU214" i="3"/>
  <c r="BU127" i="3"/>
  <c r="BU103" i="3"/>
  <c r="DD97" i="2"/>
  <c r="EL97" i="2"/>
  <c r="BR97" i="2"/>
  <c r="CC97" i="2"/>
  <c r="EY124" i="2"/>
  <c r="EY130" i="2"/>
  <c r="EY79" i="2"/>
  <c r="EY85" i="2"/>
  <c r="FJ130" i="2"/>
  <c r="FJ124" i="2"/>
  <c r="FJ79" i="2"/>
  <c r="FJ85" i="2"/>
  <c r="V130" i="2"/>
  <c r="V124" i="2"/>
  <c r="V79" i="2"/>
  <c r="V85" i="2"/>
  <c r="BQ130" i="2"/>
  <c r="BQ85" i="2"/>
  <c r="BQ124" i="2"/>
  <c r="BQ79" i="2"/>
  <c r="L124" i="2"/>
  <c r="L130" i="2"/>
  <c r="L79" i="2"/>
  <c r="L85" i="2"/>
  <c r="ED97" i="2"/>
  <c r="BJ97" i="2"/>
  <c r="H130" i="2"/>
  <c r="H124" i="2"/>
  <c r="H85" i="2"/>
  <c r="H79" i="2"/>
  <c r="AW97" i="2"/>
  <c r="BY214" i="5"/>
  <c r="BY127" i="5"/>
  <c r="BY103" i="5"/>
  <c r="DX214" i="3"/>
  <c r="DX127" i="3"/>
  <c r="DX103" i="3"/>
  <c r="BV214" i="3"/>
  <c r="BV127" i="3"/>
  <c r="BV103" i="3"/>
  <c r="AD217" i="5"/>
  <c r="DP217" i="5"/>
  <c r="AV217" i="5"/>
  <c r="AF214" i="5"/>
  <c r="AF127" i="5"/>
  <c r="AF103" i="5"/>
  <c r="AL214" i="5"/>
  <c r="AL127" i="5"/>
  <c r="AL103" i="5"/>
  <c r="FO96" i="5"/>
  <c r="C215" i="5"/>
  <c r="C173" i="5"/>
  <c r="C177" i="5" s="1"/>
  <c r="FN41" i="5"/>
  <c r="FB41" i="5"/>
  <c r="EP41" i="5"/>
  <c r="ED41" i="5"/>
  <c r="DR41" i="5"/>
  <c r="DF41" i="5"/>
  <c r="CT41" i="5"/>
  <c r="CH41" i="5"/>
  <c r="BV41" i="5"/>
  <c r="BJ41" i="5"/>
  <c r="AX41" i="5"/>
  <c r="AL41" i="5"/>
  <c r="Z41" i="5"/>
  <c r="N41" i="5"/>
  <c r="FM41" i="5"/>
  <c r="FA41" i="5"/>
  <c r="EO41" i="5"/>
  <c r="EC41" i="5"/>
  <c r="DQ41" i="5"/>
  <c r="DE41" i="5"/>
  <c r="CS41" i="5"/>
  <c r="CG41" i="5"/>
  <c r="BU41" i="5"/>
  <c r="BI41" i="5"/>
  <c r="AW41" i="5"/>
  <c r="AK41" i="5"/>
  <c r="Y41" i="5"/>
  <c r="M41" i="5"/>
  <c r="FX41" i="5"/>
  <c r="FL41" i="5"/>
  <c r="EZ41" i="5"/>
  <c r="EN41" i="5"/>
  <c r="EB41" i="5"/>
  <c r="DP41" i="5"/>
  <c r="DD41" i="5"/>
  <c r="CR41" i="5"/>
  <c r="CF41" i="5"/>
  <c r="BT41" i="5"/>
  <c r="BH41" i="5"/>
  <c r="AV41" i="5"/>
  <c r="AJ41" i="5"/>
  <c r="X41" i="5"/>
  <c r="L41" i="5"/>
  <c r="FW41" i="5"/>
  <c r="FK41" i="5"/>
  <c r="EY41" i="5"/>
  <c r="EM41" i="5"/>
  <c r="EA41" i="5"/>
  <c r="DO41" i="5"/>
  <c r="DC41" i="5"/>
  <c r="CQ41" i="5"/>
  <c r="CE41" i="5"/>
  <c r="BS41" i="5"/>
  <c r="BG41" i="5"/>
  <c r="AU41" i="5"/>
  <c r="AI41" i="5"/>
  <c r="W41" i="5"/>
  <c r="K41" i="5"/>
  <c r="FV41" i="5"/>
  <c r="FJ41" i="5"/>
  <c r="EX41" i="5"/>
  <c r="EL41" i="5"/>
  <c r="DZ41" i="5"/>
  <c r="DN41" i="5"/>
  <c r="DB41" i="5"/>
  <c r="CP41" i="5"/>
  <c r="CD41" i="5"/>
  <c r="BR41" i="5"/>
  <c r="BF41" i="5"/>
  <c r="AT41" i="5"/>
  <c r="AH41" i="5"/>
  <c r="V41" i="5"/>
  <c r="J41" i="5"/>
  <c r="FU41" i="5"/>
  <c r="FI41" i="5"/>
  <c r="EW41" i="5"/>
  <c r="EK41" i="5"/>
  <c r="DY41" i="5"/>
  <c r="DM41" i="5"/>
  <c r="DA41" i="5"/>
  <c r="CO41" i="5"/>
  <c r="CC41" i="5"/>
  <c r="BQ41" i="5"/>
  <c r="BE41" i="5"/>
  <c r="AS41" i="5"/>
  <c r="AG41" i="5"/>
  <c r="U41" i="5"/>
  <c r="I41" i="5"/>
  <c r="FT41" i="5"/>
  <c r="FH41" i="5"/>
  <c r="EV41" i="5"/>
  <c r="EJ41" i="5"/>
  <c r="DX41" i="5"/>
  <c r="DL41" i="5"/>
  <c r="CZ41" i="5"/>
  <c r="CN41" i="5"/>
  <c r="CB41" i="5"/>
  <c r="BP41" i="5"/>
  <c r="BD41" i="5"/>
  <c r="AR41" i="5"/>
  <c r="AF41" i="5"/>
  <c r="T41" i="5"/>
  <c r="H41" i="5"/>
  <c r="FS41" i="5"/>
  <c r="FG41" i="5"/>
  <c r="EU41" i="5"/>
  <c r="EI41" i="5"/>
  <c r="DW41" i="5"/>
  <c r="DK41" i="5"/>
  <c r="CY41" i="5"/>
  <c r="CM41" i="5"/>
  <c r="CA41" i="5"/>
  <c r="BO41" i="5"/>
  <c r="BC41" i="5"/>
  <c r="AQ41" i="5"/>
  <c r="AE41" i="5"/>
  <c r="S41" i="5"/>
  <c r="G41" i="5"/>
  <c r="FR41" i="5"/>
  <c r="FF41" i="5"/>
  <c r="ET41" i="5"/>
  <c r="EH41" i="5"/>
  <c r="DV41" i="5"/>
  <c r="DJ41" i="5"/>
  <c r="CX41" i="5"/>
  <c r="CL41" i="5"/>
  <c r="BZ41" i="5"/>
  <c r="BN41" i="5"/>
  <c r="BB41" i="5"/>
  <c r="AP41" i="5"/>
  <c r="AD41" i="5"/>
  <c r="R41" i="5"/>
  <c r="F41" i="5"/>
  <c r="FQ41" i="5"/>
  <c r="FE41" i="5"/>
  <c r="ES41" i="5"/>
  <c r="EG41" i="5"/>
  <c r="DU41" i="5"/>
  <c r="DI41" i="5"/>
  <c r="CW41" i="5"/>
  <c r="CK41" i="5"/>
  <c r="BY41" i="5"/>
  <c r="BM41" i="5"/>
  <c r="BA41" i="5"/>
  <c r="AO41" i="5"/>
  <c r="AC41" i="5"/>
  <c r="Q41" i="5"/>
  <c r="E41" i="5"/>
  <c r="FP41" i="5"/>
  <c r="FD41" i="5"/>
  <c r="ER41" i="5"/>
  <c r="EF41" i="5"/>
  <c r="DT41" i="5"/>
  <c r="DH41" i="5"/>
  <c r="CV41" i="5"/>
  <c r="CJ41" i="5"/>
  <c r="BX41" i="5"/>
  <c r="BL41" i="5"/>
  <c r="AZ41" i="5"/>
  <c r="AN41" i="5"/>
  <c r="AB41" i="5"/>
  <c r="P41" i="5"/>
  <c r="D41" i="5"/>
  <c r="FO41" i="5"/>
  <c r="FC41" i="5"/>
  <c r="EQ41" i="5"/>
  <c r="EE41" i="5"/>
  <c r="DS41" i="5"/>
  <c r="DG41" i="5"/>
  <c r="CU41" i="5"/>
  <c r="CI41" i="5"/>
  <c r="BW41" i="5"/>
  <c r="BK41" i="5"/>
  <c r="AY41" i="5"/>
  <c r="AM41" i="5"/>
  <c r="AA41" i="5"/>
  <c r="O41" i="5"/>
  <c r="EZ90" i="5"/>
  <c r="EZ96" i="5" s="1"/>
  <c r="L90" i="5"/>
  <c r="L96" i="5" s="1"/>
  <c r="BR214" i="5"/>
  <c r="BR127" i="5"/>
  <c r="BR103" i="5"/>
  <c r="FV214" i="5"/>
  <c r="FV127" i="5"/>
  <c r="FV103" i="5"/>
  <c r="AG214" i="5"/>
  <c r="AG127" i="5"/>
  <c r="AG103" i="5"/>
  <c r="EA214" i="5"/>
  <c r="EA127" i="5"/>
  <c r="EA103" i="5"/>
  <c r="FG214" i="5"/>
  <c r="FG127" i="5"/>
  <c r="FG103" i="5"/>
  <c r="S214" i="5"/>
  <c r="S127" i="5"/>
  <c r="S103" i="5"/>
  <c r="ES214" i="5"/>
  <c r="ES127" i="5"/>
  <c r="ES103" i="5"/>
  <c r="E214" i="5"/>
  <c r="E127" i="5"/>
  <c r="E103" i="5"/>
  <c r="BB214" i="5"/>
  <c r="BB127" i="5"/>
  <c r="BB103" i="5"/>
  <c r="AN214" i="5"/>
  <c r="AN127" i="5"/>
  <c r="AN103" i="5"/>
  <c r="DE214" i="5"/>
  <c r="DE127" i="5"/>
  <c r="DE103" i="5"/>
  <c r="AM96" i="5"/>
  <c r="EJ217" i="3"/>
  <c r="FW217" i="3"/>
  <c r="DC217" i="3"/>
  <c r="AI217" i="3"/>
  <c r="FC217" i="3"/>
  <c r="CI217" i="3"/>
  <c r="O217" i="3"/>
  <c r="DE214" i="3"/>
  <c r="DE127" i="3"/>
  <c r="DE103" i="3"/>
  <c r="FJ214" i="3"/>
  <c r="FJ103" i="3"/>
  <c r="FJ127" i="3"/>
  <c r="V214" i="3"/>
  <c r="V127" i="3"/>
  <c r="V103" i="3"/>
  <c r="EV214" i="3"/>
  <c r="EV127" i="3"/>
  <c r="EV103" i="3"/>
  <c r="AY214" i="3"/>
  <c r="AY127" i="3"/>
  <c r="AY103" i="3"/>
  <c r="CL214" i="3"/>
  <c r="CL127" i="3"/>
  <c r="CL103" i="3"/>
  <c r="AJ214" i="3"/>
  <c r="AJ127" i="3"/>
  <c r="AJ103" i="3"/>
  <c r="FK214" i="3"/>
  <c r="FK127" i="3"/>
  <c r="FK103" i="3"/>
  <c r="W214" i="3"/>
  <c r="W127" i="3"/>
  <c r="W103" i="3"/>
  <c r="CF214" i="3"/>
  <c r="CF127" i="3"/>
  <c r="CF103" i="3"/>
  <c r="T214" i="3"/>
  <c r="T127" i="3"/>
  <c r="T103" i="3"/>
  <c r="FZ65" i="2"/>
  <c r="FM90" i="3"/>
  <c r="FM96" i="3" s="1"/>
  <c r="FX124" i="2"/>
  <c r="FX130" i="2"/>
  <c r="FX85" i="2"/>
  <c r="FX79" i="2"/>
  <c r="FX97" i="2" s="1"/>
  <c r="CZ97" i="2"/>
  <c r="AF97" i="2"/>
  <c r="EM124" i="2"/>
  <c r="EM130" i="2"/>
  <c r="EM79" i="2"/>
  <c r="EM85" i="2"/>
  <c r="EX130" i="2"/>
  <c r="EX124" i="2"/>
  <c r="EX79" i="2"/>
  <c r="EX85" i="2"/>
  <c r="J130" i="2"/>
  <c r="J124" i="2"/>
  <c r="J79" i="2"/>
  <c r="J85" i="2"/>
  <c r="AD97" i="2"/>
  <c r="AS130" i="2"/>
  <c r="AS85" i="2"/>
  <c r="AS124" i="2"/>
  <c r="AS79" i="2"/>
  <c r="FE97" i="2"/>
  <c r="CK97" i="2"/>
  <c r="K97" i="2"/>
  <c r="AM97" i="2"/>
  <c r="FP97" i="2"/>
  <c r="FZ63" i="2"/>
  <c r="C67" i="2"/>
  <c r="AR136" i="2"/>
  <c r="AR80" i="2"/>
  <c r="EH214" i="5"/>
  <c r="EH127" i="5"/>
  <c r="EH103" i="5"/>
  <c r="FW217" i="5"/>
  <c r="DC217" i="5"/>
  <c r="AI217" i="5"/>
  <c r="C105" i="5"/>
  <c r="FZ105" i="5" s="1"/>
  <c r="FZ94" i="5"/>
  <c r="DW217" i="5"/>
  <c r="DU217" i="5"/>
  <c r="BA217" i="5"/>
  <c r="FM217" i="5"/>
  <c r="CS217" i="5"/>
  <c r="Y217" i="5"/>
  <c r="FN217" i="5"/>
  <c r="CT217" i="5"/>
  <c r="Z217" i="5"/>
  <c r="FN214" i="5"/>
  <c r="FN127" i="5"/>
  <c r="FN103" i="5"/>
  <c r="Z214" i="5"/>
  <c r="Z127" i="5"/>
  <c r="Z103" i="5"/>
  <c r="DS96" i="5"/>
  <c r="EN214" i="5"/>
  <c r="EN127" i="5"/>
  <c r="EN103" i="5"/>
  <c r="DY217" i="5"/>
  <c r="BE217" i="5"/>
  <c r="BK96" i="5"/>
  <c r="EG214" i="5"/>
  <c r="EG127" i="5"/>
  <c r="EG103" i="5"/>
  <c r="FT12" i="5"/>
  <c r="D114" i="4"/>
  <c r="D77" i="4"/>
  <c r="AB214" i="5"/>
  <c r="AB127" i="5"/>
  <c r="AB103" i="5"/>
  <c r="FA214" i="5"/>
  <c r="FA127" i="5"/>
  <c r="FA103" i="5"/>
  <c r="CG214" i="5"/>
  <c r="CG127" i="5"/>
  <c r="CG103" i="5"/>
  <c r="BJ146" i="3"/>
  <c r="BJ148" i="3" s="1"/>
  <c r="FC146" i="3"/>
  <c r="FC148" i="3" s="1"/>
  <c r="FQ146" i="3"/>
  <c r="FQ148" i="3" s="1"/>
  <c r="CD217" i="3"/>
  <c r="DY217" i="3"/>
  <c r="T217" i="3"/>
  <c r="CN217" i="3"/>
  <c r="FX217" i="3"/>
  <c r="DD217" i="3"/>
  <c r="AJ217" i="3"/>
  <c r="DH217" i="3"/>
  <c r="FZ291" i="3"/>
  <c r="C305" i="3"/>
  <c r="CS214" i="3"/>
  <c r="CS127" i="3"/>
  <c r="CS103" i="3"/>
  <c r="EX214" i="3"/>
  <c r="EX127" i="3"/>
  <c r="EX103" i="3"/>
  <c r="J214" i="3"/>
  <c r="J127" i="3"/>
  <c r="J103" i="3"/>
  <c r="BD214" i="3"/>
  <c r="BD127" i="3"/>
  <c r="BD103" i="3"/>
  <c r="CO214" i="3"/>
  <c r="CO127" i="3"/>
  <c r="CO103" i="3"/>
  <c r="BE217" i="3"/>
  <c r="BT214" i="3"/>
  <c r="BT127" i="3"/>
  <c r="BT103" i="3"/>
  <c r="EU214" i="3"/>
  <c r="EU127" i="3"/>
  <c r="EU103" i="3"/>
  <c r="C39" i="3"/>
  <c r="B2" i="2"/>
  <c r="DS97" i="2" s="1"/>
  <c r="FZ24" i="3"/>
  <c r="C86" i="3"/>
  <c r="FZ86" i="3" s="1"/>
  <c r="BF97" i="2"/>
  <c r="BQ97" i="2"/>
  <c r="EB124" i="2"/>
  <c r="EB130" i="2"/>
  <c r="EB85" i="2"/>
  <c r="EB79" i="2"/>
  <c r="EA124" i="2"/>
  <c r="EA130" i="2"/>
  <c r="EA79" i="2"/>
  <c r="EA85" i="2"/>
  <c r="EL130" i="2"/>
  <c r="EL124" i="2"/>
  <c r="EL79" i="2"/>
  <c r="EL85" i="2"/>
  <c r="FL124" i="2"/>
  <c r="FL130" i="2"/>
  <c r="FL79" i="2"/>
  <c r="FL85" i="2"/>
  <c r="EJ136" i="2"/>
  <c r="EJ80" i="2"/>
  <c r="BX97" i="2"/>
  <c r="AX97" i="2"/>
  <c r="AB97" i="2"/>
  <c r="DE97" i="2"/>
  <c r="EL214" i="5"/>
  <c r="EL127" i="5"/>
  <c r="EL103" i="5"/>
  <c r="EQ214" i="3"/>
  <c r="EQ127" i="3"/>
  <c r="EQ103" i="3"/>
  <c r="C139" i="5"/>
  <c r="EJ217" i="5"/>
  <c r="BP217" i="5"/>
  <c r="CX217" i="5"/>
  <c r="EF217" i="5"/>
  <c r="BL217" i="5"/>
  <c r="FX217" i="5"/>
  <c r="DD217" i="5"/>
  <c r="AJ217" i="5"/>
  <c r="FB214" i="5"/>
  <c r="FB127" i="5"/>
  <c r="FB103" i="5"/>
  <c r="N214" i="5"/>
  <c r="N127" i="5"/>
  <c r="N103" i="5"/>
  <c r="BW96" i="5"/>
  <c r="EB90" i="5"/>
  <c r="EB96" i="5" s="1"/>
  <c r="FT13" i="5"/>
  <c r="D106" i="4"/>
  <c r="D73" i="4"/>
  <c r="O96" i="5"/>
  <c r="AT214" i="5"/>
  <c r="AT127" i="5"/>
  <c r="AT103" i="5"/>
  <c r="EW214" i="5"/>
  <c r="EW127" i="5"/>
  <c r="EW103" i="5"/>
  <c r="I214" i="5"/>
  <c r="I127" i="5"/>
  <c r="I103" i="5"/>
  <c r="DC214" i="5"/>
  <c r="DC127" i="5"/>
  <c r="DC103" i="5"/>
  <c r="EI214" i="5"/>
  <c r="EI127" i="5"/>
  <c r="EI103" i="5"/>
  <c r="FR214" i="5"/>
  <c r="FR127" i="5"/>
  <c r="FR103" i="5"/>
  <c r="DU214" i="5"/>
  <c r="DU127" i="5"/>
  <c r="DU103" i="5"/>
  <c r="AD214" i="5"/>
  <c r="AD127" i="5"/>
  <c r="AD103" i="5"/>
  <c r="BI214" i="5"/>
  <c r="BI127" i="5"/>
  <c r="BI103" i="5"/>
  <c r="P214" i="5"/>
  <c r="P127" i="5"/>
  <c r="P103" i="5"/>
  <c r="BU214" i="5"/>
  <c r="BU127" i="5"/>
  <c r="BU103" i="5"/>
  <c r="Z146" i="3"/>
  <c r="Z148" i="3" s="1"/>
  <c r="AG146" i="3"/>
  <c r="AG148" i="3" s="1"/>
  <c r="AU146" i="3"/>
  <c r="AU148" i="3" s="1"/>
  <c r="CL146" i="3"/>
  <c r="CL148" i="3" s="1"/>
  <c r="AH217" i="3"/>
  <c r="DK217" i="3"/>
  <c r="DJ217" i="3"/>
  <c r="AP217" i="3"/>
  <c r="CO146" i="3"/>
  <c r="CO148" i="3" s="1"/>
  <c r="AR217" i="3"/>
  <c r="FK217" i="3"/>
  <c r="CQ217" i="3"/>
  <c r="W217" i="3"/>
  <c r="EQ217" i="3"/>
  <c r="BW217" i="3"/>
  <c r="C217" i="3"/>
  <c r="FZ101" i="3"/>
  <c r="CG214" i="3"/>
  <c r="CG127" i="3"/>
  <c r="CG103" i="3"/>
  <c r="FM217" i="3"/>
  <c r="CS217" i="3"/>
  <c r="Y217" i="3"/>
  <c r="EL90" i="3"/>
  <c r="EL96" i="3" s="1"/>
  <c r="H214" i="3"/>
  <c r="H127" i="3"/>
  <c r="H103" i="3"/>
  <c r="CC214" i="3"/>
  <c r="CC103" i="3"/>
  <c r="CC127" i="3"/>
  <c r="BB214" i="3"/>
  <c r="BB127" i="3"/>
  <c r="BB103" i="3"/>
  <c r="EM214" i="3"/>
  <c r="EM127" i="3"/>
  <c r="EM103" i="3"/>
  <c r="EI214" i="3"/>
  <c r="EI127" i="3"/>
  <c r="EI103" i="3"/>
  <c r="AO214" i="3"/>
  <c r="AO127" i="3"/>
  <c r="AO103" i="3"/>
  <c r="CJ214" i="3"/>
  <c r="CJ127" i="3"/>
  <c r="CJ103" i="3"/>
  <c r="C86" i="5"/>
  <c r="FZ24" i="5"/>
  <c r="CR97" i="2"/>
  <c r="CF124" i="2"/>
  <c r="CF130" i="2"/>
  <c r="CF85" i="2"/>
  <c r="CF79" i="2"/>
  <c r="AJ124" i="2"/>
  <c r="AJ130" i="2"/>
  <c r="AJ85" i="2"/>
  <c r="AJ79" i="2"/>
  <c r="FH97" i="2"/>
  <c r="T97" i="2"/>
  <c r="DO124" i="2"/>
  <c r="DO130" i="2"/>
  <c r="DO79" i="2"/>
  <c r="DO85" i="2"/>
  <c r="DZ130" i="2"/>
  <c r="DZ124" i="2"/>
  <c r="DZ79" i="2"/>
  <c r="DZ97" i="2" s="1"/>
  <c r="DZ85" i="2"/>
  <c r="BT124" i="2"/>
  <c r="BT130" i="2"/>
  <c r="BT79" i="2"/>
  <c r="BT97" i="2" s="1"/>
  <c r="BT85" i="2"/>
  <c r="FF97" i="2"/>
  <c r="CL97" i="2"/>
  <c r="R97" i="2"/>
  <c r="U136" i="2"/>
  <c r="U80" i="2"/>
  <c r="DK97" i="2"/>
  <c r="AQ97" i="2"/>
  <c r="ES97" i="2"/>
  <c r="BY97" i="2"/>
  <c r="E97" i="2"/>
  <c r="BL97" i="2"/>
  <c r="FO97" i="2"/>
  <c r="AA97" i="2"/>
  <c r="CN136" i="2"/>
  <c r="CN80" i="2"/>
  <c r="DF214" i="5"/>
  <c r="DF127" i="5"/>
  <c r="DF103" i="5"/>
  <c r="CZ214" i="5"/>
  <c r="CZ127" i="5"/>
  <c r="CZ103" i="5"/>
  <c r="EE214" i="5"/>
  <c r="EE103" i="5"/>
  <c r="EE127" i="5"/>
  <c r="P214" i="3"/>
  <c r="P127" i="3"/>
  <c r="P103" i="3"/>
  <c r="C319" i="5"/>
  <c r="FZ319" i="5" s="1"/>
  <c r="FZ305" i="5"/>
  <c r="GB305" i="5" s="1"/>
  <c r="FK217" i="5"/>
  <c r="CQ217" i="5"/>
  <c r="W217" i="5"/>
  <c r="DI217" i="5"/>
  <c r="AO217" i="5"/>
  <c r="FA217" i="5"/>
  <c r="CG217" i="5"/>
  <c r="M217" i="5"/>
  <c r="FB217" i="5"/>
  <c r="CH217" i="5"/>
  <c r="N217" i="5"/>
  <c r="EP214" i="5"/>
  <c r="EP127" i="5"/>
  <c r="EP103" i="5"/>
  <c r="AA96" i="5"/>
  <c r="DP214" i="5"/>
  <c r="DP127" i="5"/>
  <c r="DP103" i="5"/>
  <c r="DM217" i="5"/>
  <c r="AS217" i="5"/>
  <c r="AH214" i="5"/>
  <c r="AH127" i="5"/>
  <c r="AH103" i="5"/>
  <c r="EK214" i="5"/>
  <c r="EK127" i="5"/>
  <c r="EK103" i="5"/>
  <c r="D158" i="4"/>
  <c r="DW214" i="5"/>
  <c r="DW127" i="5"/>
  <c r="DW103" i="5"/>
  <c r="DI214" i="5"/>
  <c r="DI127" i="5"/>
  <c r="DI103" i="5"/>
  <c r="R214" i="5"/>
  <c r="R127" i="5"/>
  <c r="R103" i="5"/>
  <c r="ER214" i="5"/>
  <c r="ER127" i="5"/>
  <c r="ER103" i="5"/>
  <c r="FZ11" i="5"/>
  <c r="D179" i="4"/>
  <c r="D168" i="4"/>
  <c r="AK214" i="5"/>
  <c r="AK127" i="5"/>
  <c r="AK103" i="5"/>
  <c r="EQ146" i="3"/>
  <c r="EQ148" i="3" s="1"/>
  <c r="CV217" i="3"/>
  <c r="AB217" i="3"/>
  <c r="FZ172" i="3"/>
  <c r="DZ214" i="3"/>
  <c r="DZ127" i="3"/>
  <c r="DZ103" i="3"/>
  <c r="FN214" i="3"/>
  <c r="FN127" i="3"/>
  <c r="FN103" i="3"/>
  <c r="BQ214" i="3"/>
  <c r="BQ103" i="3"/>
  <c r="BQ127" i="3"/>
  <c r="DM217" i="3"/>
  <c r="AS217" i="3"/>
  <c r="AR214" i="3"/>
  <c r="AR127" i="3"/>
  <c r="AR103" i="3"/>
  <c r="AP214" i="3"/>
  <c r="AP127" i="3"/>
  <c r="AP103" i="3"/>
  <c r="FC214" i="3"/>
  <c r="FC127" i="3"/>
  <c r="FC103" i="3"/>
  <c r="DW214" i="3"/>
  <c r="DW127" i="3"/>
  <c r="DW103" i="3"/>
  <c r="BL214" i="3"/>
  <c r="BL127" i="3"/>
  <c r="BL103" i="3"/>
  <c r="FG214" i="3"/>
  <c r="FG127" i="3"/>
  <c r="FG103" i="3"/>
  <c r="EZ97" i="2"/>
  <c r="CF97" i="2"/>
  <c r="L97" i="2"/>
  <c r="AT97" i="2"/>
  <c r="BG124" i="2"/>
  <c r="BG130" i="2"/>
  <c r="BG79" i="2"/>
  <c r="BG97" i="2" s="1"/>
  <c r="BG85" i="2"/>
  <c r="DO97" i="2"/>
  <c r="BE97" i="2"/>
  <c r="K124" i="2"/>
  <c r="K130" i="2"/>
  <c r="K79" i="2"/>
  <c r="K85" i="2"/>
  <c r="DC124" i="2"/>
  <c r="DC130" i="2"/>
  <c r="DC79" i="2"/>
  <c r="DC85" i="2"/>
  <c r="DN130" i="2"/>
  <c r="DN124" i="2"/>
  <c r="DN79" i="2"/>
  <c r="DN97" i="2" s="1"/>
  <c r="DN85" i="2"/>
  <c r="FU130" i="2"/>
  <c r="FU85" i="2"/>
  <c r="FU79" i="2"/>
  <c r="FU124" i="2"/>
  <c r="I136" i="2"/>
  <c r="I80" i="2"/>
  <c r="AN97" i="2"/>
  <c r="DF97" i="2"/>
  <c r="AL97" i="2"/>
  <c r="FM97" i="2"/>
  <c r="CS97" i="2"/>
  <c r="Y97" i="2"/>
  <c r="FD97" i="2"/>
  <c r="AG214" i="3"/>
  <c r="AG127" i="3"/>
  <c r="AG103" i="3"/>
  <c r="FQ214" i="3"/>
  <c r="FQ127" i="3"/>
  <c r="FQ103" i="3"/>
  <c r="DB217" i="5"/>
  <c r="AH217" i="5"/>
  <c r="FR217" i="5"/>
  <c r="DT217" i="5"/>
  <c r="AZ217" i="5"/>
  <c r="FL217" i="5"/>
  <c r="CR217" i="5"/>
  <c r="X217" i="5"/>
  <c r="ED214" i="5"/>
  <c r="ED127" i="5"/>
  <c r="ED103" i="5"/>
  <c r="D81" i="4"/>
  <c r="DD214" i="5"/>
  <c r="DD127" i="5"/>
  <c r="DD103" i="5"/>
  <c r="FH214" i="5"/>
  <c r="FH127" i="5"/>
  <c r="FH103" i="5"/>
  <c r="FJ214" i="5"/>
  <c r="FJ127" i="5"/>
  <c r="FJ103" i="5"/>
  <c r="V214" i="5"/>
  <c r="V127" i="5"/>
  <c r="V103" i="5"/>
  <c r="DY214" i="5"/>
  <c r="DY127" i="5"/>
  <c r="DY103" i="5"/>
  <c r="D166" i="4"/>
  <c r="D180" i="4"/>
  <c r="CE214" i="5"/>
  <c r="CE127" i="5"/>
  <c r="CE103" i="5"/>
  <c r="CW214" i="5"/>
  <c r="CW127" i="5"/>
  <c r="CW103" i="5"/>
  <c r="BZ214" i="5"/>
  <c r="BZ127" i="5"/>
  <c r="BZ103" i="5"/>
  <c r="EF214" i="5"/>
  <c r="EF127" i="5"/>
  <c r="EF103" i="5"/>
  <c r="D214" i="5"/>
  <c r="D127" i="5"/>
  <c r="D103" i="5"/>
  <c r="AD146" i="3"/>
  <c r="AD148" i="3" s="1"/>
  <c r="EY217" i="3"/>
  <c r="CE217" i="3"/>
  <c r="K217" i="3"/>
  <c r="EE217" i="3"/>
  <c r="BK217" i="3"/>
  <c r="DS214" i="3"/>
  <c r="DS127" i="3"/>
  <c r="DS103" i="3"/>
  <c r="AK214" i="3"/>
  <c r="AK127" i="3"/>
  <c r="AK103" i="3"/>
  <c r="FA217" i="3"/>
  <c r="CG217" i="3"/>
  <c r="M217" i="3"/>
  <c r="DN214" i="3"/>
  <c r="DN127" i="3"/>
  <c r="DN103" i="3"/>
  <c r="DG214" i="3"/>
  <c r="DG127" i="3"/>
  <c r="DG103" i="3"/>
  <c r="BE214" i="3"/>
  <c r="BE103" i="3"/>
  <c r="BE127" i="3"/>
  <c r="ED214" i="3"/>
  <c r="ED127" i="3"/>
  <c r="ED103" i="3"/>
  <c r="O214" i="3"/>
  <c r="O127" i="3"/>
  <c r="O103" i="3"/>
  <c r="DR214" i="3"/>
  <c r="DR127" i="3"/>
  <c r="DR103" i="3"/>
  <c r="DO214" i="3"/>
  <c r="DO127" i="3"/>
  <c r="DO103" i="3"/>
  <c r="L214" i="3"/>
  <c r="L127" i="3"/>
  <c r="L103" i="3"/>
  <c r="BX214" i="3"/>
  <c r="BX127" i="3"/>
  <c r="BX103" i="3"/>
  <c r="Q214" i="3"/>
  <c r="Q127" i="3"/>
  <c r="Q103" i="3"/>
  <c r="AZ214" i="3"/>
  <c r="AZ127" i="3"/>
  <c r="AZ103" i="3"/>
  <c r="DD214" i="3"/>
  <c r="DD127" i="3"/>
  <c r="DD103" i="3"/>
  <c r="BO214" i="3"/>
  <c r="BO127" i="3"/>
  <c r="BO103" i="3"/>
  <c r="AI124" i="2"/>
  <c r="AI130" i="2"/>
  <c r="AI79" i="2"/>
  <c r="AI97" i="2" s="1"/>
  <c r="AI85" i="2"/>
  <c r="EV97" i="2"/>
  <c r="CB97" i="2"/>
  <c r="H97" i="2"/>
  <c r="CQ124" i="2"/>
  <c r="CQ130" i="2"/>
  <c r="CQ79" i="2"/>
  <c r="CQ97" i="2" s="1"/>
  <c r="CQ85" i="2"/>
  <c r="DB130" i="2"/>
  <c r="DB124" i="2"/>
  <c r="DB79" i="2"/>
  <c r="DB97" i="2" s="1"/>
  <c r="DB85" i="2"/>
  <c r="EW130" i="2"/>
  <c r="EW85" i="2"/>
  <c r="EW79" i="2"/>
  <c r="EW124" i="2"/>
  <c r="ET97" i="2"/>
  <c r="BZ97" i="2"/>
  <c r="F97" i="2"/>
  <c r="FS97" i="2"/>
  <c r="CY97" i="2"/>
  <c r="EG97" i="2"/>
  <c r="BM97" i="2"/>
  <c r="FH136" i="2"/>
  <c r="FH80" i="2"/>
  <c r="FC97" i="2"/>
  <c r="CI97" i="2"/>
  <c r="O97" i="2"/>
  <c r="C85" i="4"/>
  <c r="C124" i="4"/>
  <c r="C130" i="4"/>
  <c r="C79" i="4"/>
  <c r="DH214" i="5"/>
  <c r="DH127" i="5"/>
  <c r="DH103" i="5"/>
  <c r="CP214" i="3"/>
  <c r="CP127" i="3"/>
  <c r="CP103" i="3"/>
  <c r="CA214" i="3"/>
  <c r="CA127" i="3"/>
  <c r="CA103" i="3"/>
  <c r="CY217" i="5"/>
  <c r="DR214" i="5"/>
  <c r="DR127" i="5"/>
  <c r="DR103" i="5"/>
  <c r="CR214" i="5"/>
  <c r="CR127" i="5"/>
  <c r="CR103" i="5"/>
  <c r="DA217" i="5"/>
  <c r="AG217" i="5"/>
  <c r="EX214" i="5"/>
  <c r="EX127" i="5"/>
  <c r="EX103" i="5"/>
  <c r="J214" i="5"/>
  <c r="J127" i="5"/>
  <c r="J103" i="5"/>
  <c r="BS214" i="5"/>
  <c r="BS127" i="5"/>
  <c r="BS103" i="5"/>
  <c r="EQ96" i="5"/>
  <c r="CY214" i="5"/>
  <c r="CY127" i="5"/>
  <c r="CY103" i="5"/>
  <c r="CK214" i="5"/>
  <c r="CK127" i="5"/>
  <c r="CK103" i="5"/>
  <c r="FF214" i="5"/>
  <c r="FF127" i="5"/>
  <c r="FF103" i="5"/>
  <c r="DT214" i="5"/>
  <c r="DT127" i="5"/>
  <c r="DT103" i="5"/>
  <c r="M214" i="5"/>
  <c r="M127" i="5"/>
  <c r="M103" i="5"/>
  <c r="ET214" i="5"/>
  <c r="ET127" i="5"/>
  <c r="ET103" i="5"/>
  <c r="BF146" i="3"/>
  <c r="BF148" i="3" s="1"/>
  <c r="DV146" i="3"/>
  <c r="DV148" i="3" s="1"/>
  <c r="BR217" i="3"/>
  <c r="DK146" i="3"/>
  <c r="DK148" i="3" s="1"/>
  <c r="DR217" i="3"/>
  <c r="AX217" i="3"/>
  <c r="Q217" i="3"/>
  <c r="FT214" i="3"/>
  <c r="FT127" i="3"/>
  <c r="FT103" i="3"/>
  <c r="P217" i="3"/>
  <c r="FZ166" i="3"/>
  <c r="M214" i="3"/>
  <c r="M127" i="3"/>
  <c r="M103" i="3"/>
  <c r="DB214" i="3"/>
  <c r="DB127" i="3"/>
  <c r="DB103" i="3"/>
  <c r="Z214" i="3"/>
  <c r="Z127" i="3"/>
  <c r="Z103" i="3"/>
  <c r="AS214" i="3"/>
  <c r="AS127" i="3"/>
  <c r="AS103" i="3"/>
  <c r="DA217" i="3"/>
  <c r="AG217" i="3"/>
  <c r="R214" i="3"/>
  <c r="R127" i="3"/>
  <c r="R103" i="3"/>
  <c r="CH214" i="3"/>
  <c r="CH127" i="3"/>
  <c r="CH103" i="3"/>
  <c r="DC214" i="3"/>
  <c r="DC127" i="3"/>
  <c r="DC103" i="3"/>
  <c r="CM214" i="3"/>
  <c r="CM127" i="3"/>
  <c r="CM103" i="3"/>
  <c r="BH214" i="3"/>
  <c r="BH127" i="3"/>
  <c r="BH103" i="3"/>
  <c r="S214" i="3"/>
  <c r="S127" i="3"/>
  <c r="S103" i="3"/>
  <c r="FV97" i="2"/>
  <c r="AH97" i="2"/>
  <c r="AU97" i="2"/>
  <c r="DT97" i="2"/>
  <c r="DM97" i="2"/>
  <c r="FT130" i="2"/>
  <c r="FT124" i="2"/>
  <c r="FT85" i="2"/>
  <c r="FT79" i="2"/>
  <c r="FT97" i="2" s="1"/>
  <c r="CE124" i="2"/>
  <c r="CE130" i="2"/>
  <c r="CE79" i="2"/>
  <c r="CE85" i="2"/>
  <c r="EY97" i="2"/>
  <c r="CV97" i="2"/>
  <c r="CP130" i="2"/>
  <c r="CP124" i="2"/>
  <c r="CP79" i="2"/>
  <c r="CP97" i="2" s="1"/>
  <c r="CP85" i="2"/>
  <c r="DY130" i="2"/>
  <c r="DY85" i="2"/>
  <c r="DY124" i="2"/>
  <c r="DY79" i="2"/>
  <c r="DP124" i="2"/>
  <c r="DP130" i="2"/>
  <c r="DP79" i="2"/>
  <c r="DP97" i="2" s="1"/>
  <c r="DP85" i="2"/>
  <c r="FN97" i="2"/>
  <c r="CT97" i="2"/>
  <c r="Z97" i="2"/>
  <c r="FA97" i="2"/>
  <c r="CG97" i="2"/>
  <c r="CR124" i="2"/>
  <c r="CR130" i="2"/>
  <c r="CR85" i="2"/>
  <c r="CR79" i="2"/>
  <c r="D182" i="4" l="1"/>
  <c r="FT16" i="5"/>
  <c r="FT85" i="5" s="1"/>
  <c r="FT90" i="5" s="1"/>
  <c r="FT96" i="5" s="1"/>
  <c r="FZ179" i="5"/>
  <c r="FZ180" i="5"/>
  <c r="C319" i="3"/>
  <c r="FZ319" i="3" s="1"/>
  <c r="FZ305" i="3"/>
  <c r="GB305" i="3" s="1"/>
  <c r="FK191" i="3"/>
  <c r="FK207" i="3"/>
  <c r="FK184" i="3"/>
  <c r="FK150" i="3"/>
  <c r="FK162" i="3" s="1"/>
  <c r="FK152" i="3"/>
  <c r="FK154" i="3"/>
  <c r="FK112" i="3"/>
  <c r="FK104" i="3"/>
  <c r="FK115" i="3"/>
  <c r="FK122" i="3" s="1"/>
  <c r="FK109" i="3"/>
  <c r="FK111" i="3" s="1"/>
  <c r="FK142" i="3"/>
  <c r="FK144" i="3"/>
  <c r="AA215" i="5"/>
  <c r="AA173" i="5"/>
  <c r="AI215" i="5"/>
  <c r="AI173" i="5"/>
  <c r="CX136" i="2"/>
  <c r="CX80" i="2"/>
  <c r="BD207" i="5"/>
  <c r="BD191" i="5"/>
  <c r="BD184" i="5"/>
  <c r="BD150" i="5"/>
  <c r="BD115" i="5"/>
  <c r="BD122" i="5" s="1"/>
  <c r="BD104" i="5"/>
  <c r="BD112" i="5"/>
  <c r="BD109" i="5"/>
  <c r="BD111" i="5" s="1"/>
  <c r="BT207" i="5"/>
  <c r="BT191" i="5"/>
  <c r="BT184" i="5"/>
  <c r="BT152" i="5"/>
  <c r="BT112" i="5"/>
  <c r="BT115" i="5"/>
  <c r="BT122" i="5" s="1"/>
  <c r="BT104" i="5"/>
  <c r="BT109" i="5"/>
  <c r="BT111" i="5" s="1"/>
  <c r="BC136" i="2"/>
  <c r="BC80" i="2"/>
  <c r="U207" i="5"/>
  <c r="U191" i="5"/>
  <c r="U184" i="5"/>
  <c r="U152" i="5"/>
  <c r="U115" i="5"/>
  <c r="U122" i="5" s="1"/>
  <c r="U112" i="5"/>
  <c r="U104" i="5"/>
  <c r="U109" i="5"/>
  <c r="U111" i="5" s="1"/>
  <c r="U113" i="5" s="1"/>
  <c r="U123" i="5" s="1"/>
  <c r="EO136" i="2"/>
  <c r="EO80" i="2"/>
  <c r="Q80" i="2"/>
  <c r="Q136" i="2"/>
  <c r="M136" i="2"/>
  <c r="M80" i="2"/>
  <c r="X337" i="3"/>
  <c r="X207" i="3"/>
  <c r="X184" i="3"/>
  <c r="X191" i="3"/>
  <c r="X152" i="3"/>
  <c r="X112" i="3"/>
  <c r="X115" i="3"/>
  <c r="X122" i="3" s="1"/>
  <c r="X104" i="3"/>
  <c r="X142" i="3"/>
  <c r="X146" i="3" s="1"/>
  <c r="X148" i="3" s="1"/>
  <c r="X109" i="3"/>
  <c r="X111" i="3" s="1"/>
  <c r="X144" i="3"/>
  <c r="FQ80" i="2"/>
  <c r="FQ136" i="2"/>
  <c r="AK136" i="2"/>
  <c r="AK80" i="2"/>
  <c r="BA136" i="2"/>
  <c r="BA80" i="2"/>
  <c r="AZ136" i="2"/>
  <c r="AZ80" i="2"/>
  <c r="EU207" i="5"/>
  <c r="EU191" i="5"/>
  <c r="EU184" i="5"/>
  <c r="EU150" i="5"/>
  <c r="EU112" i="5"/>
  <c r="EU115" i="5"/>
  <c r="EU122" i="5" s="1"/>
  <c r="EU104" i="5"/>
  <c r="EU109" i="5"/>
  <c r="EU111" i="5" s="1"/>
  <c r="BP337" i="3"/>
  <c r="BP207" i="3"/>
  <c r="BP184" i="3"/>
  <c r="BP191" i="3"/>
  <c r="BP115" i="3"/>
  <c r="BP122" i="3" s="1"/>
  <c r="BP152" i="3"/>
  <c r="BP112" i="3"/>
  <c r="BP104" i="3"/>
  <c r="BP142" i="3"/>
  <c r="BP109" i="3"/>
  <c r="BP111" i="3" s="1"/>
  <c r="BP144" i="3"/>
  <c r="BY337" i="3"/>
  <c r="BY342" i="3" s="1"/>
  <c r="BY207" i="3"/>
  <c r="BY184" i="3"/>
  <c r="BY191" i="3"/>
  <c r="BY152" i="3"/>
  <c r="BY112" i="3"/>
  <c r="BY104" i="3"/>
  <c r="BY115" i="3"/>
  <c r="BY122" i="3" s="1"/>
  <c r="BY144" i="3"/>
  <c r="BY142" i="3"/>
  <c r="BY109" i="3"/>
  <c r="BY111" i="3" s="1"/>
  <c r="DI184" i="3"/>
  <c r="DI191" i="3"/>
  <c r="DI152" i="3"/>
  <c r="DI207" i="3"/>
  <c r="DI150" i="3"/>
  <c r="DI154" i="3" s="1"/>
  <c r="DI112" i="3"/>
  <c r="DI115" i="3"/>
  <c r="DI122" i="3" s="1"/>
  <c r="DI104" i="3"/>
  <c r="DI109" i="3"/>
  <c r="DI111" i="3" s="1"/>
  <c r="DI144" i="3"/>
  <c r="DI142" i="3"/>
  <c r="DY136" i="2"/>
  <c r="DY80" i="2"/>
  <c r="DB337" i="3"/>
  <c r="DB207" i="3"/>
  <c r="DB184" i="3"/>
  <c r="DB158" i="3"/>
  <c r="DB191" i="3"/>
  <c r="DB156" i="3"/>
  <c r="DB152" i="3"/>
  <c r="DB112" i="3"/>
  <c r="DB154" i="3"/>
  <c r="DB104" i="3"/>
  <c r="DB115" i="3"/>
  <c r="DB122" i="3" s="1"/>
  <c r="DB124" i="3" s="1"/>
  <c r="DB167" i="3" s="1"/>
  <c r="DB168" i="3" s="1"/>
  <c r="DB169" i="3" s="1"/>
  <c r="DB225" i="3" s="1"/>
  <c r="DB109" i="3"/>
  <c r="DB111" i="3" s="1"/>
  <c r="DB113" i="3" s="1"/>
  <c r="DB123" i="3" s="1"/>
  <c r="EX207" i="5"/>
  <c r="EX191" i="5"/>
  <c r="EX184" i="5"/>
  <c r="EX152" i="5"/>
  <c r="EX112" i="5"/>
  <c r="EX115" i="5"/>
  <c r="EX122" i="5" s="1"/>
  <c r="EX104" i="5"/>
  <c r="EX109" i="5"/>
  <c r="EX111" i="5" s="1"/>
  <c r="BE337" i="3"/>
  <c r="BE191" i="3"/>
  <c r="BE184" i="3"/>
  <c r="BE150" i="3"/>
  <c r="BE207" i="3"/>
  <c r="BE112" i="3"/>
  <c r="BE115" i="3"/>
  <c r="BE122" i="3" s="1"/>
  <c r="BE104" i="3"/>
  <c r="BE109" i="3"/>
  <c r="BE111" i="3" s="1"/>
  <c r="D207" i="5"/>
  <c r="D184" i="5"/>
  <c r="D191" i="5"/>
  <c r="D150" i="5"/>
  <c r="D104" i="5"/>
  <c r="D112" i="5"/>
  <c r="D115" i="5"/>
  <c r="D122" i="5" s="1"/>
  <c r="D109" i="5"/>
  <c r="D111" i="5" s="1"/>
  <c r="V207" i="5"/>
  <c r="V191" i="5"/>
  <c r="V184" i="5"/>
  <c r="V112" i="5"/>
  <c r="V152" i="5"/>
  <c r="V115" i="5"/>
  <c r="V122" i="5" s="1"/>
  <c r="V104" i="5"/>
  <c r="V109" i="5"/>
  <c r="V111" i="5" s="1"/>
  <c r="V113" i="5" s="1"/>
  <c r="V123" i="5" s="1"/>
  <c r="AK207" i="5"/>
  <c r="AK191" i="5"/>
  <c r="AK184" i="5"/>
  <c r="AK152" i="5"/>
  <c r="AK115" i="5"/>
  <c r="AK122" i="5" s="1"/>
  <c r="AK104" i="5"/>
  <c r="AK112" i="5"/>
  <c r="AK109" i="5"/>
  <c r="AK111" i="5" s="1"/>
  <c r="R207" i="5"/>
  <c r="R191" i="5"/>
  <c r="R184" i="5"/>
  <c r="R150" i="5"/>
  <c r="R115" i="5"/>
  <c r="R122" i="5" s="1"/>
  <c r="R124" i="5" s="1"/>
  <c r="R167" i="5" s="1"/>
  <c r="R168" i="5" s="1"/>
  <c r="R169" i="5" s="1"/>
  <c r="R225" i="5" s="1"/>
  <c r="R112" i="5"/>
  <c r="R104" i="5"/>
  <c r="R109" i="5"/>
  <c r="R111" i="5" s="1"/>
  <c r="R113" i="5" s="1"/>
  <c r="R123" i="5" s="1"/>
  <c r="AJ136" i="2"/>
  <c r="AJ80" i="2"/>
  <c r="FZ217" i="3"/>
  <c r="FR207" i="5"/>
  <c r="FR191" i="5"/>
  <c r="FR184" i="5"/>
  <c r="FR152" i="5"/>
  <c r="FR112" i="5"/>
  <c r="FR115" i="5"/>
  <c r="FR122" i="5" s="1"/>
  <c r="FR104" i="5"/>
  <c r="FR109" i="5"/>
  <c r="FR111" i="5" s="1"/>
  <c r="I207" i="5"/>
  <c r="I191" i="5"/>
  <c r="I184" i="5"/>
  <c r="I150" i="5"/>
  <c r="I115" i="5"/>
  <c r="I122" i="5" s="1"/>
  <c r="I112" i="5"/>
  <c r="I104" i="5"/>
  <c r="I109" i="5"/>
  <c r="I111" i="5" s="1"/>
  <c r="FT176" i="5"/>
  <c r="FT97" i="5"/>
  <c r="FZ97" i="5" s="1"/>
  <c r="FZ13" i="5"/>
  <c r="EQ337" i="3"/>
  <c r="EQ207" i="3"/>
  <c r="EQ184" i="3"/>
  <c r="EQ150" i="3"/>
  <c r="EQ191" i="3"/>
  <c r="EQ115" i="3"/>
  <c r="EQ122" i="3" s="1"/>
  <c r="EQ124" i="3" s="1"/>
  <c r="EQ167" i="3" s="1"/>
  <c r="EQ168" i="3" s="1"/>
  <c r="EQ169" i="3" s="1"/>
  <c r="EQ225" i="3" s="1"/>
  <c r="EQ112" i="3"/>
  <c r="EQ104" i="3"/>
  <c r="EQ109" i="3"/>
  <c r="EQ111" i="3" s="1"/>
  <c r="EQ113" i="3" s="1"/>
  <c r="EQ123" i="3" s="1"/>
  <c r="EA136" i="2"/>
  <c r="EA80" i="2"/>
  <c r="CG207" i="5"/>
  <c r="CG191" i="5"/>
  <c r="CG184" i="5"/>
  <c r="CG152" i="5"/>
  <c r="CG115" i="5"/>
  <c r="CG122" i="5" s="1"/>
  <c r="CG104" i="5"/>
  <c r="CG112" i="5"/>
  <c r="CG109" i="5"/>
  <c r="CG111" i="5" s="1"/>
  <c r="CG113" i="5" s="1"/>
  <c r="CG123" i="5" s="1"/>
  <c r="FT172" i="5"/>
  <c r="FZ172" i="5" s="1"/>
  <c r="FT101" i="5"/>
  <c r="FZ12" i="5"/>
  <c r="DE207" i="5"/>
  <c r="DE191" i="5"/>
  <c r="DE184" i="5"/>
  <c r="DE152" i="5"/>
  <c r="DE115" i="5"/>
  <c r="DE122" i="5" s="1"/>
  <c r="DE104" i="5"/>
  <c r="DE112" i="5"/>
  <c r="DE109" i="5"/>
  <c r="DE111" i="5" s="1"/>
  <c r="DE113" i="5" s="1"/>
  <c r="DE123" i="5" s="1"/>
  <c r="ES207" i="5"/>
  <c r="ES191" i="5"/>
  <c r="ES184" i="5"/>
  <c r="ES152" i="5"/>
  <c r="ES115" i="5"/>
  <c r="ES122" i="5" s="1"/>
  <c r="ES112" i="5"/>
  <c r="ES104" i="5"/>
  <c r="ES109" i="5"/>
  <c r="ES111" i="5" s="1"/>
  <c r="L214" i="5"/>
  <c r="L219" i="5" s="1"/>
  <c r="L228" i="5" s="1"/>
  <c r="L127" i="5"/>
  <c r="L103" i="5"/>
  <c r="AM215" i="5"/>
  <c r="AM173" i="5"/>
  <c r="D215" i="5"/>
  <c r="D173" i="5"/>
  <c r="ER215" i="5"/>
  <c r="ER173" i="5"/>
  <c r="DI215" i="5"/>
  <c r="DI173" i="5"/>
  <c r="BZ215" i="5"/>
  <c r="BZ173" i="5"/>
  <c r="AQ215" i="5"/>
  <c r="AQ219" i="5" s="1"/>
  <c r="AQ228" i="5" s="1"/>
  <c r="AQ173" i="5"/>
  <c r="H215" i="5"/>
  <c r="H173" i="5"/>
  <c r="EV215" i="5"/>
  <c r="EV173" i="5"/>
  <c r="DM215" i="5"/>
  <c r="DM173" i="5"/>
  <c r="CD215" i="5"/>
  <c r="CD173" i="5"/>
  <c r="AU215" i="5"/>
  <c r="AU173" i="5"/>
  <c r="L215" i="5"/>
  <c r="L173" i="5"/>
  <c r="EZ215" i="5"/>
  <c r="EZ173" i="5"/>
  <c r="DQ215" i="5"/>
  <c r="DQ173" i="5"/>
  <c r="CH215" i="5"/>
  <c r="CH173" i="5"/>
  <c r="BV337" i="3"/>
  <c r="BV207" i="3"/>
  <c r="BV191" i="3"/>
  <c r="BV184" i="3"/>
  <c r="BV150" i="3"/>
  <c r="BV115" i="3"/>
  <c r="BV122" i="3" s="1"/>
  <c r="BV112" i="3"/>
  <c r="BV104" i="3"/>
  <c r="BV109" i="3"/>
  <c r="BV111" i="3" s="1"/>
  <c r="AG137" i="2"/>
  <c r="AG138" i="2"/>
  <c r="FK136" i="2"/>
  <c r="FK80" i="2"/>
  <c r="FM207" i="5"/>
  <c r="FM191" i="5"/>
  <c r="FM184" i="5"/>
  <c r="FM150" i="5"/>
  <c r="FM115" i="5"/>
  <c r="FM122" i="5" s="1"/>
  <c r="FM104" i="5"/>
  <c r="FM112" i="5"/>
  <c r="FM109" i="5"/>
  <c r="FM111" i="5" s="1"/>
  <c r="FW207" i="5"/>
  <c r="FW191" i="5"/>
  <c r="FW184" i="5"/>
  <c r="FW152" i="5"/>
  <c r="FW115" i="5"/>
  <c r="FW122" i="5" s="1"/>
  <c r="FW112" i="5"/>
  <c r="FW104" i="5"/>
  <c r="FW109" i="5"/>
  <c r="FW111" i="5" s="1"/>
  <c r="DM136" i="2"/>
  <c r="DM80" i="2"/>
  <c r="EN136" i="2"/>
  <c r="EN80" i="2"/>
  <c r="FX337" i="3"/>
  <c r="FX207" i="3"/>
  <c r="FX191" i="3"/>
  <c r="FX184" i="3"/>
  <c r="FX152" i="3"/>
  <c r="FX158" i="3"/>
  <c r="FX112" i="3"/>
  <c r="FX156" i="3"/>
  <c r="FX115" i="3"/>
  <c r="FX122" i="3" s="1"/>
  <c r="FX154" i="3"/>
  <c r="FX104" i="3"/>
  <c r="FX109" i="3"/>
  <c r="FX111" i="3" s="1"/>
  <c r="BI136" i="2"/>
  <c r="BI80" i="2"/>
  <c r="BP207" i="5"/>
  <c r="BP191" i="5"/>
  <c r="BP184" i="5"/>
  <c r="BP152" i="5"/>
  <c r="BP115" i="5"/>
  <c r="BP122" i="5" s="1"/>
  <c r="BP104" i="5"/>
  <c r="BP112" i="5"/>
  <c r="BP109" i="5"/>
  <c r="BP111" i="5" s="1"/>
  <c r="CC136" i="2"/>
  <c r="CC80" i="2"/>
  <c r="AU136" i="2"/>
  <c r="AU80" i="2"/>
  <c r="FI207" i="3"/>
  <c r="FI191" i="3"/>
  <c r="FI150" i="3"/>
  <c r="FI162" i="3" s="1"/>
  <c r="FI152" i="3"/>
  <c r="FI154" i="3"/>
  <c r="FI184" i="3"/>
  <c r="FI112" i="3"/>
  <c r="FI115" i="3"/>
  <c r="FI122" i="3" s="1"/>
  <c r="FI104" i="3"/>
  <c r="FI142" i="3"/>
  <c r="FI109" i="3"/>
  <c r="FI111" i="3" s="1"/>
  <c r="FI144" i="3"/>
  <c r="AC191" i="5"/>
  <c r="AC207" i="5"/>
  <c r="AC184" i="5"/>
  <c r="AC150" i="5"/>
  <c r="AC115" i="5"/>
  <c r="AC122" i="5" s="1"/>
  <c r="AC112" i="5"/>
  <c r="AC104" i="5"/>
  <c r="AC109" i="5"/>
  <c r="AC111" i="5" s="1"/>
  <c r="CQ207" i="5"/>
  <c r="CQ184" i="5"/>
  <c r="CQ191" i="5"/>
  <c r="CQ150" i="5"/>
  <c r="CQ115" i="5"/>
  <c r="CQ122" i="5" s="1"/>
  <c r="CQ112" i="5"/>
  <c r="CQ104" i="5"/>
  <c r="CQ109" i="5"/>
  <c r="CQ111" i="5" s="1"/>
  <c r="DT136" i="2"/>
  <c r="DT80" i="2"/>
  <c r="AC337" i="3"/>
  <c r="AC207" i="3"/>
  <c r="AC184" i="3"/>
  <c r="AC191" i="3"/>
  <c r="AC150" i="3"/>
  <c r="AC112" i="3"/>
  <c r="AC104" i="3"/>
  <c r="AC115" i="3"/>
  <c r="AC122" i="3" s="1"/>
  <c r="AC124" i="3" s="1"/>
  <c r="AC167" i="3" s="1"/>
  <c r="AC168" i="3" s="1"/>
  <c r="AC169" i="3" s="1"/>
  <c r="AC225" i="3" s="1"/>
  <c r="AC109" i="3"/>
  <c r="AC111" i="3" s="1"/>
  <c r="AC113" i="3" s="1"/>
  <c r="AC123" i="3" s="1"/>
  <c r="CY337" i="3"/>
  <c r="CY184" i="3"/>
  <c r="CY207" i="3"/>
  <c r="CY191" i="3"/>
  <c r="CY152" i="3"/>
  <c r="CY115" i="3"/>
  <c r="CY122" i="3" s="1"/>
  <c r="CY104" i="3"/>
  <c r="CY112" i="3"/>
  <c r="CY109" i="3"/>
  <c r="CY111" i="3" s="1"/>
  <c r="CY113" i="3" s="1"/>
  <c r="CY123" i="3" s="1"/>
  <c r="CY144" i="3"/>
  <c r="CY142" i="3"/>
  <c r="CY146" i="3" s="1"/>
  <c r="CY148" i="3" s="1"/>
  <c r="E80" i="2"/>
  <c r="E136" i="2"/>
  <c r="BW337" i="3"/>
  <c r="BW207" i="3"/>
  <c r="BW184" i="3"/>
  <c r="BW150" i="3"/>
  <c r="BW191" i="3"/>
  <c r="BW115" i="3"/>
  <c r="BW122" i="3" s="1"/>
  <c r="BW112" i="3"/>
  <c r="BW104" i="3"/>
  <c r="BW109" i="3"/>
  <c r="BW111" i="3" s="1"/>
  <c r="S136" i="2"/>
  <c r="S80" i="2"/>
  <c r="FP219" i="5"/>
  <c r="FP228" i="5" s="1"/>
  <c r="DQ219" i="5"/>
  <c r="DQ228" i="5" s="1"/>
  <c r="DL207" i="3"/>
  <c r="DL184" i="3"/>
  <c r="DL191" i="3"/>
  <c r="DL104" i="3"/>
  <c r="DL152" i="3"/>
  <c r="DL115" i="3"/>
  <c r="DL122" i="3" s="1"/>
  <c r="DL150" i="3"/>
  <c r="DL112" i="3"/>
  <c r="DL144" i="3"/>
  <c r="DL142" i="3"/>
  <c r="DL109" i="3"/>
  <c r="DL111" i="3" s="1"/>
  <c r="DL113" i="3" s="1"/>
  <c r="DL123" i="3" s="1"/>
  <c r="ET136" i="2"/>
  <c r="ET80" i="2"/>
  <c r="AB337" i="3"/>
  <c r="AB207" i="3"/>
  <c r="AB191" i="3"/>
  <c r="AB184" i="3"/>
  <c r="AB150" i="3"/>
  <c r="AB115" i="3"/>
  <c r="AB122" i="3" s="1"/>
  <c r="AB124" i="3" s="1"/>
  <c r="AB167" i="3" s="1"/>
  <c r="AB168" i="3" s="1"/>
  <c r="AB169" i="3" s="1"/>
  <c r="AB225" i="3" s="1"/>
  <c r="AB112" i="3"/>
  <c r="AB104" i="3"/>
  <c r="AB109" i="3"/>
  <c r="AB111" i="3" s="1"/>
  <c r="AB113" i="3" s="1"/>
  <c r="AB123" i="3" s="1"/>
  <c r="EG337" i="3"/>
  <c r="EG207" i="3"/>
  <c r="EG184" i="3"/>
  <c r="EG191" i="3"/>
  <c r="EG152" i="3"/>
  <c r="EG104" i="3"/>
  <c r="EG112" i="3"/>
  <c r="EG115" i="3"/>
  <c r="EG122" i="3" s="1"/>
  <c r="EG109" i="3"/>
  <c r="EG111" i="3" s="1"/>
  <c r="EG113" i="3" s="1"/>
  <c r="EG123" i="3" s="1"/>
  <c r="EG144" i="3"/>
  <c r="EG142" i="3"/>
  <c r="EG146" i="3" s="1"/>
  <c r="EG148" i="3" s="1"/>
  <c r="BG191" i="3"/>
  <c r="BG184" i="3"/>
  <c r="BG207" i="3"/>
  <c r="BG150" i="3"/>
  <c r="BG152" i="3"/>
  <c r="BG154" i="3" s="1"/>
  <c r="BG112" i="3"/>
  <c r="BG104" i="3"/>
  <c r="BG115" i="3"/>
  <c r="BG122" i="3" s="1"/>
  <c r="BG144" i="3"/>
  <c r="BG109" i="3"/>
  <c r="BG111" i="3" s="1"/>
  <c r="BG142" i="3"/>
  <c r="BG146" i="3" s="1"/>
  <c r="BG148" i="3" s="1"/>
  <c r="BL136" i="2"/>
  <c r="BL80" i="2"/>
  <c r="FD191" i="5"/>
  <c r="FD184" i="5"/>
  <c r="FD207" i="5"/>
  <c r="FD152" i="5"/>
  <c r="FD104" i="5"/>
  <c r="FD115" i="5"/>
  <c r="FD122" i="5" s="1"/>
  <c r="FD112" i="5"/>
  <c r="FD109" i="5"/>
  <c r="FD111" i="5" s="1"/>
  <c r="H207" i="5"/>
  <c r="H191" i="5"/>
  <c r="H184" i="5"/>
  <c r="H150" i="5"/>
  <c r="H115" i="5"/>
  <c r="H122" i="5" s="1"/>
  <c r="H104" i="5"/>
  <c r="H112" i="5"/>
  <c r="H109" i="5"/>
  <c r="H111" i="5" s="1"/>
  <c r="H113" i="5" s="1"/>
  <c r="H123" i="5" s="1"/>
  <c r="CG136" i="2"/>
  <c r="CG80" i="2"/>
  <c r="K337" i="3"/>
  <c r="K191" i="3"/>
  <c r="K184" i="3"/>
  <c r="K207" i="3"/>
  <c r="K152" i="3"/>
  <c r="K112" i="3"/>
  <c r="K104" i="3"/>
  <c r="K115" i="3"/>
  <c r="K122" i="3" s="1"/>
  <c r="K109" i="3"/>
  <c r="K111" i="3" s="1"/>
  <c r="K142" i="3"/>
  <c r="K146" i="3" s="1"/>
  <c r="K148" i="3" s="1"/>
  <c r="K144" i="3"/>
  <c r="ET207" i="5"/>
  <c r="ET191" i="5"/>
  <c r="ET152" i="5"/>
  <c r="ET184" i="5"/>
  <c r="ET112" i="5"/>
  <c r="ET115" i="5"/>
  <c r="ET122" i="5" s="1"/>
  <c r="ET104" i="5"/>
  <c r="ET109" i="5"/>
  <c r="ET111" i="5" s="1"/>
  <c r="AG337" i="3"/>
  <c r="AG191" i="3"/>
  <c r="AG150" i="3"/>
  <c r="AG207" i="3"/>
  <c r="AG184" i="3"/>
  <c r="AG112" i="3"/>
  <c r="AG115" i="3"/>
  <c r="AG122" i="3" s="1"/>
  <c r="AG104" i="3"/>
  <c r="AG109" i="3"/>
  <c r="AG111" i="3" s="1"/>
  <c r="AG113" i="3" s="1"/>
  <c r="AG123" i="3" s="1"/>
  <c r="CW215" i="5"/>
  <c r="CW219" i="5" s="1"/>
  <c r="CW228" i="5" s="1"/>
  <c r="CW173" i="5"/>
  <c r="DA215" i="5"/>
  <c r="DA173" i="5"/>
  <c r="EN215" i="5"/>
  <c r="EN173" i="5"/>
  <c r="CN191" i="5"/>
  <c r="CN207" i="5"/>
  <c r="CN184" i="5"/>
  <c r="CN150" i="5"/>
  <c r="CN115" i="5"/>
  <c r="CN122" i="5" s="1"/>
  <c r="CN112" i="5"/>
  <c r="CN104" i="5"/>
  <c r="CN109" i="5"/>
  <c r="CN111" i="5" s="1"/>
  <c r="CE136" i="2"/>
  <c r="CE80" i="2"/>
  <c r="C80" i="4"/>
  <c r="C136" i="4"/>
  <c r="BT337" i="3"/>
  <c r="BT207" i="3"/>
  <c r="BT184" i="3"/>
  <c r="BT191" i="3"/>
  <c r="BT152" i="3"/>
  <c r="BT158" i="3"/>
  <c r="BT112" i="3"/>
  <c r="BT154" i="3"/>
  <c r="BT115" i="3"/>
  <c r="BT122" i="3" s="1"/>
  <c r="BT156" i="3"/>
  <c r="BT104" i="3"/>
  <c r="BT109" i="3"/>
  <c r="BT111" i="3" s="1"/>
  <c r="BT113" i="3" s="1"/>
  <c r="BT123" i="3" s="1"/>
  <c r="P215" i="5"/>
  <c r="P219" i="5" s="1"/>
  <c r="P228" i="5" s="1"/>
  <c r="P173" i="5"/>
  <c r="BH136" i="2"/>
  <c r="BH80" i="2"/>
  <c r="FW136" i="2"/>
  <c r="FW80" i="2"/>
  <c r="DT337" i="3"/>
  <c r="DT207" i="3"/>
  <c r="DT191" i="3"/>
  <c r="DT152" i="3"/>
  <c r="DT184" i="3"/>
  <c r="DT115" i="3"/>
  <c r="DT122" i="3" s="1"/>
  <c r="DT104" i="3"/>
  <c r="DT112" i="3"/>
  <c r="DT142" i="3"/>
  <c r="DT109" i="3"/>
  <c r="DT111" i="3" s="1"/>
  <c r="DT144" i="3"/>
  <c r="EK136" i="2"/>
  <c r="EK80" i="2"/>
  <c r="D207" i="3"/>
  <c r="D191" i="3"/>
  <c r="D152" i="3"/>
  <c r="D184" i="3"/>
  <c r="D150" i="3"/>
  <c r="D115" i="3"/>
  <c r="D122" i="3" s="1"/>
  <c r="D112" i="3"/>
  <c r="D104" i="3"/>
  <c r="D142" i="3"/>
  <c r="D146" i="3" s="1"/>
  <c r="D148" i="3" s="1"/>
  <c r="D109" i="3"/>
  <c r="D111" i="3" s="1"/>
  <c r="D144" i="3"/>
  <c r="DV207" i="5"/>
  <c r="DV191" i="5"/>
  <c r="DV184" i="5"/>
  <c r="DV152" i="5"/>
  <c r="DV112" i="5"/>
  <c r="DV115" i="5"/>
  <c r="DV122" i="5" s="1"/>
  <c r="DV104" i="5"/>
  <c r="DV109" i="5"/>
  <c r="DV111" i="5" s="1"/>
  <c r="DV113" i="5" s="1"/>
  <c r="DV123" i="5" s="1"/>
  <c r="CM136" i="2"/>
  <c r="CM80" i="2"/>
  <c r="CU136" i="2"/>
  <c r="CU80" i="2"/>
  <c r="AU207" i="5"/>
  <c r="AU191" i="5"/>
  <c r="AU184" i="5"/>
  <c r="AU152" i="5"/>
  <c r="AU115" i="5"/>
  <c r="AU122" i="5" s="1"/>
  <c r="AU112" i="5"/>
  <c r="AU104" i="5"/>
  <c r="AU109" i="5"/>
  <c r="AU111" i="5" s="1"/>
  <c r="AU113" i="5" s="1"/>
  <c r="AU123" i="5" s="1"/>
  <c r="CA191" i="5"/>
  <c r="CA207" i="5"/>
  <c r="CA184" i="5"/>
  <c r="CA152" i="5"/>
  <c r="CA112" i="5"/>
  <c r="CA115" i="5"/>
  <c r="CA122" i="5" s="1"/>
  <c r="CA104" i="5"/>
  <c r="CA109" i="5"/>
  <c r="CA111" i="5" s="1"/>
  <c r="DG136" i="2"/>
  <c r="DG80" i="2"/>
  <c r="DW136" i="2"/>
  <c r="DW80" i="2"/>
  <c r="FN136" i="2"/>
  <c r="FN80" i="2"/>
  <c r="FR136" i="2"/>
  <c r="FR80" i="2"/>
  <c r="CV136" i="2"/>
  <c r="CV80" i="2"/>
  <c r="M207" i="5"/>
  <c r="M191" i="5"/>
  <c r="M184" i="5"/>
  <c r="M150" i="5"/>
  <c r="M115" i="5"/>
  <c r="M122" i="5" s="1"/>
  <c r="M104" i="5"/>
  <c r="M112" i="5"/>
  <c r="M109" i="5"/>
  <c r="M111" i="5" s="1"/>
  <c r="M113" i="5" s="1"/>
  <c r="M123" i="5" s="1"/>
  <c r="CY191" i="5"/>
  <c r="CY207" i="5"/>
  <c r="CY184" i="5"/>
  <c r="CY152" i="5"/>
  <c r="CY112" i="5"/>
  <c r="CY115" i="5"/>
  <c r="CY122" i="5" s="1"/>
  <c r="CY104" i="5"/>
  <c r="CY109" i="5"/>
  <c r="CY111" i="5" s="1"/>
  <c r="CY113" i="5" s="1"/>
  <c r="CY123" i="5" s="1"/>
  <c r="Q184" i="3"/>
  <c r="Q207" i="3"/>
  <c r="Q191" i="3"/>
  <c r="Q152" i="3"/>
  <c r="Q150" i="3"/>
  <c r="Q162" i="3" s="1"/>
  <c r="Q112" i="3"/>
  <c r="Q104" i="3"/>
  <c r="Q115" i="3"/>
  <c r="Q122" i="3" s="1"/>
  <c r="Q144" i="3"/>
  <c r="Q142" i="3"/>
  <c r="Q146" i="3" s="1"/>
  <c r="Q148" i="3" s="1"/>
  <c r="Q109" i="3"/>
  <c r="Q111" i="3" s="1"/>
  <c r="DR207" i="3"/>
  <c r="DR191" i="3"/>
  <c r="DR184" i="3"/>
  <c r="DR150" i="3"/>
  <c r="DR162" i="3" s="1"/>
  <c r="DR152" i="3"/>
  <c r="DR154" i="3"/>
  <c r="DR115" i="3"/>
  <c r="DR122" i="3" s="1"/>
  <c r="DR104" i="3"/>
  <c r="DR112" i="3"/>
  <c r="DR142" i="3"/>
  <c r="DR146" i="3" s="1"/>
  <c r="DR148" i="3" s="1"/>
  <c r="DR109" i="3"/>
  <c r="DR111" i="3" s="1"/>
  <c r="DR144" i="3"/>
  <c r="DG337" i="3"/>
  <c r="DG207" i="3"/>
  <c r="DG184" i="3"/>
  <c r="DG191" i="3"/>
  <c r="DG152" i="3"/>
  <c r="DG154" i="3"/>
  <c r="DG156" i="3"/>
  <c r="DG158" i="3"/>
  <c r="DG115" i="3"/>
  <c r="DG122" i="3" s="1"/>
  <c r="DG112" i="3"/>
  <c r="DG104" i="3"/>
  <c r="DG109" i="3"/>
  <c r="DG111" i="3" s="1"/>
  <c r="DS207" i="3"/>
  <c r="DS184" i="3"/>
  <c r="DS150" i="3"/>
  <c r="DS154" i="3" s="1"/>
  <c r="DS152" i="3"/>
  <c r="DS191" i="3"/>
  <c r="DS115" i="3"/>
  <c r="DS122" i="3" s="1"/>
  <c r="DS112" i="3"/>
  <c r="DS104" i="3"/>
  <c r="DS109" i="3"/>
  <c r="DS111" i="3" s="1"/>
  <c r="DS113" i="3" s="1"/>
  <c r="DS123" i="3" s="1"/>
  <c r="DS144" i="3"/>
  <c r="DS142" i="3"/>
  <c r="DS146" i="3" s="1"/>
  <c r="DS148" i="3" s="1"/>
  <c r="D219" i="5"/>
  <c r="D228" i="5" s="1"/>
  <c r="K136" i="2"/>
  <c r="K80" i="2"/>
  <c r="BL337" i="3"/>
  <c r="BL207" i="3"/>
  <c r="BL191" i="3"/>
  <c r="BL184" i="3"/>
  <c r="BL152" i="3"/>
  <c r="BL115" i="3"/>
  <c r="BL122" i="3" s="1"/>
  <c r="BL112" i="3"/>
  <c r="BL104" i="3"/>
  <c r="BL142" i="3"/>
  <c r="BL146" i="3" s="1"/>
  <c r="BL148" i="3" s="1"/>
  <c r="BL109" i="3"/>
  <c r="BL111" i="3" s="1"/>
  <c r="BL144" i="3"/>
  <c r="AR337" i="3"/>
  <c r="AR207" i="3"/>
  <c r="AR184" i="3"/>
  <c r="AR191" i="3"/>
  <c r="AR115" i="3"/>
  <c r="AR122" i="3" s="1"/>
  <c r="AR150" i="3"/>
  <c r="AR112" i="3"/>
  <c r="AR104" i="3"/>
  <c r="AR109" i="3"/>
  <c r="AR111" i="3" s="1"/>
  <c r="U137" i="2"/>
  <c r="U138" i="2" s="1"/>
  <c r="BI207" i="5"/>
  <c r="BI191" i="5"/>
  <c r="BI184" i="5"/>
  <c r="BI152" i="5"/>
  <c r="BI115" i="5"/>
  <c r="BI122" i="5" s="1"/>
  <c r="BI104" i="5"/>
  <c r="BI112" i="5"/>
  <c r="BI109" i="5"/>
  <c r="BI111" i="5" s="1"/>
  <c r="AK97" i="2"/>
  <c r="EX337" i="3"/>
  <c r="EX207" i="3"/>
  <c r="EX191" i="3"/>
  <c r="EX184" i="3"/>
  <c r="EX112" i="3"/>
  <c r="EX104" i="3"/>
  <c r="EX115" i="3"/>
  <c r="EX122" i="3" s="1"/>
  <c r="EX152" i="3"/>
  <c r="EX109" i="3"/>
  <c r="EX111" i="3" s="1"/>
  <c r="EX113" i="3" s="1"/>
  <c r="EX123" i="3" s="1"/>
  <c r="EX142" i="3"/>
  <c r="EX144" i="3"/>
  <c r="W97" i="2"/>
  <c r="T337" i="3"/>
  <c r="T207" i="3"/>
  <c r="T184" i="3"/>
  <c r="T191" i="3"/>
  <c r="T115" i="3"/>
  <c r="T122" i="3" s="1"/>
  <c r="T124" i="3" s="1"/>
  <c r="T167" i="3" s="1"/>
  <c r="T168" i="3" s="1"/>
  <c r="T169" i="3" s="1"/>
  <c r="T225" i="3" s="1"/>
  <c r="T112" i="3"/>
  <c r="T152" i="3"/>
  <c r="T104" i="3"/>
  <c r="T109" i="3"/>
  <c r="T111" i="3" s="1"/>
  <c r="T113" i="3" s="1"/>
  <c r="T123" i="3" s="1"/>
  <c r="T142" i="3"/>
  <c r="T144" i="3"/>
  <c r="AJ337" i="3"/>
  <c r="AJ207" i="3"/>
  <c r="AJ184" i="3"/>
  <c r="AJ152" i="3"/>
  <c r="AJ191" i="3"/>
  <c r="AJ112" i="3"/>
  <c r="AJ115" i="3"/>
  <c r="AJ122" i="3" s="1"/>
  <c r="AJ124" i="3" s="1"/>
  <c r="AJ167" i="3" s="1"/>
  <c r="AJ168" i="3" s="1"/>
  <c r="AJ169" i="3" s="1"/>
  <c r="AJ225" i="3" s="1"/>
  <c r="AJ104" i="3"/>
  <c r="AJ142" i="3"/>
  <c r="AJ146" i="3" s="1"/>
  <c r="AJ148" i="3" s="1"/>
  <c r="AJ109" i="3"/>
  <c r="AJ111" i="3" s="1"/>
  <c r="AJ113" i="3" s="1"/>
  <c r="AJ123" i="3" s="1"/>
  <c r="AJ144" i="3"/>
  <c r="V337" i="3"/>
  <c r="V207" i="3"/>
  <c r="V184" i="3"/>
  <c r="V191" i="3"/>
  <c r="V112" i="3"/>
  <c r="V152" i="3"/>
  <c r="V115" i="3"/>
  <c r="V122" i="3" s="1"/>
  <c r="V104" i="3"/>
  <c r="V144" i="3"/>
  <c r="V109" i="3"/>
  <c r="V111" i="3" s="1"/>
  <c r="V142" i="3"/>
  <c r="BK215" i="5"/>
  <c r="BK173" i="5"/>
  <c r="AB215" i="5"/>
  <c r="AB173" i="5"/>
  <c r="FP215" i="5"/>
  <c r="FP173" i="5"/>
  <c r="EG215" i="5"/>
  <c r="EG219" i="5" s="1"/>
  <c r="EG228" i="5" s="1"/>
  <c r="EG173" i="5"/>
  <c r="CX215" i="5"/>
  <c r="CX173" i="5"/>
  <c r="BO215" i="5"/>
  <c r="BO173" i="5"/>
  <c r="AF215" i="5"/>
  <c r="AF173" i="5"/>
  <c r="FT215" i="5"/>
  <c r="FT173" i="5"/>
  <c r="EK215" i="5"/>
  <c r="EK219" i="5" s="1"/>
  <c r="EK228" i="5" s="1"/>
  <c r="EK173" i="5"/>
  <c r="DB215" i="5"/>
  <c r="DB219" i="5" s="1"/>
  <c r="DB228" i="5" s="1"/>
  <c r="DB173" i="5"/>
  <c r="BS215" i="5"/>
  <c r="BS173" i="5"/>
  <c r="AJ215" i="5"/>
  <c r="AJ173" i="5"/>
  <c r="FX215" i="5"/>
  <c r="FX173" i="5"/>
  <c r="EO215" i="5"/>
  <c r="EO173" i="5"/>
  <c r="DF215" i="5"/>
  <c r="DF173" i="5"/>
  <c r="L136" i="2"/>
  <c r="L80" i="2"/>
  <c r="EY136" i="2"/>
  <c r="EY80" i="2"/>
  <c r="FV207" i="3"/>
  <c r="FV191" i="3"/>
  <c r="FV184" i="3"/>
  <c r="FV150" i="3"/>
  <c r="FV162" i="3" s="1"/>
  <c r="FV152" i="3"/>
  <c r="FV112" i="3"/>
  <c r="FV104" i="3"/>
  <c r="FV115" i="3"/>
  <c r="FV122" i="3" s="1"/>
  <c r="FV124" i="3" s="1"/>
  <c r="FV167" i="3" s="1"/>
  <c r="FV168" i="3" s="1"/>
  <c r="FV169" i="3" s="1"/>
  <c r="FV225" i="3" s="1"/>
  <c r="FV144" i="3"/>
  <c r="FV109" i="3"/>
  <c r="FV111" i="3" s="1"/>
  <c r="FV113" i="3" s="1"/>
  <c r="FV123" i="3" s="1"/>
  <c r="FV142" i="3"/>
  <c r="BG207" i="5"/>
  <c r="BG184" i="5"/>
  <c r="BG150" i="5"/>
  <c r="BG191" i="5"/>
  <c r="BG115" i="5"/>
  <c r="BG122" i="5" s="1"/>
  <c r="BG112" i="5"/>
  <c r="BG104" i="5"/>
  <c r="BG109" i="5"/>
  <c r="BG111" i="5" s="1"/>
  <c r="BG113" i="5" s="1"/>
  <c r="BG123" i="5" s="1"/>
  <c r="CO136" i="2"/>
  <c r="CO80" i="2"/>
  <c r="AH136" i="2"/>
  <c r="AH80" i="2"/>
  <c r="FW219" i="5"/>
  <c r="FW228" i="5" s="1"/>
  <c r="CP207" i="5"/>
  <c r="CP184" i="5"/>
  <c r="CP191" i="5"/>
  <c r="CP150" i="5"/>
  <c r="CP112" i="5"/>
  <c r="CP115" i="5"/>
  <c r="CP122" i="5" s="1"/>
  <c r="CP104" i="5"/>
  <c r="CP109" i="5"/>
  <c r="CP111" i="5" s="1"/>
  <c r="CP113" i="5" s="1"/>
  <c r="CP123" i="5" s="1"/>
  <c r="FU207" i="3"/>
  <c r="FU191" i="3"/>
  <c r="FU150" i="3"/>
  <c r="FU162" i="3" s="1"/>
  <c r="FU184" i="3"/>
  <c r="FU152" i="3"/>
  <c r="FU112" i="3"/>
  <c r="FU115" i="3"/>
  <c r="FU122" i="3" s="1"/>
  <c r="FU124" i="3" s="1"/>
  <c r="FU167" i="3" s="1"/>
  <c r="FU168" i="3" s="1"/>
  <c r="FU169" i="3" s="1"/>
  <c r="FU225" i="3" s="1"/>
  <c r="FU104" i="3"/>
  <c r="FU109" i="3"/>
  <c r="FU111" i="3" s="1"/>
  <c r="FU113" i="3" s="1"/>
  <c r="FU123" i="3" s="1"/>
  <c r="FU144" i="3"/>
  <c r="FU142" i="3"/>
  <c r="C215" i="3"/>
  <c r="C173" i="3"/>
  <c r="FU41" i="3"/>
  <c r="FI41" i="3"/>
  <c r="EW41" i="3"/>
  <c r="EK41" i="3"/>
  <c r="DY41" i="3"/>
  <c r="DM41" i="3"/>
  <c r="DA41" i="3"/>
  <c r="CO41" i="3"/>
  <c r="CC41" i="3"/>
  <c r="BQ41" i="3"/>
  <c r="BE41" i="3"/>
  <c r="AS41" i="3"/>
  <c r="AG41" i="3"/>
  <c r="U41" i="3"/>
  <c r="I41" i="3"/>
  <c r="FT41" i="3"/>
  <c r="FH41" i="3"/>
  <c r="EV41" i="3"/>
  <c r="EJ41" i="3"/>
  <c r="DX41" i="3"/>
  <c r="DL41" i="3"/>
  <c r="CZ41" i="3"/>
  <c r="CN41" i="3"/>
  <c r="CB41" i="3"/>
  <c r="BP41" i="3"/>
  <c r="BD41" i="3"/>
  <c r="AR41" i="3"/>
  <c r="AF41" i="3"/>
  <c r="T41" i="3"/>
  <c r="H41" i="3"/>
  <c r="FS41" i="3"/>
  <c r="FG41" i="3"/>
  <c r="EU41" i="3"/>
  <c r="EI41" i="3"/>
  <c r="DW41" i="3"/>
  <c r="DK41" i="3"/>
  <c r="CY41" i="3"/>
  <c r="CM41" i="3"/>
  <c r="CA41" i="3"/>
  <c r="BO41" i="3"/>
  <c r="BC41" i="3"/>
  <c r="AQ41" i="3"/>
  <c r="AE41" i="3"/>
  <c r="S41" i="3"/>
  <c r="G41" i="3"/>
  <c r="FR41" i="3"/>
  <c r="FF41" i="3"/>
  <c r="ET41" i="3"/>
  <c r="EH41" i="3"/>
  <c r="DV41" i="3"/>
  <c r="DJ41" i="3"/>
  <c r="CX41" i="3"/>
  <c r="CL41" i="3"/>
  <c r="BZ41" i="3"/>
  <c r="BN41" i="3"/>
  <c r="BB41" i="3"/>
  <c r="AP41" i="3"/>
  <c r="AD41" i="3"/>
  <c r="R41" i="3"/>
  <c r="F41" i="3"/>
  <c r="FQ41" i="3"/>
  <c r="FE41" i="3"/>
  <c r="ES41" i="3"/>
  <c r="EG41" i="3"/>
  <c r="DU41" i="3"/>
  <c r="DI41" i="3"/>
  <c r="CW41" i="3"/>
  <c r="CK41" i="3"/>
  <c r="BY41" i="3"/>
  <c r="BM41" i="3"/>
  <c r="BA41" i="3"/>
  <c r="AO41" i="3"/>
  <c r="AC41" i="3"/>
  <c r="Q41" i="3"/>
  <c r="E41" i="3"/>
  <c r="FP41" i="3"/>
  <c r="FD41" i="3"/>
  <c r="ER41" i="3"/>
  <c r="EF41" i="3"/>
  <c r="DT41" i="3"/>
  <c r="DH41" i="3"/>
  <c r="CV41" i="3"/>
  <c r="CJ41" i="3"/>
  <c r="BX41" i="3"/>
  <c r="BL41" i="3"/>
  <c r="AZ41" i="3"/>
  <c r="AN41" i="3"/>
  <c r="AB41" i="3"/>
  <c r="P41" i="3"/>
  <c r="D41" i="3"/>
  <c r="FO41" i="3"/>
  <c r="FC41" i="3"/>
  <c r="EQ41" i="3"/>
  <c r="EE41" i="3"/>
  <c r="DS41" i="3"/>
  <c r="DG41" i="3"/>
  <c r="CU41" i="3"/>
  <c r="CI41" i="3"/>
  <c r="BW41" i="3"/>
  <c r="BK41" i="3"/>
  <c r="AY41" i="3"/>
  <c r="AM41" i="3"/>
  <c r="AA41" i="3"/>
  <c r="O41" i="3"/>
  <c r="FN41" i="3"/>
  <c r="FB41" i="3"/>
  <c r="EP41" i="3"/>
  <c r="ED41" i="3"/>
  <c r="DR41" i="3"/>
  <c r="DF41" i="3"/>
  <c r="CT41" i="3"/>
  <c r="CH41" i="3"/>
  <c r="BV41" i="3"/>
  <c r="BJ41" i="3"/>
  <c r="AX41" i="3"/>
  <c r="AL41" i="3"/>
  <c r="Z41" i="3"/>
  <c r="N41" i="3"/>
  <c r="FM41" i="3"/>
  <c r="FA41" i="3"/>
  <c r="EO41" i="3"/>
  <c r="EC41" i="3"/>
  <c r="DQ41" i="3"/>
  <c r="DE41" i="3"/>
  <c r="CS41" i="3"/>
  <c r="CG41" i="3"/>
  <c r="BU41" i="3"/>
  <c r="BI41" i="3"/>
  <c r="AW41" i="3"/>
  <c r="AK41" i="3"/>
  <c r="Y41" i="3"/>
  <c r="M41" i="3"/>
  <c r="FW41" i="3"/>
  <c r="FK41" i="3"/>
  <c r="EY41" i="3"/>
  <c r="EM41" i="3"/>
  <c r="EA41" i="3"/>
  <c r="DO41" i="3"/>
  <c r="DC41" i="3"/>
  <c r="CQ41" i="3"/>
  <c r="CE41" i="3"/>
  <c r="BS41" i="3"/>
  <c r="BG41" i="3"/>
  <c r="AU41" i="3"/>
  <c r="AI41" i="3"/>
  <c r="W41" i="3"/>
  <c r="K41" i="3"/>
  <c r="FV41" i="3"/>
  <c r="FJ41" i="3"/>
  <c r="EX41" i="3"/>
  <c r="EL41" i="3"/>
  <c r="DZ41" i="3"/>
  <c r="DN41" i="3"/>
  <c r="DB41" i="3"/>
  <c r="CP41" i="3"/>
  <c r="CD41" i="3"/>
  <c r="BR41" i="3"/>
  <c r="BF41" i="3"/>
  <c r="AT41" i="3"/>
  <c r="AH41" i="3"/>
  <c r="V41" i="3"/>
  <c r="J41" i="3"/>
  <c r="AV41" i="3"/>
  <c r="FX41" i="3"/>
  <c r="AJ41" i="3"/>
  <c r="FL41" i="3"/>
  <c r="X41" i="3"/>
  <c r="EZ41" i="3"/>
  <c r="L41" i="3"/>
  <c r="EN41" i="3"/>
  <c r="EB41" i="3"/>
  <c r="DP41" i="3"/>
  <c r="DD41" i="3"/>
  <c r="CR41" i="3"/>
  <c r="BT41" i="3"/>
  <c r="BH41" i="3"/>
  <c r="CF41" i="3"/>
  <c r="DU337" i="3"/>
  <c r="DU184" i="3"/>
  <c r="DU207" i="3"/>
  <c r="DU191" i="3"/>
  <c r="DU152" i="3"/>
  <c r="DU104" i="3"/>
  <c r="DU112" i="3"/>
  <c r="DU115" i="3"/>
  <c r="DU122" i="3" s="1"/>
  <c r="DU109" i="3"/>
  <c r="DU111" i="3" s="1"/>
  <c r="DU144" i="3"/>
  <c r="DU142" i="3"/>
  <c r="DU146" i="3" s="1"/>
  <c r="DU148" i="3" s="1"/>
  <c r="EN207" i="3"/>
  <c r="EN184" i="3"/>
  <c r="EN150" i="3"/>
  <c r="EN152" i="3"/>
  <c r="EN154" i="3" s="1"/>
  <c r="EN191" i="3"/>
  <c r="EN112" i="3"/>
  <c r="EN115" i="3"/>
  <c r="EN122" i="3" s="1"/>
  <c r="EN104" i="3"/>
  <c r="EN142" i="3"/>
  <c r="EN146" i="3" s="1"/>
  <c r="EN148" i="3" s="1"/>
  <c r="EN144" i="3"/>
  <c r="EN109" i="3"/>
  <c r="EN111" i="3" s="1"/>
  <c r="BX207" i="5"/>
  <c r="BX191" i="5"/>
  <c r="BX184" i="5"/>
  <c r="BX152" i="5"/>
  <c r="BX104" i="5"/>
  <c r="BX115" i="5"/>
  <c r="BX122" i="5" s="1"/>
  <c r="BX112" i="5"/>
  <c r="BX109" i="5"/>
  <c r="BX111" i="5" s="1"/>
  <c r="BV207" i="5"/>
  <c r="BV191" i="5"/>
  <c r="BV184" i="5"/>
  <c r="BV150" i="5"/>
  <c r="BV115" i="5"/>
  <c r="BV122" i="5" s="1"/>
  <c r="BV104" i="5"/>
  <c r="BV112" i="5"/>
  <c r="BV109" i="5"/>
  <c r="BV111" i="5" s="1"/>
  <c r="BV113" i="5" s="1"/>
  <c r="BV123" i="5" s="1"/>
  <c r="BS136" i="2"/>
  <c r="BS80" i="2"/>
  <c r="CF207" i="5"/>
  <c r="CF191" i="5"/>
  <c r="CF184" i="5"/>
  <c r="CF152" i="5"/>
  <c r="CF112" i="5"/>
  <c r="CF104" i="5"/>
  <c r="CF115" i="5"/>
  <c r="CF122" i="5" s="1"/>
  <c r="CF109" i="5"/>
  <c r="CF111" i="5" s="1"/>
  <c r="AF136" i="2"/>
  <c r="AF80" i="2"/>
  <c r="AQ337" i="3"/>
  <c r="AQ184" i="3"/>
  <c r="AQ207" i="3"/>
  <c r="AQ191" i="3"/>
  <c r="AQ152" i="3"/>
  <c r="AQ115" i="3"/>
  <c r="AQ122" i="3" s="1"/>
  <c r="AQ104" i="3"/>
  <c r="AQ112" i="3"/>
  <c r="AQ109" i="3"/>
  <c r="AQ111" i="3" s="1"/>
  <c r="AQ142" i="3"/>
  <c r="AQ146" i="3" s="1"/>
  <c r="AQ148" i="3" s="1"/>
  <c r="AQ144" i="3"/>
  <c r="BO207" i="5"/>
  <c r="BO191" i="5"/>
  <c r="BO184" i="5"/>
  <c r="BO112" i="5"/>
  <c r="BO150" i="5"/>
  <c r="BO115" i="5"/>
  <c r="BO122" i="5" s="1"/>
  <c r="BO104" i="5"/>
  <c r="BO109" i="5"/>
  <c r="BO111" i="5" s="1"/>
  <c r="BO113" i="5" s="1"/>
  <c r="BO123" i="5" s="1"/>
  <c r="BH97" i="2"/>
  <c r="DE136" i="2"/>
  <c r="DE80" i="2"/>
  <c r="DU80" i="2"/>
  <c r="DU136" i="2"/>
  <c r="EG80" i="2"/>
  <c r="EG136" i="2"/>
  <c r="CO207" i="5"/>
  <c r="CO191" i="5"/>
  <c r="CO184" i="5"/>
  <c r="CO150" i="5"/>
  <c r="CO115" i="5"/>
  <c r="CO122" i="5" s="1"/>
  <c r="CO112" i="5"/>
  <c r="CO104" i="5"/>
  <c r="CO109" i="5"/>
  <c r="CO111" i="5" s="1"/>
  <c r="AM136" i="2"/>
  <c r="AM80" i="2"/>
  <c r="CA136" i="2"/>
  <c r="CA80" i="2"/>
  <c r="EV207" i="5"/>
  <c r="EV191" i="5"/>
  <c r="EV184" i="5"/>
  <c r="EV152" i="5"/>
  <c r="EV112" i="5"/>
  <c r="EV115" i="5"/>
  <c r="EV122" i="5" s="1"/>
  <c r="EV104" i="5"/>
  <c r="EV109" i="5"/>
  <c r="EV111" i="5" s="1"/>
  <c r="CU133" i="2"/>
  <c r="P136" i="2"/>
  <c r="P80" i="2"/>
  <c r="FL337" i="3"/>
  <c r="FL207" i="3"/>
  <c r="FL191" i="3"/>
  <c r="FL184" i="3"/>
  <c r="FL150" i="3"/>
  <c r="FL112" i="3"/>
  <c r="FL115" i="3"/>
  <c r="FL122" i="3" s="1"/>
  <c r="FL104" i="3"/>
  <c r="FL109" i="3"/>
  <c r="FL111" i="3" s="1"/>
  <c r="FL113" i="3" s="1"/>
  <c r="FL123" i="3" s="1"/>
  <c r="CI136" i="2"/>
  <c r="CI80" i="2"/>
  <c r="AX136" i="2"/>
  <c r="AX80" i="2"/>
  <c r="DG207" i="5"/>
  <c r="DG184" i="5"/>
  <c r="DG191" i="5"/>
  <c r="DG152" i="5"/>
  <c r="DG115" i="5"/>
  <c r="DG122" i="5" s="1"/>
  <c r="DG104" i="5"/>
  <c r="DG112" i="5"/>
  <c r="DG109" i="5"/>
  <c r="DG111" i="5" s="1"/>
  <c r="G136" i="2"/>
  <c r="G80" i="2"/>
  <c r="H219" i="5"/>
  <c r="H228" i="5" s="1"/>
  <c r="Y207" i="5"/>
  <c r="Y191" i="5"/>
  <c r="Y184" i="5"/>
  <c r="Y150" i="5"/>
  <c r="Y115" i="5"/>
  <c r="Y122" i="5" s="1"/>
  <c r="Y104" i="5"/>
  <c r="Y112" i="5"/>
  <c r="Y109" i="5"/>
  <c r="Y111" i="5" s="1"/>
  <c r="BA207" i="3"/>
  <c r="BA184" i="3"/>
  <c r="BA191" i="3"/>
  <c r="BA152" i="3"/>
  <c r="BA150" i="3"/>
  <c r="BA162" i="3" s="1"/>
  <c r="BA112" i="3"/>
  <c r="BA115" i="3"/>
  <c r="BA122" i="3" s="1"/>
  <c r="BA104" i="3"/>
  <c r="BA142" i="3"/>
  <c r="BA109" i="3"/>
  <c r="BA111" i="3" s="1"/>
  <c r="BA113" i="3" s="1"/>
  <c r="BA123" i="3" s="1"/>
  <c r="BA144" i="3"/>
  <c r="P207" i="5"/>
  <c r="P184" i="5"/>
  <c r="P191" i="5"/>
  <c r="P152" i="5"/>
  <c r="P104" i="5"/>
  <c r="P115" i="5"/>
  <c r="P122" i="5" s="1"/>
  <c r="P112" i="5"/>
  <c r="P109" i="5"/>
  <c r="P111" i="5" s="1"/>
  <c r="P113" i="5" s="1"/>
  <c r="P123" i="5" s="1"/>
  <c r="EF215" i="5"/>
  <c r="EF219" i="5" s="1"/>
  <c r="EF228" i="5" s="1"/>
  <c r="EF173" i="5"/>
  <c r="AH207" i="3"/>
  <c r="AH184" i="3"/>
  <c r="AH150" i="3"/>
  <c r="AH162" i="3" s="1"/>
  <c r="AH191" i="3"/>
  <c r="AH152" i="3"/>
  <c r="AH112" i="3"/>
  <c r="AH115" i="3"/>
  <c r="AH122" i="3" s="1"/>
  <c r="AH104" i="3"/>
  <c r="AH144" i="3"/>
  <c r="AH109" i="3"/>
  <c r="AH111" i="3" s="1"/>
  <c r="AH142" i="3"/>
  <c r="AH146" i="3" s="1"/>
  <c r="AH148" i="3" s="1"/>
  <c r="CU337" i="3"/>
  <c r="CU207" i="3"/>
  <c r="CU184" i="3"/>
  <c r="CU150" i="3"/>
  <c r="CU191" i="3"/>
  <c r="CU115" i="3"/>
  <c r="CU122" i="3" s="1"/>
  <c r="CU112" i="3"/>
  <c r="CU104" i="3"/>
  <c r="CU109" i="3"/>
  <c r="CU111" i="3" s="1"/>
  <c r="CU113" i="3" s="1"/>
  <c r="CU123" i="3" s="1"/>
  <c r="BC191" i="5"/>
  <c r="BC207" i="5"/>
  <c r="BC184" i="5"/>
  <c r="BC112" i="5"/>
  <c r="BC150" i="5"/>
  <c r="BC115" i="5"/>
  <c r="BC122" i="5" s="1"/>
  <c r="BC124" i="5" s="1"/>
  <c r="BC167" i="5" s="1"/>
  <c r="BC168" i="5" s="1"/>
  <c r="BC169" i="5" s="1"/>
  <c r="BC225" i="5" s="1"/>
  <c r="BC104" i="5"/>
  <c r="BC109" i="5"/>
  <c r="BC111" i="5" s="1"/>
  <c r="BC113" i="5" s="1"/>
  <c r="BC123" i="5" s="1"/>
  <c r="R207" i="3"/>
  <c r="R191" i="3"/>
  <c r="R184" i="3"/>
  <c r="R152" i="3"/>
  <c r="R150" i="3"/>
  <c r="R162" i="3" s="1"/>
  <c r="R112" i="3"/>
  <c r="R115" i="3"/>
  <c r="R122" i="3" s="1"/>
  <c r="R104" i="3"/>
  <c r="R109" i="3"/>
  <c r="R111" i="3" s="1"/>
  <c r="R144" i="3"/>
  <c r="R142" i="3"/>
  <c r="R146" i="3" s="1"/>
  <c r="R148" i="3" s="1"/>
  <c r="FL136" i="2"/>
  <c r="FL80" i="2"/>
  <c r="AF207" i="5"/>
  <c r="AF191" i="5"/>
  <c r="AF152" i="5"/>
  <c r="AF184" i="5"/>
  <c r="AF115" i="5"/>
  <c r="AF122" i="5" s="1"/>
  <c r="AF112" i="5"/>
  <c r="AF104" i="5"/>
  <c r="AF109" i="5"/>
  <c r="AF111" i="5" s="1"/>
  <c r="AF113" i="5" s="1"/>
  <c r="AF123" i="5" s="1"/>
  <c r="DJ127" i="2"/>
  <c r="D136" i="2"/>
  <c r="D80" i="2"/>
  <c r="AE136" i="2"/>
  <c r="AE80" i="2"/>
  <c r="DR207" i="5"/>
  <c r="DR191" i="5"/>
  <c r="DR184" i="5"/>
  <c r="DR150" i="5"/>
  <c r="DR104" i="5"/>
  <c r="DR115" i="5"/>
  <c r="DR122" i="5" s="1"/>
  <c r="DR112" i="5"/>
  <c r="DR109" i="5"/>
  <c r="DR111" i="5" s="1"/>
  <c r="EW136" i="2"/>
  <c r="EW80" i="2"/>
  <c r="EF207" i="5"/>
  <c r="EF191" i="5"/>
  <c r="EF184" i="5"/>
  <c r="EF150" i="5"/>
  <c r="EF115" i="5"/>
  <c r="EF122" i="5" s="1"/>
  <c r="EF104" i="5"/>
  <c r="EF112" i="5"/>
  <c r="EF109" i="5"/>
  <c r="EF111" i="5" s="1"/>
  <c r="EF113" i="5" s="1"/>
  <c r="EF123" i="5" s="1"/>
  <c r="CE219" i="5"/>
  <c r="CE228" i="5" s="1"/>
  <c r="FJ207" i="5"/>
  <c r="FJ191" i="5"/>
  <c r="FJ184" i="5"/>
  <c r="FJ150" i="5"/>
  <c r="FJ112" i="5"/>
  <c r="FJ115" i="5"/>
  <c r="FJ122" i="5" s="1"/>
  <c r="FJ104" i="5"/>
  <c r="FJ109" i="5"/>
  <c r="FJ111" i="5" s="1"/>
  <c r="DN136" i="2"/>
  <c r="DN80" i="2"/>
  <c r="DI191" i="5"/>
  <c r="DI184" i="5"/>
  <c r="DI150" i="5"/>
  <c r="DI207" i="5"/>
  <c r="DI115" i="5"/>
  <c r="DI122" i="5" s="1"/>
  <c r="DI112" i="5"/>
  <c r="DI104" i="5"/>
  <c r="DI109" i="5"/>
  <c r="DI111" i="5" s="1"/>
  <c r="CN137" i="2"/>
  <c r="CN138" i="2"/>
  <c r="EI207" i="5"/>
  <c r="EI191" i="5"/>
  <c r="EI184" i="5"/>
  <c r="EI112" i="5"/>
  <c r="EI150" i="5"/>
  <c r="EI115" i="5"/>
  <c r="EI122" i="5" s="1"/>
  <c r="EI104" i="5"/>
  <c r="EI109" i="5"/>
  <c r="EI111" i="5" s="1"/>
  <c r="EI113" i="5" s="1"/>
  <c r="EI123" i="5" s="1"/>
  <c r="EW207" i="5"/>
  <c r="EW191" i="5"/>
  <c r="EW184" i="5"/>
  <c r="EW150" i="5"/>
  <c r="EW115" i="5"/>
  <c r="EW122" i="5" s="1"/>
  <c r="EW112" i="5"/>
  <c r="EW104" i="5"/>
  <c r="EW109" i="5"/>
  <c r="EW111" i="5" s="1"/>
  <c r="EB136" i="2"/>
  <c r="EB80" i="2"/>
  <c r="FA207" i="5"/>
  <c r="FA191" i="5"/>
  <c r="FA184" i="5"/>
  <c r="FA150" i="5"/>
  <c r="FA115" i="5"/>
  <c r="FA122" i="5" s="1"/>
  <c r="FA104" i="5"/>
  <c r="FA112" i="5"/>
  <c r="FA109" i="5"/>
  <c r="FA111" i="5" s="1"/>
  <c r="FA113" i="5" s="1"/>
  <c r="FA123" i="5" s="1"/>
  <c r="AN207" i="5"/>
  <c r="AN184" i="5"/>
  <c r="AN191" i="5"/>
  <c r="AN152" i="5"/>
  <c r="AN104" i="5"/>
  <c r="AN115" i="5"/>
  <c r="AN122" i="5" s="1"/>
  <c r="AN112" i="5"/>
  <c r="AN109" i="5"/>
  <c r="AN111" i="5" s="1"/>
  <c r="S207" i="5"/>
  <c r="S191" i="5"/>
  <c r="S184" i="5"/>
  <c r="S112" i="5"/>
  <c r="S150" i="5"/>
  <c r="S115" i="5"/>
  <c r="S122" i="5" s="1"/>
  <c r="S104" i="5"/>
  <c r="S109" i="5"/>
  <c r="S111" i="5" s="1"/>
  <c r="AG207" i="5"/>
  <c r="AG191" i="5"/>
  <c r="AG150" i="5"/>
  <c r="AG184" i="5"/>
  <c r="AG115" i="5"/>
  <c r="AG122" i="5" s="1"/>
  <c r="AG112" i="5"/>
  <c r="AG104" i="5"/>
  <c r="AG109" i="5"/>
  <c r="AG111" i="5" s="1"/>
  <c r="AG113" i="5" s="1"/>
  <c r="AG123" i="5" s="1"/>
  <c r="BW215" i="5"/>
  <c r="BW173" i="5"/>
  <c r="AN215" i="5"/>
  <c r="AN173" i="5"/>
  <c r="E215" i="5"/>
  <c r="E173" i="5"/>
  <c r="ES215" i="5"/>
  <c r="ES219" i="5" s="1"/>
  <c r="ES228" i="5" s="1"/>
  <c r="ES173" i="5"/>
  <c r="DJ215" i="5"/>
  <c r="DJ219" i="5" s="1"/>
  <c r="DJ228" i="5" s="1"/>
  <c r="DJ173" i="5"/>
  <c r="CA215" i="5"/>
  <c r="CA173" i="5"/>
  <c r="AR215" i="5"/>
  <c r="AR173" i="5"/>
  <c r="I215" i="5"/>
  <c r="I219" i="5" s="1"/>
  <c r="I228" i="5" s="1"/>
  <c r="I173" i="5"/>
  <c r="EW215" i="5"/>
  <c r="EW173" i="5"/>
  <c r="DN215" i="5"/>
  <c r="DN219" i="5" s="1"/>
  <c r="DN228" i="5" s="1"/>
  <c r="DN173" i="5"/>
  <c r="CE215" i="5"/>
  <c r="CE173" i="5"/>
  <c r="AV215" i="5"/>
  <c r="AV173" i="5"/>
  <c r="M215" i="5"/>
  <c r="M173" i="5"/>
  <c r="FA215" i="5"/>
  <c r="FA173" i="5"/>
  <c r="DR215" i="5"/>
  <c r="DR173" i="5"/>
  <c r="AF219" i="5"/>
  <c r="AF228" i="5" s="1"/>
  <c r="DX337" i="3"/>
  <c r="DX207" i="3"/>
  <c r="DX184" i="3"/>
  <c r="DX191" i="3"/>
  <c r="DX156" i="3"/>
  <c r="DX158" i="3"/>
  <c r="DX154" i="3"/>
  <c r="DX152" i="3"/>
  <c r="DX104" i="3"/>
  <c r="DX115" i="3"/>
  <c r="DX122" i="3" s="1"/>
  <c r="DX112" i="3"/>
  <c r="DX109" i="3"/>
  <c r="DX111" i="3" s="1"/>
  <c r="V136" i="2"/>
  <c r="V80" i="2"/>
  <c r="X207" i="5"/>
  <c r="X191" i="5"/>
  <c r="X184" i="5"/>
  <c r="X152" i="5"/>
  <c r="X104" i="5"/>
  <c r="X112" i="5"/>
  <c r="X115" i="5"/>
  <c r="X122" i="5" s="1"/>
  <c r="X109" i="5"/>
  <c r="X111" i="5" s="1"/>
  <c r="X113" i="5" s="1"/>
  <c r="X123" i="5" s="1"/>
  <c r="BL207" i="5"/>
  <c r="BL184" i="5"/>
  <c r="BL191" i="5"/>
  <c r="BL152" i="5"/>
  <c r="BL104" i="5"/>
  <c r="BL112" i="5"/>
  <c r="BL115" i="5"/>
  <c r="BL122" i="5" s="1"/>
  <c r="BL109" i="5"/>
  <c r="BL111" i="5" s="1"/>
  <c r="BL113" i="5" s="1"/>
  <c r="BL123" i="5" s="1"/>
  <c r="K207" i="5"/>
  <c r="K184" i="5"/>
  <c r="K191" i="5"/>
  <c r="K152" i="5"/>
  <c r="K115" i="5"/>
  <c r="K122" i="5" s="1"/>
  <c r="K104" i="5"/>
  <c r="K112" i="5"/>
  <c r="K109" i="5"/>
  <c r="K111" i="5" s="1"/>
  <c r="K113" i="5" s="1"/>
  <c r="K123" i="5" s="1"/>
  <c r="BI97" i="2"/>
  <c r="C169" i="4"/>
  <c r="C184" i="4" s="1"/>
  <c r="C153" i="4"/>
  <c r="EE97" i="2"/>
  <c r="EB97" i="2"/>
  <c r="CD337" i="3"/>
  <c r="CD207" i="3"/>
  <c r="CD184" i="3"/>
  <c r="CD158" i="3"/>
  <c r="CD191" i="3"/>
  <c r="CD156" i="3"/>
  <c r="CD154" i="3"/>
  <c r="CD112" i="3"/>
  <c r="CD115" i="3"/>
  <c r="CD122" i="3" s="1"/>
  <c r="CD152" i="3"/>
  <c r="CD104" i="3"/>
  <c r="CD109" i="3"/>
  <c r="CD111" i="3" s="1"/>
  <c r="CD113" i="3" s="1"/>
  <c r="CD123" i="3" s="1"/>
  <c r="CU184" i="5"/>
  <c r="CU207" i="5"/>
  <c r="CU191" i="5"/>
  <c r="CU150" i="5"/>
  <c r="CU115" i="5"/>
  <c r="CU122" i="5" s="1"/>
  <c r="CU104" i="5"/>
  <c r="CU112" i="5"/>
  <c r="CU109" i="5"/>
  <c r="CU111" i="5" s="1"/>
  <c r="CT136" i="2"/>
  <c r="CT80" i="2"/>
  <c r="BF207" i="5"/>
  <c r="BF191" i="5"/>
  <c r="BF184" i="5"/>
  <c r="BF150" i="5"/>
  <c r="BF112" i="5"/>
  <c r="BF115" i="5"/>
  <c r="BF122" i="5" s="1"/>
  <c r="BF104" i="5"/>
  <c r="BF109" i="5"/>
  <c r="BF111" i="5" s="1"/>
  <c r="BF113" i="5" s="1"/>
  <c r="BF123" i="5" s="1"/>
  <c r="FK207" i="5"/>
  <c r="FK184" i="5"/>
  <c r="FK191" i="5"/>
  <c r="FK150" i="5"/>
  <c r="FK115" i="5"/>
  <c r="FK122" i="5" s="1"/>
  <c r="FK104" i="5"/>
  <c r="FK112" i="5"/>
  <c r="FK109" i="5"/>
  <c r="FK111" i="5" s="1"/>
  <c r="BN207" i="3"/>
  <c r="BN191" i="3"/>
  <c r="BN184" i="3"/>
  <c r="BN152" i="3"/>
  <c r="BN150" i="3"/>
  <c r="BN162" i="3" s="1"/>
  <c r="BN112" i="3"/>
  <c r="BN115" i="3"/>
  <c r="BN122" i="3" s="1"/>
  <c r="BN104" i="3"/>
  <c r="BN144" i="3"/>
  <c r="BN109" i="3"/>
  <c r="BN111" i="3" s="1"/>
  <c r="BN113" i="3" s="1"/>
  <c r="BN123" i="3" s="1"/>
  <c r="BN142" i="3"/>
  <c r="BN146" i="3" s="1"/>
  <c r="BN148" i="3" s="1"/>
  <c r="FS337" i="3"/>
  <c r="FS184" i="3"/>
  <c r="FS207" i="3"/>
  <c r="FS191" i="3"/>
  <c r="FS154" i="3"/>
  <c r="FS156" i="3"/>
  <c r="FS158" i="3"/>
  <c r="FS152" i="3"/>
  <c r="FS104" i="3"/>
  <c r="FS115" i="3"/>
  <c r="FS122" i="3" s="1"/>
  <c r="FS112" i="3"/>
  <c r="FS109" i="3"/>
  <c r="FS111" i="3" s="1"/>
  <c r="AN337" i="3"/>
  <c r="AN207" i="3"/>
  <c r="AN191" i="3"/>
  <c r="AN152" i="3"/>
  <c r="AN115" i="3"/>
  <c r="AN122" i="3" s="1"/>
  <c r="AN124" i="3" s="1"/>
  <c r="AN167" i="3" s="1"/>
  <c r="AN168" i="3" s="1"/>
  <c r="AN169" i="3" s="1"/>
  <c r="AN225" i="3" s="1"/>
  <c r="AN184" i="3"/>
  <c r="AN112" i="3"/>
  <c r="AN104" i="3"/>
  <c r="AN144" i="3"/>
  <c r="AN142" i="3"/>
  <c r="AN146" i="3" s="1"/>
  <c r="AN148" i="3" s="1"/>
  <c r="AN109" i="3"/>
  <c r="AN111" i="3" s="1"/>
  <c r="AN113" i="3" s="1"/>
  <c r="AN123" i="3" s="1"/>
  <c r="DR136" i="2"/>
  <c r="DR80" i="2"/>
  <c r="CM127" i="2"/>
  <c r="AU219" i="5"/>
  <c r="AU228" i="5" s="1"/>
  <c r="EH136" i="2"/>
  <c r="EH80" i="2"/>
  <c r="CA219" i="5"/>
  <c r="CA228" i="5" s="1"/>
  <c r="E207" i="3"/>
  <c r="E184" i="3"/>
  <c r="E191" i="3"/>
  <c r="E152" i="3"/>
  <c r="E154" i="3" s="1"/>
  <c r="E150" i="3"/>
  <c r="E112" i="3"/>
  <c r="E115" i="3"/>
  <c r="E122" i="3" s="1"/>
  <c r="E104" i="3"/>
  <c r="E142" i="3"/>
  <c r="E146" i="3" s="1"/>
  <c r="E148" i="3" s="1"/>
  <c r="E109" i="3"/>
  <c r="E111" i="3" s="1"/>
  <c r="E144" i="3"/>
  <c r="FP136" i="2"/>
  <c r="FP80" i="2"/>
  <c r="CV337" i="3"/>
  <c r="CV207" i="3"/>
  <c r="CV191" i="3"/>
  <c r="CV152" i="3"/>
  <c r="CV154" i="3"/>
  <c r="CV184" i="3"/>
  <c r="CV156" i="3"/>
  <c r="CV115" i="3"/>
  <c r="CV122" i="3" s="1"/>
  <c r="CV112" i="3"/>
  <c r="CV158" i="3"/>
  <c r="CV104" i="3"/>
  <c r="CV109" i="3"/>
  <c r="CV111" i="3" s="1"/>
  <c r="AD337" i="3"/>
  <c r="AD207" i="3"/>
  <c r="AD191" i="3"/>
  <c r="AD112" i="3"/>
  <c r="AD150" i="3"/>
  <c r="AD115" i="3"/>
  <c r="AD122" i="3" s="1"/>
  <c r="AD104" i="3"/>
  <c r="AD184" i="3"/>
  <c r="AD109" i="3"/>
  <c r="AD111" i="3" s="1"/>
  <c r="N136" i="2"/>
  <c r="N80" i="2"/>
  <c r="R136" i="2"/>
  <c r="R80" i="2"/>
  <c r="AW136" i="2"/>
  <c r="AW80" i="2"/>
  <c r="FR133" i="2"/>
  <c r="BU136" i="2"/>
  <c r="BU80" i="2"/>
  <c r="AL136" i="2"/>
  <c r="AL80" i="2"/>
  <c r="EA337" i="3"/>
  <c r="EA191" i="3"/>
  <c r="EA207" i="3"/>
  <c r="EA184" i="3"/>
  <c r="EA150" i="3"/>
  <c r="EA112" i="3"/>
  <c r="EA104" i="3"/>
  <c r="EA115" i="3"/>
  <c r="EA122" i="3" s="1"/>
  <c r="EA109" i="3"/>
  <c r="EA111" i="3" s="1"/>
  <c r="EA113" i="3" s="1"/>
  <c r="EA123" i="3" s="1"/>
  <c r="BL127" i="2"/>
  <c r="AR207" i="5"/>
  <c r="AR191" i="5"/>
  <c r="AR184" i="5"/>
  <c r="AR150" i="5"/>
  <c r="AR115" i="5"/>
  <c r="AR122" i="5" s="1"/>
  <c r="AR112" i="5"/>
  <c r="AR104" i="5"/>
  <c r="AR109" i="5"/>
  <c r="AR111" i="5" s="1"/>
  <c r="DM207" i="5"/>
  <c r="DM191" i="5"/>
  <c r="DM184" i="5"/>
  <c r="DM152" i="5"/>
  <c r="DM115" i="5"/>
  <c r="DM122" i="5" s="1"/>
  <c r="DM112" i="5"/>
  <c r="DM104" i="5"/>
  <c r="DM109" i="5"/>
  <c r="DM111" i="5" s="1"/>
  <c r="CG127" i="2"/>
  <c r="CS136" i="2"/>
  <c r="CS80" i="2"/>
  <c r="CE337" i="3"/>
  <c r="CE191" i="3"/>
  <c r="CE184" i="3"/>
  <c r="CE207" i="3"/>
  <c r="CE158" i="3"/>
  <c r="CE152" i="3"/>
  <c r="CE154" i="3"/>
  <c r="CE156" i="3"/>
  <c r="CE112" i="3"/>
  <c r="CE115" i="3"/>
  <c r="CE122" i="3" s="1"/>
  <c r="CE104" i="3"/>
  <c r="CE109" i="3"/>
  <c r="CE111" i="3" s="1"/>
  <c r="AQ136" i="2"/>
  <c r="AQ80" i="2"/>
  <c r="AK337" i="3"/>
  <c r="AK207" i="3"/>
  <c r="AK191" i="3"/>
  <c r="AK184" i="3"/>
  <c r="AK152" i="3"/>
  <c r="AK112" i="3"/>
  <c r="AK115" i="3"/>
  <c r="AK122" i="3" s="1"/>
  <c r="AK104" i="3"/>
  <c r="AK109" i="3"/>
  <c r="AK111" i="3" s="1"/>
  <c r="AK113" i="3" s="1"/>
  <c r="AK123" i="3" s="1"/>
  <c r="AK142" i="3"/>
  <c r="AK146" i="3" s="1"/>
  <c r="AK148" i="3" s="1"/>
  <c r="AK144" i="3"/>
  <c r="BV215" i="5"/>
  <c r="BV219" i="5" s="1"/>
  <c r="BV228" i="5" s="1"/>
  <c r="BV173" i="5"/>
  <c r="N337" i="3"/>
  <c r="N207" i="3"/>
  <c r="N191" i="3"/>
  <c r="N184" i="3"/>
  <c r="N150" i="3"/>
  <c r="N115" i="3"/>
  <c r="N122" i="3" s="1"/>
  <c r="N104" i="3"/>
  <c r="N112" i="3"/>
  <c r="N109" i="3"/>
  <c r="N111" i="3" s="1"/>
  <c r="FD337" i="3"/>
  <c r="FD207" i="3"/>
  <c r="FD191" i="3"/>
  <c r="FD184" i="3"/>
  <c r="FD152" i="3"/>
  <c r="FD115" i="3"/>
  <c r="FD122" i="3" s="1"/>
  <c r="FD124" i="3" s="1"/>
  <c r="FD167" i="3" s="1"/>
  <c r="FD168" i="3" s="1"/>
  <c r="FD169" i="3" s="1"/>
  <c r="FD225" i="3" s="1"/>
  <c r="FD104" i="3"/>
  <c r="FD112" i="3"/>
  <c r="FD109" i="3"/>
  <c r="FD111" i="3" s="1"/>
  <c r="FD113" i="3" s="1"/>
  <c r="FD123" i="3" s="1"/>
  <c r="FD142" i="3"/>
  <c r="FD144" i="3"/>
  <c r="BO184" i="3"/>
  <c r="BO207" i="3"/>
  <c r="BO191" i="3"/>
  <c r="BO154" i="3"/>
  <c r="BO150" i="3"/>
  <c r="BO152" i="3"/>
  <c r="BO115" i="3"/>
  <c r="BO122" i="3" s="1"/>
  <c r="BO104" i="3"/>
  <c r="BO112" i="3"/>
  <c r="BO144" i="3"/>
  <c r="BO109" i="3"/>
  <c r="BO111" i="3" s="1"/>
  <c r="BO142" i="3"/>
  <c r="EB214" i="5"/>
  <c r="EB127" i="5"/>
  <c r="EB103" i="5"/>
  <c r="M219" i="5"/>
  <c r="M228" i="5" s="1"/>
  <c r="CA337" i="3"/>
  <c r="CA207" i="3"/>
  <c r="CA184" i="3"/>
  <c r="CA191" i="3"/>
  <c r="CA154" i="3"/>
  <c r="CA156" i="3"/>
  <c r="CA158" i="3"/>
  <c r="CA152" i="3"/>
  <c r="CA115" i="3"/>
  <c r="CA122" i="3" s="1"/>
  <c r="CA112" i="3"/>
  <c r="CA104" i="3"/>
  <c r="CA109" i="3"/>
  <c r="CA111" i="3" s="1"/>
  <c r="FH137" i="2"/>
  <c r="FH138" i="2" s="1"/>
  <c r="DD337" i="3"/>
  <c r="DD207" i="3"/>
  <c r="DD184" i="3"/>
  <c r="DD191" i="3"/>
  <c r="DD152" i="3"/>
  <c r="DD112" i="3"/>
  <c r="DD115" i="3"/>
  <c r="DD122" i="3" s="1"/>
  <c r="DD124" i="3" s="1"/>
  <c r="DD167" i="3" s="1"/>
  <c r="DD168" i="3" s="1"/>
  <c r="DD169" i="3" s="1"/>
  <c r="DD225" i="3" s="1"/>
  <c r="DD104" i="3"/>
  <c r="DD109" i="3"/>
  <c r="DD111" i="3" s="1"/>
  <c r="DD113" i="3" s="1"/>
  <c r="DD123" i="3" s="1"/>
  <c r="DD142" i="3"/>
  <c r="DD144" i="3"/>
  <c r="K127" i="2"/>
  <c r="P337" i="3"/>
  <c r="P207" i="3"/>
  <c r="P191" i="3"/>
  <c r="P184" i="3"/>
  <c r="P152" i="3"/>
  <c r="P115" i="3"/>
  <c r="P122" i="3" s="1"/>
  <c r="P112" i="3"/>
  <c r="P104" i="3"/>
  <c r="P142" i="3"/>
  <c r="P109" i="3"/>
  <c r="P111" i="3" s="1"/>
  <c r="P144" i="3"/>
  <c r="EM337" i="3"/>
  <c r="EM207" i="3"/>
  <c r="EM191" i="3"/>
  <c r="EM184" i="3"/>
  <c r="EM152" i="3"/>
  <c r="EM112" i="3"/>
  <c r="EM104" i="3"/>
  <c r="EM115" i="3"/>
  <c r="EM122" i="3" s="1"/>
  <c r="EM144" i="3"/>
  <c r="EM109" i="3"/>
  <c r="EM111" i="3" s="1"/>
  <c r="EM142" i="3"/>
  <c r="EL214" i="3"/>
  <c r="EL127" i="3"/>
  <c r="EL103" i="3"/>
  <c r="BK214" i="5"/>
  <c r="BK219" i="5" s="1"/>
  <c r="BK228" i="5" s="1"/>
  <c r="BK103" i="5"/>
  <c r="BK127" i="5"/>
  <c r="DS214" i="5"/>
  <c r="DS219" i="5" s="1"/>
  <c r="DS228" i="5" s="1"/>
  <c r="DS103" i="5"/>
  <c r="DS127" i="5"/>
  <c r="DG97" i="2"/>
  <c r="CI215" i="5"/>
  <c r="CI173" i="5"/>
  <c r="AZ215" i="5"/>
  <c r="AZ173" i="5"/>
  <c r="Q215" i="5"/>
  <c r="Q219" i="5" s="1"/>
  <c r="Q228" i="5" s="1"/>
  <c r="Q173" i="5"/>
  <c r="FE215" i="5"/>
  <c r="FE173" i="5"/>
  <c r="DV215" i="5"/>
  <c r="DV219" i="5" s="1"/>
  <c r="DV228" i="5" s="1"/>
  <c r="DV173" i="5"/>
  <c r="CM215" i="5"/>
  <c r="CM219" i="5" s="1"/>
  <c r="CM228" i="5" s="1"/>
  <c r="CM173" i="5"/>
  <c r="BD215" i="5"/>
  <c r="BD219" i="5" s="1"/>
  <c r="BD228" i="5" s="1"/>
  <c r="BD173" i="5"/>
  <c r="U215" i="5"/>
  <c r="U219" i="5" s="1"/>
  <c r="U228" i="5" s="1"/>
  <c r="U173" i="5"/>
  <c r="FI215" i="5"/>
  <c r="FI173" i="5"/>
  <c r="DZ215" i="5"/>
  <c r="DZ173" i="5"/>
  <c r="CQ215" i="5"/>
  <c r="CQ219" i="5" s="1"/>
  <c r="CQ228" i="5" s="1"/>
  <c r="CQ173" i="5"/>
  <c r="BH215" i="5"/>
  <c r="BH173" i="5"/>
  <c r="Y215" i="5"/>
  <c r="Y173" i="5"/>
  <c r="FM215" i="5"/>
  <c r="FM219" i="5" s="1"/>
  <c r="FM228" i="5" s="1"/>
  <c r="FM173" i="5"/>
  <c r="ED215" i="5"/>
  <c r="ED173" i="5"/>
  <c r="CI184" i="3"/>
  <c r="CI207" i="3"/>
  <c r="CI150" i="3"/>
  <c r="CI152" i="3"/>
  <c r="CI154" i="3"/>
  <c r="CI191" i="3"/>
  <c r="CI115" i="3"/>
  <c r="CI122" i="3" s="1"/>
  <c r="CI112" i="3"/>
  <c r="CI104" i="3"/>
  <c r="CI142" i="3"/>
  <c r="CI144" i="3"/>
  <c r="CI109" i="3"/>
  <c r="CI111" i="3" s="1"/>
  <c r="CI113" i="3" s="1"/>
  <c r="CI123" i="3" s="1"/>
  <c r="DP337" i="3"/>
  <c r="DP207" i="3"/>
  <c r="DP184" i="3"/>
  <c r="DP191" i="3"/>
  <c r="DP152" i="3"/>
  <c r="DP158" i="3"/>
  <c r="DP156" i="3"/>
  <c r="DP112" i="3"/>
  <c r="DP115" i="3"/>
  <c r="DP122" i="3" s="1"/>
  <c r="DP104" i="3"/>
  <c r="DP154" i="3"/>
  <c r="DP109" i="3"/>
  <c r="DP111" i="3" s="1"/>
  <c r="EC191" i="5"/>
  <c r="EC207" i="5"/>
  <c r="EC184" i="5"/>
  <c r="EC152" i="5"/>
  <c r="EC115" i="5"/>
  <c r="EC122" i="5" s="1"/>
  <c r="EC112" i="5"/>
  <c r="EC104" i="5"/>
  <c r="EC109" i="5"/>
  <c r="EC111" i="5" s="1"/>
  <c r="EC113" i="5" s="1"/>
  <c r="EC123" i="5" s="1"/>
  <c r="FE207" i="5"/>
  <c r="FE191" i="5"/>
  <c r="FE184" i="5"/>
  <c r="FE152" i="5"/>
  <c r="FE115" i="5"/>
  <c r="FE122" i="5" s="1"/>
  <c r="FE112" i="5"/>
  <c r="FE104" i="5"/>
  <c r="FE109" i="5"/>
  <c r="FE111" i="5" s="1"/>
  <c r="FE113" i="5" s="1"/>
  <c r="FE123" i="5" s="1"/>
  <c r="EM207" i="5"/>
  <c r="EM184" i="5"/>
  <c r="EM191" i="5"/>
  <c r="EM152" i="5"/>
  <c r="EM115" i="5"/>
  <c r="EM122" i="5" s="1"/>
  <c r="EM104" i="5"/>
  <c r="EM112" i="5"/>
  <c r="EM109" i="5"/>
  <c r="EM111" i="5" s="1"/>
  <c r="G337" i="3"/>
  <c r="G207" i="3"/>
  <c r="G184" i="3"/>
  <c r="G191" i="3"/>
  <c r="G150" i="3"/>
  <c r="G115" i="3"/>
  <c r="G122" i="3" s="1"/>
  <c r="G104" i="3"/>
  <c r="G112" i="3"/>
  <c r="G109" i="3"/>
  <c r="G111" i="3" s="1"/>
  <c r="G113" i="3" s="1"/>
  <c r="G123" i="3" s="1"/>
  <c r="DJ207" i="3"/>
  <c r="DJ191" i="3"/>
  <c r="DJ184" i="3"/>
  <c r="DJ154" i="3"/>
  <c r="DJ152" i="3"/>
  <c r="DJ104" i="3"/>
  <c r="DJ150" i="3"/>
  <c r="DJ112" i="3"/>
  <c r="DJ115" i="3"/>
  <c r="DJ122" i="3" s="1"/>
  <c r="DJ109" i="3"/>
  <c r="DJ111" i="3" s="1"/>
  <c r="DJ113" i="3" s="1"/>
  <c r="DJ123" i="3" s="1"/>
  <c r="DJ144" i="3"/>
  <c r="DJ142" i="3"/>
  <c r="AW337" i="3"/>
  <c r="AW207" i="3"/>
  <c r="AW191" i="3"/>
  <c r="AW184" i="3"/>
  <c r="AW152" i="3"/>
  <c r="AW154" i="3"/>
  <c r="AW156" i="3"/>
  <c r="AW158" i="3"/>
  <c r="AW112" i="3"/>
  <c r="AW115" i="3"/>
  <c r="AW122" i="3" s="1"/>
  <c r="AW104" i="3"/>
  <c r="AW109" i="3"/>
  <c r="AW111" i="3" s="1"/>
  <c r="FO207" i="3"/>
  <c r="FO184" i="3"/>
  <c r="FO150" i="3"/>
  <c r="FO152" i="3"/>
  <c r="FO154" i="3" s="1"/>
  <c r="FO191" i="3"/>
  <c r="FO115" i="3"/>
  <c r="FO122" i="3" s="1"/>
  <c r="FO112" i="3"/>
  <c r="FO104" i="3"/>
  <c r="FO109" i="3"/>
  <c r="FO111" i="3" s="1"/>
  <c r="FO113" i="3" s="1"/>
  <c r="FO123" i="3" s="1"/>
  <c r="FO142" i="3"/>
  <c r="FO146" i="3" s="1"/>
  <c r="FO148" i="3" s="1"/>
  <c r="FO144" i="3"/>
  <c r="BQ207" i="5"/>
  <c r="BQ191" i="5"/>
  <c r="BQ184" i="5"/>
  <c r="BQ150" i="5"/>
  <c r="BQ115" i="5"/>
  <c r="BQ122" i="5" s="1"/>
  <c r="BQ104" i="5"/>
  <c r="BQ112" i="5"/>
  <c r="BQ109" i="5"/>
  <c r="BQ111" i="5" s="1"/>
  <c r="BQ113" i="5" s="1"/>
  <c r="BQ123" i="5" s="1"/>
  <c r="C166" i="4"/>
  <c r="C180" i="4"/>
  <c r="EV136" i="2"/>
  <c r="EV80" i="2"/>
  <c r="FK97" i="2"/>
  <c r="BF136" i="2"/>
  <c r="BF80" i="2"/>
  <c r="I191" i="3"/>
  <c r="I184" i="3"/>
  <c r="I150" i="3"/>
  <c r="I152" i="3"/>
  <c r="I154" i="3"/>
  <c r="I207" i="3"/>
  <c r="I112" i="3"/>
  <c r="I115" i="3"/>
  <c r="I122" i="3" s="1"/>
  <c r="I104" i="3"/>
  <c r="I109" i="3"/>
  <c r="I111" i="3" s="1"/>
  <c r="I113" i="3" s="1"/>
  <c r="I123" i="3" s="1"/>
  <c r="I142" i="3"/>
  <c r="I146" i="3" s="1"/>
  <c r="I148" i="3" s="1"/>
  <c r="I144" i="3"/>
  <c r="BO219" i="5"/>
  <c r="BO228" i="5" s="1"/>
  <c r="FX207" i="5"/>
  <c r="FX191" i="5"/>
  <c r="FX184" i="5"/>
  <c r="FX152" i="5"/>
  <c r="FX112" i="5"/>
  <c r="FX104" i="5"/>
  <c r="FX115" i="5"/>
  <c r="FX122" i="5" s="1"/>
  <c r="FX109" i="5"/>
  <c r="FX111" i="5" s="1"/>
  <c r="FW97" i="2"/>
  <c r="CB136" i="2"/>
  <c r="CB80" i="2"/>
  <c r="FE337" i="3"/>
  <c r="FE184" i="3"/>
  <c r="FE207" i="3"/>
  <c r="FE191" i="3"/>
  <c r="FE152" i="3"/>
  <c r="FE104" i="3"/>
  <c r="FE112" i="3"/>
  <c r="FE115" i="3"/>
  <c r="FE122" i="3" s="1"/>
  <c r="FE144" i="3"/>
  <c r="FE142" i="3"/>
  <c r="FE146" i="3" s="1"/>
  <c r="FE148" i="3" s="1"/>
  <c r="FE109" i="3"/>
  <c r="FE111" i="3" s="1"/>
  <c r="FE113" i="3" s="1"/>
  <c r="FE123" i="3" s="1"/>
  <c r="FF337" i="3"/>
  <c r="FF207" i="3"/>
  <c r="FF191" i="3"/>
  <c r="FF184" i="3"/>
  <c r="FF152" i="3"/>
  <c r="FF104" i="3"/>
  <c r="FF112" i="3"/>
  <c r="FF115" i="3"/>
  <c r="FF122" i="3" s="1"/>
  <c r="FF124" i="3" s="1"/>
  <c r="FF167" i="3" s="1"/>
  <c r="FF168" i="3" s="1"/>
  <c r="FF169" i="3" s="1"/>
  <c r="FF225" i="3" s="1"/>
  <c r="FF109" i="3"/>
  <c r="FF111" i="3" s="1"/>
  <c r="FF113" i="3" s="1"/>
  <c r="FF123" i="3" s="1"/>
  <c r="FF144" i="3"/>
  <c r="FF142" i="3"/>
  <c r="BM207" i="5"/>
  <c r="BM191" i="5"/>
  <c r="BM184" i="5"/>
  <c r="BM152" i="5"/>
  <c r="BM115" i="5"/>
  <c r="BM122" i="5" s="1"/>
  <c r="BM124" i="5" s="1"/>
  <c r="BM167" i="5" s="1"/>
  <c r="BM168" i="5" s="1"/>
  <c r="BM169" i="5" s="1"/>
  <c r="BM225" i="5" s="1"/>
  <c r="BM112" i="5"/>
  <c r="BM104" i="5"/>
  <c r="BM109" i="5"/>
  <c r="BM111" i="5" s="1"/>
  <c r="BM113" i="5" s="1"/>
  <c r="BM123" i="5" s="1"/>
  <c r="BO136" i="2"/>
  <c r="BO80" i="2"/>
  <c r="EV219" i="5"/>
  <c r="EV228" i="5" s="1"/>
  <c r="FE80" i="2"/>
  <c r="FE136" i="2"/>
  <c r="FA136" i="2"/>
  <c r="FA80" i="2"/>
  <c r="DO207" i="5"/>
  <c r="DO191" i="5"/>
  <c r="DO184" i="5"/>
  <c r="DO150" i="5"/>
  <c r="DO115" i="5"/>
  <c r="DO122" i="5" s="1"/>
  <c r="DO104" i="5"/>
  <c r="DO112" i="5"/>
  <c r="DO109" i="5"/>
  <c r="DO111" i="5" s="1"/>
  <c r="ET127" i="2"/>
  <c r="BM80" i="2"/>
  <c r="BM136" i="2"/>
  <c r="AL133" i="2"/>
  <c r="Y219" i="5"/>
  <c r="Y228" i="5" s="1"/>
  <c r="J219" i="5"/>
  <c r="J228" i="5" s="1"/>
  <c r="BN215" i="5"/>
  <c r="BN219" i="5" s="1"/>
  <c r="BN228" i="5" s="1"/>
  <c r="BN173" i="5"/>
  <c r="FW215" i="5"/>
  <c r="FW173" i="5"/>
  <c r="FC207" i="5"/>
  <c r="FC184" i="5"/>
  <c r="FC191" i="5"/>
  <c r="FC150" i="5"/>
  <c r="FC115" i="5"/>
  <c r="FC122" i="5" s="1"/>
  <c r="FC124" i="5" s="1"/>
  <c r="FC167" i="5" s="1"/>
  <c r="FC168" i="5" s="1"/>
  <c r="FC169" i="5" s="1"/>
  <c r="FC225" i="5" s="1"/>
  <c r="FC104" i="5"/>
  <c r="FC112" i="5"/>
  <c r="FC109" i="5"/>
  <c r="FC111" i="5" s="1"/>
  <c r="FC113" i="5" s="1"/>
  <c r="FC123" i="5" s="1"/>
  <c r="AH207" i="5"/>
  <c r="AH184" i="5"/>
  <c r="AH191" i="5"/>
  <c r="AH112" i="5"/>
  <c r="AH115" i="5"/>
  <c r="AH122" i="5" s="1"/>
  <c r="AH150" i="5"/>
  <c r="AH104" i="5"/>
  <c r="AH109" i="5"/>
  <c r="AH111" i="5" s="1"/>
  <c r="EA133" i="2"/>
  <c r="EX136" i="2"/>
  <c r="EX80" i="2"/>
  <c r="CI214" i="5"/>
  <c r="CI219" i="5" s="1"/>
  <c r="CI228" i="5" s="1"/>
  <c r="CI103" i="5"/>
  <c r="CI127" i="5"/>
  <c r="S184" i="3"/>
  <c r="S207" i="3"/>
  <c r="S191" i="3"/>
  <c r="S154" i="3"/>
  <c r="S150" i="3"/>
  <c r="S152" i="3"/>
  <c r="S115" i="3"/>
  <c r="S122" i="3" s="1"/>
  <c r="S104" i="3"/>
  <c r="S112" i="3"/>
  <c r="S142" i="3"/>
  <c r="S146" i="3" s="1"/>
  <c r="S148" i="3" s="1"/>
  <c r="S109" i="3"/>
  <c r="S111" i="3" s="1"/>
  <c r="S144" i="3"/>
  <c r="EQ214" i="5"/>
  <c r="EQ103" i="5"/>
  <c r="EQ127" i="5"/>
  <c r="DR219" i="5"/>
  <c r="DR228" i="5" s="1"/>
  <c r="O337" i="3"/>
  <c r="O184" i="3"/>
  <c r="O207" i="3"/>
  <c r="O150" i="3"/>
  <c r="O191" i="3"/>
  <c r="O115" i="3"/>
  <c r="O122" i="3" s="1"/>
  <c r="O112" i="3"/>
  <c r="O104" i="3"/>
  <c r="O109" i="3"/>
  <c r="O111" i="3" s="1"/>
  <c r="O113" i="3" s="1"/>
  <c r="O123" i="3" s="1"/>
  <c r="DN207" i="3"/>
  <c r="DN184" i="3"/>
  <c r="DN191" i="3"/>
  <c r="DN150" i="3"/>
  <c r="DN162" i="3" s="1"/>
  <c r="DN152" i="3"/>
  <c r="DN112" i="3"/>
  <c r="DN104" i="3"/>
  <c r="DN115" i="3"/>
  <c r="DN122" i="3" s="1"/>
  <c r="DN144" i="3"/>
  <c r="DN109" i="3"/>
  <c r="DN111" i="3" s="1"/>
  <c r="DN113" i="3" s="1"/>
  <c r="DN123" i="3" s="1"/>
  <c r="DN142" i="3"/>
  <c r="DI219" i="5"/>
  <c r="DI228" i="5" s="1"/>
  <c r="CU97" i="2"/>
  <c r="CF136" i="2"/>
  <c r="CF80" i="2"/>
  <c r="AD191" i="5"/>
  <c r="AD207" i="5"/>
  <c r="AD184" i="5"/>
  <c r="AD150" i="5"/>
  <c r="AD112" i="5"/>
  <c r="AD115" i="5"/>
  <c r="AD122" i="5" s="1"/>
  <c r="AD104" i="5"/>
  <c r="AD109" i="5"/>
  <c r="AD111" i="5" s="1"/>
  <c r="EW219" i="5"/>
  <c r="EW228" i="5" s="1"/>
  <c r="EL207" i="5"/>
  <c r="EL184" i="5"/>
  <c r="EL191" i="5"/>
  <c r="EL112" i="5"/>
  <c r="EL115" i="5"/>
  <c r="EL122" i="5" s="1"/>
  <c r="EL150" i="5"/>
  <c r="EL104" i="5"/>
  <c r="EL109" i="5"/>
  <c r="EL111" i="5" s="1"/>
  <c r="EB133" i="2"/>
  <c r="CO337" i="3"/>
  <c r="CO207" i="3"/>
  <c r="CO191" i="3"/>
  <c r="CO184" i="3"/>
  <c r="CO150" i="3"/>
  <c r="CO112" i="3"/>
  <c r="CO115" i="3"/>
  <c r="CO122" i="3" s="1"/>
  <c r="CO104" i="3"/>
  <c r="CO109" i="3"/>
  <c r="CO111" i="3" s="1"/>
  <c r="CO113" i="3" s="1"/>
  <c r="CO123" i="3" s="1"/>
  <c r="FA219" i="5"/>
  <c r="FA228" i="5" s="1"/>
  <c r="Z207" i="5"/>
  <c r="Z191" i="5"/>
  <c r="Z184" i="5"/>
  <c r="Z152" i="5"/>
  <c r="Z104" i="5"/>
  <c r="Z112" i="5"/>
  <c r="Z115" i="5"/>
  <c r="Z122" i="5" s="1"/>
  <c r="Z109" i="5"/>
  <c r="Z111" i="5" s="1"/>
  <c r="CX97" i="2"/>
  <c r="CF337" i="3"/>
  <c r="CF207" i="3"/>
  <c r="CF184" i="3"/>
  <c r="CF152" i="3"/>
  <c r="CF112" i="3"/>
  <c r="CF115" i="3"/>
  <c r="CF122" i="3" s="1"/>
  <c r="CF191" i="3"/>
  <c r="CF104" i="3"/>
  <c r="CF109" i="3"/>
  <c r="CF111" i="3" s="1"/>
  <c r="CF142" i="3"/>
  <c r="CF144" i="3"/>
  <c r="CL337" i="3"/>
  <c r="CL207" i="3"/>
  <c r="CL191" i="3"/>
  <c r="CL184" i="3"/>
  <c r="CL150" i="3"/>
  <c r="CL112" i="3"/>
  <c r="CL115" i="3"/>
  <c r="CL122" i="3" s="1"/>
  <c r="CL104" i="3"/>
  <c r="CL109" i="3"/>
  <c r="CL111" i="3" s="1"/>
  <c r="AN219" i="5"/>
  <c r="AN228" i="5" s="1"/>
  <c r="S219" i="5"/>
  <c r="S228" i="5" s="1"/>
  <c r="AG219" i="5"/>
  <c r="AG228" i="5" s="1"/>
  <c r="CU215" i="5"/>
  <c r="CU219" i="5" s="1"/>
  <c r="CU228" i="5" s="1"/>
  <c r="CU173" i="5"/>
  <c r="BL215" i="5"/>
  <c r="BL173" i="5"/>
  <c r="AC215" i="5"/>
  <c r="AC219" i="5" s="1"/>
  <c r="AC228" i="5" s="1"/>
  <c r="AC173" i="5"/>
  <c r="FQ215" i="5"/>
  <c r="FQ219" i="5" s="1"/>
  <c r="FQ228" i="5" s="1"/>
  <c r="FQ173" i="5"/>
  <c r="EH215" i="5"/>
  <c r="EH219" i="5" s="1"/>
  <c r="EH228" i="5" s="1"/>
  <c r="EH173" i="5"/>
  <c r="CY215" i="5"/>
  <c r="CY219" i="5" s="1"/>
  <c r="CY228" i="5" s="1"/>
  <c r="CY173" i="5"/>
  <c r="BP215" i="5"/>
  <c r="BP219" i="5" s="1"/>
  <c r="BP228" i="5" s="1"/>
  <c r="BP173" i="5"/>
  <c r="AG215" i="5"/>
  <c r="AG173" i="5"/>
  <c r="FU215" i="5"/>
  <c r="FU219" i="5" s="1"/>
  <c r="FU228" i="5" s="1"/>
  <c r="FU173" i="5"/>
  <c r="EL215" i="5"/>
  <c r="EL219" i="5" s="1"/>
  <c r="EL228" i="5" s="1"/>
  <c r="EL173" i="5"/>
  <c r="DC215" i="5"/>
  <c r="DC173" i="5"/>
  <c r="BT215" i="5"/>
  <c r="BT219" i="5" s="1"/>
  <c r="BT228" i="5" s="1"/>
  <c r="BT173" i="5"/>
  <c r="AK215" i="5"/>
  <c r="AK219" i="5" s="1"/>
  <c r="AK228" i="5" s="1"/>
  <c r="AK173" i="5"/>
  <c r="FZ41" i="5"/>
  <c r="EP215" i="5"/>
  <c r="EP173" i="5"/>
  <c r="L127" i="2"/>
  <c r="CT337" i="3"/>
  <c r="CT207" i="3"/>
  <c r="CT191" i="3"/>
  <c r="CT184" i="3"/>
  <c r="CT152" i="3"/>
  <c r="CT115" i="3"/>
  <c r="CT122" i="3" s="1"/>
  <c r="CT104" i="3"/>
  <c r="CT112" i="3"/>
  <c r="CT109" i="3"/>
  <c r="CT111" i="3" s="1"/>
  <c r="CT113" i="3" s="1"/>
  <c r="CT123" i="3" s="1"/>
  <c r="CT142" i="3"/>
  <c r="CT146" i="3" s="1"/>
  <c r="CT148" i="3" s="1"/>
  <c r="CT144" i="3"/>
  <c r="BL219" i="5"/>
  <c r="BL228" i="5" s="1"/>
  <c r="K219" i="5"/>
  <c r="K228" i="5" s="1"/>
  <c r="AJ207" i="5"/>
  <c r="AJ191" i="5"/>
  <c r="AJ184" i="5"/>
  <c r="AJ152" i="5"/>
  <c r="AJ112" i="5"/>
  <c r="AJ104" i="5"/>
  <c r="AJ115" i="5"/>
  <c r="AJ122" i="5" s="1"/>
  <c r="AJ124" i="5" s="1"/>
  <c r="AJ167" i="5" s="1"/>
  <c r="AJ168" i="5" s="1"/>
  <c r="AJ169" i="5" s="1"/>
  <c r="AJ225" i="5" s="1"/>
  <c r="AJ109" i="5"/>
  <c r="AJ111" i="5" s="1"/>
  <c r="AJ113" i="5" s="1"/>
  <c r="AJ123" i="5" s="1"/>
  <c r="CD136" i="2"/>
  <c r="CD80" i="2"/>
  <c r="ET207" i="3"/>
  <c r="ET337" i="3"/>
  <c r="ET191" i="3"/>
  <c r="ET184" i="3"/>
  <c r="ET152" i="3"/>
  <c r="ET104" i="3"/>
  <c r="ET112" i="3"/>
  <c r="ET115" i="3"/>
  <c r="ET122" i="3" s="1"/>
  <c r="ET142" i="3"/>
  <c r="ET109" i="3"/>
  <c r="ET111" i="3" s="1"/>
  <c r="ET144" i="3"/>
  <c r="DV337" i="3"/>
  <c r="DV207" i="3"/>
  <c r="DV191" i="3"/>
  <c r="DV154" i="3"/>
  <c r="DV156" i="3"/>
  <c r="DV158" i="3"/>
  <c r="DV152" i="3"/>
  <c r="DV184" i="3"/>
  <c r="DV104" i="3"/>
  <c r="DV112" i="3"/>
  <c r="DV115" i="3"/>
  <c r="DV122" i="3" s="1"/>
  <c r="DV109" i="3"/>
  <c r="DV111" i="3" s="1"/>
  <c r="DV113" i="3" s="1"/>
  <c r="DV123" i="3" s="1"/>
  <c r="CX207" i="5"/>
  <c r="CX191" i="5"/>
  <c r="CX184" i="5"/>
  <c r="CX150" i="5"/>
  <c r="CX112" i="5"/>
  <c r="CX115" i="5"/>
  <c r="CX122" i="5" s="1"/>
  <c r="CX104" i="5"/>
  <c r="CX109" i="5"/>
  <c r="CX111" i="5" s="1"/>
  <c r="AV207" i="5"/>
  <c r="AV191" i="5"/>
  <c r="AV152" i="5"/>
  <c r="AV184" i="5"/>
  <c r="AV115" i="5"/>
  <c r="AV122" i="5" s="1"/>
  <c r="AV112" i="5"/>
  <c r="AV104" i="5"/>
  <c r="AV109" i="5"/>
  <c r="AV111" i="5" s="1"/>
  <c r="BA97" i="2"/>
  <c r="AX337" i="3"/>
  <c r="AX207" i="3"/>
  <c r="AX191" i="3"/>
  <c r="AX184" i="3"/>
  <c r="AX152" i="3"/>
  <c r="AX115" i="3"/>
  <c r="AX122" i="3" s="1"/>
  <c r="AX104" i="3"/>
  <c r="AX112" i="3"/>
  <c r="AX142" i="3"/>
  <c r="AX109" i="3"/>
  <c r="AX111" i="3" s="1"/>
  <c r="AX144" i="3"/>
  <c r="EO191" i="5"/>
  <c r="EO184" i="5"/>
  <c r="EO207" i="5"/>
  <c r="EO152" i="5"/>
  <c r="EO115" i="5"/>
  <c r="EO122" i="5" s="1"/>
  <c r="EO104" i="5"/>
  <c r="EO112" i="5"/>
  <c r="EO109" i="5"/>
  <c r="EO111" i="5" s="1"/>
  <c r="EO113" i="5" s="1"/>
  <c r="EO123" i="5" s="1"/>
  <c r="AI207" i="5"/>
  <c r="AI191" i="5"/>
  <c r="AI184" i="5"/>
  <c r="AI152" i="5"/>
  <c r="AI115" i="5"/>
  <c r="AI122" i="5" s="1"/>
  <c r="AI112" i="5"/>
  <c r="AI104" i="5"/>
  <c r="AI109" i="5"/>
  <c r="AI111" i="5" s="1"/>
  <c r="AI113" i="5" s="1"/>
  <c r="AI123" i="5" s="1"/>
  <c r="CH207" i="5"/>
  <c r="CH191" i="5"/>
  <c r="CH184" i="5"/>
  <c r="CH152" i="5"/>
  <c r="CH104" i="5"/>
  <c r="CH115" i="5"/>
  <c r="CH122" i="5" s="1"/>
  <c r="CH112" i="5"/>
  <c r="CH109" i="5"/>
  <c r="CH111" i="5" s="1"/>
  <c r="FR337" i="3"/>
  <c r="FR207" i="3"/>
  <c r="FR191" i="3"/>
  <c r="FR154" i="3"/>
  <c r="FR156" i="3"/>
  <c r="FR158" i="3"/>
  <c r="FR152" i="3"/>
  <c r="FR184" i="3"/>
  <c r="FR104" i="3"/>
  <c r="FR112" i="3"/>
  <c r="FR115" i="3"/>
  <c r="FR122" i="3" s="1"/>
  <c r="FR109" i="3"/>
  <c r="FR111" i="3" s="1"/>
  <c r="CB337" i="3"/>
  <c r="CB207" i="3"/>
  <c r="CB184" i="3"/>
  <c r="CB191" i="3"/>
  <c r="CB150" i="3"/>
  <c r="CB115" i="3"/>
  <c r="CB122" i="3" s="1"/>
  <c r="CB112" i="3"/>
  <c r="CB104" i="3"/>
  <c r="CB109" i="3"/>
  <c r="CB111" i="3" s="1"/>
  <c r="D17" i="4"/>
  <c r="D21" i="4"/>
  <c r="FT21" i="5" s="1"/>
  <c r="D20" i="4"/>
  <c r="D18" i="4"/>
  <c r="D28" i="4"/>
  <c r="DA136" i="2"/>
  <c r="DA80" i="2"/>
  <c r="DU127" i="2"/>
  <c r="FI207" i="5"/>
  <c r="FI191" i="5"/>
  <c r="FI184" i="5"/>
  <c r="FI150" i="5"/>
  <c r="FI115" i="5"/>
  <c r="FI122" i="5" s="1"/>
  <c r="FI124" i="5" s="1"/>
  <c r="FI167" i="5" s="1"/>
  <c r="FI168" i="5" s="1"/>
  <c r="FI169" i="5" s="1"/>
  <c r="FI225" i="5" s="1"/>
  <c r="FI104" i="5"/>
  <c r="FI112" i="5"/>
  <c r="FI109" i="5"/>
  <c r="FI111" i="5" s="1"/>
  <c r="FI113" i="5" s="1"/>
  <c r="FI123" i="5" s="1"/>
  <c r="ES80" i="2"/>
  <c r="ES136" i="2"/>
  <c r="FE133" i="2"/>
  <c r="FC136" i="2"/>
  <c r="FC80" i="2"/>
  <c r="Y136" i="2"/>
  <c r="Y80" i="2"/>
  <c r="DK136" i="2"/>
  <c r="DK80" i="2"/>
  <c r="AX127" i="2"/>
  <c r="DK207" i="5"/>
  <c r="DK191" i="5"/>
  <c r="DK184" i="5"/>
  <c r="DK150" i="5"/>
  <c r="DK112" i="5"/>
  <c r="DK115" i="5"/>
  <c r="DK122" i="5" s="1"/>
  <c r="DK104" i="5"/>
  <c r="DK109" i="5"/>
  <c r="DK111" i="5" s="1"/>
  <c r="DK113" i="5" s="1"/>
  <c r="DK123" i="5" s="1"/>
  <c r="BY80" i="2"/>
  <c r="BY136" i="2"/>
  <c r="AR219" i="5"/>
  <c r="AR228" i="5" s="1"/>
  <c r="DM219" i="5"/>
  <c r="DM228" i="5" s="1"/>
  <c r="FG136" i="2"/>
  <c r="FG80" i="2"/>
  <c r="BJ136" i="2"/>
  <c r="BJ80" i="2"/>
  <c r="Y207" i="3"/>
  <c r="Y191" i="3"/>
  <c r="Y184" i="3"/>
  <c r="Y150" i="3"/>
  <c r="Y162" i="3" s="1"/>
  <c r="Y152" i="3"/>
  <c r="Y112" i="3"/>
  <c r="Y115" i="3"/>
  <c r="Y122" i="3" s="1"/>
  <c r="Y104" i="3"/>
  <c r="Y144" i="3"/>
  <c r="Y109" i="3"/>
  <c r="Y111" i="3" s="1"/>
  <c r="Y142" i="3"/>
  <c r="Y146" i="3" s="1"/>
  <c r="Y148" i="3" s="1"/>
  <c r="FT214" i="5"/>
  <c r="FT127" i="5"/>
  <c r="FT103" i="5"/>
  <c r="CZ191" i="5"/>
  <c r="CZ207" i="5"/>
  <c r="CZ184" i="5"/>
  <c r="CZ150" i="5"/>
  <c r="CZ115" i="5"/>
  <c r="CZ122" i="5" s="1"/>
  <c r="CZ112" i="5"/>
  <c r="CZ104" i="5"/>
  <c r="CZ109" i="5"/>
  <c r="CZ111" i="5" s="1"/>
  <c r="CZ113" i="5" s="1"/>
  <c r="CZ123" i="5" s="1"/>
  <c r="AS136" i="2"/>
  <c r="AS80" i="2"/>
  <c r="E219" i="5"/>
  <c r="E228" i="5" s="1"/>
  <c r="EJ215" i="5"/>
  <c r="EJ173" i="5"/>
  <c r="X136" i="2"/>
  <c r="X80" i="2"/>
  <c r="CZ207" i="3"/>
  <c r="CZ184" i="3"/>
  <c r="CZ191" i="3"/>
  <c r="CZ104" i="3"/>
  <c r="CZ152" i="3"/>
  <c r="CZ150" i="3"/>
  <c r="CZ154" i="3" s="1"/>
  <c r="CZ115" i="3"/>
  <c r="CZ122" i="3" s="1"/>
  <c r="CZ124" i="3" s="1"/>
  <c r="CZ167" i="3" s="1"/>
  <c r="CZ168" i="3" s="1"/>
  <c r="CZ169" i="3" s="1"/>
  <c r="CZ225" i="3" s="1"/>
  <c r="CZ112" i="3"/>
  <c r="CZ144" i="3"/>
  <c r="CZ142" i="3"/>
  <c r="CZ146" i="3" s="1"/>
  <c r="CZ148" i="3" s="1"/>
  <c r="CZ109" i="3"/>
  <c r="CZ111" i="3" s="1"/>
  <c r="CZ113" i="3" s="1"/>
  <c r="CZ123" i="3" s="1"/>
  <c r="DZ337" i="3"/>
  <c r="DZ207" i="3"/>
  <c r="DZ184" i="3"/>
  <c r="DZ150" i="3"/>
  <c r="DZ191" i="3"/>
  <c r="DZ112" i="3"/>
  <c r="DZ104" i="3"/>
  <c r="DZ115" i="3"/>
  <c r="DZ122" i="3" s="1"/>
  <c r="DZ109" i="3"/>
  <c r="DZ111" i="3" s="1"/>
  <c r="DZ113" i="3" s="1"/>
  <c r="DZ123" i="3" s="1"/>
  <c r="EI184" i="3"/>
  <c r="EI207" i="3"/>
  <c r="EI191" i="3"/>
  <c r="EI154" i="3"/>
  <c r="EI150" i="3"/>
  <c r="EI152" i="3"/>
  <c r="EI104" i="3"/>
  <c r="EI115" i="3"/>
  <c r="EI122" i="3" s="1"/>
  <c r="EI112" i="3"/>
  <c r="EI144" i="3"/>
  <c r="EI109" i="3"/>
  <c r="EI111" i="3" s="1"/>
  <c r="EI142" i="3"/>
  <c r="FD215" i="5"/>
  <c r="FD219" i="5" s="1"/>
  <c r="FD228" i="5" s="1"/>
  <c r="FD173" i="5"/>
  <c r="EB207" i="3"/>
  <c r="EB184" i="3"/>
  <c r="EB150" i="3"/>
  <c r="EB154" i="3" s="1"/>
  <c r="EB152" i="3"/>
  <c r="EB112" i="3"/>
  <c r="EB115" i="3"/>
  <c r="EB122" i="3" s="1"/>
  <c r="EB191" i="3"/>
  <c r="EB104" i="3"/>
  <c r="EB109" i="3"/>
  <c r="EB111" i="3" s="1"/>
  <c r="EB142" i="3"/>
  <c r="EB144" i="3"/>
  <c r="CZ133" i="2"/>
  <c r="DN207" i="5"/>
  <c r="DN191" i="5"/>
  <c r="DN184" i="5"/>
  <c r="DN150" i="5"/>
  <c r="DN112" i="5"/>
  <c r="DN115" i="5"/>
  <c r="DN122" i="5" s="1"/>
  <c r="DN104" i="5"/>
  <c r="DN109" i="5"/>
  <c r="DN111" i="5" s="1"/>
  <c r="CM184" i="3"/>
  <c r="CM207" i="3"/>
  <c r="CM191" i="3"/>
  <c r="CM154" i="3"/>
  <c r="CM150" i="3"/>
  <c r="CM162" i="3" s="1"/>
  <c r="CM152" i="3"/>
  <c r="CM115" i="3"/>
  <c r="CM122" i="3" s="1"/>
  <c r="CM104" i="3"/>
  <c r="CM112" i="3"/>
  <c r="CM109" i="3"/>
  <c r="CM111" i="3" s="1"/>
  <c r="CM142" i="3"/>
  <c r="CM144" i="3"/>
  <c r="CR136" i="2"/>
  <c r="CR80" i="2"/>
  <c r="FT136" i="2"/>
  <c r="FT80" i="2"/>
  <c r="M207" i="3"/>
  <c r="M191" i="3"/>
  <c r="M184" i="3"/>
  <c r="M150" i="3"/>
  <c r="M162" i="3" s="1"/>
  <c r="M152" i="3"/>
  <c r="M112" i="3"/>
  <c r="M115" i="3"/>
  <c r="M122" i="3" s="1"/>
  <c r="M104" i="3"/>
  <c r="M109" i="3"/>
  <c r="M111" i="3" s="1"/>
  <c r="M142" i="3"/>
  <c r="M144" i="3"/>
  <c r="DT207" i="5"/>
  <c r="DT191" i="5"/>
  <c r="DT184" i="5"/>
  <c r="DT152" i="5"/>
  <c r="DT104" i="5"/>
  <c r="DT115" i="5"/>
  <c r="DT122" i="5" s="1"/>
  <c r="DT112" i="5"/>
  <c r="DT109" i="5"/>
  <c r="DT111" i="5" s="1"/>
  <c r="CR207" i="5"/>
  <c r="CR191" i="5"/>
  <c r="CR184" i="5"/>
  <c r="CR152" i="5"/>
  <c r="CR112" i="5"/>
  <c r="CR104" i="5"/>
  <c r="CR115" i="5"/>
  <c r="CR122" i="5" s="1"/>
  <c r="CR124" i="5" s="1"/>
  <c r="CR167" i="5" s="1"/>
  <c r="CR168" i="5" s="1"/>
  <c r="CR169" i="5" s="1"/>
  <c r="CR225" i="5" s="1"/>
  <c r="CR109" i="5"/>
  <c r="CR111" i="5" s="1"/>
  <c r="CR113" i="5" s="1"/>
  <c r="CR123" i="5" s="1"/>
  <c r="DW337" i="3"/>
  <c r="DW184" i="3"/>
  <c r="DW207" i="3"/>
  <c r="DW191" i="3"/>
  <c r="DW152" i="3"/>
  <c r="DW104" i="3"/>
  <c r="DW115" i="3"/>
  <c r="DW122" i="3" s="1"/>
  <c r="DW112" i="3"/>
  <c r="DW144" i="3"/>
  <c r="DW142" i="3"/>
  <c r="DW146" i="3" s="1"/>
  <c r="DW148" i="3" s="1"/>
  <c r="DW109" i="3"/>
  <c r="DW111" i="3" s="1"/>
  <c r="DW113" i="3" s="1"/>
  <c r="DW123" i="3" s="1"/>
  <c r="CP136" i="2"/>
  <c r="CP80" i="2"/>
  <c r="AS337" i="3"/>
  <c r="AS207" i="3"/>
  <c r="AS191" i="3"/>
  <c r="AS184" i="3"/>
  <c r="AS150" i="3"/>
  <c r="AS112" i="3"/>
  <c r="AS115" i="3"/>
  <c r="AS122" i="3" s="1"/>
  <c r="AS104" i="3"/>
  <c r="AS109" i="3"/>
  <c r="AS111" i="3" s="1"/>
  <c r="AS113" i="3" s="1"/>
  <c r="AS123" i="3" s="1"/>
  <c r="BS207" i="5"/>
  <c r="BS191" i="5"/>
  <c r="BS150" i="5"/>
  <c r="BS184" i="5"/>
  <c r="BS115" i="5"/>
  <c r="BS122" i="5" s="1"/>
  <c r="BS104" i="5"/>
  <c r="BS112" i="5"/>
  <c r="BS109" i="5"/>
  <c r="BS111" i="5" s="1"/>
  <c r="BZ191" i="5"/>
  <c r="BZ207" i="5"/>
  <c r="BZ184" i="5"/>
  <c r="BZ152" i="5"/>
  <c r="BZ115" i="5"/>
  <c r="BZ122" i="5" s="1"/>
  <c r="BZ112" i="5"/>
  <c r="BZ104" i="5"/>
  <c r="BZ109" i="5"/>
  <c r="BZ111" i="5" s="1"/>
  <c r="FH191" i="5"/>
  <c r="FH207" i="5"/>
  <c r="FH184" i="5"/>
  <c r="FH152" i="5"/>
  <c r="FH112" i="5"/>
  <c r="FH115" i="5"/>
  <c r="FH122" i="5" s="1"/>
  <c r="FH104" i="5"/>
  <c r="FH109" i="5"/>
  <c r="FH111" i="5" s="1"/>
  <c r="FH113" i="5" s="1"/>
  <c r="FH123" i="5" s="1"/>
  <c r="DY97" i="2"/>
  <c r="FG337" i="3"/>
  <c r="FG184" i="3"/>
  <c r="FG207" i="3"/>
  <c r="FG191" i="3"/>
  <c r="FG154" i="3"/>
  <c r="FG156" i="3"/>
  <c r="FG158" i="3"/>
  <c r="FG152" i="3"/>
  <c r="FG104" i="3"/>
  <c r="FG115" i="3"/>
  <c r="FG122" i="3" s="1"/>
  <c r="FG112" i="3"/>
  <c r="FG109" i="3"/>
  <c r="FG111" i="3" s="1"/>
  <c r="DW207" i="5"/>
  <c r="DW191" i="5"/>
  <c r="DW152" i="5"/>
  <c r="DW184" i="5"/>
  <c r="DW112" i="5"/>
  <c r="DW115" i="5"/>
  <c r="DW122" i="5" s="1"/>
  <c r="DW104" i="5"/>
  <c r="DW109" i="5"/>
  <c r="DW111" i="5" s="1"/>
  <c r="DP207" i="5"/>
  <c r="DP191" i="5"/>
  <c r="DP184" i="5"/>
  <c r="DP152" i="5"/>
  <c r="DP112" i="5"/>
  <c r="DP104" i="5"/>
  <c r="DP115" i="5"/>
  <c r="DP122" i="5" s="1"/>
  <c r="DP109" i="5"/>
  <c r="DP111" i="5" s="1"/>
  <c r="DP113" i="5" s="1"/>
  <c r="DP123" i="5" s="1"/>
  <c r="AA214" i="5"/>
  <c r="AA219" i="5" s="1"/>
  <c r="AA228" i="5" s="1"/>
  <c r="AA103" i="5"/>
  <c r="AA127" i="5"/>
  <c r="DC207" i="5"/>
  <c r="DC184" i="5"/>
  <c r="DC191" i="5"/>
  <c r="DC152" i="5"/>
  <c r="DC115" i="5"/>
  <c r="DC122" i="5" s="1"/>
  <c r="DC104" i="5"/>
  <c r="DC112" i="5"/>
  <c r="DC109" i="5"/>
  <c r="DC111" i="5" s="1"/>
  <c r="AT207" i="5"/>
  <c r="AT191" i="5"/>
  <c r="AT184" i="5"/>
  <c r="AT150" i="5"/>
  <c r="AT112" i="5"/>
  <c r="AT115" i="5"/>
  <c r="AT122" i="5" s="1"/>
  <c r="AT124" i="5" s="1"/>
  <c r="AT167" i="5" s="1"/>
  <c r="AT168" i="5" s="1"/>
  <c r="AT169" i="5" s="1"/>
  <c r="AT225" i="5" s="1"/>
  <c r="AT104" i="5"/>
  <c r="AT109" i="5"/>
  <c r="AT111" i="5" s="1"/>
  <c r="AT113" i="5" s="1"/>
  <c r="AT123" i="5" s="1"/>
  <c r="DR97" i="2"/>
  <c r="EL136" i="2"/>
  <c r="EL80" i="2"/>
  <c r="AB207" i="5"/>
  <c r="AB184" i="5"/>
  <c r="AB191" i="5"/>
  <c r="AB150" i="5"/>
  <c r="AB104" i="5"/>
  <c r="AB112" i="5"/>
  <c r="AB115" i="5"/>
  <c r="AB122" i="5" s="1"/>
  <c r="AB109" i="5"/>
  <c r="AB111" i="5" s="1"/>
  <c r="AB113" i="5" s="1"/>
  <c r="AB123" i="5" s="1"/>
  <c r="Q97" i="2"/>
  <c r="FR97" i="2"/>
  <c r="FJ337" i="3"/>
  <c r="FJ207" i="3"/>
  <c r="FJ191" i="3"/>
  <c r="FJ184" i="3"/>
  <c r="FJ150" i="3"/>
  <c r="FJ112" i="3"/>
  <c r="FJ104" i="3"/>
  <c r="FJ115" i="3"/>
  <c r="FJ122" i="3" s="1"/>
  <c r="FJ124" i="3" s="1"/>
  <c r="FJ167" i="3" s="1"/>
  <c r="FJ168" i="3" s="1"/>
  <c r="FJ169" i="3" s="1"/>
  <c r="FJ225" i="3" s="1"/>
  <c r="FJ109" i="3"/>
  <c r="FJ111" i="3" s="1"/>
  <c r="FJ113" i="3" s="1"/>
  <c r="FJ123" i="3" s="1"/>
  <c r="BB191" i="5"/>
  <c r="BB207" i="5"/>
  <c r="BB184" i="5"/>
  <c r="BB150" i="5"/>
  <c r="BB112" i="5"/>
  <c r="BB115" i="5"/>
  <c r="BB122" i="5" s="1"/>
  <c r="BB104" i="5"/>
  <c r="BB109" i="5"/>
  <c r="BB111" i="5" s="1"/>
  <c r="FG191" i="5"/>
  <c r="FG207" i="5"/>
  <c r="FG184" i="5"/>
  <c r="FG152" i="5"/>
  <c r="FG112" i="5"/>
  <c r="FG115" i="5"/>
  <c r="FG122" i="5" s="1"/>
  <c r="FG104" i="5"/>
  <c r="FG109" i="5"/>
  <c r="FG111" i="5" s="1"/>
  <c r="FV207" i="5"/>
  <c r="FV184" i="5"/>
  <c r="FV191" i="5"/>
  <c r="FV112" i="5"/>
  <c r="FV150" i="5"/>
  <c r="FV115" i="5"/>
  <c r="FV122" i="5" s="1"/>
  <c r="FV104" i="5"/>
  <c r="FV109" i="5"/>
  <c r="FV111" i="5" s="1"/>
  <c r="DG215" i="5"/>
  <c r="DG219" i="5" s="1"/>
  <c r="DG228" i="5" s="1"/>
  <c r="DG173" i="5"/>
  <c r="BX215" i="5"/>
  <c r="BX219" i="5" s="1"/>
  <c r="BX228" i="5" s="1"/>
  <c r="BX173" i="5"/>
  <c r="AO215" i="5"/>
  <c r="AO173" i="5"/>
  <c r="F215" i="5"/>
  <c r="FZ215" i="5" s="1"/>
  <c r="F173" i="5"/>
  <c r="ET215" i="5"/>
  <c r="ET173" i="5"/>
  <c r="DK215" i="5"/>
  <c r="DK173" i="5"/>
  <c r="CB215" i="5"/>
  <c r="CB173" i="5"/>
  <c r="AS215" i="5"/>
  <c r="AS219" i="5" s="1"/>
  <c r="AS228" i="5" s="1"/>
  <c r="AS173" i="5"/>
  <c r="J215" i="5"/>
  <c r="J173" i="5"/>
  <c r="EX215" i="5"/>
  <c r="EX219" i="5" s="1"/>
  <c r="EX228" i="5" s="1"/>
  <c r="EX173" i="5"/>
  <c r="DO215" i="5"/>
  <c r="DO173" i="5"/>
  <c r="CF215" i="5"/>
  <c r="CF219" i="5" s="1"/>
  <c r="CF228" i="5" s="1"/>
  <c r="CF173" i="5"/>
  <c r="AW215" i="5"/>
  <c r="AW173" i="5"/>
  <c r="N215" i="5"/>
  <c r="N219" i="5" s="1"/>
  <c r="N228" i="5" s="1"/>
  <c r="N173" i="5"/>
  <c r="FB215" i="5"/>
  <c r="FB219" i="5" s="1"/>
  <c r="FB228" i="5" s="1"/>
  <c r="FB173" i="5"/>
  <c r="H136" i="2"/>
  <c r="H80" i="2"/>
  <c r="AZ97" i="2"/>
  <c r="EW97" i="2"/>
  <c r="FE219" i="5"/>
  <c r="FE228" i="5" s="1"/>
  <c r="FL207" i="5"/>
  <c r="FL191" i="5"/>
  <c r="FL184" i="5"/>
  <c r="FL150" i="5"/>
  <c r="FL112" i="5"/>
  <c r="FL104" i="5"/>
  <c r="FL115" i="5"/>
  <c r="FL122" i="5" s="1"/>
  <c r="FL109" i="5"/>
  <c r="FL111" i="5" s="1"/>
  <c r="AX207" i="5"/>
  <c r="AX191" i="5"/>
  <c r="AX184" i="5"/>
  <c r="AX152" i="5"/>
  <c r="AX115" i="5"/>
  <c r="AX122" i="5" s="1"/>
  <c r="AX112" i="5"/>
  <c r="AX104" i="5"/>
  <c r="AX109" i="5"/>
  <c r="AX111" i="5" s="1"/>
  <c r="CO133" i="2"/>
  <c r="CL191" i="5"/>
  <c r="CL207" i="5"/>
  <c r="CL184" i="5"/>
  <c r="CL150" i="5"/>
  <c r="CL112" i="5"/>
  <c r="CL104" i="5"/>
  <c r="CL115" i="5"/>
  <c r="CL122" i="5" s="1"/>
  <c r="CL109" i="5"/>
  <c r="CL111" i="5" s="1"/>
  <c r="EY207" i="5"/>
  <c r="EY191" i="5"/>
  <c r="EY184" i="5"/>
  <c r="EY150" i="5"/>
  <c r="EY115" i="5"/>
  <c r="EY122" i="5" s="1"/>
  <c r="EY112" i="5"/>
  <c r="EY104" i="5"/>
  <c r="EY109" i="5"/>
  <c r="EY111" i="5" s="1"/>
  <c r="EY113" i="5" s="1"/>
  <c r="EY123" i="5" s="1"/>
  <c r="BJ191" i="5"/>
  <c r="BJ184" i="5"/>
  <c r="BJ207" i="5"/>
  <c r="BJ150" i="5"/>
  <c r="BJ104" i="5"/>
  <c r="BJ112" i="5"/>
  <c r="BJ115" i="5"/>
  <c r="BJ122" i="5" s="1"/>
  <c r="BJ109" i="5"/>
  <c r="BJ111" i="5" s="1"/>
  <c r="BJ113" i="5" s="1"/>
  <c r="BJ123" i="5" s="1"/>
  <c r="FO136" i="2"/>
  <c r="FO80" i="2"/>
  <c r="AV136" i="2"/>
  <c r="AV80" i="2"/>
  <c r="DD136" i="2"/>
  <c r="DD80" i="2"/>
  <c r="CO97" i="2"/>
  <c r="FB337" i="3"/>
  <c r="FB207" i="3"/>
  <c r="FB191" i="3"/>
  <c r="FB184" i="3"/>
  <c r="FB152" i="3"/>
  <c r="FB115" i="3"/>
  <c r="FB122" i="3" s="1"/>
  <c r="FB104" i="3"/>
  <c r="FB112" i="3"/>
  <c r="FB144" i="3"/>
  <c r="FB109" i="3"/>
  <c r="FB111" i="3" s="1"/>
  <c r="FB113" i="3" s="1"/>
  <c r="FB123" i="3" s="1"/>
  <c r="FB142" i="3"/>
  <c r="EN97" i="2"/>
  <c r="T137" i="2"/>
  <c r="T138" i="2"/>
  <c r="AF337" i="3"/>
  <c r="AF207" i="3"/>
  <c r="AF184" i="3"/>
  <c r="AF191" i="3"/>
  <c r="AF152" i="3"/>
  <c r="AF115" i="3"/>
  <c r="AF122" i="3" s="1"/>
  <c r="AF112" i="3"/>
  <c r="AF104" i="3"/>
  <c r="AF142" i="3"/>
  <c r="AF109" i="3"/>
  <c r="AF111" i="3" s="1"/>
  <c r="AF144" i="3"/>
  <c r="FX219" i="5"/>
  <c r="FX228" i="5" s="1"/>
  <c r="DL137" i="2"/>
  <c r="DL138" i="2" s="1"/>
  <c r="BR136" i="2"/>
  <c r="BR80" i="2"/>
  <c r="FZ85" i="3"/>
  <c r="C90" i="3"/>
  <c r="BM219" i="5"/>
  <c r="BM228" i="5" s="1"/>
  <c r="DH136" i="2"/>
  <c r="DH80" i="2"/>
  <c r="CL136" i="2"/>
  <c r="CL80" i="2"/>
  <c r="FH337" i="3"/>
  <c r="FH207" i="3"/>
  <c r="FH184" i="3"/>
  <c r="FH191" i="3"/>
  <c r="FH156" i="3"/>
  <c r="FH158" i="3"/>
  <c r="FH154" i="3"/>
  <c r="FH104" i="3"/>
  <c r="FH115" i="3"/>
  <c r="FH122" i="3" s="1"/>
  <c r="FH112" i="3"/>
  <c r="FH152" i="3"/>
  <c r="FH109" i="3"/>
  <c r="FH111" i="3" s="1"/>
  <c r="FH113" i="3" s="1"/>
  <c r="FH123" i="3" s="1"/>
  <c r="DZ207" i="5"/>
  <c r="DZ184" i="5"/>
  <c r="DZ191" i="5"/>
  <c r="DZ150" i="5"/>
  <c r="DZ112" i="5"/>
  <c r="DZ115" i="5"/>
  <c r="DZ122" i="5" s="1"/>
  <c r="DZ104" i="5"/>
  <c r="DZ109" i="5"/>
  <c r="DZ111" i="5" s="1"/>
  <c r="DZ113" i="5" s="1"/>
  <c r="DZ123" i="5" s="1"/>
  <c r="EH337" i="3"/>
  <c r="EH207" i="3"/>
  <c r="EH191" i="3"/>
  <c r="EH184" i="3"/>
  <c r="EH152" i="3"/>
  <c r="EH104" i="3"/>
  <c r="EH112" i="3"/>
  <c r="EH115" i="3"/>
  <c r="EH122" i="3" s="1"/>
  <c r="EH144" i="3"/>
  <c r="EH142" i="3"/>
  <c r="EH109" i="3"/>
  <c r="EH111" i="3" s="1"/>
  <c r="AL337" i="3"/>
  <c r="AL207" i="3"/>
  <c r="AL191" i="3"/>
  <c r="AL184" i="3"/>
  <c r="AL152" i="3"/>
  <c r="AL115" i="3"/>
  <c r="AL122" i="3" s="1"/>
  <c r="AL124" i="3" s="1"/>
  <c r="AL167" i="3" s="1"/>
  <c r="AL168" i="3" s="1"/>
  <c r="AL169" i="3" s="1"/>
  <c r="AL225" i="3" s="1"/>
  <c r="AL104" i="3"/>
  <c r="AL112" i="3"/>
  <c r="AL144" i="3"/>
  <c r="AL109" i="3"/>
  <c r="AL111" i="3" s="1"/>
  <c r="AL113" i="3" s="1"/>
  <c r="AL123" i="3" s="1"/>
  <c r="AL142" i="3"/>
  <c r="AL146" i="3" s="1"/>
  <c r="AL148" i="3" s="1"/>
  <c r="DH207" i="3"/>
  <c r="DH191" i="3"/>
  <c r="DH184" i="3"/>
  <c r="DH152" i="3"/>
  <c r="DH154" i="3" s="1"/>
  <c r="DH150" i="3"/>
  <c r="DH115" i="3"/>
  <c r="DH122" i="3" s="1"/>
  <c r="DH112" i="3"/>
  <c r="DH104" i="3"/>
  <c r="DH144" i="3"/>
  <c r="DH109" i="3"/>
  <c r="DH111" i="3" s="1"/>
  <c r="DH113" i="3" s="1"/>
  <c r="DH123" i="3" s="1"/>
  <c r="DH142" i="3"/>
  <c r="DR127" i="2"/>
  <c r="ER136" i="2"/>
  <c r="ER80" i="2"/>
  <c r="AP207" i="5"/>
  <c r="AP191" i="5"/>
  <c r="AP184" i="5"/>
  <c r="AP150" i="5"/>
  <c r="AP115" i="5"/>
  <c r="AP122" i="5" s="1"/>
  <c r="AP112" i="5"/>
  <c r="AP104" i="5"/>
  <c r="AP109" i="5"/>
  <c r="AP111" i="5" s="1"/>
  <c r="DK337" i="3"/>
  <c r="DK184" i="3"/>
  <c r="DK191" i="3"/>
  <c r="DK207" i="3"/>
  <c r="DK150" i="3"/>
  <c r="DK115" i="3"/>
  <c r="DK122" i="3" s="1"/>
  <c r="DK112" i="3"/>
  <c r="DK104" i="3"/>
  <c r="DK109" i="3"/>
  <c r="DK111" i="3" s="1"/>
  <c r="BW136" i="2"/>
  <c r="BW80" i="2"/>
  <c r="DO219" i="5"/>
  <c r="DO228" i="5" s="1"/>
  <c r="AC80" i="2"/>
  <c r="AC136" i="2"/>
  <c r="BI337" i="3"/>
  <c r="BI207" i="3"/>
  <c r="BI191" i="3"/>
  <c r="BI184" i="3"/>
  <c r="BI152" i="3"/>
  <c r="BI112" i="3"/>
  <c r="BI115" i="3"/>
  <c r="BI122" i="3" s="1"/>
  <c r="BI124" i="3" s="1"/>
  <c r="BI167" i="3" s="1"/>
  <c r="BI168" i="3" s="1"/>
  <c r="BI169" i="3" s="1"/>
  <c r="BI225" i="3" s="1"/>
  <c r="BI104" i="3"/>
  <c r="BI142" i="3"/>
  <c r="BI146" i="3" s="1"/>
  <c r="BI148" i="3" s="1"/>
  <c r="BI109" i="3"/>
  <c r="BI111" i="3" s="1"/>
  <c r="BI113" i="3" s="1"/>
  <c r="BI123" i="3" s="1"/>
  <c r="BI144" i="3"/>
  <c r="DQ337" i="3"/>
  <c r="DQ207" i="3"/>
  <c r="DQ191" i="3"/>
  <c r="DQ184" i="3"/>
  <c r="DQ150" i="3"/>
  <c r="DQ112" i="3"/>
  <c r="DQ115" i="3"/>
  <c r="DQ122" i="3" s="1"/>
  <c r="DQ104" i="3"/>
  <c r="DQ109" i="3"/>
  <c r="DQ111" i="3" s="1"/>
  <c r="EP337" i="3"/>
  <c r="EP207" i="3"/>
  <c r="EP191" i="3"/>
  <c r="EP184" i="3"/>
  <c r="EP152" i="3"/>
  <c r="EP154" i="3"/>
  <c r="EP115" i="3"/>
  <c r="EP122" i="3" s="1"/>
  <c r="EP158" i="3"/>
  <c r="EP156" i="3"/>
  <c r="EP104" i="3"/>
  <c r="EP112" i="3"/>
  <c r="EP109" i="3"/>
  <c r="EP111" i="3" s="1"/>
  <c r="FP207" i="3"/>
  <c r="FP191" i="3"/>
  <c r="FP152" i="3"/>
  <c r="FP154" i="3"/>
  <c r="FP184" i="3"/>
  <c r="FP150" i="3"/>
  <c r="FP162" i="3" s="1"/>
  <c r="FP115" i="3"/>
  <c r="FP122" i="3" s="1"/>
  <c r="FP104" i="3"/>
  <c r="FP112" i="3"/>
  <c r="FP142" i="3"/>
  <c r="FP144" i="3"/>
  <c r="FP109" i="3"/>
  <c r="FP111" i="3" s="1"/>
  <c r="FP113" i="3" s="1"/>
  <c r="FP123" i="3" s="1"/>
  <c r="CX207" i="3"/>
  <c r="CX191" i="3"/>
  <c r="CX154" i="3"/>
  <c r="CX184" i="3"/>
  <c r="CX152" i="3"/>
  <c r="CX112" i="3"/>
  <c r="CX150" i="3"/>
  <c r="CX162" i="3" s="1"/>
  <c r="CX115" i="3"/>
  <c r="CX122" i="3" s="1"/>
  <c r="CX124" i="3" s="1"/>
  <c r="CX167" i="3" s="1"/>
  <c r="CX168" i="3" s="1"/>
  <c r="CX169" i="3" s="1"/>
  <c r="CX225" i="3" s="1"/>
  <c r="CX104" i="3"/>
  <c r="CX109" i="3"/>
  <c r="CX111" i="3" s="1"/>
  <c r="CX113" i="3" s="1"/>
  <c r="CX123" i="3" s="1"/>
  <c r="CX144" i="3"/>
  <c r="CX142" i="3"/>
  <c r="N127" i="2"/>
  <c r="AN136" i="2"/>
  <c r="AN80" i="2"/>
  <c r="G191" i="5"/>
  <c r="G207" i="5"/>
  <c r="G184" i="5"/>
  <c r="G150" i="5"/>
  <c r="G112" i="5"/>
  <c r="G115" i="5"/>
  <c r="G122" i="5" s="1"/>
  <c r="G104" i="5"/>
  <c r="G109" i="5"/>
  <c r="G111" i="5" s="1"/>
  <c r="DS136" i="2"/>
  <c r="DS80" i="2"/>
  <c r="EI136" i="2"/>
  <c r="EI80" i="2"/>
  <c r="BU127" i="2"/>
  <c r="BY133" i="2"/>
  <c r="DL191" i="5"/>
  <c r="DL207" i="5"/>
  <c r="DL184" i="5"/>
  <c r="DL150" i="5"/>
  <c r="DL115" i="5"/>
  <c r="DL122" i="5" s="1"/>
  <c r="DL124" i="5" s="1"/>
  <c r="DL167" i="5" s="1"/>
  <c r="DL168" i="5" s="1"/>
  <c r="DL169" i="5" s="1"/>
  <c r="DL225" i="5" s="1"/>
  <c r="DL112" i="5"/>
  <c r="DL104" i="5"/>
  <c r="DL109" i="5"/>
  <c r="DL111" i="5" s="1"/>
  <c r="DL113" i="5" s="1"/>
  <c r="DL123" i="5" s="1"/>
  <c r="DA337" i="3"/>
  <c r="DA207" i="3"/>
  <c r="DA191" i="3"/>
  <c r="DA156" i="3"/>
  <c r="DA184" i="3"/>
  <c r="DA158" i="3"/>
  <c r="DA152" i="3"/>
  <c r="DA154" i="3"/>
  <c r="DA112" i="3"/>
  <c r="DA115" i="3"/>
  <c r="DA122" i="3" s="1"/>
  <c r="DA124" i="3" s="1"/>
  <c r="DA167" i="3" s="1"/>
  <c r="DA168" i="3" s="1"/>
  <c r="DA169" i="3" s="1"/>
  <c r="DA225" i="3" s="1"/>
  <c r="DA104" i="3"/>
  <c r="DA109" i="3"/>
  <c r="DA111" i="3" s="1"/>
  <c r="DA113" i="3" s="1"/>
  <c r="DA123" i="3" s="1"/>
  <c r="FS136" i="2"/>
  <c r="FS80" i="2"/>
  <c r="EY191" i="3"/>
  <c r="EY207" i="3"/>
  <c r="EY184" i="3"/>
  <c r="EY150" i="3"/>
  <c r="EY162" i="3" s="1"/>
  <c r="EY152" i="3"/>
  <c r="EY112" i="3"/>
  <c r="EY104" i="3"/>
  <c r="EY115" i="3"/>
  <c r="EY122" i="3" s="1"/>
  <c r="EY109" i="3"/>
  <c r="EY111" i="3" s="1"/>
  <c r="EY113" i="3" s="1"/>
  <c r="EY123" i="3" s="1"/>
  <c r="EY144" i="3"/>
  <c r="EY142" i="3"/>
  <c r="EY146" i="3" s="1"/>
  <c r="EY148" i="3" s="1"/>
  <c r="DI80" i="2"/>
  <c r="DI136" i="2"/>
  <c r="AQ133" i="2"/>
  <c r="CK207" i="5"/>
  <c r="CK191" i="5"/>
  <c r="CK184" i="5"/>
  <c r="CK150" i="5"/>
  <c r="CK115" i="5"/>
  <c r="CK122" i="5" s="1"/>
  <c r="CK112" i="5"/>
  <c r="CK104" i="5"/>
  <c r="CK109" i="5"/>
  <c r="CK111" i="5" s="1"/>
  <c r="AZ207" i="3"/>
  <c r="AZ191" i="3"/>
  <c r="AZ152" i="3"/>
  <c r="AZ184" i="3"/>
  <c r="AZ150" i="3"/>
  <c r="AZ162" i="3" s="1"/>
  <c r="AZ115" i="3"/>
  <c r="AZ122" i="3" s="1"/>
  <c r="AZ112" i="3"/>
  <c r="AZ104" i="3"/>
  <c r="AZ144" i="3"/>
  <c r="AZ109" i="3"/>
  <c r="AZ111" i="3" s="1"/>
  <c r="AZ142" i="3"/>
  <c r="AZ146" i="3" s="1"/>
  <c r="AZ148" i="3" s="1"/>
  <c r="ED219" i="5"/>
  <c r="ED228" i="5" s="1"/>
  <c r="CC337" i="3"/>
  <c r="CC191" i="3"/>
  <c r="CC207" i="3"/>
  <c r="CC184" i="3"/>
  <c r="CC152" i="3"/>
  <c r="CC112" i="3"/>
  <c r="CC115" i="3"/>
  <c r="CC122" i="3" s="1"/>
  <c r="CC104" i="3"/>
  <c r="CC109" i="3"/>
  <c r="CC111" i="3" s="1"/>
  <c r="CC113" i="3" s="1"/>
  <c r="CC123" i="3" s="1"/>
  <c r="CC142" i="3"/>
  <c r="CC146" i="3" s="1"/>
  <c r="CC148" i="3" s="1"/>
  <c r="CC144" i="3"/>
  <c r="DU219" i="5"/>
  <c r="DU228" i="5" s="1"/>
  <c r="FZ67" i="2"/>
  <c r="GB67" i="2" s="1"/>
  <c r="C72" i="2"/>
  <c r="AM214" i="5"/>
  <c r="AM219" i="5" s="1"/>
  <c r="AM228" i="5" s="1"/>
  <c r="AM127" i="5"/>
  <c r="AM103" i="5"/>
  <c r="FO215" i="5"/>
  <c r="FO173" i="5"/>
  <c r="FS215" i="5"/>
  <c r="FS219" i="5" s="1"/>
  <c r="FS228" i="5" s="1"/>
  <c r="FS173" i="5"/>
  <c r="BR215" i="5"/>
  <c r="BR219" i="5" s="1"/>
  <c r="BR228" i="5" s="1"/>
  <c r="BR173" i="5"/>
  <c r="BE207" i="5"/>
  <c r="BE191" i="5"/>
  <c r="BE184" i="5"/>
  <c r="BE150" i="5"/>
  <c r="BE115" i="5"/>
  <c r="BE122" i="5" s="1"/>
  <c r="BE112" i="5"/>
  <c r="BE104" i="5"/>
  <c r="BE109" i="5"/>
  <c r="BE111" i="5" s="1"/>
  <c r="EK337" i="3"/>
  <c r="EK207" i="3"/>
  <c r="EK191" i="3"/>
  <c r="EK184" i="3"/>
  <c r="EK150" i="3"/>
  <c r="EK112" i="3"/>
  <c r="EK115" i="3"/>
  <c r="EK122" i="3" s="1"/>
  <c r="EK104" i="3"/>
  <c r="EK109" i="3"/>
  <c r="EK111" i="3" s="1"/>
  <c r="EK113" i="3" s="1"/>
  <c r="EK123" i="3" s="1"/>
  <c r="CQ136" i="2"/>
  <c r="CQ80" i="2"/>
  <c r="CE207" i="5"/>
  <c r="CE191" i="5"/>
  <c r="CE184" i="5"/>
  <c r="CE152" i="5"/>
  <c r="CE115" i="5"/>
  <c r="CE122" i="5" s="1"/>
  <c r="CE124" i="5" s="1"/>
  <c r="CE167" i="5" s="1"/>
  <c r="CE168" i="5" s="1"/>
  <c r="CE169" i="5" s="1"/>
  <c r="CE225" i="5" s="1"/>
  <c r="CE104" i="5"/>
  <c r="CE112" i="5"/>
  <c r="CE109" i="5"/>
  <c r="CE111" i="5" s="1"/>
  <c r="CE113" i="5" s="1"/>
  <c r="CE123" i="5" s="1"/>
  <c r="AY215" i="5"/>
  <c r="AY173" i="5"/>
  <c r="DY215" i="5"/>
  <c r="DY219" i="5" s="1"/>
  <c r="DY228" i="5" s="1"/>
  <c r="DY173" i="5"/>
  <c r="CT215" i="5"/>
  <c r="CT219" i="5" s="1"/>
  <c r="CT228" i="5" s="1"/>
  <c r="CT173" i="5"/>
  <c r="FU207" i="5"/>
  <c r="FU191" i="5"/>
  <c r="FU184" i="5"/>
  <c r="FU150" i="5"/>
  <c r="FU115" i="5"/>
  <c r="FU122" i="5" s="1"/>
  <c r="FU112" i="5"/>
  <c r="FU104" i="5"/>
  <c r="FU109" i="5"/>
  <c r="FU111" i="5" s="1"/>
  <c r="AA337" i="3"/>
  <c r="AA207" i="3"/>
  <c r="AA184" i="3"/>
  <c r="AA150" i="3"/>
  <c r="AA191" i="3"/>
  <c r="AA115" i="3"/>
  <c r="AA122" i="3" s="1"/>
  <c r="AA112" i="3"/>
  <c r="AA104" i="3"/>
  <c r="AA109" i="3"/>
  <c r="AA111" i="3" s="1"/>
  <c r="BF337" i="3"/>
  <c r="BF207" i="3"/>
  <c r="BF184" i="3"/>
  <c r="BF191" i="3"/>
  <c r="BF150" i="3"/>
  <c r="BF112" i="3"/>
  <c r="BF115" i="3"/>
  <c r="BF122" i="3" s="1"/>
  <c r="BF104" i="3"/>
  <c r="BF109" i="3"/>
  <c r="BF111" i="3" s="1"/>
  <c r="EN133" i="2"/>
  <c r="BJ337" i="3"/>
  <c r="BJ207" i="3"/>
  <c r="BJ191" i="3"/>
  <c r="BJ184" i="3"/>
  <c r="BJ150" i="3"/>
  <c r="BJ115" i="3"/>
  <c r="BJ122" i="3" s="1"/>
  <c r="BJ104" i="3"/>
  <c r="BJ112" i="3"/>
  <c r="BJ109" i="3"/>
  <c r="BJ111" i="3" s="1"/>
  <c r="BJ113" i="3" s="1"/>
  <c r="BJ123" i="3" s="1"/>
  <c r="BX337" i="3"/>
  <c r="BX207" i="3"/>
  <c r="BX191" i="3"/>
  <c r="BX152" i="3"/>
  <c r="BX154" i="3"/>
  <c r="BX156" i="3"/>
  <c r="BX184" i="3"/>
  <c r="BX115" i="3"/>
  <c r="BX122" i="3" s="1"/>
  <c r="BX158" i="3"/>
  <c r="BX112" i="3"/>
  <c r="BX104" i="3"/>
  <c r="BX109" i="3"/>
  <c r="BX111" i="3" s="1"/>
  <c r="DN127" i="2"/>
  <c r="CR133" i="2"/>
  <c r="DC337" i="3"/>
  <c r="DC207" i="3"/>
  <c r="DC191" i="3"/>
  <c r="DC184" i="3"/>
  <c r="DC158" i="3"/>
  <c r="DC152" i="3"/>
  <c r="DC154" i="3"/>
  <c r="DC156" i="3"/>
  <c r="DC112" i="3"/>
  <c r="DC104" i="3"/>
  <c r="DC115" i="3"/>
  <c r="DC122" i="3" s="1"/>
  <c r="DC109" i="3"/>
  <c r="DC111" i="3" s="1"/>
  <c r="CP207" i="3"/>
  <c r="CP184" i="3"/>
  <c r="CP150" i="3"/>
  <c r="CP162" i="3" s="1"/>
  <c r="CP112" i="3"/>
  <c r="CP152" i="3"/>
  <c r="CP191" i="3"/>
  <c r="CP115" i="3"/>
  <c r="CP122" i="3" s="1"/>
  <c r="CP104" i="3"/>
  <c r="CP144" i="3"/>
  <c r="CP142" i="3"/>
  <c r="CP109" i="3"/>
  <c r="CP111" i="3" s="1"/>
  <c r="CP113" i="3" s="1"/>
  <c r="CP123" i="3" s="1"/>
  <c r="AE97" i="2"/>
  <c r="EP207" i="5"/>
  <c r="EP191" i="5"/>
  <c r="EP184" i="5"/>
  <c r="EP152" i="5"/>
  <c r="EP112" i="5"/>
  <c r="EP104" i="5"/>
  <c r="EP115" i="5"/>
  <c r="EP122" i="5" s="1"/>
  <c r="EP109" i="5"/>
  <c r="EP111" i="5" s="1"/>
  <c r="EP113" i="5" s="1"/>
  <c r="EP123" i="5" s="1"/>
  <c r="DF207" i="5"/>
  <c r="DF191" i="5"/>
  <c r="DF150" i="5"/>
  <c r="DF184" i="5"/>
  <c r="DF104" i="5"/>
  <c r="DF112" i="5"/>
  <c r="DF115" i="5"/>
  <c r="DF122" i="5" s="1"/>
  <c r="DF124" i="5" s="1"/>
  <c r="DF167" i="5" s="1"/>
  <c r="DF168" i="5" s="1"/>
  <c r="DF169" i="5" s="1"/>
  <c r="DF225" i="5" s="1"/>
  <c r="DF109" i="5"/>
  <c r="DF111" i="5" s="1"/>
  <c r="DF113" i="5" s="1"/>
  <c r="DF123" i="5" s="1"/>
  <c r="DO136" i="2"/>
  <c r="DO80" i="2"/>
  <c r="CJ207" i="3"/>
  <c r="CJ191" i="3"/>
  <c r="CJ152" i="3"/>
  <c r="CJ154" i="3" s="1"/>
  <c r="CJ150" i="3"/>
  <c r="CJ115" i="3"/>
  <c r="CJ122" i="3" s="1"/>
  <c r="CJ124" i="3" s="1"/>
  <c r="CJ167" i="3" s="1"/>
  <c r="CJ168" i="3" s="1"/>
  <c r="CJ169" i="3" s="1"/>
  <c r="CJ225" i="3" s="1"/>
  <c r="CJ184" i="3"/>
  <c r="CJ112" i="3"/>
  <c r="CJ104" i="3"/>
  <c r="CJ109" i="3"/>
  <c r="CJ111" i="3" s="1"/>
  <c r="CJ113" i="3" s="1"/>
  <c r="CJ123" i="3" s="1"/>
  <c r="CJ142" i="3"/>
  <c r="CJ146" i="3" s="1"/>
  <c r="CJ148" i="3" s="1"/>
  <c r="CJ144" i="3"/>
  <c r="BB207" i="3"/>
  <c r="BB191" i="3"/>
  <c r="BB184" i="3"/>
  <c r="BB152" i="3"/>
  <c r="BB112" i="3"/>
  <c r="BB115" i="3"/>
  <c r="BB122" i="3" s="1"/>
  <c r="BB104" i="3"/>
  <c r="BB150" i="3"/>
  <c r="BB162" i="3" s="1"/>
  <c r="BB144" i="3"/>
  <c r="BB142" i="3"/>
  <c r="BB109" i="3"/>
  <c r="BB111" i="3" s="1"/>
  <c r="BB113" i="3" s="1"/>
  <c r="BB123" i="3" s="1"/>
  <c r="BW214" i="5"/>
  <c r="BW219" i="5" s="1"/>
  <c r="BW228" i="5" s="1"/>
  <c r="BW103" i="5"/>
  <c r="BW127" i="5"/>
  <c r="B2" i="4"/>
  <c r="FS84" i="2"/>
  <c r="FG84" i="2"/>
  <c r="EU84" i="2"/>
  <c r="EI84" i="2"/>
  <c r="DW84" i="2"/>
  <c r="DK84" i="2"/>
  <c r="DK127" i="2" s="1"/>
  <c r="CY84" i="2"/>
  <c r="CM84" i="2"/>
  <c r="CM133" i="2" s="1"/>
  <c r="CA84" i="2"/>
  <c r="CA133" i="2" s="1"/>
  <c r="BO84" i="2"/>
  <c r="BO127" i="2" s="1"/>
  <c r="BC84" i="2"/>
  <c r="BC127" i="2" s="1"/>
  <c r="AQ84" i="2"/>
  <c r="AQ127" i="2" s="1"/>
  <c r="AE84" i="2"/>
  <c r="S84" i="2"/>
  <c r="G84" i="2"/>
  <c r="G127" i="2" s="1"/>
  <c r="FV84" i="2"/>
  <c r="EL84" i="2"/>
  <c r="CP84" i="2"/>
  <c r="CP133" i="2" s="1"/>
  <c r="BF84" i="2"/>
  <c r="BF133" i="2" s="1"/>
  <c r="V84" i="2"/>
  <c r="V127" i="2" s="1"/>
  <c r="FR84" i="2"/>
  <c r="FR127" i="2" s="1"/>
  <c r="FF84" i="2"/>
  <c r="FF127" i="2" s="1"/>
  <c r="ET84" i="2"/>
  <c r="ET133" i="2" s="1"/>
  <c r="EH84" i="2"/>
  <c r="EH127" i="2" s="1"/>
  <c r="DV84" i="2"/>
  <c r="DV133" i="2" s="1"/>
  <c r="DJ84" i="2"/>
  <c r="CX84" i="2"/>
  <c r="CX133" i="2" s="1"/>
  <c r="CL84" i="2"/>
  <c r="BZ84" i="2"/>
  <c r="BN84" i="2"/>
  <c r="BN127" i="2" s="1"/>
  <c r="BB84" i="2"/>
  <c r="BB127" i="2" s="1"/>
  <c r="AP84" i="2"/>
  <c r="AP127" i="2" s="1"/>
  <c r="AD84" i="2"/>
  <c r="R84" i="2"/>
  <c r="F84" i="2"/>
  <c r="FQ84" i="2"/>
  <c r="FQ133" i="2" s="1"/>
  <c r="FE84" i="2"/>
  <c r="ES84" i="2"/>
  <c r="EG84" i="2"/>
  <c r="DU84" i="2"/>
  <c r="DI84" i="2"/>
  <c r="CW84" i="2"/>
  <c r="CW133" i="2" s="1"/>
  <c r="CK84" i="2"/>
  <c r="CK127" i="2" s="1"/>
  <c r="BY84" i="2"/>
  <c r="BM84" i="2"/>
  <c r="BA84" i="2"/>
  <c r="BA133" i="2" s="1"/>
  <c r="AO84" i="2"/>
  <c r="AC84" i="2"/>
  <c r="Q84" i="2"/>
  <c r="E84" i="2"/>
  <c r="E133" i="2" s="1"/>
  <c r="DZ84" i="2"/>
  <c r="AT84" i="2"/>
  <c r="FP84" i="2"/>
  <c r="FD84" i="2"/>
  <c r="FD133" i="2" s="1"/>
  <c r="ER84" i="2"/>
  <c r="EF84" i="2"/>
  <c r="DT84" i="2"/>
  <c r="DT133" i="2" s="1"/>
  <c r="DH84" i="2"/>
  <c r="CV84" i="2"/>
  <c r="CJ84" i="2"/>
  <c r="CJ127" i="2" s="1"/>
  <c r="BX84" i="2"/>
  <c r="BL84" i="2"/>
  <c r="AZ84" i="2"/>
  <c r="AN84" i="2"/>
  <c r="AB84" i="2"/>
  <c r="AB127" i="2" s="1"/>
  <c r="P84" i="2"/>
  <c r="P127" i="2" s="1"/>
  <c r="D84" i="2"/>
  <c r="D133" i="2" s="1"/>
  <c r="FO84" i="2"/>
  <c r="FC84" i="2"/>
  <c r="FC133" i="2" s="1"/>
  <c r="EQ84" i="2"/>
  <c r="EQ127" i="2" s="1"/>
  <c r="EE84" i="2"/>
  <c r="DS84" i="2"/>
  <c r="DG84" i="2"/>
  <c r="DG133" i="2" s="1"/>
  <c r="CU84" i="2"/>
  <c r="CI84" i="2"/>
  <c r="CI133" i="2" s="1"/>
  <c r="BW84" i="2"/>
  <c r="BK84" i="2"/>
  <c r="AY84" i="2"/>
  <c r="AY127" i="2" s="1"/>
  <c r="AM84" i="2"/>
  <c r="AM133" i="2" s="1"/>
  <c r="AA84" i="2"/>
  <c r="O84" i="2"/>
  <c r="O127" i="2" s="1"/>
  <c r="C84" i="2"/>
  <c r="FN84" i="2"/>
  <c r="FB84" i="2"/>
  <c r="FB127" i="2" s="1"/>
  <c r="EP84" i="2"/>
  <c r="ED84" i="2"/>
  <c r="DR84" i="2"/>
  <c r="DF84" i="2"/>
  <c r="DF127" i="2" s="1"/>
  <c r="CT84" i="2"/>
  <c r="CH84" i="2"/>
  <c r="BV84" i="2"/>
  <c r="BV127" i="2" s="1"/>
  <c r="BJ84" i="2"/>
  <c r="AX84" i="2"/>
  <c r="AL84" i="2"/>
  <c r="AL127" i="2" s="1"/>
  <c r="Z84" i="2"/>
  <c r="N84" i="2"/>
  <c r="N133" i="2" s="1"/>
  <c r="FM84" i="2"/>
  <c r="FM127" i="2" s="1"/>
  <c r="FA84" i="2"/>
  <c r="EO84" i="2"/>
  <c r="EC84" i="2"/>
  <c r="DQ84" i="2"/>
  <c r="DE84" i="2"/>
  <c r="DE127" i="2" s="1"/>
  <c r="CS84" i="2"/>
  <c r="CS133" i="2" s="1"/>
  <c r="CG84" i="2"/>
  <c r="CG133" i="2" s="1"/>
  <c r="BU84" i="2"/>
  <c r="BU133" i="2" s="1"/>
  <c r="BI84" i="2"/>
  <c r="BI127" i="2" s="1"/>
  <c r="AW84" i="2"/>
  <c r="AK84" i="2"/>
  <c r="Y84" i="2"/>
  <c r="M84" i="2"/>
  <c r="EX84" i="2"/>
  <c r="EX127" i="2" s="1"/>
  <c r="DB84" i="2"/>
  <c r="BR84" i="2"/>
  <c r="AH84" i="2"/>
  <c r="AH133" i="2" s="1"/>
  <c r="FX84" i="2"/>
  <c r="FX127" i="2" s="1"/>
  <c r="FL84" i="2"/>
  <c r="FL127" i="2" s="1"/>
  <c r="EZ84" i="2"/>
  <c r="EZ133" i="2" s="1"/>
  <c r="EN84" i="2"/>
  <c r="EN127" i="2" s="1"/>
  <c r="EB84" i="2"/>
  <c r="DP84" i="2"/>
  <c r="DP127" i="2" s="1"/>
  <c r="DD84" i="2"/>
  <c r="DD133" i="2" s="1"/>
  <c r="CR84" i="2"/>
  <c r="CF84" i="2"/>
  <c r="BT84" i="2"/>
  <c r="BH84" i="2"/>
  <c r="AV84" i="2"/>
  <c r="AV127" i="2" s="1"/>
  <c r="AJ84" i="2"/>
  <c r="AJ127" i="2" s="1"/>
  <c r="X84" i="2"/>
  <c r="X133" i="2" s="1"/>
  <c r="L84" i="2"/>
  <c r="FW84" i="2"/>
  <c r="FK84" i="2"/>
  <c r="FK133" i="2" s="1"/>
  <c r="EY84" i="2"/>
  <c r="EM84" i="2"/>
  <c r="EA84" i="2"/>
  <c r="EA127" i="2" s="1"/>
  <c r="DO84" i="2"/>
  <c r="DC84" i="2"/>
  <c r="CQ84" i="2"/>
  <c r="CE84" i="2"/>
  <c r="CE127" i="2" s="1"/>
  <c r="BS84" i="2"/>
  <c r="BS133" i="2" s="1"/>
  <c r="BG84" i="2"/>
  <c r="AU84" i="2"/>
  <c r="AU127" i="2" s="1"/>
  <c r="AI84" i="2"/>
  <c r="AI127" i="2" s="1"/>
  <c r="W84" i="2"/>
  <c r="W133" i="2" s="1"/>
  <c r="K84" i="2"/>
  <c r="DN84" i="2"/>
  <c r="FU84" i="2"/>
  <c r="FI84" i="2"/>
  <c r="EW84" i="2"/>
  <c r="EK84" i="2"/>
  <c r="DY84" i="2"/>
  <c r="DY133" i="2" s="1"/>
  <c r="DM84" i="2"/>
  <c r="DM133" i="2" s="1"/>
  <c r="DA84" i="2"/>
  <c r="CO84" i="2"/>
  <c r="CC84" i="2"/>
  <c r="CC133" i="2" s="1"/>
  <c r="BQ84" i="2"/>
  <c r="BE84" i="2"/>
  <c r="AS84" i="2"/>
  <c r="AS133" i="2" s="1"/>
  <c r="AG84" i="2"/>
  <c r="U84" i="2"/>
  <c r="I84" i="2"/>
  <c r="FT84" i="2"/>
  <c r="FH84" i="2"/>
  <c r="EV84" i="2"/>
  <c r="EV133" i="2" s="1"/>
  <c r="EJ84" i="2"/>
  <c r="DX84" i="2"/>
  <c r="DX133" i="2" s="1"/>
  <c r="DL84" i="2"/>
  <c r="CZ84" i="2"/>
  <c r="CN84" i="2"/>
  <c r="CB84" i="2"/>
  <c r="BP84" i="2"/>
  <c r="BD84" i="2"/>
  <c r="AR84" i="2"/>
  <c r="AF84" i="2"/>
  <c r="T84" i="2"/>
  <c r="H84" i="2"/>
  <c r="H127" i="2" s="1"/>
  <c r="FJ84" i="2"/>
  <c r="FJ133" i="2" s="1"/>
  <c r="CD84" i="2"/>
  <c r="J84" i="2"/>
  <c r="J133" i="2" s="1"/>
  <c r="EN191" i="5"/>
  <c r="EN184" i="5"/>
  <c r="EN207" i="5"/>
  <c r="EN150" i="5"/>
  <c r="EN112" i="5"/>
  <c r="EN104" i="5"/>
  <c r="EN115" i="5"/>
  <c r="EN122" i="5" s="1"/>
  <c r="EN109" i="5"/>
  <c r="EN111" i="5" s="1"/>
  <c r="EN113" i="5" s="1"/>
  <c r="EN123" i="5" s="1"/>
  <c r="Z219" i="5"/>
  <c r="Z228" i="5" s="1"/>
  <c r="EM136" i="2"/>
  <c r="EM80" i="2"/>
  <c r="FM214" i="3"/>
  <c r="FM127" i="3"/>
  <c r="FM103" i="3"/>
  <c r="DS215" i="5"/>
  <c r="DS173" i="5"/>
  <c r="CJ215" i="5"/>
  <c r="CJ173" i="5"/>
  <c r="BA215" i="5"/>
  <c r="BA219" i="5" s="1"/>
  <c r="BA228" i="5" s="1"/>
  <c r="BA173" i="5"/>
  <c r="R215" i="5"/>
  <c r="R219" i="5" s="1"/>
  <c r="R228" i="5" s="1"/>
  <c r="R173" i="5"/>
  <c r="FF215" i="5"/>
  <c r="FF173" i="5"/>
  <c r="DW215" i="5"/>
  <c r="DW173" i="5"/>
  <c r="CN215" i="5"/>
  <c r="CN219" i="5" s="1"/>
  <c r="CN228" i="5" s="1"/>
  <c r="CN173" i="5"/>
  <c r="BE215" i="5"/>
  <c r="BE219" i="5" s="1"/>
  <c r="BE228" i="5" s="1"/>
  <c r="BE173" i="5"/>
  <c r="V215" i="5"/>
  <c r="V219" i="5" s="1"/>
  <c r="V228" i="5" s="1"/>
  <c r="V173" i="5"/>
  <c r="FJ215" i="5"/>
  <c r="FJ219" i="5" s="1"/>
  <c r="FJ228" i="5" s="1"/>
  <c r="FJ173" i="5"/>
  <c r="EA215" i="5"/>
  <c r="EA219" i="5" s="1"/>
  <c r="EA228" i="5" s="1"/>
  <c r="EA173" i="5"/>
  <c r="CR215" i="5"/>
  <c r="CR219" i="5" s="1"/>
  <c r="CR228" i="5" s="1"/>
  <c r="CR173" i="5"/>
  <c r="BI215" i="5"/>
  <c r="BI219" i="5" s="1"/>
  <c r="BI228" i="5" s="1"/>
  <c r="BI173" i="5"/>
  <c r="Z215" i="5"/>
  <c r="Z173" i="5"/>
  <c r="FN215" i="5"/>
  <c r="FN219" i="5" s="1"/>
  <c r="FN228" i="5" s="1"/>
  <c r="FN173" i="5"/>
  <c r="FO214" i="5"/>
  <c r="FO219" i="5" s="1"/>
  <c r="FO228" i="5" s="1"/>
  <c r="FO103" i="5"/>
  <c r="FO127" i="5"/>
  <c r="BY191" i="5"/>
  <c r="BY207" i="5"/>
  <c r="BY184" i="5"/>
  <c r="BY152" i="5"/>
  <c r="BY115" i="5"/>
  <c r="BY122" i="5" s="1"/>
  <c r="BY112" i="5"/>
  <c r="BY104" i="5"/>
  <c r="BY109" i="5"/>
  <c r="BY111" i="5" s="1"/>
  <c r="BY113" i="5" s="1"/>
  <c r="BY123" i="5" s="1"/>
  <c r="EF207" i="3"/>
  <c r="EF191" i="3"/>
  <c r="EF152" i="3"/>
  <c r="EF150" i="3"/>
  <c r="EF154" i="3" s="1"/>
  <c r="EF184" i="3"/>
  <c r="EF115" i="3"/>
  <c r="EF122" i="3" s="1"/>
  <c r="EF104" i="3"/>
  <c r="EF112" i="3"/>
  <c r="EF142" i="3"/>
  <c r="EF146" i="3" s="1"/>
  <c r="EF148" i="3" s="1"/>
  <c r="EF109" i="3"/>
  <c r="EF111" i="3" s="1"/>
  <c r="EF113" i="3" s="1"/>
  <c r="EF123" i="3" s="1"/>
  <c r="EF144" i="3"/>
  <c r="CR337" i="3"/>
  <c r="CR207" i="3"/>
  <c r="CR184" i="3"/>
  <c r="CR152" i="3"/>
  <c r="CR191" i="3"/>
  <c r="CR158" i="3"/>
  <c r="CR112" i="3"/>
  <c r="CR115" i="3"/>
  <c r="CR122" i="3" s="1"/>
  <c r="CR154" i="3"/>
  <c r="CR156" i="3"/>
  <c r="CR104" i="3"/>
  <c r="CR109" i="3"/>
  <c r="CR111" i="3" s="1"/>
  <c r="CR113" i="3" s="1"/>
  <c r="CR123" i="3" s="1"/>
  <c r="AZ207" i="5"/>
  <c r="AZ191" i="5"/>
  <c r="AZ184" i="5"/>
  <c r="AZ150" i="5"/>
  <c r="AZ104" i="5"/>
  <c r="AZ112" i="5"/>
  <c r="AZ115" i="5"/>
  <c r="AZ122" i="5" s="1"/>
  <c r="AZ109" i="5"/>
  <c r="AZ111" i="5" s="1"/>
  <c r="AE191" i="5"/>
  <c r="AE207" i="5"/>
  <c r="AE184" i="5"/>
  <c r="AE152" i="5"/>
  <c r="AE112" i="5"/>
  <c r="AE115" i="5"/>
  <c r="AE122" i="5" s="1"/>
  <c r="AE104" i="5"/>
  <c r="AE109" i="5"/>
  <c r="AE111" i="5" s="1"/>
  <c r="AE113" i="5" s="1"/>
  <c r="AE123" i="5" s="1"/>
  <c r="CD207" i="5"/>
  <c r="CD184" i="5"/>
  <c r="CD191" i="5"/>
  <c r="CD152" i="5"/>
  <c r="CD112" i="5"/>
  <c r="CD115" i="5"/>
  <c r="CD122" i="5" s="1"/>
  <c r="CD104" i="5"/>
  <c r="CD109" i="5"/>
  <c r="CD111" i="5" s="1"/>
  <c r="BD136" i="2"/>
  <c r="BD80" i="2"/>
  <c r="FV136" i="2"/>
  <c r="FV80" i="2"/>
  <c r="EZ337" i="3"/>
  <c r="EZ207" i="3"/>
  <c r="EZ191" i="3"/>
  <c r="EZ184" i="3"/>
  <c r="EZ152" i="3"/>
  <c r="EZ112" i="3"/>
  <c r="EZ115" i="3"/>
  <c r="EZ122" i="3" s="1"/>
  <c r="EZ104" i="3"/>
  <c r="EZ142" i="3"/>
  <c r="EZ146" i="3" s="1"/>
  <c r="EZ148" i="3" s="1"/>
  <c r="EZ144" i="3"/>
  <c r="EZ109" i="3"/>
  <c r="EZ111" i="3" s="1"/>
  <c r="EZ113" i="3" s="1"/>
  <c r="EZ123" i="3" s="1"/>
  <c r="AJ219" i="5"/>
  <c r="AJ228" i="5" s="1"/>
  <c r="FO133" i="2"/>
  <c r="CD127" i="2"/>
  <c r="DA207" i="5"/>
  <c r="DA191" i="5"/>
  <c r="DA184" i="5"/>
  <c r="DA152" i="5"/>
  <c r="DA115" i="5"/>
  <c r="DA122" i="5" s="1"/>
  <c r="DA112" i="5"/>
  <c r="DA104" i="5"/>
  <c r="DA109" i="5"/>
  <c r="DA111" i="5" s="1"/>
  <c r="DA113" i="5" s="1"/>
  <c r="DA123" i="5" s="1"/>
  <c r="AV133" i="2"/>
  <c r="CX219" i="5"/>
  <c r="CX228" i="5" s="1"/>
  <c r="AV219" i="5"/>
  <c r="AV228" i="5" s="1"/>
  <c r="EW337" i="3"/>
  <c r="EW191" i="3"/>
  <c r="EW207" i="3"/>
  <c r="EW184" i="3"/>
  <c r="EW150" i="3"/>
  <c r="EW112" i="3"/>
  <c r="EW115" i="3"/>
  <c r="EW122" i="3" s="1"/>
  <c r="EW104" i="3"/>
  <c r="EW109" i="3"/>
  <c r="EW111" i="3" s="1"/>
  <c r="EW113" i="3" s="1"/>
  <c r="EW123" i="3" s="1"/>
  <c r="EO219" i="5"/>
  <c r="EO228" i="5" s="1"/>
  <c r="AI219" i="5"/>
  <c r="AI228" i="5" s="1"/>
  <c r="BH214" i="5"/>
  <c r="BH219" i="5" s="1"/>
  <c r="BH228" i="5" s="1"/>
  <c r="BH127" i="5"/>
  <c r="BH103" i="5"/>
  <c r="CH219" i="5"/>
  <c r="CH228" i="5" s="1"/>
  <c r="CW80" i="2"/>
  <c r="CW136" i="2"/>
  <c r="BC207" i="3"/>
  <c r="BC184" i="3"/>
  <c r="BC191" i="3"/>
  <c r="BC154" i="3"/>
  <c r="BC150" i="3"/>
  <c r="BC152" i="3"/>
  <c r="BC115" i="3"/>
  <c r="BC122" i="3" s="1"/>
  <c r="BC104" i="3"/>
  <c r="BC112" i="3"/>
  <c r="BC109" i="3"/>
  <c r="BC111" i="3" s="1"/>
  <c r="BC113" i="3" s="1"/>
  <c r="BC123" i="3" s="1"/>
  <c r="BC142" i="3"/>
  <c r="BC144" i="3"/>
  <c r="CV207" i="5"/>
  <c r="CV191" i="5"/>
  <c r="CV184" i="5"/>
  <c r="CV152" i="5"/>
  <c r="CV104" i="5"/>
  <c r="CV115" i="5"/>
  <c r="CV122" i="5" s="1"/>
  <c r="CV112" i="5"/>
  <c r="CV109" i="5"/>
  <c r="CV111" i="5" s="1"/>
  <c r="CV113" i="5" s="1"/>
  <c r="CV123" i="5" s="1"/>
  <c r="EJ207" i="5"/>
  <c r="EJ191" i="5"/>
  <c r="EJ184" i="5"/>
  <c r="EJ150" i="5"/>
  <c r="EJ115" i="5"/>
  <c r="EJ122" i="5" s="1"/>
  <c r="EJ124" i="5" s="1"/>
  <c r="EJ167" i="5" s="1"/>
  <c r="EJ168" i="5" s="1"/>
  <c r="EJ169" i="5" s="1"/>
  <c r="EJ225" i="5" s="1"/>
  <c r="EJ112" i="5"/>
  <c r="EJ104" i="5"/>
  <c r="EJ109" i="5"/>
  <c r="EJ111" i="5" s="1"/>
  <c r="EJ113" i="5" s="1"/>
  <c r="EJ123" i="5" s="1"/>
  <c r="DH133" i="2"/>
  <c r="AA136" i="2"/>
  <c r="AA80" i="2"/>
  <c r="BO133" i="2"/>
  <c r="FI219" i="5"/>
  <c r="FI228" i="5" s="1"/>
  <c r="EF136" i="2"/>
  <c r="EF80" i="2"/>
  <c r="ER133" i="2"/>
  <c r="BW133" i="2"/>
  <c r="AW207" i="5"/>
  <c r="AW191" i="5"/>
  <c r="AW184" i="5"/>
  <c r="AW152" i="5"/>
  <c r="AW115" i="5"/>
  <c r="AW122" i="5" s="1"/>
  <c r="AW112" i="5"/>
  <c r="AW104" i="5"/>
  <c r="AW109" i="5"/>
  <c r="AW111" i="5" s="1"/>
  <c r="AW113" i="5" s="1"/>
  <c r="AW123" i="5" s="1"/>
  <c r="FD136" i="2"/>
  <c r="FD80" i="2"/>
  <c r="AC133" i="2"/>
  <c r="Y127" i="2"/>
  <c r="AN133" i="2"/>
  <c r="R127" i="2"/>
  <c r="DS133" i="2"/>
  <c r="BM127" i="2"/>
  <c r="DK219" i="5"/>
  <c r="DK228" i="5" s="1"/>
  <c r="CS207" i="5"/>
  <c r="CS191" i="5"/>
  <c r="CS184" i="5"/>
  <c r="CS152" i="5"/>
  <c r="CS115" i="5"/>
  <c r="CS122" i="5" s="1"/>
  <c r="CS112" i="5"/>
  <c r="CS104" i="5"/>
  <c r="CS109" i="5"/>
  <c r="CS111" i="5" s="1"/>
  <c r="CS113" i="5" s="1"/>
  <c r="CS123" i="5" s="1"/>
  <c r="EE136" i="2"/>
  <c r="EE80" i="2"/>
  <c r="EU136" i="2"/>
  <c r="EU80" i="2"/>
  <c r="FG127" i="2"/>
  <c r="DC127" i="2"/>
  <c r="EV337" i="3"/>
  <c r="EV207" i="3"/>
  <c r="EV184" i="3"/>
  <c r="EV191" i="3"/>
  <c r="EV104" i="3"/>
  <c r="EV152" i="3"/>
  <c r="EV115" i="3"/>
  <c r="EV122" i="3" s="1"/>
  <c r="EV112" i="3"/>
  <c r="EV144" i="3"/>
  <c r="EV109" i="3"/>
  <c r="EV111" i="3" s="1"/>
  <c r="EV142" i="3"/>
  <c r="ET219" i="5"/>
  <c r="ET228" i="5" s="1"/>
  <c r="DZ136" i="2"/>
  <c r="DZ80" i="2"/>
  <c r="EQ128" i="3"/>
  <c r="FX136" i="2"/>
  <c r="FX80" i="2"/>
  <c r="DU215" i="5"/>
  <c r="DU173" i="5"/>
  <c r="T215" i="5"/>
  <c r="T173" i="5"/>
  <c r="CP215" i="5"/>
  <c r="CP219" i="5" s="1"/>
  <c r="CP228" i="5" s="1"/>
  <c r="CP173" i="5"/>
  <c r="X215" i="5"/>
  <c r="X219" i="5" s="1"/>
  <c r="X228" i="5" s="1"/>
  <c r="X173" i="5"/>
  <c r="EC215" i="5"/>
  <c r="EC219" i="5" s="1"/>
  <c r="EC228" i="5" s="1"/>
  <c r="EC173" i="5"/>
  <c r="FW337" i="3"/>
  <c r="FW207" i="3"/>
  <c r="FW191" i="3"/>
  <c r="FW184" i="3"/>
  <c r="FW152" i="3"/>
  <c r="FW112" i="3"/>
  <c r="FW104" i="3"/>
  <c r="FW115" i="3"/>
  <c r="FW122" i="3" s="1"/>
  <c r="FW109" i="3"/>
  <c r="FW111" i="3" s="1"/>
  <c r="FW144" i="3"/>
  <c r="FW142" i="3"/>
  <c r="Q207" i="5"/>
  <c r="Q191" i="5"/>
  <c r="Q184" i="5"/>
  <c r="Q150" i="5"/>
  <c r="Q115" i="5"/>
  <c r="Q122" i="5" s="1"/>
  <c r="Q112" i="5"/>
  <c r="Q104" i="5"/>
  <c r="Q109" i="5"/>
  <c r="Q111" i="5" s="1"/>
  <c r="DP136" i="2"/>
  <c r="DP80" i="2"/>
  <c r="FF207" i="5"/>
  <c r="FF191" i="5"/>
  <c r="FF184" i="5"/>
  <c r="FF152" i="5"/>
  <c r="FF112" i="5"/>
  <c r="FF115" i="5"/>
  <c r="FF122" i="5" s="1"/>
  <c r="FF104" i="5"/>
  <c r="FF109" i="5"/>
  <c r="FF111" i="5" s="1"/>
  <c r="FF113" i="5" s="1"/>
  <c r="FF123" i="5" s="1"/>
  <c r="BZ219" i="5"/>
  <c r="BZ228" i="5" s="1"/>
  <c r="I137" i="2"/>
  <c r="I138" i="2"/>
  <c r="FC337" i="3"/>
  <c r="FC207" i="3"/>
  <c r="FC184" i="3"/>
  <c r="FC150" i="3"/>
  <c r="FC191" i="3"/>
  <c r="FC115" i="3"/>
  <c r="FC122" i="3" s="1"/>
  <c r="FC124" i="3" s="1"/>
  <c r="FC167" i="3" s="1"/>
  <c r="FC168" i="3" s="1"/>
  <c r="FC169" i="3" s="1"/>
  <c r="FC225" i="3" s="1"/>
  <c r="FC112" i="3"/>
  <c r="FC104" i="3"/>
  <c r="FC109" i="3"/>
  <c r="FC111" i="3" s="1"/>
  <c r="FC113" i="3" s="1"/>
  <c r="FC123" i="3" s="1"/>
  <c r="BU207" i="5"/>
  <c r="BU191" i="5"/>
  <c r="BU184" i="5"/>
  <c r="BU152" i="5"/>
  <c r="BU115" i="5"/>
  <c r="BU122" i="5" s="1"/>
  <c r="BU124" i="5" s="1"/>
  <c r="BU167" i="5" s="1"/>
  <c r="BU168" i="5" s="1"/>
  <c r="BU169" i="5" s="1"/>
  <c r="BU225" i="5" s="1"/>
  <c r="BU104" i="5"/>
  <c r="BU112" i="5"/>
  <c r="BU109" i="5"/>
  <c r="BU111" i="5" s="1"/>
  <c r="BU113" i="5" s="1"/>
  <c r="BU123" i="5" s="1"/>
  <c r="DC219" i="5"/>
  <c r="DC228" i="5" s="1"/>
  <c r="FQ39" i="3"/>
  <c r="FE39" i="3"/>
  <c r="ES39" i="3"/>
  <c r="EG39" i="3"/>
  <c r="DU39" i="3"/>
  <c r="DI39" i="3"/>
  <c r="CW39" i="3"/>
  <c r="CK39" i="3"/>
  <c r="BY39" i="3"/>
  <c r="BM39" i="3"/>
  <c r="BA39" i="3"/>
  <c r="AO39" i="3"/>
  <c r="AC39" i="3"/>
  <c r="Q39" i="3"/>
  <c r="E39" i="3"/>
  <c r="FP39" i="3"/>
  <c r="FD39" i="3"/>
  <c r="ER39" i="3"/>
  <c r="EF39" i="3"/>
  <c r="DT39" i="3"/>
  <c r="DH39" i="3"/>
  <c r="CV39" i="3"/>
  <c r="CJ39" i="3"/>
  <c r="BX39" i="3"/>
  <c r="BL39" i="3"/>
  <c r="AZ39" i="3"/>
  <c r="AN39" i="3"/>
  <c r="AB39" i="3"/>
  <c r="P39" i="3"/>
  <c r="D39" i="3"/>
  <c r="FO39" i="3"/>
  <c r="FC39" i="3"/>
  <c r="EQ39" i="3"/>
  <c r="EE39" i="3"/>
  <c r="DS39" i="3"/>
  <c r="DG39" i="3"/>
  <c r="CU39" i="3"/>
  <c r="CI39" i="3"/>
  <c r="BW39" i="3"/>
  <c r="BK39" i="3"/>
  <c r="AY39" i="3"/>
  <c r="AM39" i="3"/>
  <c r="AA39" i="3"/>
  <c r="O39" i="3"/>
  <c r="FN39" i="3"/>
  <c r="FB39" i="3"/>
  <c r="EP39" i="3"/>
  <c r="ED39" i="3"/>
  <c r="DR39" i="3"/>
  <c r="DF39" i="3"/>
  <c r="CT39" i="3"/>
  <c r="CH39" i="3"/>
  <c r="BV39" i="3"/>
  <c r="BJ39" i="3"/>
  <c r="AX39" i="3"/>
  <c r="AL39" i="3"/>
  <c r="Z39" i="3"/>
  <c r="N39" i="3"/>
  <c r="FM39" i="3"/>
  <c r="FA39" i="3"/>
  <c r="EO39" i="3"/>
  <c r="EC39" i="3"/>
  <c r="DQ39" i="3"/>
  <c r="DE39" i="3"/>
  <c r="CS39" i="3"/>
  <c r="CG39" i="3"/>
  <c r="BU39" i="3"/>
  <c r="BI39" i="3"/>
  <c r="AW39" i="3"/>
  <c r="AK39" i="3"/>
  <c r="Y39" i="3"/>
  <c r="M39" i="3"/>
  <c r="FX39" i="3"/>
  <c r="FL39" i="3"/>
  <c r="EZ39" i="3"/>
  <c r="EN39" i="3"/>
  <c r="EB39" i="3"/>
  <c r="DP39" i="3"/>
  <c r="DD39" i="3"/>
  <c r="CR39" i="3"/>
  <c r="CF39" i="3"/>
  <c r="BT39" i="3"/>
  <c r="BH39" i="3"/>
  <c r="AV39" i="3"/>
  <c r="AJ39" i="3"/>
  <c r="X39" i="3"/>
  <c r="L39" i="3"/>
  <c r="FW39" i="3"/>
  <c r="FK39" i="3"/>
  <c r="EY39" i="3"/>
  <c r="EM39" i="3"/>
  <c r="EA39" i="3"/>
  <c r="DO39" i="3"/>
  <c r="DC39" i="3"/>
  <c r="CQ39" i="3"/>
  <c r="CE39" i="3"/>
  <c r="BS39" i="3"/>
  <c r="BG39" i="3"/>
  <c r="AU39" i="3"/>
  <c r="AI39" i="3"/>
  <c r="W39" i="3"/>
  <c r="K39" i="3"/>
  <c r="FV39" i="3"/>
  <c r="FJ39" i="3"/>
  <c r="EX39" i="3"/>
  <c r="EL39" i="3"/>
  <c r="DZ39" i="3"/>
  <c r="DN39" i="3"/>
  <c r="DB39" i="3"/>
  <c r="CP39" i="3"/>
  <c r="CD39" i="3"/>
  <c r="BR39" i="3"/>
  <c r="BF39" i="3"/>
  <c r="AT39" i="3"/>
  <c r="AH39" i="3"/>
  <c r="V39" i="3"/>
  <c r="J39" i="3"/>
  <c r="FU39" i="3"/>
  <c r="FI39" i="3"/>
  <c r="EW39" i="3"/>
  <c r="EK39" i="3"/>
  <c r="DY39" i="3"/>
  <c r="DM39" i="3"/>
  <c r="DA39" i="3"/>
  <c r="CO39" i="3"/>
  <c r="CC39" i="3"/>
  <c r="BQ39" i="3"/>
  <c r="BE39" i="3"/>
  <c r="AS39" i="3"/>
  <c r="AG39" i="3"/>
  <c r="U39" i="3"/>
  <c r="I39" i="3"/>
  <c r="FS39" i="3"/>
  <c r="FG39" i="3"/>
  <c r="EU39" i="3"/>
  <c r="EI39" i="3"/>
  <c r="DW39" i="3"/>
  <c r="DK39" i="3"/>
  <c r="CY39" i="3"/>
  <c r="CM39" i="3"/>
  <c r="CA39" i="3"/>
  <c r="BO39" i="3"/>
  <c r="BC39" i="3"/>
  <c r="AQ39" i="3"/>
  <c r="AE39" i="3"/>
  <c r="S39" i="3"/>
  <c r="G39" i="3"/>
  <c r="FR39" i="3"/>
  <c r="FF39" i="3"/>
  <c r="ET39" i="3"/>
  <c r="EH39" i="3"/>
  <c r="DV39" i="3"/>
  <c r="DJ39" i="3"/>
  <c r="CX39" i="3"/>
  <c r="CL39" i="3"/>
  <c r="BZ39" i="3"/>
  <c r="BN39" i="3"/>
  <c r="BB39" i="3"/>
  <c r="AP39" i="3"/>
  <c r="AD39" i="3"/>
  <c r="R39" i="3"/>
  <c r="F39" i="3"/>
  <c r="AR39" i="3"/>
  <c r="FT39" i="3"/>
  <c r="AF39" i="3"/>
  <c r="FH39" i="3"/>
  <c r="T39" i="3"/>
  <c r="EV39" i="3"/>
  <c r="H39" i="3"/>
  <c r="EJ39" i="3"/>
  <c r="DL39" i="3"/>
  <c r="CZ39" i="3"/>
  <c r="CN39" i="3"/>
  <c r="BP39" i="3"/>
  <c r="BD39" i="3"/>
  <c r="DX39" i="3"/>
  <c r="CB39" i="3"/>
  <c r="BD337" i="3"/>
  <c r="BD207" i="3"/>
  <c r="BD184" i="3"/>
  <c r="BD191" i="3"/>
  <c r="BD150" i="3"/>
  <c r="BD115" i="3"/>
  <c r="BD122" i="3" s="1"/>
  <c r="BD124" i="3" s="1"/>
  <c r="BD167" i="3" s="1"/>
  <c r="BD168" i="3" s="1"/>
  <c r="BD169" i="3" s="1"/>
  <c r="BD225" i="3" s="1"/>
  <c r="BD112" i="3"/>
  <c r="BD104" i="3"/>
  <c r="BD109" i="3"/>
  <c r="BD111" i="3" s="1"/>
  <c r="BD113" i="3" s="1"/>
  <c r="BD123" i="3" s="1"/>
  <c r="CS337" i="3"/>
  <c r="CS207" i="3"/>
  <c r="CS191" i="3"/>
  <c r="CS184" i="3"/>
  <c r="CS152" i="3"/>
  <c r="CS154" i="3"/>
  <c r="CS156" i="3"/>
  <c r="CS158" i="3"/>
  <c r="CS112" i="3"/>
  <c r="CS115" i="3"/>
  <c r="CS122" i="3" s="1"/>
  <c r="CS104" i="3"/>
  <c r="CS109" i="3"/>
  <c r="CS111" i="3" s="1"/>
  <c r="CS113" i="3" s="1"/>
  <c r="CS123" i="3" s="1"/>
  <c r="AB219" i="5"/>
  <c r="AB228" i="5" s="1"/>
  <c r="FN207" i="5"/>
  <c r="FN191" i="5"/>
  <c r="FN184" i="5"/>
  <c r="FN150" i="5"/>
  <c r="FN112" i="5"/>
  <c r="FN104" i="5"/>
  <c r="FN115" i="5"/>
  <c r="FN122" i="5" s="1"/>
  <c r="FN109" i="5"/>
  <c r="FN111" i="5" s="1"/>
  <c r="J136" i="2"/>
  <c r="J80" i="2"/>
  <c r="EM133" i="2"/>
  <c r="W337" i="3"/>
  <c r="W191" i="3"/>
  <c r="W207" i="3"/>
  <c r="W184" i="3"/>
  <c r="W152" i="3"/>
  <c r="W112" i="3"/>
  <c r="W115" i="3"/>
  <c r="W122" i="3" s="1"/>
  <c r="W104" i="3"/>
  <c r="W109" i="3"/>
  <c r="W111" i="3" s="1"/>
  <c r="W142" i="3"/>
  <c r="W146" i="3" s="1"/>
  <c r="W148" i="3" s="1"/>
  <c r="W144" i="3"/>
  <c r="AY337" i="3"/>
  <c r="AY207" i="3"/>
  <c r="AY184" i="3"/>
  <c r="AY152" i="3"/>
  <c r="AY191" i="3"/>
  <c r="AY115" i="3"/>
  <c r="AY122" i="3" s="1"/>
  <c r="AY112" i="3"/>
  <c r="AY104" i="3"/>
  <c r="AY109" i="3"/>
  <c r="AY111" i="3" s="1"/>
  <c r="AY144" i="3"/>
  <c r="AY142" i="3"/>
  <c r="AY146" i="3" s="1"/>
  <c r="AY148" i="3" s="1"/>
  <c r="DE337" i="3"/>
  <c r="DE207" i="3"/>
  <c r="DE191" i="3"/>
  <c r="DE184" i="3"/>
  <c r="DE152" i="3"/>
  <c r="DE154" i="3"/>
  <c r="DE156" i="3"/>
  <c r="DE158" i="3"/>
  <c r="DE112" i="3"/>
  <c r="DE115" i="3"/>
  <c r="DE122" i="3" s="1"/>
  <c r="DE104" i="3"/>
  <c r="DE109" i="3"/>
  <c r="DE111" i="3" s="1"/>
  <c r="DE113" i="3" s="1"/>
  <c r="DE123" i="3" s="1"/>
  <c r="BB219" i="5"/>
  <c r="BB228" i="5" s="1"/>
  <c r="FV219" i="5"/>
  <c r="FV228" i="5" s="1"/>
  <c r="EE215" i="5"/>
  <c r="EE173" i="5"/>
  <c r="CV215" i="5"/>
  <c r="CV219" i="5" s="1"/>
  <c r="CV228" i="5" s="1"/>
  <c r="CV173" i="5"/>
  <c r="BM215" i="5"/>
  <c r="BM173" i="5"/>
  <c r="AD215" i="5"/>
  <c r="AD219" i="5" s="1"/>
  <c r="AD228" i="5" s="1"/>
  <c r="AD173" i="5"/>
  <c r="FR215" i="5"/>
  <c r="FR219" i="5" s="1"/>
  <c r="FR228" i="5" s="1"/>
  <c r="FR173" i="5"/>
  <c r="EI215" i="5"/>
  <c r="EI219" i="5" s="1"/>
  <c r="EI228" i="5" s="1"/>
  <c r="EI173" i="5"/>
  <c r="CZ215" i="5"/>
  <c r="CZ173" i="5"/>
  <c r="BQ215" i="5"/>
  <c r="BQ219" i="5" s="1"/>
  <c r="BQ228" i="5" s="1"/>
  <c r="BQ173" i="5"/>
  <c r="AH215" i="5"/>
  <c r="AH219" i="5" s="1"/>
  <c r="AH228" i="5" s="1"/>
  <c r="AH173" i="5"/>
  <c r="FV215" i="5"/>
  <c r="FV173" i="5"/>
  <c r="EM215" i="5"/>
  <c r="EM219" i="5" s="1"/>
  <c r="EM228" i="5" s="1"/>
  <c r="EM173" i="5"/>
  <c r="DD215" i="5"/>
  <c r="DD219" i="5" s="1"/>
  <c r="DD228" i="5" s="1"/>
  <c r="DD173" i="5"/>
  <c r="BU215" i="5"/>
  <c r="BU173" i="5"/>
  <c r="AL215" i="5"/>
  <c r="AL219" i="5" s="1"/>
  <c r="AL228" i="5" s="1"/>
  <c r="AL173" i="5"/>
  <c r="C313" i="5"/>
  <c r="C174" i="5"/>
  <c r="FJ136" i="2"/>
  <c r="FJ80" i="2"/>
  <c r="DM337" i="3"/>
  <c r="DM191" i="3"/>
  <c r="DM207" i="3"/>
  <c r="DM152" i="3"/>
  <c r="DM184" i="3"/>
  <c r="DM112" i="3"/>
  <c r="DM115" i="3"/>
  <c r="DM122" i="3" s="1"/>
  <c r="DM124" i="3" s="1"/>
  <c r="DM167" i="3" s="1"/>
  <c r="DM168" i="3" s="1"/>
  <c r="DM169" i="3" s="1"/>
  <c r="DM225" i="3" s="1"/>
  <c r="DM104" i="3"/>
  <c r="DM144" i="3"/>
  <c r="DM109" i="3"/>
  <c r="DM111" i="3" s="1"/>
  <c r="DM113" i="3" s="1"/>
  <c r="DM123" i="3" s="1"/>
  <c r="DM142" i="3"/>
  <c r="AM337" i="3"/>
  <c r="AM184" i="3"/>
  <c r="AM207" i="3"/>
  <c r="AM152" i="3"/>
  <c r="AM191" i="3"/>
  <c r="AM115" i="3"/>
  <c r="AM122" i="3" s="1"/>
  <c r="AM112" i="3"/>
  <c r="AM104" i="3"/>
  <c r="AM144" i="3"/>
  <c r="AM142" i="3"/>
  <c r="AM146" i="3" s="1"/>
  <c r="AM148" i="3" s="1"/>
  <c r="AM109" i="3"/>
  <c r="AM111" i="3" s="1"/>
  <c r="AX219" i="5"/>
  <c r="AX228" i="5" s="1"/>
  <c r="DY337" i="3"/>
  <c r="DY207" i="3"/>
  <c r="DY191" i="3"/>
  <c r="DY156" i="3"/>
  <c r="DY158" i="3"/>
  <c r="DY184" i="3"/>
  <c r="DY152" i="3"/>
  <c r="DY154" i="3"/>
  <c r="DY112" i="3"/>
  <c r="DY115" i="3"/>
  <c r="DY122" i="3" s="1"/>
  <c r="DY104" i="3"/>
  <c r="DY109" i="3"/>
  <c r="DY111" i="3" s="1"/>
  <c r="DY113" i="3" s="1"/>
  <c r="DY123" i="3" s="1"/>
  <c r="EY219" i="5"/>
  <c r="EY228" i="5" s="1"/>
  <c r="CD133" i="2"/>
  <c r="AT136" i="2"/>
  <c r="AT80" i="2"/>
  <c r="J97" i="2"/>
  <c r="CN337" i="3"/>
  <c r="CN207" i="3"/>
  <c r="CN184" i="3"/>
  <c r="CN191" i="3"/>
  <c r="CN115" i="3"/>
  <c r="CN122" i="3" s="1"/>
  <c r="CN150" i="3"/>
  <c r="CN112" i="3"/>
  <c r="CN104" i="3"/>
  <c r="CN109" i="3"/>
  <c r="CN111" i="3" s="1"/>
  <c r="AO207" i="5"/>
  <c r="AO191" i="5"/>
  <c r="AO184" i="5"/>
  <c r="AO150" i="5"/>
  <c r="AO115" i="5"/>
  <c r="AO122" i="5" s="1"/>
  <c r="AO104" i="5"/>
  <c r="AO112" i="5"/>
  <c r="AO109" i="5"/>
  <c r="AO111" i="5" s="1"/>
  <c r="BS191" i="3"/>
  <c r="BS207" i="3"/>
  <c r="BS184" i="3"/>
  <c r="BS150" i="3"/>
  <c r="BS152" i="3"/>
  <c r="BS154" i="3" s="1"/>
  <c r="BS112" i="3"/>
  <c r="BS115" i="3"/>
  <c r="BS122" i="3" s="1"/>
  <c r="BS124" i="3" s="1"/>
  <c r="BS167" i="3" s="1"/>
  <c r="BS168" i="3" s="1"/>
  <c r="BS169" i="3" s="1"/>
  <c r="BS225" i="3" s="1"/>
  <c r="BS104" i="3"/>
  <c r="BS144" i="3"/>
  <c r="BS142" i="3"/>
  <c r="BS109" i="3"/>
  <c r="BS111" i="3" s="1"/>
  <c r="BS113" i="3" s="1"/>
  <c r="BS123" i="3" s="1"/>
  <c r="CJ191" i="5"/>
  <c r="CJ207" i="5"/>
  <c r="CJ150" i="5"/>
  <c r="CJ184" i="5"/>
  <c r="CJ104" i="5"/>
  <c r="CJ115" i="5"/>
  <c r="CJ122" i="5" s="1"/>
  <c r="CJ124" i="5" s="1"/>
  <c r="CJ167" i="5" s="1"/>
  <c r="CJ168" i="5" s="1"/>
  <c r="CJ169" i="5" s="1"/>
  <c r="CJ225" i="5" s="1"/>
  <c r="CJ112" i="5"/>
  <c r="CJ109" i="5"/>
  <c r="CJ111" i="5" s="1"/>
  <c r="CJ113" i="5" s="1"/>
  <c r="CJ123" i="5" s="1"/>
  <c r="FM136" i="2"/>
  <c r="FM80" i="2"/>
  <c r="FI136" i="2"/>
  <c r="FI80" i="2"/>
  <c r="BR127" i="2"/>
  <c r="T207" i="5"/>
  <c r="T191" i="5"/>
  <c r="T184" i="5"/>
  <c r="T152" i="5"/>
  <c r="T115" i="5"/>
  <c r="T122" i="5" s="1"/>
  <c r="T112" i="5"/>
  <c r="T104" i="5"/>
  <c r="T109" i="5"/>
  <c r="T111" i="5" s="1"/>
  <c r="CW337" i="3"/>
  <c r="CW207" i="3"/>
  <c r="CW184" i="3"/>
  <c r="CW191" i="3"/>
  <c r="CW152" i="3"/>
  <c r="CW112" i="3"/>
  <c r="CW115" i="3"/>
  <c r="CW122" i="3" s="1"/>
  <c r="CW104" i="3"/>
  <c r="CW109" i="3"/>
  <c r="CW111" i="3" s="1"/>
  <c r="CW144" i="3"/>
  <c r="CW142" i="3"/>
  <c r="CL133" i="2"/>
  <c r="BK136" i="2"/>
  <c r="BK80" i="2"/>
  <c r="DZ219" i="5"/>
  <c r="DZ228" i="5" s="1"/>
  <c r="AA133" i="2"/>
  <c r="EC136" i="2"/>
  <c r="EC80" i="2"/>
  <c r="EF133" i="2"/>
  <c r="ES127" i="2"/>
  <c r="AY136" i="2"/>
  <c r="AY80" i="2"/>
  <c r="DV136" i="2"/>
  <c r="DV80" i="2"/>
  <c r="AP219" i="5"/>
  <c r="AP228" i="5" s="1"/>
  <c r="ED136" i="2"/>
  <c r="ED80" i="2"/>
  <c r="CY136" i="2"/>
  <c r="CY80" i="2"/>
  <c r="FC127" i="2"/>
  <c r="AO80" i="2"/>
  <c r="AO136" i="2"/>
  <c r="DK133" i="2"/>
  <c r="FB136" i="2"/>
  <c r="FB80" i="2"/>
  <c r="FF136" i="2"/>
  <c r="FF80" i="2"/>
  <c r="G219" i="5"/>
  <c r="G228" i="5" s="1"/>
  <c r="Z136" i="2"/>
  <c r="Z80" i="2"/>
  <c r="AD136" i="2"/>
  <c r="AD80" i="2"/>
  <c r="EI127" i="2"/>
  <c r="CB207" i="5"/>
  <c r="CB191" i="5"/>
  <c r="CB184" i="5"/>
  <c r="CB150" i="5"/>
  <c r="CB115" i="5"/>
  <c r="CB122" i="5" s="1"/>
  <c r="CB112" i="5"/>
  <c r="CB104" i="5"/>
  <c r="CB109" i="5"/>
  <c r="CB111" i="5" s="1"/>
  <c r="EQ136" i="2"/>
  <c r="EQ80" i="2"/>
  <c r="EE133" i="2"/>
  <c r="BY127" i="2"/>
  <c r="DL219" i="5"/>
  <c r="DL228" i="5" s="1"/>
  <c r="FG133" i="2"/>
  <c r="BJ127" i="2"/>
  <c r="BN136" i="2"/>
  <c r="BN80" i="2"/>
  <c r="BV136" i="2"/>
  <c r="BV80" i="2"/>
  <c r="EJ207" i="3"/>
  <c r="EJ184" i="3"/>
  <c r="EJ191" i="3"/>
  <c r="EJ154" i="3"/>
  <c r="EJ104" i="3"/>
  <c r="EJ150" i="3"/>
  <c r="EJ115" i="3"/>
  <c r="EJ122" i="3" s="1"/>
  <c r="EJ152" i="3"/>
  <c r="EJ112" i="3"/>
  <c r="EJ109" i="3"/>
  <c r="EJ111" i="3" s="1"/>
  <c r="EJ113" i="3" s="1"/>
  <c r="EJ123" i="3" s="1"/>
  <c r="EJ142" i="3"/>
  <c r="EJ144" i="3"/>
  <c r="AP207" i="3"/>
  <c r="AP191" i="3"/>
  <c r="AP154" i="3"/>
  <c r="AP184" i="3"/>
  <c r="AP152" i="3"/>
  <c r="AP150" i="3"/>
  <c r="AP112" i="3"/>
  <c r="AP115" i="3"/>
  <c r="AP122" i="3" s="1"/>
  <c r="AP104" i="3"/>
  <c r="AP144" i="3"/>
  <c r="AP142" i="3"/>
  <c r="AP146" i="3" s="1"/>
  <c r="AP148" i="3" s="1"/>
  <c r="AP109" i="3"/>
  <c r="AP111" i="3" s="1"/>
  <c r="AP113" i="3" s="1"/>
  <c r="AP123" i="3" s="1"/>
  <c r="J207" i="3"/>
  <c r="J184" i="3"/>
  <c r="J191" i="3"/>
  <c r="J150" i="3"/>
  <c r="J154" i="3" s="1"/>
  <c r="J112" i="3"/>
  <c r="J115" i="3"/>
  <c r="J122" i="3" s="1"/>
  <c r="J152" i="3"/>
  <c r="J104" i="3"/>
  <c r="J144" i="3"/>
  <c r="J109" i="3"/>
  <c r="J111" i="3" s="1"/>
  <c r="J142" i="3"/>
  <c r="F133" i="2"/>
  <c r="AT133" i="2"/>
  <c r="FT337" i="3"/>
  <c r="FT207" i="3"/>
  <c r="FT184" i="3"/>
  <c r="FT191" i="3"/>
  <c r="FT104" i="3"/>
  <c r="FT152" i="3"/>
  <c r="FT115" i="3"/>
  <c r="FT122" i="3" s="1"/>
  <c r="FT112" i="3"/>
  <c r="FT109" i="3"/>
  <c r="FT111" i="3" s="1"/>
  <c r="FT113" i="3" s="1"/>
  <c r="FT123" i="3" s="1"/>
  <c r="FT144" i="3"/>
  <c r="FT142" i="3"/>
  <c r="FT146" i="3" s="1"/>
  <c r="FT148" i="3" s="1"/>
  <c r="FZ86" i="5"/>
  <c r="C90" i="5"/>
  <c r="BC215" i="5"/>
  <c r="BC219" i="5" s="1"/>
  <c r="BC228" i="5" s="1"/>
  <c r="BC173" i="5"/>
  <c r="BH337" i="3"/>
  <c r="BH207" i="3"/>
  <c r="BH184" i="3"/>
  <c r="BH191" i="3"/>
  <c r="BH150" i="3"/>
  <c r="BH112" i="3"/>
  <c r="BH115" i="3"/>
  <c r="BH122" i="3" s="1"/>
  <c r="BH104" i="3"/>
  <c r="BH109" i="3"/>
  <c r="BH111" i="3" s="1"/>
  <c r="BH113" i="3" s="1"/>
  <c r="BH123" i="3" s="1"/>
  <c r="BS219" i="5"/>
  <c r="BS228" i="5" s="1"/>
  <c r="DB136" i="2"/>
  <c r="DB80" i="2"/>
  <c r="L207" i="3"/>
  <c r="L184" i="3"/>
  <c r="L191" i="3"/>
  <c r="L150" i="3"/>
  <c r="L152" i="3"/>
  <c r="L154" i="3"/>
  <c r="L112" i="3"/>
  <c r="L115" i="3"/>
  <c r="L122" i="3" s="1"/>
  <c r="L124" i="3" s="1"/>
  <c r="L167" i="3" s="1"/>
  <c r="L168" i="3" s="1"/>
  <c r="L169" i="3" s="1"/>
  <c r="L225" i="3" s="1"/>
  <c r="L104" i="3"/>
  <c r="L142" i="3"/>
  <c r="L146" i="3" s="1"/>
  <c r="L148" i="3" s="1"/>
  <c r="L109" i="3"/>
  <c r="L111" i="3" s="1"/>
  <c r="L113" i="3" s="1"/>
  <c r="L123" i="3" s="1"/>
  <c r="L144" i="3"/>
  <c r="FQ337" i="3"/>
  <c r="FQ207" i="3"/>
  <c r="FQ184" i="3"/>
  <c r="FQ191" i="3"/>
  <c r="FQ150" i="3"/>
  <c r="FQ104" i="3"/>
  <c r="FQ112" i="3"/>
  <c r="FQ115" i="3"/>
  <c r="FQ122" i="3" s="1"/>
  <c r="FQ109" i="3"/>
  <c r="FQ111" i="3" s="1"/>
  <c r="BQ207" i="3"/>
  <c r="BQ191" i="3"/>
  <c r="BQ150" i="3"/>
  <c r="BQ162" i="3" s="1"/>
  <c r="BQ152" i="3"/>
  <c r="BQ154" i="3"/>
  <c r="BQ184" i="3"/>
  <c r="BQ112" i="3"/>
  <c r="BQ115" i="3"/>
  <c r="BQ122" i="3" s="1"/>
  <c r="BQ104" i="3"/>
  <c r="BQ144" i="3"/>
  <c r="BQ142" i="3"/>
  <c r="BQ146" i="3" s="1"/>
  <c r="BQ148" i="3" s="1"/>
  <c r="BQ109" i="3"/>
  <c r="BQ111" i="3" s="1"/>
  <c r="DW219" i="5"/>
  <c r="DW228" i="5" s="1"/>
  <c r="BT136" i="2"/>
  <c r="BT80" i="2"/>
  <c r="CR127" i="2"/>
  <c r="DP133" i="2"/>
  <c r="Z337" i="3"/>
  <c r="Z207" i="3"/>
  <c r="Z191" i="3"/>
  <c r="Z184" i="3"/>
  <c r="Z152" i="3"/>
  <c r="Z154" i="3"/>
  <c r="Z158" i="3"/>
  <c r="Z115" i="3"/>
  <c r="Z122" i="3" s="1"/>
  <c r="Z124" i="3" s="1"/>
  <c r="Z167" i="3" s="1"/>
  <c r="Z168" i="3" s="1"/>
  <c r="Z169" i="3" s="1"/>
  <c r="Z225" i="3" s="1"/>
  <c r="Z156" i="3"/>
  <c r="Z112" i="3"/>
  <c r="Z104" i="3"/>
  <c r="Z109" i="3"/>
  <c r="Z111" i="3" s="1"/>
  <c r="Z113" i="3" s="1"/>
  <c r="Z123" i="3" s="1"/>
  <c r="J207" i="5"/>
  <c r="J184" i="5"/>
  <c r="J150" i="5"/>
  <c r="J191" i="5"/>
  <c r="J112" i="5"/>
  <c r="J115" i="5"/>
  <c r="J122" i="5" s="1"/>
  <c r="J104" i="5"/>
  <c r="J109" i="5"/>
  <c r="J111" i="5" s="1"/>
  <c r="J113" i="5" s="1"/>
  <c r="J123" i="5" s="1"/>
  <c r="AI136" i="2"/>
  <c r="AI80" i="2"/>
  <c r="CW191" i="5"/>
  <c r="CW207" i="5"/>
  <c r="CW184" i="5"/>
  <c r="CW152" i="5"/>
  <c r="CW115" i="5"/>
  <c r="CW122" i="5" s="1"/>
  <c r="CW104" i="5"/>
  <c r="CW112" i="5"/>
  <c r="CW109" i="5"/>
  <c r="CW111" i="5" s="1"/>
  <c r="DY207" i="5"/>
  <c r="DY191" i="5"/>
  <c r="DY184" i="5"/>
  <c r="DY152" i="5"/>
  <c r="DY115" i="5"/>
  <c r="DY122" i="5" s="1"/>
  <c r="DY112" i="5"/>
  <c r="DY104" i="5"/>
  <c r="DY109" i="5"/>
  <c r="DY111" i="5" s="1"/>
  <c r="DD207" i="5"/>
  <c r="DD191" i="5"/>
  <c r="DD184" i="5"/>
  <c r="DD152" i="5"/>
  <c r="DD112" i="5"/>
  <c r="DD115" i="5"/>
  <c r="DD122" i="5" s="1"/>
  <c r="DD104" i="5"/>
  <c r="DD109" i="5"/>
  <c r="DD111" i="5" s="1"/>
  <c r="ED191" i="5"/>
  <c r="ED207" i="5"/>
  <c r="ED184" i="5"/>
  <c r="ED150" i="5"/>
  <c r="ED112" i="5"/>
  <c r="ED115" i="5"/>
  <c r="ED122" i="5" s="1"/>
  <c r="ED104" i="5"/>
  <c r="ED109" i="5"/>
  <c r="ED111" i="5" s="1"/>
  <c r="FU127" i="2"/>
  <c r="DC136" i="2"/>
  <c r="DC80" i="2"/>
  <c r="BG136" i="2"/>
  <c r="BG80" i="2"/>
  <c r="D169" i="4"/>
  <c r="D153" i="4"/>
  <c r="EP219" i="5"/>
  <c r="EP228" i="5" s="1"/>
  <c r="EE207" i="5"/>
  <c r="EE184" i="5"/>
  <c r="EE191" i="5"/>
  <c r="EE152" i="5"/>
  <c r="EE115" i="5"/>
  <c r="EE122" i="5" s="1"/>
  <c r="EE104" i="5"/>
  <c r="EE112" i="5"/>
  <c r="EE109" i="5"/>
  <c r="EE111" i="5" s="1"/>
  <c r="DF219" i="5"/>
  <c r="DF228" i="5" s="1"/>
  <c r="BT133" i="2"/>
  <c r="CF127" i="2"/>
  <c r="DU207" i="5"/>
  <c r="DU191" i="5"/>
  <c r="DU184" i="5"/>
  <c r="DU152" i="5"/>
  <c r="DU115" i="5"/>
  <c r="DU122" i="5" s="1"/>
  <c r="DU112" i="5"/>
  <c r="DU104" i="5"/>
  <c r="DU109" i="5"/>
  <c r="DU111" i="5" s="1"/>
  <c r="O214" i="5"/>
  <c r="O103" i="5"/>
  <c r="O127" i="5"/>
  <c r="EJ137" i="2"/>
  <c r="EJ138" i="2"/>
  <c r="EK97" i="2"/>
  <c r="EN219" i="5"/>
  <c r="EN228" i="5" s="1"/>
  <c r="BC97" i="2"/>
  <c r="E191" i="5"/>
  <c r="E207" i="5"/>
  <c r="E184" i="5"/>
  <c r="E150" i="5"/>
  <c r="E115" i="5"/>
  <c r="E122" i="5" s="1"/>
  <c r="E112" i="5"/>
  <c r="E104" i="5"/>
  <c r="E109" i="5"/>
  <c r="E111" i="5" s="1"/>
  <c r="E113" i="5" s="1"/>
  <c r="E123" i="5" s="1"/>
  <c r="EA207" i="5"/>
  <c r="EA184" i="5"/>
  <c r="EA191" i="5"/>
  <c r="EA150" i="5"/>
  <c r="EA115" i="5"/>
  <c r="EA122" i="5" s="1"/>
  <c r="EA112" i="5"/>
  <c r="EA104" i="5"/>
  <c r="EA109" i="5"/>
  <c r="EA111" i="5" s="1"/>
  <c r="BR207" i="5"/>
  <c r="BR184" i="5"/>
  <c r="BR191" i="5"/>
  <c r="BR112" i="5"/>
  <c r="BR150" i="5"/>
  <c r="BR115" i="5"/>
  <c r="BR122" i="5" s="1"/>
  <c r="BR104" i="5"/>
  <c r="BR109" i="5"/>
  <c r="BR111" i="5" s="1"/>
  <c r="BR113" i="5" s="1"/>
  <c r="BR123" i="5" s="1"/>
  <c r="EQ215" i="5"/>
  <c r="EQ173" i="5"/>
  <c r="DH215" i="5"/>
  <c r="DH219" i="5" s="1"/>
  <c r="DH228" i="5" s="1"/>
  <c r="DH173" i="5"/>
  <c r="BY215" i="5"/>
  <c r="BY219" i="5" s="1"/>
  <c r="BY228" i="5" s="1"/>
  <c r="BY173" i="5"/>
  <c r="AP215" i="5"/>
  <c r="AP173" i="5"/>
  <c r="G215" i="5"/>
  <c r="G173" i="5"/>
  <c r="EU215" i="5"/>
  <c r="EU219" i="5" s="1"/>
  <c r="EU228" i="5" s="1"/>
  <c r="EU173" i="5"/>
  <c r="DL215" i="5"/>
  <c r="DL173" i="5"/>
  <c r="CC215" i="5"/>
  <c r="CC219" i="5" s="1"/>
  <c r="CC228" i="5" s="1"/>
  <c r="CC173" i="5"/>
  <c r="AT215" i="5"/>
  <c r="AT219" i="5" s="1"/>
  <c r="AT228" i="5" s="1"/>
  <c r="AT173" i="5"/>
  <c r="K215" i="5"/>
  <c r="K173" i="5"/>
  <c r="EY215" i="5"/>
  <c r="EY173" i="5"/>
  <c r="DP215" i="5"/>
  <c r="DP173" i="5"/>
  <c r="CG215" i="5"/>
  <c r="CG219" i="5" s="1"/>
  <c r="CG228" i="5" s="1"/>
  <c r="CG173" i="5"/>
  <c r="AX215" i="5"/>
  <c r="AX173" i="5"/>
  <c r="H133" i="2"/>
  <c r="BQ136" i="2"/>
  <c r="BQ80" i="2"/>
  <c r="AJ97" i="2"/>
  <c r="AZ219" i="5"/>
  <c r="AZ228" i="5" s="1"/>
  <c r="AE219" i="5"/>
  <c r="AE228" i="5" s="1"/>
  <c r="CD219" i="5"/>
  <c r="CD228" i="5" s="1"/>
  <c r="FV127" i="2"/>
  <c r="EO337" i="3"/>
  <c r="EO207" i="3"/>
  <c r="EO191" i="3"/>
  <c r="EO184" i="3"/>
  <c r="EO152" i="3"/>
  <c r="EO112" i="3"/>
  <c r="EO115" i="3"/>
  <c r="EO122" i="3" s="1"/>
  <c r="EO104" i="3"/>
  <c r="EO109" i="3"/>
  <c r="EO111" i="3" s="1"/>
  <c r="EO113" i="3" s="1"/>
  <c r="EO123" i="3" s="1"/>
  <c r="EO142" i="3"/>
  <c r="EO144" i="3"/>
  <c r="FQ191" i="5"/>
  <c r="FQ207" i="5"/>
  <c r="FQ184" i="5"/>
  <c r="FQ150" i="5"/>
  <c r="FQ115" i="5"/>
  <c r="FQ122" i="5" s="1"/>
  <c r="FQ112" i="5"/>
  <c r="FQ104" i="5"/>
  <c r="FQ109" i="5"/>
  <c r="FQ111" i="5" s="1"/>
  <c r="DX191" i="5"/>
  <c r="DX184" i="5"/>
  <c r="DX207" i="5"/>
  <c r="DX152" i="5"/>
  <c r="DX115" i="5"/>
  <c r="DX122" i="5" s="1"/>
  <c r="DX112" i="5"/>
  <c r="DX104" i="5"/>
  <c r="DX109" i="5"/>
  <c r="DX111" i="5" s="1"/>
  <c r="DX113" i="5" s="1"/>
  <c r="DX123" i="5" s="1"/>
  <c r="FO127" i="2"/>
  <c r="F136" i="2"/>
  <c r="F80" i="2"/>
  <c r="DA219" i="5"/>
  <c r="DA228" i="5" s="1"/>
  <c r="CD97" i="2"/>
  <c r="B3" i="4"/>
  <c r="FR175" i="2"/>
  <c r="FF175" i="2"/>
  <c r="ET175" i="2"/>
  <c r="EH175" i="2"/>
  <c r="DV175" i="2"/>
  <c r="DJ175" i="2"/>
  <c r="CX175" i="2"/>
  <c r="CL175" i="2"/>
  <c r="BZ175" i="2"/>
  <c r="BN175" i="2"/>
  <c r="BB175" i="2"/>
  <c r="AP175" i="2"/>
  <c r="AD175" i="2"/>
  <c r="R175" i="2"/>
  <c r="F175" i="2"/>
  <c r="FQ175" i="2"/>
  <c r="FE175" i="2"/>
  <c r="ES175" i="2"/>
  <c r="EG175" i="2"/>
  <c r="DU175" i="2"/>
  <c r="DI175" i="2"/>
  <c r="CW175" i="2"/>
  <c r="CK175" i="2"/>
  <c r="BY175" i="2"/>
  <c r="BM175" i="2"/>
  <c r="BA175" i="2"/>
  <c r="AO175" i="2"/>
  <c r="AC175" i="2"/>
  <c r="Q175" i="2"/>
  <c r="E175" i="2"/>
  <c r="FP175" i="2"/>
  <c r="FD175" i="2"/>
  <c r="ER175" i="2"/>
  <c r="EF175" i="2"/>
  <c r="DT175" i="2"/>
  <c r="DH175" i="2"/>
  <c r="CV175" i="2"/>
  <c r="CJ175" i="2"/>
  <c r="BX175" i="2"/>
  <c r="BL175" i="2"/>
  <c r="AZ175" i="2"/>
  <c r="AN175" i="2"/>
  <c r="AB175" i="2"/>
  <c r="P175" i="2"/>
  <c r="D175" i="2"/>
  <c r="FO175" i="2"/>
  <c r="FC175" i="2"/>
  <c r="EQ175" i="2"/>
  <c r="EE175" i="2"/>
  <c r="DS175" i="2"/>
  <c r="DG175" i="2"/>
  <c r="CU175" i="2"/>
  <c r="CI175" i="2"/>
  <c r="BW175" i="2"/>
  <c r="BK175" i="2"/>
  <c r="AY175" i="2"/>
  <c r="AM175" i="2"/>
  <c r="AA175" i="2"/>
  <c r="O175" i="2"/>
  <c r="C175" i="2"/>
  <c r="FN175" i="2"/>
  <c r="FB175" i="2"/>
  <c r="EP175" i="2"/>
  <c r="ED175" i="2"/>
  <c r="DR175" i="2"/>
  <c r="DF175" i="2"/>
  <c r="CT175" i="2"/>
  <c r="CH175" i="2"/>
  <c r="BV175" i="2"/>
  <c r="BJ175" i="2"/>
  <c r="AX175" i="2"/>
  <c r="AL175" i="2"/>
  <c r="Z175" i="2"/>
  <c r="N175" i="2"/>
  <c r="FX175" i="2"/>
  <c r="FL175" i="2"/>
  <c r="EZ175" i="2"/>
  <c r="EN175" i="2"/>
  <c r="EB175" i="2"/>
  <c r="DP175" i="2"/>
  <c r="DD175" i="2"/>
  <c r="CR175" i="2"/>
  <c r="CF175" i="2"/>
  <c r="BT175" i="2"/>
  <c r="BH175" i="2"/>
  <c r="AV175" i="2"/>
  <c r="AJ175" i="2"/>
  <c r="X175" i="2"/>
  <c r="L175" i="2"/>
  <c r="FW175" i="2"/>
  <c r="FK175" i="2"/>
  <c r="EY175" i="2"/>
  <c r="EM175" i="2"/>
  <c r="EA175" i="2"/>
  <c r="DO175" i="2"/>
  <c r="DC175" i="2"/>
  <c r="CQ175" i="2"/>
  <c r="CE175" i="2"/>
  <c r="BS175" i="2"/>
  <c r="BG175" i="2"/>
  <c r="AU175" i="2"/>
  <c r="AI175" i="2"/>
  <c r="W175" i="2"/>
  <c r="K175" i="2"/>
  <c r="FV175" i="2"/>
  <c r="FJ175" i="2"/>
  <c r="EX175" i="2"/>
  <c r="EL175" i="2"/>
  <c r="DZ175" i="2"/>
  <c r="DN175" i="2"/>
  <c r="DB175" i="2"/>
  <c r="CP175" i="2"/>
  <c r="CD175" i="2"/>
  <c r="BR175" i="2"/>
  <c r="BF175" i="2"/>
  <c r="AT175" i="2"/>
  <c r="AH175" i="2"/>
  <c r="V175" i="2"/>
  <c r="J175" i="2"/>
  <c r="FT175" i="2"/>
  <c r="FH175" i="2"/>
  <c r="EV175" i="2"/>
  <c r="EJ175" i="2"/>
  <c r="DX175" i="2"/>
  <c r="DL175" i="2"/>
  <c r="CZ175" i="2"/>
  <c r="CN175" i="2"/>
  <c r="CB175" i="2"/>
  <c r="BP175" i="2"/>
  <c r="BD175" i="2"/>
  <c r="AR175" i="2"/>
  <c r="AF175" i="2"/>
  <c r="T175" i="2"/>
  <c r="H175" i="2"/>
  <c r="FS175" i="2"/>
  <c r="FG175" i="2"/>
  <c r="EU175" i="2"/>
  <c r="EI175" i="2"/>
  <c r="DW175" i="2"/>
  <c r="DK175" i="2"/>
  <c r="CY175" i="2"/>
  <c r="CM175" i="2"/>
  <c r="CA175" i="2"/>
  <c r="BO175" i="2"/>
  <c r="BC175" i="2"/>
  <c r="AQ175" i="2"/>
  <c r="AE175" i="2"/>
  <c r="S175" i="2"/>
  <c r="G175" i="2"/>
  <c r="DE175" i="2"/>
  <c r="AK175" i="2"/>
  <c r="FM115" i="2"/>
  <c r="FM116" i="2" s="1"/>
  <c r="FA115" i="2"/>
  <c r="FA116" i="2" s="1"/>
  <c r="EO115" i="2"/>
  <c r="EO116" i="2" s="1"/>
  <c r="EC115" i="2"/>
  <c r="EC116" i="2" s="1"/>
  <c r="DQ115" i="2"/>
  <c r="DQ116" i="2" s="1"/>
  <c r="DE115" i="2"/>
  <c r="DE116" i="2" s="1"/>
  <c r="CS115" i="2"/>
  <c r="CS116" i="2" s="1"/>
  <c r="CG115" i="2"/>
  <c r="CG116" i="2" s="1"/>
  <c r="BU115" i="2"/>
  <c r="BU116" i="2" s="1"/>
  <c r="BI115" i="2"/>
  <c r="BI116" i="2" s="1"/>
  <c r="AW115" i="2"/>
  <c r="AW116" i="2" s="1"/>
  <c r="AK115" i="2"/>
  <c r="AK116" i="2" s="1"/>
  <c r="Y115" i="2"/>
  <c r="Y116" i="2" s="1"/>
  <c r="M115" i="2"/>
  <c r="M116" i="2" s="1"/>
  <c r="FU175" i="2"/>
  <c r="DA175" i="2"/>
  <c r="AG175" i="2"/>
  <c r="FX115" i="2"/>
  <c r="FX116" i="2" s="1"/>
  <c r="FL115" i="2"/>
  <c r="FL116" i="2" s="1"/>
  <c r="EZ115" i="2"/>
  <c r="EZ116" i="2" s="1"/>
  <c r="EN115" i="2"/>
  <c r="EN116" i="2" s="1"/>
  <c r="EB115" i="2"/>
  <c r="EB116" i="2" s="1"/>
  <c r="DP115" i="2"/>
  <c r="DP116" i="2" s="1"/>
  <c r="DD115" i="2"/>
  <c r="DD116" i="2" s="1"/>
  <c r="CR115" i="2"/>
  <c r="CR116" i="2" s="1"/>
  <c r="CF115" i="2"/>
  <c r="CF116" i="2" s="1"/>
  <c r="BT115" i="2"/>
  <c r="BT116" i="2" s="1"/>
  <c r="BH115" i="2"/>
  <c r="BH116" i="2" s="1"/>
  <c r="AV115" i="2"/>
  <c r="AV116" i="2" s="1"/>
  <c r="AJ115" i="2"/>
  <c r="AJ116" i="2" s="1"/>
  <c r="X115" i="2"/>
  <c r="X116" i="2" s="1"/>
  <c r="L115" i="2"/>
  <c r="L116" i="2" s="1"/>
  <c r="FM175" i="2"/>
  <c r="CS175" i="2"/>
  <c r="Y175" i="2"/>
  <c r="FW115" i="2"/>
  <c r="FW116" i="2" s="1"/>
  <c r="FK115" i="2"/>
  <c r="FK116" i="2" s="1"/>
  <c r="EY115" i="2"/>
  <c r="EY116" i="2" s="1"/>
  <c r="EM115" i="2"/>
  <c r="EM116" i="2" s="1"/>
  <c r="EA115" i="2"/>
  <c r="EA116" i="2" s="1"/>
  <c r="DO115" i="2"/>
  <c r="DO116" i="2" s="1"/>
  <c r="DC115" i="2"/>
  <c r="DC116" i="2" s="1"/>
  <c r="CQ115" i="2"/>
  <c r="CQ116" i="2" s="1"/>
  <c r="CE115" i="2"/>
  <c r="CE116" i="2" s="1"/>
  <c r="BS115" i="2"/>
  <c r="BS116" i="2" s="1"/>
  <c r="BG115" i="2"/>
  <c r="BG116" i="2" s="1"/>
  <c r="AU115" i="2"/>
  <c r="AU116" i="2" s="1"/>
  <c r="AI115" i="2"/>
  <c r="AI116" i="2" s="1"/>
  <c r="W115" i="2"/>
  <c r="W116" i="2" s="1"/>
  <c r="K115" i="2"/>
  <c r="K116" i="2" s="1"/>
  <c r="FI175" i="2"/>
  <c r="CO175" i="2"/>
  <c r="U175" i="2"/>
  <c r="FV115" i="2"/>
  <c r="FV116" i="2" s="1"/>
  <c r="FJ115" i="2"/>
  <c r="FJ116" i="2" s="1"/>
  <c r="EX115" i="2"/>
  <c r="EX116" i="2" s="1"/>
  <c r="EL115" i="2"/>
  <c r="EL116" i="2" s="1"/>
  <c r="DZ115" i="2"/>
  <c r="DZ116" i="2" s="1"/>
  <c r="DN115" i="2"/>
  <c r="DN116" i="2" s="1"/>
  <c r="DB115" i="2"/>
  <c r="DB116" i="2" s="1"/>
  <c r="CP115" i="2"/>
  <c r="CP116" i="2" s="1"/>
  <c r="CD115" i="2"/>
  <c r="CD116" i="2" s="1"/>
  <c r="BR115" i="2"/>
  <c r="BR116" i="2" s="1"/>
  <c r="BF115" i="2"/>
  <c r="BF116" i="2" s="1"/>
  <c r="AT115" i="2"/>
  <c r="AT116" i="2" s="1"/>
  <c r="AH115" i="2"/>
  <c r="AH116" i="2" s="1"/>
  <c r="V115" i="2"/>
  <c r="V116" i="2" s="1"/>
  <c r="J115" i="2"/>
  <c r="J116" i="2" s="1"/>
  <c r="FA175" i="2"/>
  <c r="CG175" i="2"/>
  <c r="M175" i="2"/>
  <c r="EW175" i="2"/>
  <c r="CC175" i="2"/>
  <c r="I175" i="2"/>
  <c r="FT115" i="2"/>
  <c r="FT116" i="2" s="1"/>
  <c r="FH115" i="2"/>
  <c r="FH116" i="2" s="1"/>
  <c r="EV115" i="2"/>
  <c r="EV116" i="2" s="1"/>
  <c r="EJ115" i="2"/>
  <c r="EJ116" i="2" s="1"/>
  <c r="DX115" i="2"/>
  <c r="DX116" i="2" s="1"/>
  <c r="DL115" i="2"/>
  <c r="DL116" i="2" s="1"/>
  <c r="CZ115" i="2"/>
  <c r="CZ116" i="2" s="1"/>
  <c r="CN115" i="2"/>
  <c r="CN116" i="2" s="1"/>
  <c r="CB115" i="2"/>
  <c r="CB116" i="2" s="1"/>
  <c r="BP115" i="2"/>
  <c r="BP116" i="2" s="1"/>
  <c r="BD115" i="2"/>
  <c r="BD116" i="2" s="1"/>
  <c r="AR115" i="2"/>
  <c r="AR116" i="2" s="1"/>
  <c r="AF115" i="2"/>
  <c r="AF116" i="2" s="1"/>
  <c r="T115" i="2"/>
  <c r="T116" i="2" s="1"/>
  <c r="H115" i="2"/>
  <c r="H116" i="2" s="1"/>
  <c r="EO175" i="2"/>
  <c r="BU175" i="2"/>
  <c r="FS115" i="2"/>
  <c r="FS116" i="2" s="1"/>
  <c r="FG115" i="2"/>
  <c r="FG116" i="2" s="1"/>
  <c r="EU115" i="2"/>
  <c r="EU116" i="2" s="1"/>
  <c r="EI115" i="2"/>
  <c r="EI116" i="2" s="1"/>
  <c r="DW115" i="2"/>
  <c r="DW116" i="2" s="1"/>
  <c r="DK115" i="2"/>
  <c r="DK116" i="2" s="1"/>
  <c r="CY115" i="2"/>
  <c r="CY116" i="2" s="1"/>
  <c r="CM115" i="2"/>
  <c r="CM116" i="2" s="1"/>
  <c r="CA115" i="2"/>
  <c r="CA116" i="2" s="1"/>
  <c r="BO115" i="2"/>
  <c r="BO116" i="2" s="1"/>
  <c r="BC115" i="2"/>
  <c r="BC116" i="2" s="1"/>
  <c r="AQ115" i="2"/>
  <c r="AQ116" i="2" s="1"/>
  <c r="AE115" i="2"/>
  <c r="AE116" i="2" s="1"/>
  <c r="S115" i="2"/>
  <c r="S116" i="2" s="1"/>
  <c r="G115" i="2"/>
  <c r="G116" i="2" s="1"/>
  <c r="EK175" i="2"/>
  <c r="BQ175" i="2"/>
  <c r="FR115" i="2"/>
  <c r="FR116" i="2" s="1"/>
  <c r="FF115" i="2"/>
  <c r="FF116" i="2" s="1"/>
  <c r="ET115" i="2"/>
  <c r="ET116" i="2" s="1"/>
  <c r="EH115" i="2"/>
  <c r="EH116" i="2" s="1"/>
  <c r="DV115" i="2"/>
  <c r="DV116" i="2" s="1"/>
  <c r="DJ115" i="2"/>
  <c r="DJ116" i="2" s="1"/>
  <c r="CX115" i="2"/>
  <c r="CX116" i="2" s="1"/>
  <c r="CL115" i="2"/>
  <c r="CL116" i="2" s="1"/>
  <c r="BZ115" i="2"/>
  <c r="BZ116" i="2" s="1"/>
  <c r="BN115" i="2"/>
  <c r="BN116" i="2" s="1"/>
  <c r="BB115" i="2"/>
  <c r="BB116" i="2" s="1"/>
  <c r="AP115" i="2"/>
  <c r="AP116" i="2" s="1"/>
  <c r="AD115" i="2"/>
  <c r="AD116" i="2" s="1"/>
  <c r="R115" i="2"/>
  <c r="R116" i="2" s="1"/>
  <c r="F115" i="2"/>
  <c r="F116" i="2" s="1"/>
  <c r="EC175" i="2"/>
  <c r="BI175" i="2"/>
  <c r="FQ115" i="2"/>
  <c r="FQ116" i="2" s="1"/>
  <c r="FE115" i="2"/>
  <c r="FE116" i="2" s="1"/>
  <c r="ES115" i="2"/>
  <c r="ES116" i="2" s="1"/>
  <c r="EG115" i="2"/>
  <c r="EG116" i="2" s="1"/>
  <c r="DU115" i="2"/>
  <c r="DU116" i="2" s="1"/>
  <c r="DI115" i="2"/>
  <c r="DI116" i="2" s="1"/>
  <c r="CW115" i="2"/>
  <c r="CW116" i="2" s="1"/>
  <c r="CK115" i="2"/>
  <c r="CK116" i="2" s="1"/>
  <c r="BY115" i="2"/>
  <c r="BY116" i="2" s="1"/>
  <c r="BM115" i="2"/>
  <c r="BM116" i="2" s="1"/>
  <c r="BA115" i="2"/>
  <c r="BA116" i="2" s="1"/>
  <c r="AO115" i="2"/>
  <c r="AO116" i="2" s="1"/>
  <c r="AC115" i="2"/>
  <c r="AC116" i="2" s="1"/>
  <c r="Q115" i="2"/>
  <c r="Q116" i="2" s="1"/>
  <c r="E115" i="2"/>
  <c r="E116" i="2" s="1"/>
  <c r="DQ175" i="2"/>
  <c r="AW175" i="2"/>
  <c r="FO115" i="2"/>
  <c r="FO116" i="2" s="1"/>
  <c r="FC115" i="2"/>
  <c r="FC116" i="2" s="1"/>
  <c r="EQ115" i="2"/>
  <c r="EQ116" i="2" s="1"/>
  <c r="EE115" i="2"/>
  <c r="EE116" i="2" s="1"/>
  <c r="DS115" i="2"/>
  <c r="DS116" i="2" s="1"/>
  <c r="DG115" i="2"/>
  <c r="DG116" i="2" s="1"/>
  <c r="CU115" i="2"/>
  <c r="CU116" i="2" s="1"/>
  <c r="CI115" i="2"/>
  <c r="CI116" i="2" s="1"/>
  <c r="BW115" i="2"/>
  <c r="BW116" i="2" s="1"/>
  <c r="BK115" i="2"/>
  <c r="BK116" i="2" s="1"/>
  <c r="AY115" i="2"/>
  <c r="AY116" i="2" s="1"/>
  <c r="AM115" i="2"/>
  <c r="AM116" i="2" s="1"/>
  <c r="AA115" i="2"/>
  <c r="AA116" i="2" s="1"/>
  <c r="O115" i="2"/>
  <c r="O116" i="2" s="1"/>
  <c r="C115" i="2"/>
  <c r="DM175" i="2"/>
  <c r="AS175" i="2"/>
  <c r="FN115" i="2"/>
  <c r="FN116" i="2" s="1"/>
  <c r="FB115" i="2"/>
  <c r="FB116" i="2" s="1"/>
  <c r="EP115" i="2"/>
  <c r="EP116" i="2" s="1"/>
  <c r="ED115" i="2"/>
  <c r="ED116" i="2" s="1"/>
  <c r="DR115" i="2"/>
  <c r="DR116" i="2" s="1"/>
  <c r="DF115" i="2"/>
  <c r="DF116" i="2" s="1"/>
  <c r="CT115" i="2"/>
  <c r="CT116" i="2" s="1"/>
  <c r="CH115" i="2"/>
  <c r="CH116" i="2" s="1"/>
  <c r="BV115" i="2"/>
  <c r="BV116" i="2" s="1"/>
  <c r="BJ115" i="2"/>
  <c r="BJ116" i="2" s="1"/>
  <c r="AX115" i="2"/>
  <c r="AX116" i="2" s="1"/>
  <c r="AL115" i="2"/>
  <c r="AL116" i="2" s="1"/>
  <c r="Z115" i="2"/>
  <c r="Z116" i="2" s="1"/>
  <c r="N115" i="2"/>
  <c r="N116" i="2" s="1"/>
  <c r="DH115" i="2"/>
  <c r="DH116" i="2" s="1"/>
  <c r="AN115" i="2"/>
  <c r="AN116" i="2" s="1"/>
  <c r="FQ107" i="2"/>
  <c r="FE107" i="2"/>
  <c r="ES107" i="2"/>
  <c r="EG107" i="2"/>
  <c r="DU107" i="2"/>
  <c r="DI107" i="2"/>
  <c r="CW107" i="2"/>
  <c r="CK107" i="2"/>
  <c r="BY107" i="2"/>
  <c r="BM107" i="2"/>
  <c r="BA107" i="2"/>
  <c r="AO107" i="2"/>
  <c r="AC107" i="2"/>
  <c r="Q107" i="2"/>
  <c r="E107" i="2"/>
  <c r="AR107" i="2"/>
  <c r="FU115" i="2"/>
  <c r="FU116" i="2" s="1"/>
  <c r="DA115" i="2"/>
  <c r="DA116" i="2" s="1"/>
  <c r="AG115" i="2"/>
  <c r="AG116" i="2" s="1"/>
  <c r="FP107" i="2"/>
  <c r="FD107" i="2"/>
  <c r="ER107" i="2"/>
  <c r="EF107" i="2"/>
  <c r="DT107" i="2"/>
  <c r="DH107" i="2"/>
  <c r="CV107" i="2"/>
  <c r="CJ107" i="2"/>
  <c r="BX107" i="2"/>
  <c r="BL107" i="2"/>
  <c r="AZ107" i="2"/>
  <c r="AN107" i="2"/>
  <c r="AB107" i="2"/>
  <c r="P107" i="2"/>
  <c r="D107" i="2"/>
  <c r="FP115" i="2"/>
  <c r="FP116" i="2" s="1"/>
  <c r="CV115" i="2"/>
  <c r="CV116" i="2" s="1"/>
  <c r="AB115" i="2"/>
  <c r="AB116" i="2" s="1"/>
  <c r="FO107" i="2"/>
  <c r="FC107" i="2"/>
  <c r="EQ107" i="2"/>
  <c r="EE107" i="2"/>
  <c r="DS107" i="2"/>
  <c r="DG107" i="2"/>
  <c r="CU107" i="2"/>
  <c r="CI107" i="2"/>
  <c r="BW107" i="2"/>
  <c r="BK107" i="2"/>
  <c r="AY107" i="2"/>
  <c r="AM107" i="2"/>
  <c r="AA107" i="2"/>
  <c r="O107" i="2"/>
  <c r="C107" i="2"/>
  <c r="FI115" i="2"/>
  <c r="FI116" i="2" s="1"/>
  <c r="CO115" i="2"/>
  <c r="CO116" i="2" s="1"/>
  <c r="U115" i="2"/>
  <c r="U116" i="2" s="1"/>
  <c r="FN107" i="2"/>
  <c r="FB107" i="2"/>
  <c r="EP107" i="2"/>
  <c r="ED107" i="2"/>
  <c r="DR107" i="2"/>
  <c r="DF107" i="2"/>
  <c r="CT107" i="2"/>
  <c r="CH107" i="2"/>
  <c r="BV107" i="2"/>
  <c r="BJ107" i="2"/>
  <c r="AX107" i="2"/>
  <c r="AL107" i="2"/>
  <c r="Z107" i="2"/>
  <c r="N107" i="2"/>
  <c r="FD115" i="2"/>
  <c r="FD116" i="2" s="1"/>
  <c r="CJ115" i="2"/>
  <c r="CJ116" i="2" s="1"/>
  <c r="P115" i="2"/>
  <c r="P116" i="2" s="1"/>
  <c r="FM107" i="2"/>
  <c r="FA107" i="2"/>
  <c r="EO107" i="2"/>
  <c r="EC107" i="2"/>
  <c r="DQ107" i="2"/>
  <c r="DE107" i="2"/>
  <c r="CS107" i="2"/>
  <c r="CG107" i="2"/>
  <c r="BU107" i="2"/>
  <c r="BI107" i="2"/>
  <c r="AW107" i="2"/>
  <c r="AK107" i="2"/>
  <c r="Y107" i="2"/>
  <c r="M107" i="2"/>
  <c r="G2" i="1" a="1"/>
  <c r="G2" i="1" s="1"/>
  <c r="EW115" i="2"/>
  <c r="EW116" i="2" s="1"/>
  <c r="CC115" i="2"/>
  <c r="CC116" i="2" s="1"/>
  <c r="I115" i="2"/>
  <c r="I116" i="2" s="1"/>
  <c r="FX107" i="2"/>
  <c r="FL107" i="2"/>
  <c r="EZ107" i="2"/>
  <c r="EN107" i="2"/>
  <c r="EB107" i="2"/>
  <c r="DP107" i="2"/>
  <c r="DD107" i="2"/>
  <c r="CR107" i="2"/>
  <c r="CF107" i="2"/>
  <c r="BT107" i="2"/>
  <c r="BH107" i="2"/>
  <c r="AV107" i="2"/>
  <c r="AJ107" i="2"/>
  <c r="X107" i="2"/>
  <c r="L107" i="2"/>
  <c r="DY175" i="2"/>
  <c r="ER115" i="2"/>
  <c r="ER116" i="2" s="1"/>
  <c r="BX115" i="2"/>
  <c r="BX116" i="2" s="1"/>
  <c r="D115" i="2"/>
  <c r="D116" i="2" s="1"/>
  <c r="FW107" i="2"/>
  <c r="FK107" i="2"/>
  <c r="EY107" i="2"/>
  <c r="EM107" i="2"/>
  <c r="EA107" i="2"/>
  <c r="DO107" i="2"/>
  <c r="DC107" i="2"/>
  <c r="CQ107" i="2"/>
  <c r="CE107" i="2"/>
  <c r="BS107" i="2"/>
  <c r="BG107" i="2"/>
  <c r="AU107" i="2"/>
  <c r="AI107" i="2"/>
  <c r="W107" i="2"/>
  <c r="K107" i="2"/>
  <c r="AF107" i="2"/>
  <c r="BE175" i="2"/>
  <c r="EK115" i="2"/>
  <c r="EK116" i="2" s="1"/>
  <c r="BQ115" i="2"/>
  <c r="BQ116" i="2" s="1"/>
  <c r="FV107" i="2"/>
  <c r="FJ107" i="2"/>
  <c r="EX107" i="2"/>
  <c r="EL107" i="2"/>
  <c r="DZ107" i="2"/>
  <c r="DN107" i="2"/>
  <c r="DB107" i="2"/>
  <c r="CP107" i="2"/>
  <c r="CD107" i="2"/>
  <c r="BR107" i="2"/>
  <c r="BF107" i="2"/>
  <c r="AT107" i="2"/>
  <c r="AH107" i="2"/>
  <c r="V107" i="2"/>
  <c r="J107" i="2"/>
  <c r="EF115" i="2"/>
  <c r="EF116" i="2" s="1"/>
  <c r="BL115" i="2"/>
  <c r="BL116" i="2" s="1"/>
  <c r="FU107" i="2"/>
  <c r="FI107" i="2"/>
  <c r="EW107" i="2"/>
  <c r="EK107" i="2"/>
  <c r="DY107" i="2"/>
  <c r="DM107" i="2"/>
  <c r="DA107" i="2"/>
  <c r="CO107" i="2"/>
  <c r="CC107" i="2"/>
  <c r="BQ107" i="2"/>
  <c r="BE107" i="2"/>
  <c r="AS107" i="2"/>
  <c r="AG107" i="2"/>
  <c r="U107" i="2"/>
  <c r="I107" i="2"/>
  <c r="DY115" i="2"/>
  <c r="DY116" i="2" s="1"/>
  <c r="BE115" i="2"/>
  <c r="BE116" i="2" s="1"/>
  <c r="FT107" i="2"/>
  <c r="FH107" i="2"/>
  <c r="EV107" i="2"/>
  <c r="EJ107" i="2"/>
  <c r="DX107" i="2"/>
  <c r="DL107" i="2"/>
  <c r="CZ107" i="2"/>
  <c r="CN107" i="2"/>
  <c r="CB107" i="2"/>
  <c r="BP107" i="2"/>
  <c r="BD107" i="2"/>
  <c r="T107" i="2"/>
  <c r="H107" i="2"/>
  <c r="DT115" i="2"/>
  <c r="DT116" i="2" s="1"/>
  <c r="AZ115" i="2"/>
  <c r="AZ116" i="2" s="1"/>
  <c r="FS107" i="2"/>
  <c r="FG107" i="2"/>
  <c r="EU107" i="2"/>
  <c r="EI107" i="2"/>
  <c r="DW107" i="2"/>
  <c r="DK107" i="2"/>
  <c r="CY107" i="2"/>
  <c r="CM107" i="2"/>
  <c r="CA107" i="2"/>
  <c r="BO107" i="2"/>
  <c r="BC107" i="2"/>
  <c r="AQ107" i="2"/>
  <c r="AE107" i="2"/>
  <c r="S107" i="2"/>
  <c r="G107" i="2"/>
  <c r="DM115" i="2"/>
  <c r="DM116" i="2" s="1"/>
  <c r="AS115" i="2"/>
  <c r="AS116" i="2" s="1"/>
  <c r="FR107" i="2"/>
  <c r="FF107" i="2"/>
  <c r="ET107" i="2"/>
  <c r="EH107" i="2"/>
  <c r="DV107" i="2"/>
  <c r="DJ107" i="2"/>
  <c r="CX107" i="2"/>
  <c r="CL107" i="2"/>
  <c r="BZ107" i="2"/>
  <c r="BN107" i="2"/>
  <c r="BB107" i="2"/>
  <c r="AP107" i="2"/>
  <c r="AD107" i="2"/>
  <c r="R107" i="2"/>
  <c r="F107" i="2"/>
  <c r="FA337" i="3"/>
  <c r="FA207" i="3"/>
  <c r="FA191" i="3"/>
  <c r="FA184" i="3"/>
  <c r="FA150" i="3"/>
  <c r="FA112" i="3"/>
  <c r="FA115" i="3"/>
  <c r="FA122" i="3" s="1"/>
  <c r="FA124" i="3" s="1"/>
  <c r="FA167" i="3" s="1"/>
  <c r="FA168" i="3" s="1"/>
  <c r="FA169" i="3" s="1"/>
  <c r="FA225" i="3" s="1"/>
  <c r="FA104" i="3"/>
  <c r="FA109" i="3"/>
  <c r="FA111" i="3" s="1"/>
  <c r="FA113" i="3" s="1"/>
  <c r="FA123" i="3" s="1"/>
  <c r="DB207" i="5"/>
  <c r="DB184" i="5"/>
  <c r="DB191" i="5"/>
  <c r="DB152" i="5"/>
  <c r="DB112" i="5"/>
  <c r="DB115" i="5"/>
  <c r="DB122" i="5" s="1"/>
  <c r="DB104" i="5"/>
  <c r="DB109" i="5"/>
  <c r="DB111" i="5" s="1"/>
  <c r="CH136" i="2"/>
  <c r="CH80" i="2"/>
  <c r="EA97" i="2"/>
  <c r="EZ136" i="2"/>
  <c r="EZ80" i="2"/>
  <c r="BP137" i="2"/>
  <c r="BP138" i="2" s="1"/>
  <c r="W136" i="2"/>
  <c r="W80" i="2"/>
  <c r="BR214" i="3"/>
  <c r="BR127" i="3"/>
  <c r="BR103" i="3"/>
  <c r="C168" i="4"/>
  <c r="C179" i="4"/>
  <c r="C182" i="4" s="1"/>
  <c r="C170" i="4"/>
  <c r="CM191" i="5"/>
  <c r="CM207" i="5"/>
  <c r="CM184" i="5"/>
  <c r="CM150" i="5"/>
  <c r="CM112" i="5"/>
  <c r="CM115" i="5"/>
  <c r="CM122" i="5" s="1"/>
  <c r="CM104" i="5"/>
  <c r="CM109" i="5"/>
  <c r="CM111" i="5" s="1"/>
  <c r="DA97" i="2"/>
  <c r="U337" i="3"/>
  <c r="U207" i="3"/>
  <c r="U191" i="3"/>
  <c r="U152" i="3"/>
  <c r="U184" i="3"/>
  <c r="U112" i="3"/>
  <c r="U115" i="3"/>
  <c r="U122" i="3" s="1"/>
  <c r="U104" i="3"/>
  <c r="U109" i="3"/>
  <c r="U111" i="3" s="1"/>
  <c r="U113" i="3" s="1"/>
  <c r="U123" i="3" s="1"/>
  <c r="U142" i="3"/>
  <c r="U144" i="3"/>
  <c r="EJ219" i="5"/>
  <c r="EJ228" i="5" s="1"/>
  <c r="CT207" i="5"/>
  <c r="CT191" i="5"/>
  <c r="CT184" i="5"/>
  <c r="CT152" i="5"/>
  <c r="CT112" i="5"/>
  <c r="CT104" i="5"/>
  <c r="CT115" i="5"/>
  <c r="CT122" i="5" s="1"/>
  <c r="CT124" i="5" s="1"/>
  <c r="CT167" i="5" s="1"/>
  <c r="CT168" i="5" s="1"/>
  <c r="CT169" i="5" s="1"/>
  <c r="CT225" i="5" s="1"/>
  <c r="CT109" i="5"/>
  <c r="CT111" i="5" s="1"/>
  <c r="CT113" i="5" s="1"/>
  <c r="CT123" i="5" s="1"/>
  <c r="DA133" i="2"/>
  <c r="DH127" i="2"/>
  <c r="W207" i="5"/>
  <c r="W191" i="5"/>
  <c r="W184" i="5"/>
  <c r="W152" i="5"/>
  <c r="W115" i="5"/>
  <c r="W122" i="5" s="1"/>
  <c r="W104" i="5"/>
  <c r="W112" i="5"/>
  <c r="W109" i="5"/>
  <c r="W111" i="5" s="1"/>
  <c r="W113" i="5" s="1"/>
  <c r="W123" i="5" s="1"/>
  <c r="AS207" i="5"/>
  <c r="AS191" i="5"/>
  <c r="AS184" i="5"/>
  <c r="AS150" i="5"/>
  <c r="AS115" i="5"/>
  <c r="AS122" i="5" s="1"/>
  <c r="AS112" i="5"/>
  <c r="AS104" i="5"/>
  <c r="AS109" i="5"/>
  <c r="AS111" i="5" s="1"/>
  <c r="AE337" i="3"/>
  <c r="AE207" i="3"/>
  <c r="AE184" i="3"/>
  <c r="AE191" i="3"/>
  <c r="AE152" i="3"/>
  <c r="AE115" i="3"/>
  <c r="AE122" i="3" s="1"/>
  <c r="AE112" i="3"/>
  <c r="AE104" i="3"/>
  <c r="AE144" i="3"/>
  <c r="AE109" i="3"/>
  <c r="AE111" i="3" s="1"/>
  <c r="AE142" i="3"/>
  <c r="AE146" i="3" s="1"/>
  <c r="AE148" i="3" s="1"/>
  <c r="DF136" i="2"/>
  <c r="DF80" i="2"/>
  <c r="DJ136" i="2"/>
  <c r="DJ80" i="2"/>
  <c r="DF207" i="3"/>
  <c r="DF191" i="3"/>
  <c r="DF184" i="3"/>
  <c r="DF150" i="3"/>
  <c r="DF154" i="3" s="1"/>
  <c r="DF152" i="3"/>
  <c r="DF115" i="3"/>
  <c r="DF122" i="3" s="1"/>
  <c r="DF124" i="3" s="1"/>
  <c r="DF167" i="3" s="1"/>
  <c r="DF168" i="3" s="1"/>
  <c r="DF169" i="3" s="1"/>
  <c r="DF225" i="3" s="1"/>
  <c r="DF104" i="3"/>
  <c r="DF112" i="3"/>
  <c r="DF142" i="3"/>
  <c r="DF146" i="3" s="1"/>
  <c r="DF148" i="3" s="1"/>
  <c r="DF109" i="3"/>
  <c r="DF111" i="3" s="1"/>
  <c r="DF113" i="3" s="1"/>
  <c r="DF123" i="3" s="1"/>
  <c r="DF144" i="3"/>
  <c r="AY133" i="2"/>
  <c r="ER127" i="2"/>
  <c r="BA191" i="5"/>
  <c r="BA184" i="5"/>
  <c r="BA207" i="5"/>
  <c r="BA150" i="5"/>
  <c r="BA115" i="5"/>
  <c r="BA122" i="5" s="1"/>
  <c r="BA104" i="5"/>
  <c r="BA112" i="5"/>
  <c r="BA109" i="5"/>
  <c r="BA111" i="5" s="1"/>
  <c r="BA113" i="5" s="1"/>
  <c r="BA123" i="5" s="1"/>
  <c r="ED133" i="2"/>
  <c r="BW127" i="2"/>
  <c r="AW219" i="5"/>
  <c r="AW228" i="5" s="1"/>
  <c r="AC127" i="2"/>
  <c r="EC337" i="3"/>
  <c r="EC207" i="3"/>
  <c r="EC191" i="3"/>
  <c r="EC184" i="3"/>
  <c r="EC152" i="3"/>
  <c r="EC154" i="3"/>
  <c r="EC156" i="3"/>
  <c r="EC158" i="3"/>
  <c r="EC112" i="3"/>
  <c r="EC115" i="3"/>
  <c r="EC122" i="3" s="1"/>
  <c r="EC104" i="3"/>
  <c r="EC109" i="3"/>
  <c r="EC111" i="3" s="1"/>
  <c r="EP136" i="2"/>
  <c r="EP80" i="2"/>
  <c r="AO133" i="2"/>
  <c r="BM337" i="3"/>
  <c r="BM184" i="3"/>
  <c r="BM207" i="3"/>
  <c r="BM191" i="3"/>
  <c r="BM152" i="3"/>
  <c r="BM112" i="3"/>
  <c r="BM104" i="3"/>
  <c r="BM115" i="3"/>
  <c r="BM122" i="3" s="1"/>
  <c r="BM124" i="3" s="1"/>
  <c r="BM167" i="3" s="1"/>
  <c r="BM168" i="3" s="1"/>
  <c r="BM169" i="3" s="1"/>
  <c r="BM225" i="3" s="1"/>
  <c r="BM144" i="3"/>
  <c r="BM142" i="3"/>
  <c r="BM146" i="3" s="1"/>
  <c r="BM148" i="3" s="1"/>
  <c r="BM109" i="3"/>
  <c r="BM111" i="3" s="1"/>
  <c r="BM113" i="3" s="1"/>
  <c r="BM123" i="3" s="1"/>
  <c r="FB133" i="2"/>
  <c r="AN127" i="2"/>
  <c r="BB136" i="2"/>
  <c r="BB80" i="2"/>
  <c r="Z133" i="2"/>
  <c r="DS127" i="2"/>
  <c r="EI133" i="2"/>
  <c r="CS219" i="5"/>
  <c r="CS228" i="5" s="1"/>
  <c r="EQ133" i="2"/>
  <c r="AP136" i="2"/>
  <c r="AP80" i="2"/>
  <c r="EU127" i="2"/>
  <c r="AQ207" i="5"/>
  <c r="AQ191" i="5"/>
  <c r="AQ184" i="5"/>
  <c r="AQ152" i="5"/>
  <c r="AQ112" i="5"/>
  <c r="AQ115" i="5"/>
  <c r="AQ122" i="5" s="1"/>
  <c r="AQ104" i="5"/>
  <c r="AQ109" i="5"/>
  <c r="AQ111" i="5" s="1"/>
  <c r="FS133" i="2"/>
  <c r="BV133" i="2"/>
  <c r="AV337" i="3"/>
  <c r="AV207" i="3"/>
  <c r="AV184" i="3"/>
  <c r="AV152" i="3"/>
  <c r="AV191" i="3"/>
  <c r="AV112" i="3"/>
  <c r="AV115" i="3"/>
  <c r="AV122" i="3" s="1"/>
  <c r="AV104" i="3"/>
  <c r="AV142" i="3"/>
  <c r="AV146" i="3" s="1"/>
  <c r="AV148" i="3" s="1"/>
  <c r="AV144" i="3"/>
  <c r="AV109" i="3"/>
  <c r="AV111" i="3" s="1"/>
  <c r="DO191" i="3"/>
  <c r="DO207" i="3"/>
  <c r="DO184" i="3"/>
  <c r="DO150" i="3"/>
  <c r="DO162" i="3" s="1"/>
  <c r="DO152" i="3"/>
  <c r="DO112" i="3"/>
  <c r="DO104" i="3"/>
  <c r="DO115" i="3"/>
  <c r="DO122" i="3" s="1"/>
  <c r="DO142" i="3"/>
  <c r="DO146" i="3" s="1"/>
  <c r="DO148" i="3" s="1"/>
  <c r="DO109" i="3"/>
  <c r="DO111" i="3" s="1"/>
  <c r="DO113" i="3" s="1"/>
  <c r="DO123" i="3" s="1"/>
  <c r="DO144" i="3"/>
  <c r="BG133" i="2"/>
  <c r="AE215" i="5"/>
  <c r="AE173" i="5"/>
  <c r="DE215" i="5"/>
  <c r="DE219" i="5" s="1"/>
  <c r="DE228" i="5" s="1"/>
  <c r="DE173" i="5"/>
  <c r="BU337" i="3"/>
  <c r="BU207" i="3"/>
  <c r="BU191" i="3"/>
  <c r="BU184" i="3"/>
  <c r="BU152" i="3"/>
  <c r="BU154" i="3"/>
  <c r="BU156" i="3"/>
  <c r="BU158" i="3"/>
  <c r="BU112" i="3"/>
  <c r="BU115" i="3"/>
  <c r="BU122" i="3" s="1"/>
  <c r="BU124" i="3" s="1"/>
  <c r="BU167" i="3" s="1"/>
  <c r="BU168" i="3" s="1"/>
  <c r="BU169" i="3" s="1"/>
  <c r="BU225" i="3" s="1"/>
  <c r="BU104" i="3"/>
  <c r="BU109" i="3"/>
  <c r="BU111" i="3" s="1"/>
  <c r="BU113" i="3" s="1"/>
  <c r="BU123" i="3" s="1"/>
  <c r="BE127" i="2"/>
  <c r="DQ136" i="2"/>
  <c r="DQ80" i="2"/>
  <c r="FU133" i="2"/>
  <c r="CZ219" i="5"/>
  <c r="CZ228" i="5" s="1"/>
  <c r="H337" i="3"/>
  <c r="H207" i="3"/>
  <c r="H184" i="3"/>
  <c r="H191" i="3"/>
  <c r="H150" i="3"/>
  <c r="H115" i="3"/>
  <c r="H122" i="3" s="1"/>
  <c r="H112" i="3"/>
  <c r="H104" i="3"/>
  <c r="H109" i="3"/>
  <c r="H111" i="3" s="1"/>
  <c r="H113" i="3" s="1"/>
  <c r="H123" i="3" s="1"/>
  <c r="FB207" i="5"/>
  <c r="FB191" i="5"/>
  <c r="FB184" i="5"/>
  <c r="FB152" i="5"/>
  <c r="FB112" i="5"/>
  <c r="FB104" i="5"/>
  <c r="FB115" i="5"/>
  <c r="FB122" i="5" s="1"/>
  <c r="FB124" i="5" s="1"/>
  <c r="FB167" i="5" s="1"/>
  <c r="FB168" i="5" s="1"/>
  <c r="FB169" i="5" s="1"/>
  <c r="FB225" i="5" s="1"/>
  <c r="FB109" i="5"/>
  <c r="FB111" i="5" s="1"/>
  <c r="FB113" i="5" s="1"/>
  <c r="FB123" i="5" s="1"/>
  <c r="FL97" i="2"/>
  <c r="EG207" i="5"/>
  <c r="EG191" i="5"/>
  <c r="EG184" i="5"/>
  <c r="EG152" i="5"/>
  <c r="EG115" i="5"/>
  <c r="EG122" i="5" s="1"/>
  <c r="EG104" i="5"/>
  <c r="EG112" i="5"/>
  <c r="EG109" i="5"/>
  <c r="EG111" i="5" s="1"/>
  <c r="EZ214" i="5"/>
  <c r="EZ219" i="5" s="1"/>
  <c r="EZ228" i="5" s="1"/>
  <c r="EZ127" i="5"/>
  <c r="EZ103" i="5"/>
  <c r="CL215" i="5"/>
  <c r="CL219" i="5" s="1"/>
  <c r="CL228" i="5" s="1"/>
  <c r="CL173" i="5"/>
  <c r="FH215" i="5"/>
  <c r="FH219" i="5" s="1"/>
  <c r="FH228" i="5" s="1"/>
  <c r="FH173" i="5"/>
  <c r="BG215" i="5"/>
  <c r="BG219" i="5" s="1"/>
  <c r="BG228" i="5" s="1"/>
  <c r="BG173" i="5"/>
  <c r="FL215" i="5"/>
  <c r="FL219" i="5" s="1"/>
  <c r="FL228" i="5" s="1"/>
  <c r="FL173" i="5"/>
  <c r="F207" i="3"/>
  <c r="F191" i="3"/>
  <c r="F184" i="3"/>
  <c r="F152" i="3"/>
  <c r="F150" i="3"/>
  <c r="F162" i="3" s="1"/>
  <c r="F112" i="3"/>
  <c r="F115" i="3"/>
  <c r="F122" i="3" s="1"/>
  <c r="F104" i="3"/>
  <c r="F109" i="3"/>
  <c r="F111" i="3" s="1"/>
  <c r="F144" i="3"/>
  <c r="F142" i="3"/>
  <c r="BZ337" i="3"/>
  <c r="BZ207" i="3"/>
  <c r="BZ191" i="3"/>
  <c r="BZ152" i="3"/>
  <c r="BZ184" i="3"/>
  <c r="BZ112" i="3"/>
  <c r="BZ115" i="3"/>
  <c r="BZ122" i="3" s="1"/>
  <c r="BZ104" i="3"/>
  <c r="BZ144" i="3"/>
  <c r="BZ109" i="3"/>
  <c r="BZ111" i="3" s="1"/>
  <c r="BZ113" i="3" s="1"/>
  <c r="BZ123" i="3" s="1"/>
  <c r="BZ142" i="3"/>
  <c r="CC127" i="2"/>
  <c r="ED337" i="3"/>
  <c r="ED207" i="3"/>
  <c r="ED191" i="3"/>
  <c r="ED184" i="3"/>
  <c r="ED150" i="3"/>
  <c r="ED115" i="3"/>
  <c r="ED122" i="3" s="1"/>
  <c r="ED112" i="3"/>
  <c r="ED104" i="3"/>
  <c r="ED109" i="3"/>
  <c r="ED111" i="3" s="1"/>
  <c r="ER207" i="5"/>
  <c r="ER184" i="5"/>
  <c r="ER191" i="5"/>
  <c r="ER152" i="5"/>
  <c r="ER104" i="5"/>
  <c r="ER112" i="5"/>
  <c r="ER115" i="5"/>
  <c r="ER122" i="5" s="1"/>
  <c r="ER109" i="5"/>
  <c r="ER111" i="5" s="1"/>
  <c r="DP219" i="5"/>
  <c r="DP228" i="5" s="1"/>
  <c r="CG337" i="3"/>
  <c r="CG207" i="3"/>
  <c r="CG191" i="3"/>
  <c r="CG184" i="3"/>
  <c r="CG152" i="3"/>
  <c r="CG154" i="3"/>
  <c r="CG156" i="3"/>
  <c r="CG158" i="3"/>
  <c r="CG112" i="3"/>
  <c r="CG115" i="3"/>
  <c r="CG122" i="3" s="1"/>
  <c r="CG104" i="3"/>
  <c r="CG109" i="3"/>
  <c r="CG111" i="3" s="1"/>
  <c r="CG113" i="3" s="1"/>
  <c r="CG123" i="3" s="1"/>
  <c r="M97" i="2"/>
  <c r="AS97" i="2"/>
  <c r="CH337" i="3"/>
  <c r="CH207" i="3"/>
  <c r="CH191" i="3"/>
  <c r="CH184" i="3"/>
  <c r="CH152" i="3"/>
  <c r="CH115" i="3"/>
  <c r="CH122" i="3" s="1"/>
  <c r="CH104" i="3"/>
  <c r="CH112" i="3"/>
  <c r="CH109" i="3"/>
  <c r="CH111" i="3" s="1"/>
  <c r="CH113" i="3" s="1"/>
  <c r="CH123" i="3" s="1"/>
  <c r="CH144" i="3"/>
  <c r="CH142" i="3"/>
  <c r="FF219" i="5"/>
  <c r="FF228" i="5" s="1"/>
  <c r="DH207" i="5"/>
  <c r="DH191" i="5"/>
  <c r="DH150" i="5"/>
  <c r="DH184" i="5"/>
  <c r="DH104" i="5"/>
  <c r="DH112" i="5"/>
  <c r="DH115" i="5"/>
  <c r="DH122" i="5" s="1"/>
  <c r="DH124" i="5" s="1"/>
  <c r="DH167" i="5" s="1"/>
  <c r="DH168" i="5" s="1"/>
  <c r="DH169" i="5" s="1"/>
  <c r="DH225" i="5" s="1"/>
  <c r="DH109" i="5"/>
  <c r="DH111" i="5" s="1"/>
  <c r="DH113" i="5" s="1"/>
  <c r="DH123" i="5" s="1"/>
  <c r="DB127" i="2"/>
  <c r="FU136" i="2"/>
  <c r="FU80" i="2"/>
  <c r="DC133" i="2"/>
  <c r="FN207" i="3"/>
  <c r="FN191" i="3"/>
  <c r="FN184" i="3"/>
  <c r="FN150" i="3"/>
  <c r="FN152" i="3"/>
  <c r="FN154" i="3"/>
  <c r="FN115" i="3"/>
  <c r="FN122" i="3" s="1"/>
  <c r="FN104" i="3"/>
  <c r="FN112" i="3"/>
  <c r="FN142" i="3"/>
  <c r="FN144" i="3"/>
  <c r="FN109" i="3"/>
  <c r="FN111" i="3" s="1"/>
  <c r="ER219" i="5"/>
  <c r="ER228" i="5" s="1"/>
  <c r="EK207" i="5"/>
  <c r="EK191" i="5"/>
  <c r="EK184" i="5"/>
  <c r="EK150" i="5"/>
  <c r="EK115" i="5"/>
  <c r="EK122" i="5" s="1"/>
  <c r="EK112" i="5"/>
  <c r="EK104" i="5"/>
  <c r="EK109" i="5"/>
  <c r="EK111" i="5" s="1"/>
  <c r="EE219" i="5"/>
  <c r="EE228" i="5" s="1"/>
  <c r="X97" i="2"/>
  <c r="AO184" i="3"/>
  <c r="AO207" i="3"/>
  <c r="AO191" i="3"/>
  <c r="AO152" i="3"/>
  <c r="AO150" i="3"/>
  <c r="AO162" i="3" s="1"/>
  <c r="AO112" i="3"/>
  <c r="AO104" i="3"/>
  <c r="AO115" i="3"/>
  <c r="AO122" i="3" s="1"/>
  <c r="AO124" i="3" s="1"/>
  <c r="AO167" i="3" s="1"/>
  <c r="AO168" i="3" s="1"/>
  <c r="AO169" i="3" s="1"/>
  <c r="AO225" i="3" s="1"/>
  <c r="AO109" i="3"/>
  <c r="AO111" i="3" s="1"/>
  <c r="AO113" i="3" s="1"/>
  <c r="AO123" i="3" s="1"/>
  <c r="AO144" i="3"/>
  <c r="AO142" i="3"/>
  <c r="BU219" i="5"/>
  <c r="BU228" i="5" s="1"/>
  <c r="N184" i="5"/>
  <c r="N207" i="5"/>
  <c r="N191" i="5"/>
  <c r="N150" i="5"/>
  <c r="N104" i="5"/>
  <c r="N115" i="5"/>
  <c r="N122" i="5" s="1"/>
  <c r="N112" i="5"/>
  <c r="N109" i="5"/>
  <c r="N111" i="5" s="1"/>
  <c r="D97" i="2"/>
  <c r="EU184" i="3"/>
  <c r="EU191" i="3"/>
  <c r="EU207" i="3"/>
  <c r="EU150" i="3"/>
  <c r="EU162" i="3" s="1"/>
  <c r="EU152" i="3"/>
  <c r="EU104" i="3"/>
  <c r="EU115" i="3"/>
  <c r="EU122" i="3" s="1"/>
  <c r="EU112" i="3"/>
  <c r="EU144" i="3"/>
  <c r="EU142" i="3"/>
  <c r="EU146" i="3" s="1"/>
  <c r="EU148" i="3" s="1"/>
  <c r="EU109" i="3"/>
  <c r="EU111" i="3" s="1"/>
  <c r="EU113" i="3" s="1"/>
  <c r="EU123" i="3" s="1"/>
  <c r="D124" i="4"/>
  <c r="D130" i="4"/>
  <c r="D79" i="4"/>
  <c r="D85" i="4"/>
  <c r="EH207" i="5"/>
  <c r="EH191" i="5"/>
  <c r="EH184" i="5"/>
  <c r="EH152" i="5"/>
  <c r="EH112" i="5"/>
  <c r="EH104" i="5"/>
  <c r="EH115" i="5"/>
  <c r="EH122" i="5" s="1"/>
  <c r="EH109" i="5"/>
  <c r="EH111" i="5" s="1"/>
  <c r="EH113" i="5" s="1"/>
  <c r="EH123" i="5" s="1"/>
  <c r="AR137" i="2"/>
  <c r="AR138" i="2"/>
  <c r="DW97" i="2"/>
  <c r="J127" i="2"/>
  <c r="O215" i="5"/>
  <c r="O173" i="5"/>
  <c r="FC215" i="5"/>
  <c r="FC219" i="5" s="1"/>
  <c r="FC228" i="5" s="1"/>
  <c r="FC173" i="5"/>
  <c r="DT215" i="5"/>
  <c r="DT219" i="5" s="1"/>
  <c r="DT228" i="5" s="1"/>
  <c r="DT173" i="5"/>
  <c r="CK215" i="5"/>
  <c r="CK219" i="5" s="1"/>
  <c r="CK228" i="5" s="1"/>
  <c r="CK173" i="5"/>
  <c r="BB215" i="5"/>
  <c r="BB173" i="5"/>
  <c r="S215" i="5"/>
  <c r="S173" i="5"/>
  <c r="FG215" i="5"/>
  <c r="FG219" i="5" s="1"/>
  <c r="FG228" i="5" s="1"/>
  <c r="FG173" i="5"/>
  <c r="DX215" i="5"/>
  <c r="DX219" i="5" s="1"/>
  <c r="DX228" i="5" s="1"/>
  <c r="DX173" i="5"/>
  <c r="CO215" i="5"/>
  <c r="CO219" i="5" s="1"/>
  <c r="CO228" i="5" s="1"/>
  <c r="CO173" i="5"/>
  <c r="BF215" i="5"/>
  <c r="BF219" i="5" s="1"/>
  <c r="BF228" i="5" s="1"/>
  <c r="BF173" i="5"/>
  <c r="W215" i="5"/>
  <c r="W219" i="5" s="1"/>
  <c r="W228" i="5" s="1"/>
  <c r="W173" i="5"/>
  <c r="FK215" i="5"/>
  <c r="FK219" i="5" s="1"/>
  <c r="FK228" i="5" s="1"/>
  <c r="FK173" i="5"/>
  <c r="EB215" i="5"/>
  <c r="EB173" i="5"/>
  <c r="CS215" i="5"/>
  <c r="CS173" i="5"/>
  <c r="BJ215" i="5"/>
  <c r="BJ219" i="5" s="1"/>
  <c r="BJ228" i="5" s="1"/>
  <c r="BJ173" i="5"/>
  <c r="AL184" i="5"/>
  <c r="AL191" i="5"/>
  <c r="AL207" i="5"/>
  <c r="AL152" i="5"/>
  <c r="AL104" i="5"/>
  <c r="AL115" i="5"/>
  <c r="AL122" i="5" s="1"/>
  <c r="AL112" i="5"/>
  <c r="AL109" i="5"/>
  <c r="AL111" i="5" s="1"/>
  <c r="BQ127" i="2"/>
  <c r="FJ127" i="2"/>
  <c r="CK337" i="3"/>
  <c r="CK184" i="3"/>
  <c r="CK207" i="3"/>
  <c r="CK191" i="3"/>
  <c r="CK150" i="3"/>
  <c r="CK112" i="3"/>
  <c r="CK104" i="3"/>
  <c r="CK115" i="3"/>
  <c r="CK122" i="3" s="1"/>
  <c r="CK124" i="3" s="1"/>
  <c r="CK167" i="3" s="1"/>
  <c r="CK168" i="3" s="1"/>
  <c r="CK169" i="3" s="1"/>
  <c r="CK225" i="3" s="1"/>
  <c r="CK109" i="3"/>
  <c r="CK111" i="3" s="1"/>
  <c r="CK113" i="3" s="1"/>
  <c r="CK123" i="3" s="1"/>
  <c r="AI337" i="3"/>
  <c r="AI191" i="3"/>
  <c r="AI184" i="3"/>
  <c r="AI207" i="3"/>
  <c r="AI152" i="3"/>
  <c r="AI112" i="3"/>
  <c r="AI115" i="3"/>
  <c r="AI122" i="3" s="1"/>
  <c r="AI124" i="3" s="1"/>
  <c r="AI167" i="3" s="1"/>
  <c r="AI168" i="3" s="1"/>
  <c r="AI169" i="3" s="1"/>
  <c r="AI225" i="3" s="1"/>
  <c r="AI104" i="3"/>
  <c r="AI109" i="3"/>
  <c r="AI111" i="3" s="1"/>
  <c r="AI113" i="3" s="1"/>
  <c r="AI123" i="3" s="1"/>
  <c r="AI142" i="3"/>
  <c r="AI146" i="3" s="1"/>
  <c r="AI148" i="3" s="1"/>
  <c r="AI144" i="3"/>
  <c r="BN207" i="5"/>
  <c r="BN191" i="5"/>
  <c r="BN184" i="5"/>
  <c r="BN150" i="5"/>
  <c r="BN115" i="5"/>
  <c r="BN122" i="5" s="1"/>
  <c r="BN104" i="5"/>
  <c r="BN112" i="5"/>
  <c r="BN109" i="5"/>
  <c r="BN111" i="5" s="1"/>
  <c r="BN113" i="5" s="1"/>
  <c r="BN123" i="5" s="1"/>
  <c r="FS191" i="5"/>
  <c r="FS207" i="5"/>
  <c r="FS184" i="5"/>
  <c r="FS152" i="5"/>
  <c r="FS112" i="5"/>
  <c r="FS115" i="5"/>
  <c r="FS122" i="5" s="1"/>
  <c r="FS104" i="5"/>
  <c r="FS109" i="5"/>
  <c r="FS111" i="5" s="1"/>
  <c r="FS113" i="5" s="1"/>
  <c r="FS123" i="5" s="1"/>
  <c r="FV133" i="2"/>
  <c r="ER337" i="3"/>
  <c r="ER207" i="3"/>
  <c r="ER191" i="3"/>
  <c r="ER152" i="3"/>
  <c r="ER154" i="3"/>
  <c r="ER184" i="3"/>
  <c r="ER156" i="3"/>
  <c r="ER115" i="3"/>
  <c r="ER122" i="3" s="1"/>
  <c r="ER124" i="3" s="1"/>
  <c r="ER167" i="3" s="1"/>
  <c r="ER168" i="3" s="1"/>
  <c r="ER169" i="3" s="1"/>
  <c r="ER225" i="3" s="1"/>
  <c r="ER158" i="3"/>
  <c r="ER104" i="3"/>
  <c r="ER112" i="3"/>
  <c r="ER109" i="3"/>
  <c r="ER111" i="3" s="1"/>
  <c r="ER113" i="3" s="1"/>
  <c r="ER123" i="3" s="1"/>
  <c r="AU337" i="3"/>
  <c r="AU191" i="3"/>
  <c r="AU207" i="3"/>
  <c r="AU184" i="3"/>
  <c r="AU158" i="3"/>
  <c r="AU152" i="3"/>
  <c r="AU154" i="3"/>
  <c r="AU156" i="3"/>
  <c r="AU112" i="3"/>
  <c r="AU115" i="3"/>
  <c r="AU122" i="3" s="1"/>
  <c r="AU104" i="3"/>
  <c r="AU109" i="3"/>
  <c r="AU111" i="3" s="1"/>
  <c r="AU113" i="3" s="1"/>
  <c r="AU123" i="3" s="1"/>
  <c r="AT337" i="3"/>
  <c r="AT207" i="3"/>
  <c r="AT184" i="3"/>
  <c r="AT150" i="3"/>
  <c r="AT112" i="3"/>
  <c r="AT191" i="3"/>
  <c r="AT115" i="3"/>
  <c r="AT122" i="3" s="1"/>
  <c r="AT104" i="3"/>
  <c r="AT109" i="3"/>
  <c r="AT111" i="3" s="1"/>
  <c r="CM97" i="2"/>
  <c r="CZ136" i="2"/>
  <c r="CZ80" i="2"/>
  <c r="DC97" i="2"/>
  <c r="AT127" i="2"/>
  <c r="EX97" i="2"/>
  <c r="AO219" i="5"/>
  <c r="AO228" i="5" s="1"/>
  <c r="CH133" i="2"/>
  <c r="CQ191" i="3"/>
  <c r="CQ207" i="3"/>
  <c r="CQ184" i="3"/>
  <c r="CQ150" i="3"/>
  <c r="CQ152" i="3"/>
  <c r="CQ154" i="3" s="1"/>
  <c r="CQ112" i="3"/>
  <c r="CQ115" i="3"/>
  <c r="CQ122" i="3" s="1"/>
  <c r="CQ104" i="3"/>
  <c r="CQ142" i="3"/>
  <c r="CQ144" i="3"/>
  <c r="CQ109" i="3"/>
  <c r="CQ111" i="3" s="1"/>
  <c r="CQ113" i="3" s="1"/>
  <c r="CQ123" i="3" s="1"/>
  <c r="EM97" i="2"/>
  <c r="BE136" i="2"/>
  <c r="BE80" i="2"/>
  <c r="CJ219" i="5"/>
  <c r="CJ228" i="5" s="1"/>
  <c r="CC207" i="5"/>
  <c r="CC191" i="5"/>
  <c r="CC184" i="5"/>
  <c r="CC152" i="5"/>
  <c r="CC115" i="5"/>
  <c r="CC122" i="5" s="1"/>
  <c r="CC112" i="5"/>
  <c r="CC104" i="5"/>
  <c r="CC109" i="5"/>
  <c r="CC111" i="5" s="1"/>
  <c r="CW127" i="2"/>
  <c r="EO97" i="2"/>
  <c r="CE97" i="2"/>
  <c r="FU97" i="2"/>
  <c r="EE337" i="3"/>
  <c r="EE207" i="3"/>
  <c r="EE184" i="3"/>
  <c r="EE152" i="3"/>
  <c r="EE191" i="3"/>
  <c r="EE115" i="3"/>
  <c r="EE122" i="3" s="1"/>
  <c r="EE112" i="3"/>
  <c r="EE104" i="3"/>
  <c r="EE109" i="3"/>
  <c r="EE111" i="3" s="1"/>
  <c r="EE113" i="3" s="1"/>
  <c r="EE123" i="3" s="1"/>
  <c r="EE142" i="3"/>
  <c r="EE146" i="3" s="1"/>
  <c r="EE148" i="3" s="1"/>
  <c r="EE144" i="3"/>
  <c r="BK184" i="3"/>
  <c r="BK207" i="3"/>
  <c r="BK150" i="3"/>
  <c r="BK162" i="3" s="1"/>
  <c r="BK191" i="3"/>
  <c r="BK152" i="3"/>
  <c r="BK154" i="3"/>
  <c r="BK115" i="3"/>
  <c r="BK122" i="3" s="1"/>
  <c r="BK124" i="3" s="1"/>
  <c r="BK167" i="3" s="1"/>
  <c r="BK168" i="3" s="1"/>
  <c r="BK169" i="3" s="1"/>
  <c r="BK225" i="3" s="1"/>
  <c r="BK112" i="3"/>
  <c r="BK104" i="3"/>
  <c r="BK144" i="3"/>
  <c r="BK109" i="3"/>
  <c r="BK111" i="3" s="1"/>
  <c r="BK113" i="3" s="1"/>
  <c r="BK123" i="3" s="1"/>
  <c r="BK142" i="3"/>
  <c r="BK146" i="3" s="1"/>
  <c r="BK148" i="3" s="1"/>
  <c r="F191" i="5"/>
  <c r="F207" i="5"/>
  <c r="F184" i="5"/>
  <c r="F150" i="5"/>
  <c r="F112" i="5"/>
  <c r="F115" i="5"/>
  <c r="F122" i="5" s="1"/>
  <c r="F104" i="5"/>
  <c r="F109" i="5"/>
  <c r="F111" i="5" s="1"/>
  <c r="AY214" i="5"/>
  <c r="AY219" i="5" s="1"/>
  <c r="AY228" i="5" s="1"/>
  <c r="AY103" i="5"/>
  <c r="AY127" i="5"/>
  <c r="T219" i="5"/>
  <c r="T228" i="5" s="1"/>
  <c r="BX136" i="2"/>
  <c r="BX80" i="2"/>
  <c r="DX136" i="2"/>
  <c r="DX80" i="2"/>
  <c r="ES337" i="3"/>
  <c r="ES184" i="3"/>
  <c r="ES191" i="3"/>
  <c r="ES152" i="3"/>
  <c r="ES207" i="3"/>
  <c r="ES104" i="3"/>
  <c r="ES112" i="3"/>
  <c r="ES115" i="3"/>
  <c r="ES122" i="3" s="1"/>
  <c r="ES109" i="3"/>
  <c r="ES111" i="3" s="1"/>
  <c r="ES113" i="3" s="1"/>
  <c r="ES123" i="3" s="1"/>
  <c r="ES144" i="3"/>
  <c r="ES142" i="3"/>
  <c r="ES146" i="3" s="1"/>
  <c r="ES148" i="3" s="1"/>
  <c r="CL127" i="2"/>
  <c r="AA127" i="2"/>
  <c r="EC127" i="2"/>
  <c r="DF133" i="2"/>
  <c r="EF127" i="2"/>
  <c r="EO133" i="2"/>
  <c r="M133" i="2"/>
  <c r="FP207" i="5"/>
  <c r="FP184" i="5"/>
  <c r="FP191" i="5"/>
  <c r="FP150" i="5"/>
  <c r="FP104" i="5"/>
  <c r="FP112" i="5"/>
  <c r="FP115" i="5"/>
  <c r="FP122" i="5" s="1"/>
  <c r="FP109" i="5"/>
  <c r="FP111" i="5" s="1"/>
  <c r="FP113" i="5" s="1"/>
  <c r="FP123" i="5" s="1"/>
  <c r="DQ207" i="5"/>
  <c r="DQ191" i="5"/>
  <c r="DQ184" i="5"/>
  <c r="DQ150" i="5"/>
  <c r="DQ115" i="5"/>
  <c r="DQ122" i="5" s="1"/>
  <c r="DQ104" i="5"/>
  <c r="DQ112" i="5"/>
  <c r="DQ109" i="5"/>
  <c r="DQ111" i="5" s="1"/>
  <c r="DQ113" i="5" s="1"/>
  <c r="DQ123" i="5" s="1"/>
  <c r="FD127" i="2"/>
  <c r="CY127" i="2"/>
  <c r="CK80" i="2"/>
  <c r="CK136" i="2"/>
  <c r="AB136" i="2"/>
  <c r="AB80" i="2"/>
  <c r="DJ191" i="5"/>
  <c r="DJ184" i="5"/>
  <c r="DJ207" i="5"/>
  <c r="DJ150" i="5"/>
  <c r="DJ112" i="5"/>
  <c r="DJ104" i="5"/>
  <c r="DJ115" i="5"/>
  <c r="DJ122" i="5" s="1"/>
  <c r="DJ109" i="5"/>
  <c r="DJ111" i="5" s="1"/>
  <c r="DJ113" i="5" s="1"/>
  <c r="DJ123" i="5" s="1"/>
  <c r="C97" i="4"/>
  <c r="AK133" i="2"/>
  <c r="FF133" i="2"/>
  <c r="AD133" i="2"/>
  <c r="CB219" i="5"/>
  <c r="CB228" i="5" s="1"/>
  <c r="EE127" i="2"/>
  <c r="O136" i="2"/>
  <c r="O80" i="2"/>
  <c r="CJ136" i="2"/>
  <c r="CJ80" i="2"/>
  <c r="BN133" i="2"/>
  <c r="BZ136" i="2"/>
  <c r="BZ80" i="2"/>
  <c r="FZ85" i="5" l="1"/>
  <c r="BI128" i="3"/>
  <c r="CJ128" i="5"/>
  <c r="FZ16" i="5"/>
  <c r="GB16" i="5" s="1"/>
  <c r="T128" i="3"/>
  <c r="AL128" i="3"/>
  <c r="FC128" i="5"/>
  <c r="AC128" i="3"/>
  <c r="FC128" i="3"/>
  <c r="FA128" i="3"/>
  <c r="DB128" i="3"/>
  <c r="AB128" i="3"/>
  <c r="T150" i="3"/>
  <c r="T162" i="3" s="1"/>
  <c r="AJ128" i="3"/>
  <c r="L128" i="3"/>
  <c r="AL150" i="3"/>
  <c r="FV128" i="3"/>
  <c r="EQ152" i="3"/>
  <c r="EQ162" i="3" s="1"/>
  <c r="AI150" i="3"/>
  <c r="AI154" i="3" s="1"/>
  <c r="AI156" i="3" s="1"/>
  <c r="AI158" i="3" s="1"/>
  <c r="AI128" i="3"/>
  <c r="CJ156" i="3"/>
  <c r="CJ158" i="3" s="1"/>
  <c r="CZ156" i="3"/>
  <c r="CZ158" i="3" s="1"/>
  <c r="AB152" i="3"/>
  <c r="AB162" i="3" s="1"/>
  <c r="AJ150" i="3"/>
  <c r="AJ162" i="3" s="1"/>
  <c r="R128" i="5"/>
  <c r="BM150" i="3"/>
  <c r="FD150" i="3"/>
  <c r="FD162" i="3" s="1"/>
  <c r="AN128" i="3"/>
  <c r="DH128" i="5"/>
  <c r="BD152" i="3"/>
  <c r="BD154" i="3" s="1"/>
  <c r="BD156" i="3" s="1"/>
  <c r="BD158" i="3" s="1"/>
  <c r="CT128" i="5"/>
  <c r="CX156" i="3"/>
  <c r="BM128" i="3"/>
  <c r="CX128" i="3"/>
  <c r="AN150" i="3"/>
  <c r="AN162" i="3" s="1"/>
  <c r="BK156" i="3"/>
  <c r="BK158" i="3" s="1"/>
  <c r="FA152" i="3"/>
  <c r="FA154" i="3" s="1"/>
  <c r="FA156" i="3" s="1"/>
  <c r="FA158" i="3" s="1"/>
  <c r="CK152" i="3"/>
  <c r="CK162" i="3" s="1"/>
  <c r="Z150" i="3"/>
  <c r="Z162" i="3" s="1"/>
  <c r="CE150" i="5"/>
  <c r="CE162" i="5" s="1"/>
  <c r="BN209" i="5"/>
  <c r="BN267" i="5"/>
  <c r="EH186" i="5"/>
  <c r="EH187" i="5" s="1"/>
  <c r="EH188" i="5" s="1"/>
  <c r="AG108" i="2"/>
  <c r="AG111" i="2"/>
  <c r="ER150" i="3"/>
  <c r="ER162" i="3" s="1"/>
  <c r="EU186" i="3"/>
  <c r="EU187" i="3" s="1"/>
  <c r="EU188" i="3" s="1"/>
  <c r="DF156" i="3"/>
  <c r="DF158" i="3" s="1"/>
  <c r="M111" i="2"/>
  <c r="M108" i="2"/>
  <c r="CT108" i="2"/>
  <c r="CT111" i="2"/>
  <c r="FO108" i="2"/>
  <c r="FO111" i="2"/>
  <c r="EQ313" i="5"/>
  <c r="EQ174" i="5"/>
  <c r="EQ177" i="5"/>
  <c r="AP209" i="3"/>
  <c r="AP267" i="3"/>
  <c r="EE313" i="5"/>
  <c r="EE174" i="5"/>
  <c r="EE182" i="5" s="1"/>
  <c r="EE226" i="5" s="1"/>
  <c r="EE177" i="5"/>
  <c r="BH207" i="5"/>
  <c r="BH191" i="5"/>
  <c r="BH184" i="5"/>
  <c r="BH150" i="5"/>
  <c r="BH112" i="5"/>
  <c r="BH104" i="5"/>
  <c r="BH115" i="5"/>
  <c r="BH122" i="5" s="1"/>
  <c r="BH109" i="5"/>
  <c r="BH111" i="5" s="1"/>
  <c r="Z313" i="5"/>
  <c r="Z174" i="5"/>
  <c r="Z177" i="5"/>
  <c r="BE313" i="5"/>
  <c r="BE174" i="5"/>
  <c r="BE182" i="5" s="1"/>
  <c r="BE226" i="5" s="1"/>
  <c r="BE177" i="5"/>
  <c r="CJ313" i="5"/>
  <c r="CJ174" i="5"/>
  <c r="CJ177" i="5"/>
  <c r="FT120" i="2"/>
  <c r="FT121" i="2" s="1"/>
  <c r="FT86" i="2"/>
  <c r="FT102" i="2"/>
  <c r="FT103" i="2" s="1"/>
  <c r="FT95" i="2"/>
  <c r="FT98" i="2" s="1"/>
  <c r="CQ120" i="2"/>
  <c r="CQ121" i="2" s="1"/>
  <c r="CQ86" i="2"/>
  <c r="CQ102" i="2"/>
  <c r="CQ103" i="2" s="1"/>
  <c r="CQ95" i="2"/>
  <c r="CQ98" i="2" s="1"/>
  <c r="BR120" i="2"/>
  <c r="BR121" i="2" s="1"/>
  <c r="BR95" i="2"/>
  <c r="BR98" i="2" s="1"/>
  <c r="BR86" i="2"/>
  <c r="BR102" i="2"/>
  <c r="BR103" i="2" s="1"/>
  <c r="FP120" i="2"/>
  <c r="FP121" i="2" s="1"/>
  <c r="FP95" i="2"/>
  <c r="FP98" i="2" s="1"/>
  <c r="FP86" i="2"/>
  <c r="FP102" i="2"/>
  <c r="FP103" i="2" s="1"/>
  <c r="CP186" i="3"/>
  <c r="CP187" i="3" s="1"/>
  <c r="CP188" i="3" s="1"/>
  <c r="BX209" i="3"/>
  <c r="BX267" i="3"/>
  <c r="BJ201" i="3"/>
  <c r="BJ229" i="3" s="1"/>
  <c r="BJ193" i="3"/>
  <c r="BJ195" i="3"/>
  <c r="BJ197" i="3"/>
  <c r="BJ199" i="3"/>
  <c r="BJ200" i="3"/>
  <c r="DI137" i="2"/>
  <c r="DI138" i="2" s="1"/>
  <c r="DI139" i="2" s="1"/>
  <c r="FP186" i="3"/>
  <c r="FP187" i="3" s="1"/>
  <c r="FP188" i="3"/>
  <c r="DZ186" i="5"/>
  <c r="DZ187" i="5" s="1"/>
  <c r="DZ188" i="5" s="1"/>
  <c r="C96" i="3"/>
  <c r="FZ90" i="3"/>
  <c r="GB90" i="3" s="1"/>
  <c r="H137" i="2"/>
  <c r="H138" i="2"/>
  <c r="DG127" i="2"/>
  <c r="Y313" i="5"/>
  <c r="Y174" i="5"/>
  <c r="Y182" i="5" s="1"/>
  <c r="Y226" i="5" s="1"/>
  <c r="Y177" i="5"/>
  <c r="BD313" i="5"/>
  <c r="BD174" i="5"/>
  <c r="BD177" i="5"/>
  <c r="EM188" i="3"/>
  <c r="EM186" i="3"/>
  <c r="EM187" i="3" s="1"/>
  <c r="CA267" i="3"/>
  <c r="CA209" i="3"/>
  <c r="EB219" i="5"/>
  <c r="EB228" i="5" s="1"/>
  <c r="BO195" i="3"/>
  <c r="BO200" i="3"/>
  <c r="AR188" i="5"/>
  <c r="AR186" i="5"/>
  <c r="AR187" i="5" s="1"/>
  <c r="E195" i="3"/>
  <c r="E200" i="3"/>
  <c r="FS124" i="3"/>
  <c r="BN209" i="3"/>
  <c r="BN267" i="3"/>
  <c r="DR313" i="5"/>
  <c r="DR174" i="5"/>
  <c r="DR177" i="5"/>
  <c r="EW313" i="5"/>
  <c r="EW174" i="5"/>
  <c r="EW182" i="5" s="1"/>
  <c r="EW226" i="5" s="1"/>
  <c r="EW177" i="5"/>
  <c r="E313" i="5"/>
  <c r="E174" i="5"/>
  <c r="E177" i="5"/>
  <c r="FX133" i="2"/>
  <c r="EW137" i="2"/>
  <c r="EW138" i="2"/>
  <c r="EW139" i="2" s="1"/>
  <c r="AH186" i="3"/>
  <c r="AH187" i="3" s="1"/>
  <c r="AH188" i="3"/>
  <c r="BA209" i="3"/>
  <c r="BA267" i="3"/>
  <c r="AQ195" i="3"/>
  <c r="AQ197" i="3"/>
  <c r="AQ199" i="3"/>
  <c r="AQ200" i="3"/>
  <c r="AQ201" i="3"/>
  <c r="AQ229" i="3" s="1"/>
  <c r="AQ193" i="3"/>
  <c r="DD215" i="3"/>
  <c r="DD219" i="3" s="1"/>
  <c r="DD228" i="3" s="1"/>
  <c r="DD173" i="3"/>
  <c r="V215" i="3"/>
  <c r="V219" i="3" s="1"/>
  <c r="V228" i="3" s="1"/>
  <c r="V173" i="3"/>
  <c r="FJ215" i="3"/>
  <c r="FJ219" i="3" s="1"/>
  <c r="FJ228" i="3" s="1"/>
  <c r="FJ173" i="3"/>
  <c r="EA215" i="3"/>
  <c r="EA219" i="3" s="1"/>
  <c r="EA228" i="3" s="1"/>
  <c r="EA173" i="3"/>
  <c r="CS215" i="3"/>
  <c r="CS219" i="3" s="1"/>
  <c r="CS228" i="3" s="1"/>
  <c r="CS173" i="3"/>
  <c r="BJ215" i="3"/>
  <c r="BJ219" i="3" s="1"/>
  <c r="BJ228" i="3" s="1"/>
  <c r="BJ173" i="3"/>
  <c r="AM215" i="3"/>
  <c r="AM219" i="3" s="1"/>
  <c r="AM228" i="3" s="1"/>
  <c r="AM173" i="3"/>
  <c r="D215" i="3"/>
  <c r="D219" i="3" s="1"/>
  <c r="D228" i="3" s="1"/>
  <c r="D173" i="3"/>
  <c r="ER215" i="3"/>
  <c r="ER219" i="3" s="1"/>
  <c r="ER228" i="3" s="1"/>
  <c r="ER173" i="3"/>
  <c r="DI215" i="3"/>
  <c r="DI219" i="3" s="1"/>
  <c r="DI228" i="3" s="1"/>
  <c r="DI173" i="3"/>
  <c r="BZ215" i="3"/>
  <c r="BZ219" i="3" s="1"/>
  <c r="BZ228" i="3" s="1"/>
  <c r="BZ173" i="3"/>
  <c r="AQ215" i="3"/>
  <c r="AQ219" i="3" s="1"/>
  <c r="AQ228" i="3" s="1"/>
  <c r="AQ173" i="3"/>
  <c r="H215" i="3"/>
  <c r="H219" i="3" s="1"/>
  <c r="H228" i="3" s="1"/>
  <c r="H173" i="3"/>
  <c r="EV215" i="3"/>
  <c r="EV219" i="3" s="1"/>
  <c r="EV228" i="3" s="1"/>
  <c r="EV173" i="3"/>
  <c r="DM215" i="3"/>
  <c r="DM219" i="3" s="1"/>
  <c r="DM228" i="3" s="1"/>
  <c r="DM173" i="3"/>
  <c r="AJ133" i="2"/>
  <c r="K137" i="2"/>
  <c r="K138" i="2"/>
  <c r="Q186" i="3"/>
  <c r="Q187" i="3" s="1"/>
  <c r="Q188" i="3"/>
  <c r="CA186" i="5"/>
  <c r="CA187" i="5" s="1"/>
  <c r="CA188" i="5" s="1"/>
  <c r="DT193" i="3"/>
  <c r="DT195" i="3"/>
  <c r="DT197" i="3"/>
  <c r="DT199" i="3"/>
  <c r="DT200" i="3"/>
  <c r="DT201" i="3"/>
  <c r="DT229" i="3" s="1"/>
  <c r="DX127" i="2"/>
  <c r="CC137" i="2"/>
  <c r="CC138" i="2"/>
  <c r="CC139" i="2" s="1"/>
  <c r="BP209" i="5"/>
  <c r="BP267" i="5"/>
  <c r="BC128" i="5"/>
  <c r="BV201" i="3"/>
  <c r="BV229" i="3" s="1"/>
  <c r="BV193" i="3"/>
  <c r="BV195" i="3"/>
  <c r="BV197" i="3"/>
  <c r="BV199" i="3"/>
  <c r="BV200" i="3"/>
  <c r="AU313" i="5"/>
  <c r="AU174" i="5"/>
  <c r="AU177" i="5"/>
  <c r="BZ313" i="5"/>
  <c r="BZ174" i="5"/>
  <c r="BZ182" i="5" s="1"/>
  <c r="BZ226" i="5" s="1"/>
  <c r="BZ177" i="5"/>
  <c r="ES209" i="5"/>
  <c r="ES267" i="5"/>
  <c r="D267" i="5"/>
  <c r="D209" i="5"/>
  <c r="BE186" i="3"/>
  <c r="BE187" i="3" s="1"/>
  <c r="BE188" i="3"/>
  <c r="BY193" i="3"/>
  <c r="BY195" i="3"/>
  <c r="BY197" i="3"/>
  <c r="BY199" i="3"/>
  <c r="BY200" i="3"/>
  <c r="BY201" i="3"/>
  <c r="BY229" i="3" s="1"/>
  <c r="FQ137" i="2"/>
  <c r="FQ138" i="2" s="1"/>
  <c r="FQ139" i="2" s="1"/>
  <c r="BT209" i="5"/>
  <c r="BT267" i="5"/>
  <c r="FP209" i="5"/>
  <c r="FP267" i="5"/>
  <c r="CH209" i="3"/>
  <c r="CH267" i="3"/>
  <c r="BG313" i="5"/>
  <c r="BG174" i="5"/>
  <c r="BG182" i="5" s="1"/>
  <c r="BG226" i="5" s="1"/>
  <c r="BG177" i="5"/>
  <c r="AE195" i="3"/>
  <c r="AE197" i="3"/>
  <c r="AE199" i="3"/>
  <c r="AE200" i="3"/>
  <c r="AE201" i="3"/>
  <c r="AE229" i="3" s="1"/>
  <c r="AE193" i="3"/>
  <c r="FW111" i="2"/>
  <c r="FW108" i="2"/>
  <c r="DJ186" i="5"/>
  <c r="DJ187" i="5" s="1"/>
  <c r="DJ188" i="5" s="1"/>
  <c r="F188" i="5"/>
  <c r="F186" i="5"/>
  <c r="F187" i="5" s="1"/>
  <c r="CQ200" i="3"/>
  <c r="CQ195" i="3"/>
  <c r="BB111" i="2"/>
  <c r="BB108" i="2"/>
  <c r="EI108" i="2"/>
  <c r="EI111" i="2"/>
  <c r="AS108" i="2"/>
  <c r="AS111" i="2"/>
  <c r="DZ108" i="2"/>
  <c r="DZ111" i="2"/>
  <c r="AU111" i="2"/>
  <c r="AU108" i="2"/>
  <c r="CR108" i="2"/>
  <c r="CR111" i="2"/>
  <c r="FA108" i="2"/>
  <c r="FA111" i="2"/>
  <c r="AA108" i="2"/>
  <c r="AA111" i="2"/>
  <c r="CV111" i="2"/>
  <c r="CV108" i="2"/>
  <c r="FE108" i="2"/>
  <c r="FE111" i="2"/>
  <c r="DL313" i="5"/>
  <c r="DL174" i="5"/>
  <c r="DL182" i="5" s="1"/>
  <c r="DL226" i="5" s="1"/>
  <c r="DL177" i="5"/>
  <c r="T124" i="5"/>
  <c r="AO209" i="5"/>
  <c r="AO267" i="5"/>
  <c r="CN195" i="3"/>
  <c r="CN197" i="3"/>
  <c r="CN199" i="3"/>
  <c r="CN200" i="3"/>
  <c r="CN201" i="3"/>
  <c r="CN229" i="3" s="1"/>
  <c r="CN193" i="3"/>
  <c r="BU313" i="5"/>
  <c r="BU174" i="5"/>
  <c r="BU177" i="5"/>
  <c r="CZ313" i="5"/>
  <c r="CZ174" i="5"/>
  <c r="CZ182" i="5" s="1"/>
  <c r="CZ226" i="5" s="1"/>
  <c r="CZ177" i="5"/>
  <c r="FN186" i="5"/>
  <c r="FN187" i="5" s="1"/>
  <c r="FN188" i="5"/>
  <c r="FX137" i="2"/>
  <c r="FX138" i="2"/>
  <c r="AZ209" i="5"/>
  <c r="AZ267" i="5"/>
  <c r="CR186" i="3"/>
  <c r="CR187" i="3" s="1"/>
  <c r="CR188" i="3" s="1"/>
  <c r="AF120" i="2"/>
  <c r="AF121" i="2" s="1"/>
  <c r="AF86" i="2"/>
  <c r="AF102" i="2"/>
  <c r="AF103" i="2" s="1"/>
  <c r="AF95" i="2"/>
  <c r="AF98" i="2" s="1"/>
  <c r="EK120" i="2"/>
  <c r="EK121" i="2" s="1"/>
  <c r="EK86" i="2"/>
  <c r="EK102" i="2"/>
  <c r="EK103" i="2" s="1"/>
  <c r="EK95" i="2"/>
  <c r="EK98" i="2" s="1"/>
  <c r="BH120" i="2"/>
  <c r="BH121" i="2" s="1"/>
  <c r="BH102" i="2"/>
  <c r="BH103" i="2" s="1"/>
  <c r="BH95" i="2"/>
  <c r="BH98" i="2" s="1"/>
  <c r="BH86" i="2"/>
  <c r="DQ120" i="2"/>
  <c r="DQ121" i="2" s="1"/>
  <c r="DQ102" i="2"/>
  <c r="DQ103" i="2" s="1"/>
  <c r="DQ95" i="2"/>
  <c r="DQ98" i="2" s="1"/>
  <c r="DQ86" i="2"/>
  <c r="CT120" i="2"/>
  <c r="CT121" i="2" s="1"/>
  <c r="CT102" i="2"/>
  <c r="CT103" i="2" s="1"/>
  <c r="CT95" i="2"/>
  <c r="CT98" i="2" s="1"/>
  <c r="CT86" i="2"/>
  <c r="BK120" i="2"/>
  <c r="BK121" i="2" s="1"/>
  <c r="BK95" i="2"/>
  <c r="BK98" i="2" s="1"/>
  <c r="BK86" i="2"/>
  <c r="BK102" i="2"/>
  <c r="BK103" i="2" s="1"/>
  <c r="AB120" i="2"/>
  <c r="AB121" i="2" s="1"/>
  <c r="AB95" i="2"/>
  <c r="AB98" i="2" s="1"/>
  <c r="AB86" i="2"/>
  <c r="AB102" i="2"/>
  <c r="AB103" i="2" s="1"/>
  <c r="DI120" i="2"/>
  <c r="DI121" i="2" s="1"/>
  <c r="DI102" i="2"/>
  <c r="DI103" i="2" s="1"/>
  <c r="DI95" i="2"/>
  <c r="DI98" i="2" s="1"/>
  <c r="DI86" i="2"/>
  <c r="BZ120" i="2"/>
  <c r="BZ121" i="2" s="1"/>
  <c r="BZ95" i="2"/>
  <c r="BZ98" i="2" s="1"/>
  <c r="BZ86" i="2"/>
  <c r="BZ102" i="2"/>
  <c r="BZ103" i="2" s="1"/>
  <c r="EL120" i="2"/>
  <c r="EL121" i="2" s="1"/>
  <c r="EL86" i="2"/>
  <c r="EL102" i="2"/>
  <c r="EL103" i="2" s="1"/>
  <c r="EL95" i="2"/>
  <c r="EL98" i="2" s="1"/>
  <c r="DW95" i="2"/>
  <c r="DW98" i="2" s="1"/>
  <c r="DW86" i="2"/>
  <c r="DW120" i="2"/>
  <c r="DW121" i="2" s="1"/>
  <c r="DW102" i="2"/>
  <c r="DW103" i="2" s="1"/>
  <c r="BB188" i="3"/>
  <c r="BB186" i="3"/>
  <c r="BB187" i="3" s="1"/>
  <c r="BE209" i="5"/>
  <c r="BE267" i="5"/>
  <c r="C124" i="2"/>
  <c r="C127" i="2" s="1"/>
  <c r="C130" i="2"/>
  <c r="C133" i="2" s="1"/>
  <c r="C79" i="2"/>
  <c r="C85" i="2"/>
  <c r="FZ72" i="2"/>
  <c r="GB72" i="2" s="1"/>
  <c r="DH186" i="3"/>
  <c r="DH187" i="3" s="1"/>
  <c r="DH188" i="3"/>
  <c r="AX267" i="5"/>
  <c r="AX209" i="5"/>
  <c r="M200" i="3"/>
  <c r="M195" i="3"/>
  <c r="DN209" i="5"/>
  <c r="DN267" i="5"/>
  <c r="EI195" i="3"/>
  <c r="EI200" i="3"/>
  <c r="FR209" i="3"/>
  <c r="FR267" i="3"/>
  <c r="AV209" i="5"/>
  <c r="AV267" i="5"/>
  <c r="CX186" i="5"/>
  <c r="CX187" i="5" s="1"/>
  <c r="CX188" i="5" s="1"/>
  <c r="EL209" i="5"/>
  <c r="EL267" i="5"/>
  <c r="S195" i="3"/>
  <c r="S200" i="3"/>
  <c r="AH209" i="5"/>
  <c r="AH267" i="5"/>
  <c r="FA137" i="2"/>
  <c r="FA138" i="2"/>
  <c r="FE209" i="3"/>
  <c r="FE267" i="3"/>
  <c r="AW209" i="3"/>
  <c r="AW267" i="3"/>
  <c r="DP186" i="3"/>
  <c r="DP187" i="3" s="1"/>
  <c r="DP188" i="3" s="1"/>
  <c r="CI313" i="5"/>
  <c r="CI174" i="5"/>
  <c r="CI177" i="5"/>
  <c r="FP124" i="5"/>
  <c r="AY184" i="5"/>
  <c r="AY191" i="5"/>
  <c r="AY207" i="5"/>
  <c r="AY152" i="5"/>
  <c r="AY115" i="5"/>
  <c r="AY122" i="5" s="1"/>
  <c r="AY124" i="5" s="1"/>
  <c r="AY167" i="5" s="1"/>
  <c r="AY168" i="5" s="1"/>
  <c r="AY169" i="5" s="1"/>
  <c r="AY225" i="5" s="1"/>
  <c r="AY104" i="5"/>
  <c r="AY112" i="5"/>
  <c r="AY109" i="5"/>
  <c r="AY111" i="5" s="1"/>
  <c r="AY113" i="5" s="1"/>
  <c r="AY123" i="5" s="1"/>
  <c r="F209" i="5"/>
  <c r="F267" i="5"/>
  <c r="EE124" i="3"/>
  <c r="CQ146" i="3"/>
  <c r="CQ148" i="3" s="1"/>
  <c r="FS124" i="5"/>
  <c r="EH267" i="5"/>
  <c r="EH209" i="5"/>
  <c r="N209" i="5"/>
  <c r="N267" i="5"/>
  <c r="EK113" i="5"/>
  <c r="EK123" i="5" s="1"/>
  <c r="FN162" i="3"/>
  <c r="DH186" i="5"/>
  <c r="DH187" i="5" s="1"/>
  <c r="DH188" i="5" s="1"/>
  <c r="CG188" i="3"/>
  <c r="CG186" i="3"/>
  <c r="CG187" i="3" s="1"/>
  <c r="FT133" i="2"/>
  <c r="FH313" i="5"/>
  <c r="FH174" i="5"/>
  <c r="FH177" i="5"/>
  <c r="BU150" i="3"/>
  <c r="BU162" i="3" s="1"/>
  <c r="AO128" i="3"/>
  <c r="AQ113" i="5"/>
  <c r="AQ123" i="5" s="1"/>
  <c r="AE113" i="3"/>
  <c r="AE123" i="3" s="1"/>
  <c r="AE209" i="3"/>
  <c r="AE267" i="3"/>
  <c r="W186" i="5"/>
  <c r="W187" i="5" s="1"/>
  <c r="W188" i="5" s="1"/>
  <c r="DB188" i="5"/>
  <c r="DB186" i="5"/>
  <c r="DB187" i="5" s="1"/>
  <c r="BN111" i="2"/>
  <c r="BN108" i="2"/>
  <c r="G108" i="2"/>
  <c r="G111" i="2"/>
  <c r="EU108" i="2"/>
  <c r="EU111" i="2"/>
  <c r="DL111" i="2"/>
  <c r="DL108" i="2"/>
  <c r="BE111" i="2"/>
  <c r="BE108" i="2"/>
  <c r="EL111" i="2"/>
  <c r="EL108" i="2"/>
  <c r="BG111" i="2"/>
  <c r="BG108" i="2"/>
  <c r="DD108" i="2"/>
  <c r="DD111" i="2"/>
  <c r="Y111" i="2"/>
  <c r="Y108" i="2"/>
  <c r="FM108" i="2"/>
  <c r="FM111" i="2"/>
  <c r="DF108" i="2"/>
  <c r="DF111" i="2"/>
  <c r="AM108" i="2"/>
  <c r="AM111" i="2"/>
  <c r="DH111" i="2"/>
  <c r="DH108" i="2"/>
  <c r="AC108" i="2"/>
  <c r="AC111" i="2"/>
  <c r="FQ108" i="2"/>
  <c r="FQ111" i="2"/>
  <c r="FQ113" i="5"/>
  <c r="FQ123" i="5" s="1"/>
  <c r="EO186" i="3"/>
  <c r="EO187" i="3" s="1"/>
  <c r="EO188" i="3" s="1"/>
  <c r="DM128" i="3"/>
  <c r="BR209" i="5"/>
  <c r="BR267" i="5"/>
  <c r="EA186" i="5"/>
  <c r="EA187" i="5" s="1"/>
  <c r="EA188" i="5" s="1"/>
  <c r="E186" i="5"/>
  <c r="E187" i="5" s="1"/>
  <c r="E188" i="5"/>
  <c r="BD128" i="3"/>
  <c r="L156" i="3"/>
  <c r="L158" i="3" s="1"/>
  <c r="DB137" i="2"/>
  <c r="DB138" i="2"/>
  <c r="DB139" i="2" s="1"/>
  <c r="BH200" i="3"/>
  <c r="BH201" i="3"/>
  <c r="BH229" i="3" s="1"/>
  <c r="BH193" i="3"/>
  <c r="BH195" i="3"/>
  <c r="BH197" i="3"/>
  <c r="BH199" i="3"/>
  <c r="FT195" i="3"/>
  <c r="FT197" i="3"/>
  <c r="FT199" i="3"/>
  <c r="FT200" i="3"/>
  <c r="FT201" i="3"/>
  <c r="FT229" i="3" s="1"/>
  <c r="FT193" i="3"/>
  <c r="EJ195" i="3"/>
  <c r="EJ200" i="3"/>
  <c r="Z137" i="2"/>
  <c r="Z138" i="2" s="1"/>
  <c r="Z139" i="2" s="1"/>
  <c r="DV137" i="2"/>
  <c r="DV138" i="2" s="1"/>
  <c r="DV139" i="2" s="1"/>
  <c r="CJ188" i="5"/>
  <c r="CJ186" i="5"/>
  <c r="CJ187" i="5" s="1"/>
  <c r="AO113" i="5"/>
  <c r="AO123" i="5" s="1"/>
  <c r="CN188" i="3"/>
  <c r="CN186" i="3"/>
  <c r="CN187" i="3" s="1"/>
  <c r="FF188" i="5"/>
  <c r="FF186" i="5"/>
  <c r="FF187" i="5" s="1"/>
  <c r="EC313" i="5"/>
  <c r="EC174" i="5"/>
  <c r="EC182" i="5" s="1"/>
  <c r="EC226" i="5" s="1"/>
  <c r="EC177" i="5"/>
  <c r="DI133" i="2"/>
  <c r="BC195" i="3"/>
  <c r="BC200" i="3"/>
  <c r="EZ186" i="3"/>
  <c r="EZ187" i="3" s="1"/>
  <c r="EZ188" i="3"/>
  <c r="AZ113" i="5"/>
  <c r="AZ123" i="5" s="1"/>
  <c r="CR209" i="3"/>
  <c r="CR267" i="3"/>
  <c r="EN209" i="5"/>
  <c r="EN267" i="5"/>
  <c r="AR120" i="2"/>
  <c r="AR121" i="2" s="1"/>
  <c r="AR86" i="2"/>
  <c r="AR102" i="2"/>
  <c r="AR103" i="2" s="1"/>
  <c r="AR95" i="2"/>
  <c r="AR98" i="2" s="1"/>
  <c r="AR139" i="2"/>
  <c r="AR133" i="2"/>
  <c r="AR127" i="2"/>
  <c r="I120" i="2"/>
  <c r="I121" i="2" s="1"/>
  <c r="I86" i="2"/>
  <c r="I102" i="2"/>
  <c r="I103" i="2" s="1"/>
  <c r="I95" i="2"/>
  <c r="I98" i="2" s="1"/>
  <c r="I139" i="2"/>
  <c r="I127" i="2"/>
  <c r="I133" i="2"/>
  <c r="EW120" i="2"/>
  <c r="EW121" i="2" s="1"/>
  <c r="EW86" i="2"/>
  <c r="EW102" i="2"/>
  <c r="EW103" i="2" s="1"/>
  <c r="EW95" i="2"/>
  <c r="EW98" i="2" s="1"/>
  <c r="DC120" i="2"/>
  <c r="DC121" i="2" s="1"/>
  <c r="DC86" i="2"/>
  <c r="DC102" i="2"/>
  <c r="DC103" i="2" s="1"/>
  <c r="DC95" i="2"/>
  <c r="DC98" i="2" s="1"/>
  <c r="BT120" i="2"/>
  <c r="BT121" i="2" s="1"/>
  <c r="BT102" i="2"/>
  <c r="BT103" i="2" s="1"/>
  <c r="BT95" i="2"/>
  <c r="BT98" i="2" s="1"/>
  <c r="BT86" i="2"/>
  <c r="DB120" i="2"/>
  <c r="DB121" i="2" s="1"/>
  <c r="DB86" i="2"/>
  <c r="DB102" i="2"/>
  <c r="DB103" i="2" s="1"/>
  <c r="DB95" i="2"/>
  <c r="DB98" i="2" s="1"/>
  <c r="EC120" i="2"/>
  <c r="EC121" i="2" s="1"/>
  <c r="EC102" i="2"/>
  <c r="EC103" i="2" s="1"/>
  <c r="EC95" i="2"/>
  <c r="EC98" i="2" s="1"/>
  <c r="EC86" i="2"/>
  <c r="DF120" i="2"/>
  <c r="DF121" i="2" s="1"/>
  <c r="DF102" i="2"/>
  <c r="DF103" i="2" s="1"/>
  <c r="DF86" i="2"/>
  <c r="DF95" i="2"/>
  <c r="DF98" i="2" s="1"/>
  <c r="BW120" i="2"/>
  <c r="BW121" i="2" s="1"/>
  <c r="BW95" i="2"/>
  <c r="BW98" i="2" s="1"/>
  <c r="BW86" i="2"/>
  <c r="BW102" i="2"/>
  <c r="BW103" i="2" s="1"/>
  <c r="AN120" i="2"/>
  <c r="AN121" i="2" s="1"/>
  <c r="AN95" i="2"/>
  <c r="AN98" i="2" s="1"/>
  <c r="AN86" i="2"/>
  <c r="AN102" i="2"/>
  <c r="AN103" i="2" s="1"/>
  <c r="AN139" i="2"/>
  <c r="AT120" i="2"/>
  <c r="AT121" i="2" s="1"/>
  <c r="AT95" i="2"/>
  <c r="AT98" i="2" s="1"/>
  <c r="AT86" i="2"/>
  <c r="AT102" i="2"/>
  <c r="AT103" i="2" s="1"/>
  <c r="DU120" i="2"/>
  <c r="DU121" i="2" s="1"/>
  <c r="DU95" i="2"/>
  <c r="DU98" i="2" s="1"/>
  <c r="DU86" i="2"/>
  <c r="DU102" i="2"/>
  <c r="DU103" i="2" s="1"/>
  <c r="CL120" i="2"/>
  <c r="CL121" i="2" s="1"/>
  <c r="CL95" i="2"/>
  <c r="CL98" i="2" s="1"/>
  <c r="CL86" i="2"/>
  <c r="CL102" i="2"/>
  <c r="CL103" i="2" s="1"/>
  <c r="FV120" i="2"/>
  <c r="FV121" i="2" s="1"/>
  <c r="FV95" i="2"/>
  <c r="FV98" i="2" s="1"/>
  <c r="FV86" i="2"/>
  <c r="FV102" i="2"/>
  <c r="FV103" i="2" s="1"/>
  <c r="EI95" i="2"/>
  <c r="EI98" i="2" s="1"/>
  <c r="EI86" i="2"/>
  <c r="EI120" i="2"/>
  <c r="EI121" i="2" s="1"/>
  <c r="EI102" i="2"/>
  <c r="EI103" i="2" s="1"/>
  <c r="BB154" i="3"/>
  <c r="CJ162" i="3"/>
  <c r="EP124" i="5"/>
  <c r="CP146" i="3"/>
  <c r="CP148" i="3" s="1"/>
  <c r="CP209" i="3"/>
  <c r="CP267" i="3"/>
  <c r="BX113" i="3"/>
  <c r="BX123" i="3" s="1"/>
  <c r="BJ209" i="3"/>
  <c r="BJ267" i="3"/>
  <c r="AA201" i="3"/>
  <c r="AA229" i="3" s="1"/>
  <c r="AA193" i="3"/>
  <c r="AA195" i="3"/>
  <c r="AA197" i="3"/>
  <c r="AA199" i="3"/>
  <c r="AA200" i="3"/>
  <c r="DY313" i="5"/>
  <c r="DY174" i="5"/>
  <c r="DY177" i="5"/>
  <c r="BE113" i="5"/>
  <c r="BE123" i="5" s="1"/>
  <c r="CC209" i="3"/>
  <c r="CC267" i="3"/>
  <c r="AZ124" i="3"/>
  <c r="EY188" i="3"/>
  <c r="EY186" i="3"/>
  <c r="EY187" i="3" s="1"/>
  <c r="CX146" i="3"/>
  <c r="CX148" i="3" s="1"/>
  <c r="CX193" i="3"/>
  <c r="CX197" i="3" s="1"/>
  <c r="CX199" i="3" s="1"/>
  <c r="CX195" i="3"/>
  <c r="CX200" i="3"/>
  <c r="DH146" i="3"/>
  <c r="DH148" i="3" s="1"/>
  <c r="DH195" i="3"/>
  <c r="DH200" i="3"/>
  <c r="DZ209" i="5"/>
  <c r="DZ267" i="5"/>
  <c r="FH195" i="3"/>
  <c r="FH197" i="3"/>
  <c r="FH199" i="3"/>
  <c r="FH200" i="3"/>
  <c r="FH201" i="3"/>
  <c r="FH229" i="3" s="1"/>
  <c r="FH193" i="3"/>
  <c r="AF195" i="3"/>
  <c r="AF197" i="3"/>
  <c r="AF199" i="3"/>
  <c r="AF200" i="3"/>
  <c r="AF201" i="3"/>
  <c r="AF229" i="3" s="1"/>
  <c r="AF193" i="3"/>
  <c r="AV137" i="2"/>
  <c r="AV138" i="2"/>
  <c r="BJ267" i="5"/>
  <c r="BJ209" i="5"/>
  <c r="AX113" i="5"/>
  <c r="AX123" i="5" s="1"/>
  <c r="FL209" i="5"/>
  <c r="FL267" i="5"/>
  <c r="FB313" i="5"/>
  <c r="FB174" i="5"/>
  <c r="FB177" i="5"/>
  <c r="J313" i="5"/>
  <c r="J174" i="5"/>
  <c r="J177" i="5"/>
  <c r="AO313" i="5"/>
  <c r="AO174" i="5"/>
  <c r="AO177" i="5"/>
  <c r="FJ152" i="3"/>
  <c r="FJ154" i="3" s="1"/>
  <c r="FJ156" i="3" s="1"/>
  <c r="FJ158" i="3" s="1"/>
  <c r="BZ113" i="5"/>
  <c r="BZ123" i="5" s="1"/>
  <c r="M146" i="3"/>
  <c r="M148" i="3" s="1"/>
  <c r="M209" i="3"/>
  <c r="M267" i="3"/>
  <c r="DN113" i="5"/>
  <c r="DN123" i="5" s="1"/>
  <c r="EI146" i="3"/>
  <c r="EI148" i="3" s="1"/>
  <c r="EI209" i="3"/>
  <c r="EI267" i="3"/>
  <c r="EJ313" i="5"/>
  <c r="EJ174" i="5"/>
  <c r="EJ182" i="5" s="1"/>
  <c r="EJ226" i="5" s="1"/>
  <c r="EJ177" i="5"/>
  <c r="Y154" i="3"/>
  <c r="FR113" i="3"/>
  <c r="FR123" i="3" s="1"/>
  <c r="FR124" i="3" s="1"/>
  <c r="CH209" i="5"/>
  <c r="CH267" i="5"/>
  <c r="AI186" i="5"/>
  <c r="AI187" i="5" s="1"/>
  <c r="AI188" i="5" s="1"/>
  <c r="AV113" i="5"/>
  <c r="AV123" i="5" s="1"/>
  <c r="CT188" i="3"/>
  <c r="CT186" i="3"/>
  <c r="CT187" i="3" s="1"/>
  <c r="DC313" i="5"/>
  <c r="DC174" i="5"/>
  <c r="DC182" i="5" s="1"/>
  <c r="DC226" i="5" s="1"/>
  <c r="DC177" i="5"/>
  <c r="EH313" i="5"/>
  <c r="EH174" i="5"/>
  <c r="EH177" i="5"/>
  <c r="CL193" i="3"/>
  <c r="CL195" i="3"/>
  <c r="CL197" i="3"/>
  <c r="CL199" i="3"/>
  <c r="CL200" i="3"/>
  <c r="CL201" i="3"/>
  <c r="CL229" i="3" s="1"/>
  <c r="CO124" i="3"/>
  <c r="EL113" i="5"/>
  <c r="EL123" i="5" s="1"/>
  <c r="S267" i="3"/>
  <c r="S209" i="3"/>
  <c r="AH113" i="5"/>
  <c r="AH123" i="5" s="1"/>
  <c r="BO137" i="2"/>
  <c r="BO138" i="2" s="1"/>
  <c r="BO139" i="2" s="1"/>
  <c r="FE186" i="3"/>
  <c r="FE187" i="3" s="1"/>
  <c r="FE188" i="3" s="1"/>
  <c r="I124" i="3"/>
  <c r="I193" i="3" s="1"/>
  <c r="I197" i="3" s="1"/>
  <c r="I199" i="3" s="1"/>
  <c r="AF133" i="2"/>
  <c r="FO162" i="3"/>
  <c r="AW113" i="3"/>
  <c r="AW123" i="3" s="1"/>
  <c r="DJ188" i="3"/>
  <c r="DJ186" i="3"/>
  <c r="DJ187" i="3" s="1"/>
  <c r="DP209" i="3"/>
  <c r="DP267" i="3"/>
  <c r="EM146" i="3"/>
  <c r="EM148" i="3" s="1"/>
  <c r="EM199" i="3"/>
  <c r="EM200" i="3"/>
  <c r="EM201" i="3"/>
  <c r="EM229" i="3" s="1"/>
  <c r="EM193" i="3"/>
  <c r="EM195" i="3"/>
  <c r="EM197" i="3"/>
  <c r="CA113" i="3"/>
  <c r="CA123" i="3" s="1"/>
  <c r="BO146" i="3"/>
  <c r="BO148" i="3" s="1"/>
  <c r="BO209" i="3"/>
  <c r="BO267" i="3"/>
  <c r="AK186" i="3"/>
  <c r="AK187" i="3" s="1"/>
  <c r="AK188" i="3" s="1"/>
  <c r="DM267" i="5"/>
  <c r="DM209" i="5"/>
  <c r="AW137" i="2"/>
  <c r="AW138" i="2" s="1"/>
  <c r="AW139" i="2" s="1"/>
  <c r="E186" i="3"/>
  <c r="E187" i="3" s="1"/>
  <c r="E188" i="3"/>
  <c r="FK186" i="5"/>
  <c r="FK187" i="5" s="1"/>
  <c r="FK188" i="5" s="1"/>
  <c r="BF188" i="5"/>
  <c r="BF186" i="5"/>
  <c r="BF187" i="5" s="1"/>
  <c r="FU128" i="3"/>
  <c r="X124" i="5"/>
  <c r="FA188" i="5"/>
  <c r="FA186" i="5"/>
  <c r="FA187" i="5" s="1"/>
  <c r="EI124" i="5"/>
  <c r="DN137" i="2"/>
  <c r="DN138" i="2"/>
  <c r="FJ209" i="5"/>
  <c r="FJ267" i="5"/>
  <c r="EF186" i="5"/>
  <c r="EF187" i="5" s="1"/>
  <c r="EF188" i="5" s="1"/>
  <c r="DR209" i="5"/>
  <c r="DR267" i="5"/>
  <c r="AH113" i="3"/>
  <c r="AH123" i="3" s="1"/>
  <c r="AH209" i="3"/>
  <c r="AH267" i="3"/>
  <c r="BA146" i="3"/>
  <c r="BA148" i="3" s="1"/>
  <c r="Y209" i="5"/>
  <c r="Y267" i="5"/>
  <c r="AM137" i="2"/>
  <c r="AM138" i="2" s="1"/>
  <c r="AM139" i="2" s="1"/>
  <c r="CO267" i="5"/>
  <c r="CO209" i="5"/>
  <c r="DE137" i="2"/>
  <c r="DE138" i="2"/>
  <c r="BO124" i="5"/>
  <c r="AQ209" i="3"/>
  <c r="AQ267" i="3"/>
  <c r="BV124" i="5"/>
  <c r="EN162" i="3"/>
  <c r="DP215" i="3"/>
  <c r="DP219" i="3" s="1"/>
  <c r="DP228" i="3" s="1"/>
  <c r="DP173" i="3"/>
  <c r="AH215" i="3"/>
  <c r="AH219" i="3" s="1"/>
  <c r="AH228" i="3" s="1"/>
  <c r="AH173" i="3"/>
  <c r="FV215" i="3"/>
  <c r="FV219" i="3" s="1"/>
  <c r="FV228" i="3" s="1"/>
  <c r="FV173" i="3"/>
  <c r="EM215" i="3"/>
  <c r="EM219" i="3" s="1"/>
  <c r="EM228" i="3" s="1"/>
  <c r="EM173" i="3"/>
  <c r="DE215" i="3"/>
  <c r="DE219" i="3" s="1"/>
  <c r="DE228" i="3" s="1"/>
  <c r="DE173" i="3"/>
  <c r="BV215" i="3"/>
  <c r="BV219" i="3" s="1"/>
  <c r="BV228" i="3" s="1"/>
  <c r="BV173" i="3"/>
  <c r="AY215" i="3"/>
  <c r="AY219" i="3" s="1"/>
  <c r="AY228" i="3" s="1"/>
  <c r="AY173" i="3"/>
  <c r="P215" i="3"/>
  <c r="P219" i="3" s="1"/>
  <c r="P228" i="3" s="1"/>
  <c r="P173" i="3"/>
  <c r="FD215" i="3"/>
  <c r="FD219" i="3" s="1"/>
  <c r="FD228" i="3" s="1"/>
  <c r="FD173" i="3"/>
  <c r="DU215" i="3"/>
  <c r="DU219" i="3" s="1"/>
  <c r="DU228" i="3" s="1"/>
  <c r="DU173" i="3"/>
  <c r="CL215" i="3"/>
  <c r="CL219" i="3" s="1"/>
  <c r="CL228" i="3" s="1"/>
  <c r="CL173" i="3"/>
  <c r="BC215" i="3"/>
  <c r="BC219" i="3" s="1"/>
  <c r="BC228" i="3" s="1"/>
  <c r="BC173" i="3"/>
  <c r="T215" i="3"/>
  <c r="T219" i="3" s="1"/>
  <c r="T228" i="3" s="1"/>
  <c r="T173" i="3"/>
  <c r="FH215" i="3"/>
  <c r="FH219" i="3" s="1"/>
  <c r="FH228" i="3" s="1"/>
  <c r="FH173" i="3"/>
  <c r="DY215" i="3"/>
  <c r="DY219" i="3" s="1"/>
  <c r="DY228" i="3" s="1"/>
  <c r="DY173" i="3"/>
  <c r="FV186" i="3"/>
  <c r="FV187" i="3" s="1"/>
  <c r="FV188" i="3" s="1"/>
  <c r="DF313" i="5"/>
  <c r="DF174" i="5"/>
  <c r="DF177" i="5"/>
  <c r="EK313" i="5"/>
  <c r="EK174" i="5"/>
  <c r="EK182" i="5" s="1"/>
  <c r="EK226" i="5" s="1"/>
  <c r="EK177" i="5"/>
  <c r="FP313" i="5"/>
  <c r="FP174" i="5"/>
  <c r="FP182" i="5" s="1"/>
  <c r="FP226" i="5" s="1"/>
  <c r="FP177" i="5"/>
  <c r="AJ186" i="3"/>
  <c r="AJ187" i="3" s="1"/>
  <c r="AJ188" i="3" s="1"/>
  <c r="CA267" i="5"/>
  <c r="CA209" i="5"/>
  <c r="DT113" i="3"/>
  <c r="DT123" i="3" s="1"/>
  <c r="DT209" i="3"/>
  <c r="DT267" i="3"/>
  <c r="CN124" i="5"/>
  <c r="FD113" i="5"/>
  <c r="FD123" i="5" s="1"/>
  <c r="BG162" i="3"/>
  <c r="EG193" i="3"/>
  <c r="EG195" i="3"/>
  <c r="EG197" i="3"/>
  <c r="EG199" i="3"/>
  <c r="EG200" i="3"/>
  <c r="EG201" i="3"/>
  <c r="EG229" i="3" s="1"/>
  <c r="BW201" i="3"/>
  <c r="BW229" i="3" s="1"/>
  <c r="BW193" i="3"/>
  <c r="BW195" i="3"/>
  <c r="BW197" i="3"/>
  <c r="BW199" i="3"/>
  <c r="BW200" i="3"/>
  <c r="CY195" i="3"/>
  <c r="CY197" i="3"/>
  <c r="CY199" i="3"/>
  <c r="CY200" i="3"/>
  <c r="CY201" i="3"/>
  <c r="CY229" i="3" s="1"/>
  <c r="CY193" i="3"/>
  <c r="AC152" i="3"/>
  <c r="AC154" i="3" s="1"/>
  <c r="AC156" i="3" s="1"/>
  <c r="AC158" i="3" s="1"/>
  <c r="BP113" i="5"/>
  <c r="BP123" i="5" s="1"/>
  <c r="BU128" i="3"/>
  <c r="BV209" i="3"/>
  <c r="BV267" i="3"/>
  <c r="ES113" i="5"/>
  <c r="ES123" i="5" s="1"/>
  <c r="DE209" i="5"/>
  <c r="DE267" i="5"/>
  <c r="CG124" i="5"/>
  <c r="EQ186" i="3"/>
  <c r="EQ187" i="3" s="1"/>
  <c r="EQ188" i="3" s="1"/>
  <c r="D113" i="5"/>
  <c r="D123" i="5" s="1"/>
  <c r="DI209" i="3"/>
  <c r="DI267" i="3"/>
  <c r="BY113" i="3"/>
  <c r="BY123" i="3" s="1"/>
  <c r="BY186" i="3"/>
  <c r="BY187" i="3" s="1"/>
  <c r="BY188" i="3" s="1"/>
  <c r="BA138" i="2"/>
  <c r="BA137" i="2"/>
  <c r="X200" i="3"/>
  <c r="X201" i="3"/>
  <c r="X229" i="3" s="1"/>
  <c r="X193" i="3"/>
  <c r="X195" i="3"/>
  <c r="X197" i="3"/>
  <c r="X199" i="3"/>
  <c r="BT113" i="5"/>
  <c r="BT123" i="5" s="1"/>
  <c r="BD209" i="5"/>
  <c r="BD267" i="5"/>
  <c r="BJ188" i="5"/>
  <c r="BJ186" i="5"/>
  <c r="BJ187" i="5" s="1"/>
  <c r="FL113" i="5"/>
  <c r="FL123" i="5" s="1"/>
  <c r="FL124" i="5" s="1"/>
  <c r="AB188" i="5"/>
  <c r="AB186" i="5"/>
  <c r="AB187" i="5" s="1"/>
  <c r="DW186" i="5"/>
  <c r="DW187" i="5" s="1"/>
  <c r="DW188" i="5" s="1"/>
  <c r="FH124" i="5"/>
  <c r="AS124" i="3"/>
  <c r="M113" i="3"/>
  <c r="M123" i="3" s="1"/>
  <c r="EI113" i="3"/>
  <c r="EI123" i="3" s="1"/>
  <c r="EI186" i="3"/>
  <c r="EI187" i="3" s="1"/>
  <c r="EI188" i="3"/>
  <c r="DZ186" i="3"/>
  <c r="DZ187" i="3" s="1"/>
  <c r="DZ188" i="3" s="1"/>
  <c r="G133" i="2"/>
  <c r="DK138" i="2"/>
  <c r="DK137" i="2"/>
  <c r="DA137" i="2"/>
  <c r="DA138" i="2" s="1"/>
  <c r="DA139" i="2" s="1"/>
  <c r="CH113" i="5"/>
  <c r="CH123" i="5" s="1"/>
  <c r="EO209" i="5"/>
  <c r="EO267" i="5"/>
  <c r="CX267" i="5"/>
  <c r="CX209" i="5"/>
  <c r="CT201" i="3"/>
  <c r="CT229" i="3" s="1"/>
  <c r="CT193" i="3"/>
  <c r="CT195" i="3"/>
  <c r="CT197" i="3"/>
  <c r="CT199" i="3"/>
  <c r="CT200" i="3"/>
  <c r="FJ128" i="3"/>
  <c r="CL209" i="3"/>
  <c r="CL267" i="3"/>
  <c r="DN200" i="3"/>
  <c r="DN195" i="3"/>
  <c r="O201" i="3"/>
  <c r="O229" i="3" s="1"/>
  <c r="O193" i="3"/>
  <c r="O195" i="3"/>
  <c r="O197" i="3"/>
  <c r="O199" i="3"/>
  <c r="O200" i="3"/>
  <c r="S113" i="3"/>
  <c r="S123" i="3" s="1"/>
  <c r="S186" i="3"/>
  <c r="S187" i="3" s="1"/>
  <c r="S188" i="3"/>
  <c r="FE138" i="2"/>
  <c r="FE137" i="2"/>
  <c r="FO186" i="3"/>
  <c r="FO187" i="3" s="1"/>
  <c r="FO188" i="3"/>
  <c r="DJ146" i="3"/>
  <c r="DJ148" i="3" s="1"/>
  <c r="DJ195" i="3"/>
  <c r="DJ200" i="3"/>
  <c r="G195" i="3"/>
  <c r="G197" i="3"/>
  <c r="G199" i="3"/>
  <c r="G200" i="3"/>
  <c r="G201" i="3"/>
  <c r="G229" i="3" s="1"/>
  <c r="G193" i="3"/>
  <c r="FE124" i="5"/>
  <c r="DP113" i="3"/>
  <c r="DP123" i="3" s="1"/>
  <c r="CI162" i="3"/>
  <c r="BH313" i="5"/>
  <c r="BH174" i="5"/>
  <c r="BH177" i="5"/>
  <c r="CM313" i="5"/>
  <c r="CM174" i="5"/>
  <c r="CM182" i="5" s="1"/>
  <c r="CM226" i="5" s="1"/>
  <c r="CM177" i="5"/>
  <c r="BK184" i="5"/>
  <c r="BK207" i="5"/>
  <c r="BK150" i="5"/>
  <c r="BK191" i="5"/>
  <c r="BK115" i="5"/>
  <c r="BK122" i="5" s="1"/>
  <c r="BK104" i="5"/>
  <c r="BK112" i="5"/>
  <c r="BK109" i="5"/>
  <c r="BK111" i="5" s="1"/>
  <c r="BK113" i="5" s="1"/>
  <c r="BK123" i="5" s="1"/>
  <c r="EM113" i="3"/>
  <c r="EM123" i="3" s="1"/>
  <c r="EM124" i="3" s="1"/>
  <c r="EM267" i="3"/>
  <c r="EM209" i="3"/>
  <c r="BO113" i="3"/>
  <c r="BO123" i="3" s="1"/>
  <c r="BO186" i="3"/>
  <c r="BO187" i="3" s="1"/>
  <c r="BO188" i="3"/>
  <c r="AK200" i="3"/>
  <c r="AK201" i="3"/>
  <c r="AK229" i="3" s="1"/>
  <c r="AK193" i="3"/>
  <c r="AK195" i="3"/>
  <c r="AK197" i="3"/>
  <c r="AK199" i="3"/>
  <c r="DM113" i="5"/>
  <c r="DM123" i="5" s="1"/>
  <c r="AR209" i="5"/>
  <c r="AR267" i="5"/>
  <c r="EA186" i="3"/>
  <c r="EA187" i="3" s="1"/>
  <c r="EA188" i="3" s="1"/>
  <c r="DW127" i="2"/>
  <c r="E113" i="3"/>
  <c r="E123" i="3" s="1"/>
  <c r="E209" i="3"/>
  <c r="E267" i="3"/>
  <c r="DR137" i="2"/>
  <c r="DR138" i="2"/>
  <c r="DR139" i="2" s="1"/>
  <c r="DT127" i="2"/>
  <c r="FK209" i="5"/>
  <c r="FK267" i="5"/>
  <c r="CD124" i="3"/>
  <c r="X127" i="2"/>
  <c r="K186" i="5"/>
  <c r="K187" i="5" s="1"/>
  <c r="K188" i="5" s="1"/>
  <c r="FA313" i="5"/>
  <c r="FA174" i="5"/>
  <c r="FA182" i="5" s="1"/>
  <c r="FA226" i="5" s="1"/>
  <c r="FA177" i="5"/>
  <c r="I313" i="5"/>
  <c r="I174" i="5"/>
  <c r="I177" i="5"/>
  <c r="AN313" i="5"/>
  <c r="AN174" i="5"/>
  <c r="AN182" i="5" s="1"/>
  <c r="AN226" i="5" s="1"/>
  <c r="AN177" i="5"/>
  <c r="FJ113" i="5"/>
  <c r="FJ123" i="5" s="1"/>
  <c r="DR113" i="5"/>
  <c r="DR123" i="5" s="1"/>
  <c r="FL137" i="2"/>
  <c r="FL138" i="2"/>
  <c r="CU124" i="3"/>
  <c r="Y113" i="5"/>
  <c r="Y123" i="5" s="1"/>
  <c r="P137" i="2"/>
  <c r="P138" i="2"/>
  <c r="P139" i="2" s="1"/>
  <c r="CO113" i="5"/>
  <c r="CO123" i="5" s="1"/>
  <c r="AQ186" i="3"/>
  <c r="AQ187" i="3" s="1"/>
  <c r="AQ188" i="3" s="1"/>
  <c r="EN113" i="3"/>
  <c r="EN123" i="3" s="1"/>
  <c r="EN186" i="3"/>
  <c r="EN187" i="3" s="1"/>
  <c r="EN188" i="3"/>
  <c r="EB215" i="3"/>
  <c r="EB219" i="3" s="1"/>
  <c r="EB228" i="3" s="1"/>
  <c r="EB173" i="3"/>
  <c r="AT215" i="3"/>
  <c r="AT219" i="3" s="1"/>
  <c r="AT228" i="3" s="1"/>
  <c r="AT173" i="3"/>
  <c r="K215" i="3"/>
  <c r="K219" i="3" s="1"/>
  <c r="K228" i="3" s="1"/>
  <c r="K173" i="3"/>
  <c r="EY215" i="3"/>
  <c r="EY219" i="3" s="1"/>
  <c r="EY228" i="3" s="1"/>
  <c r="EY173" i="3"/>
  <c r="DQ215" i="3"/>
  <c r="DQ219" i="3" s="1"/>
  <c r="DQ228" i="3" s="1"/>
  <c r="DQ173" i="3"/>
  <c r="CH215" i="3"/>
  <c r="CH219" i="3" s="1"/>
  <c r="CH228" i="3" s="1"/>
  <c r="CH173" i="3"/>
  <c r="BK215" i="3"/>
  <c r="BK219" i="3" s="1"/>
  <c r="BK228" i="3" s="1"/>
  <c r="BK173" i="3"/>
  <c r="AB215" i="3"/>
  <c r="AB219" i="3" s="1"/>
  <c r="AB228" i="3" s="1"/>
  <c r="AB173" i="3"/>
  <c r="FP215" i="3"/>
  <c r="FP219" i="3" s="1"/>
  <c r="FP228" i="3" s="1"/>
  <c r="FP173" i="3"/>
  <c r="EG215" i="3"/>
  <c r="EG219" i="3" s="1"/>
  <c r="EG228" i="3" s="1"/>
  <c r="EG173" i="3"/>
  <c r="CX215" i="3"/>
  <c r="CX219" i="3" s="1"/>
  <c r="CX228" i="3" s="1"/>
  <c r="CX173" i="3"/>
  <c r="BO215" i="3"/>
  <c r="BO219" i="3" s="1"/>
  <c r="BO228" i="3" s="1"/>
  <c r="BO173" i="3"/>
  <c r="AF215" i="3"/>
  <c r="AF219" i="3" s="1"/>
  <c r="AF228" i="3" s="1"/>
  <c r="AF173" i="3"/>
  <c r="FT215" i="3"/>
  <c r="FT219" i="3" s="1"/>
  <c r="FT228" i="3" s="1"/>
  <c r="FT173" i="3"/>
  <c r="EK215" i="3"/>
  <c r="EK219" i="3" s="1"/>
  <c r="EK228" i="3" s="1"/>
  <c r="EK173" i="3"/>
  <c r="FU154" i="3"/>
  <c r="CP124" i="5"/>
  <c r="BG124" i="5"/>
  <c r="FV146" i="3"/>
  <c r="FV148" i="3" s="1"/>
  <c r="FV200" i="3"/>
  <c r="FV193" i="3"/>
  <c r="FV195" i="3"/>
  <c r="V124" i="3"/>
  <c r="AJ209" i="3"/>
  <c r="AJ267" i="3"/>
  <c r="EX124" i="3"/>
  <c r="CE128" i="5"/>
  <c r="CY188" i="5"/>
  <c r="CY186" i="5"/>
  <c r="CY187" i="5" s="1"/>
  <c r="FR137" i="2"/>
  <c r="FR138" i="2" s="1"/>
  <c r="FR139" i="2" s="1"/>
  <c r="AU186" i="5"/>
  <c r="AU187" i="5" s="1"/>
  <c r="AU188" i="5"/>
  <c r="D162" i="3"/>
  <c r="DT146" i="3"/>
  <c r="DT148" i="3" s="1"/>
  <c r="AG124" i="3"/>
  <c r="DB133" i="2"/>
  <c r="ET209" i="5"/>
  <c r="ET267" i="5"/>
  <c r="EG186" i="3"/>
  <c r="EG187" i="3" s="1"/>
  <c r="EG188" i="3"/>
  <c r="DL162" i="3"/>
  <c r="CY267" i="3"/>
  <c r="CY209" i="3"/>
  <c r="AC193" i="3"/>
  <c r="AC195" i="3"/>
  <c r="AC197" i="3"/>
  <c r="AC199" i="3"/>
  <c r="AC200" i="3"/>
  <c r="AC201" i="3"/>
  <c r="AC229" i="3" s="1"/>
  <c r="CZ128" i="3"/>
  <c r="BV113" i="3"/>
  <c r="BV123" i="3" s="1"/>
  <c r="CD313" i="5"/>
  <c r="CD174" i="5"/>
  <c r="CD177" i="5"/>
  <c r="DI313" i="5"/>
  <c r="DI174" i="5"/>
  <c r="DI177" i="5"/>
  <c r="EA137" i="2"/>
  <c r="EA138" i="2" s="1"/>
  <c r="EA139" i="2" s="1"/>
  <c r="EQ209" i="3"/>
  <c r="EQ267" i="3"/>
  <c r="V124" i="5"/>
  <c r="D124" i="5"/>
  <c r="BE197" i="3"/>
  <c r="BE199" i="3"/>
  <c r="BE200" i="3"/>
  <c r="BE201" i="3"/>
  <c r="BE229" i="3" s="1"/>
  <c r="BE193" i="3"/>
  <c r="BE195" i="3"/>
  <c r="DY137" i="2"/>
  <c r="DY138" i="2" s="1"/>
  <c r="DY139" i="2" s="1"/>
  <c r="BY146" i="3"/>
  <c r="BY148" i="3" s="1"/>
  <c r="BY209" i="3"/>
  <c r="BY267" i="3"/>
  <c r="X186" i="3"/>
  <c r="X187" i="3" s="1"/>
  <c r="X188" i="3" s="1"/>
  <c r="BD113" i="5"/>
  <c r="BD123" i="5" s="1"/>
  <c r="AI313" i="5"/>
  <c r="AI174" i="5"/>
  <c r="AI177" i="5"/>
  <c r="FU108" i="2"/>
  <c r="FU111" i="2"/>
  <c r="FC313" i="5"/>
  <c r="FC174" i="5"/>
  <c r="FC182" i="5" s="1"/>
  <c r="FC226" i="5" s="1"/>
  <c r="FC177" i="5"/>
  <c r="AE186" i="3"/>
  <c r="AE187" i="3" s="1"/>
  <c r="AE188" i="3"/>
  <c r="ER186" i="3"/>
  <c r="ER187" i="3" s="1"/>
  <c r="ER188" i="3"/>
  <c r="AI209" i="3"/>
  <c r="AI267" i="3"/>
  <c r="BM193" i="3"/>
  <c r="BM195" i="3"/>
  <c r="BM197" i="3"/>
  <c r="BM199" i="3"/>
  <c r="BM200" i="3"/>
  <c r="BM201" i="3"/>
  <c r="BM229" i="3" s="1"/>
  <c r="U197" i="3"/>
  <c r="U199" i="3"/>
  <c r="U200" i="3"/>
  <c r="U201" i="3"/>
  <c r="U229" i="3" s="1"/>
  <c r="U193" i="3"/>
  <c r="U195" i="3"/>
  <c r="BZ111" i="2"/>
  <c r="BZ108" i="2"/>
  <c r="J108" i="2"/>
  <c r="J111" i="2"/>
  <c r="DT108" i="2"/>
  <c r="DT111" i="2"/>
  <c r="E209" i="5"/>
  <c r="E267" i="5"/>
  <c r="J186" i="5"/>
  <c r="J187" i="5" s="1"/>
  <c r="J188" i="5"/>
  <c r="BT137" i="2"/>
  <c r="BT138" i="2" s="1"/>
  <c r="BT139" i="2" s="1"/>
  <c r="EJ188" i="3"/>
  <c r="EJ186" i="3"/>
  <c r="EJ187" i="3" s="1"/>
  <c r="CN209" i="3"/>
  <c r="CN267" i="3"/>
  <c r="FN209" i="5"/>
  <c r="FN267" i="5"/>
  <c r="AW186" i="5"/>
  <c r="AW187" i="5" s="1"/>
  <c r="AW188" i="5" s="1"/>
  <c r="EF137" i="2"/>
  <c r="EF138" i="2" s="1"/>
  <c r="EF139" i="2" s="1"/>
  <c r="EJ227" i="5"/>
  <c r="CV124" i="5"/>
  <c r="BC186" i="3"/>
  <c r="BC187" i="3" s="1"/>
  <c r="BC188" i="3"/>
  <c r="EW186" i="3"/>
  <c r="EW187" i="3" s="1"/>
  <c r="EW188" i="3"/>
  <c r="DA186" i="5"/>
  <c r="DA187" i="5" s="1"/>
  <c r="DA188" i="5" s="1"/>
  <c r="EZ200" i="3"/>
  <c r="EZ201" i="3"/>
  <c r="EZ229" i="3" s="1"/>
  <c r="EZ193" i="3"/>
  <c r="EZ195" i="3"/>
  <c r="EZ197" i="3"/>
  <c r="EZ199" i="3"/>
  <c r="AE124" i="5"/>
  <c r="AZ124" i="5"/>
  <c r="BI313" i="5"/>
  <c r="BI174" i="5"/>
  <c r="BI177" i="5"/>
  <c r="CN313" i="5"/>
  <c r="CN174" i="5"/>
  <c r="CN177" i="5"/>
  <c r="DS313" i="5"/>
  <c r="DS174" i="5"/>
  <c r="DS177" i="5"/>
  <c r="EM137" i="2"/>
  <c r="EM138" i="2"/>
  <c r="EN188" i="5"/>
  <c r="EN186" i="5"/>
  <c r="EN187" i="5" s="1"/>
  <c r="BD120" i="2"/>
  <c r="BD121" i="2" s="1"/>
  <c r="BD86" i="2"/>
  <c r="BD102" i="2"/>
  <c r="BD103" i="2" s="1"/>
  <c r="BD95" i="2"/>
  <c r="BD98" i="2" s="1"/>
  <c r="U120" i="2"/>
  <c r="U121" i="2" s="1"/>
  <c r="U86" i="2"/>
  <c r="U102" i="2"/>
  <c r="U103" i="2" s="1"/>
  <c r="U95" i="2"/>
  <c r="U98" i="2" s="1"/>
  <c r="U139" i="2"/>
  <c r="U127" i="2"/>
  <c r="U133" i="2"/>
  <c r="FI120" i="2"/>
  <c r="FI121" i="2" s="1"/>
  <c r="FI86" i="2"/>
  <c r="FI102" i="2"/>
  <c r="FI103" i="2" s="1"/>
  <c r="FI95" i="2"/>
  <c r="FI98" i="2" s="1"/>
  <c r="DO120" i="2"/>
  <c r="DO121" i="2" s="1"/>
  <c r="DO86" i="2"/>
  <c r="DO102" i="2"/>
  <c r="DO103" i="2" s="1"/>
  <c r="DO95" i="2"/>
  <c r="DO98" i="2" s="1"/>
  <c r="CF120" i="2"/>
  <c r="CF121" i="2" s="1"/>
  <c r="CF102" i="2"/>
  <c r="CF103" i="2" s="1"/>
  <c r="CF95" i="2"/>
  <c r="CF98" i="2" s="1"/>
  <c r="CF86" i="2"/>
  <c r="EX120" i="2"/>
  <c r="EX121" i="2" s="1"/>
  <c r="EX95" i="2"/>
  <c r="EX98" i="2" s="1"/>
  <c r="EX86" i="2"/>
  <c r="EX102" i="2"/>
  <c r="EX103" i="2" s="1"/>
  <c r="EO120" i="2"/>
  <c r="EO121" i="2" s="1"/>
  <c r="EO102" i="2"/>
  <c r="EO103" i="2" s="1"/>
  <c r="EO95" i="2"/>
  <c r="EO98" i="2" s="1"/>
  <c r="EO86" i="2"/>
  <c r="DR120" i="2"/>
  <c r="DR121" i="2" s="1"/>
  <c r="DR102" i="2"/>
  <c r="DR103" i="2" s="1"/>
  <c r="DR95" i="2"/>
  <c r="DR98" i="2" s="1"/>
  <c r="DR86" i="2"/>
  <c r="CI120" i="2"/>
  <c r="CI121" i="2" s="1"/>
  <c r="CI95" i="2"/>
  <c r="CI98" i="2" s="1"/>
  <c r="CI86" i="2"/>
  <c r="CI102" i="2"/>
  <c r="CI103" i="2" s="1"/>
  <c r="AZ120" i="2"/>
  <c r="AZ121" i="2" s="1"/>
  <c r="AZ95" i="2"/>
  <c r="AZ98" i="2" s="1"/>
  <c r="AZ86" i="2"/>
  <c r="AZ102" i="2"/>
  <c r="AZ103" i="2" s="1"/>
  <c r="DZ120" i="2"/>
  <c r="DZ121" i="2" s="1"/>
  <c r="DZ86" i="2"/>
  <c r="DZ102" i="2"/>
  <c r="DZ103" i="2" s="1"/>
  <c r="DZ95" i="2"/>
  <c r="DZ98" i="2" s="1"/>
  <c r="EG120" i="2"/>
  <c r="EG121" i="2" s="1"/>
  <c r="EG102" i="2"/>
  <c r="EG103" i="2" s="1"/>
  <c r="EG95" i="2"/>
  <c r="EG98" i="2" s="1"/>
  <c r="EG86" i="2"/>
  <c r="CX120" i="2"/>
  <c r="CX121" i="2" s="1"/>
  <c r="CX95" i="2"/>
  <c r="CX98" i="2" s="1"/>
  <c r="CX86" i="2"/>
  <c r="CX102" i="2"/>
  <c r="CX103" i="2" s="1"/>
  <c r="G95" i="2"/>
  <c r="G98" i="2" s="1"/>
  <c r="G86" i="2"/>
  <c r="G120" i="2"/>
  <c r="G121" i="2" s="1"/>
  <c r="G102" i="2"/>
  <c r="G103" i="2" s="1"/>
  <c r="EU95" i="2"/>
  <c r="EU98" i="2" s="1"/>
  <c r="EU86" i="2"/>
  <c r="EU120" i="2"/>
  <c r="EU121" i="2" s="1"/>
  <c r="EU102" i="2"/>
  <c r="EU103" i="2" s="1"/>
  <c r="BB195" i="3"/>
  <c r="BB200" i="3"/>
  <c r="BF197" i="3"/>
  <c r="BF199" i="3"/>
  <c r="BF200" i="3"/>
  <c r="BF201" i="3"/>
  <c r="BF229" i="3" s="1"/>
  <c r="BF193" i="3"/>
  <c r="BF195" i="3"/>
  <c r="EK124" i="3"/>
  <c r="EY267" i="3"/>
  <c r="EY209" i="3"/>
  <c r="DL227" i="5"/>
  <c r="CX209" i="3"/>
  <c r="CX267" i="3"/>
  <c r="AC137" i="2"/>
  <c r="AC138" i="2" s="1"/>
  <c r="AC139" i="2" s="1"/>
  <c r="DH209" i="3"/>
  <c r="DH267" i="3"/>
  <c r="FH186" i="3"/>
  <c r="FH187" i="3" s="1"/>
  <c r="FH188" i="3" s="1"/>
  <c r="AF186" i="3"/>
  <c r="AF187" i="3" s="1"/>
  <c r="AF188" i="3" s="1"/>
  <c r="FB188" i="3"/>
  <c r="FB186" i="3"/>
  <c r="FB187" i="3" s="1"/>
  <c r="DJ124" i="5"/>
  <c r="ES186" i="3"/>
  <c r="ES187" i="3" s="1"/>
  <c r="ES188" i="3"/>
  <c r="F113" i="5"/>
  <c r="F123" i="5" s="1"/>
  <c r="EE201" i="3"/>
  <c r="EE229" i="3" s="1"/>
  <c r="EE193" i="3"/>
  <c r="EE195" i="3"/>
  <c r="EE197" i="3"/>
  <c r="EE199" i="3"/>
  <c r="EE200" i="3"/>
  <c r="CQ124" i="3"/>
  <c r="AT186" i="3"/>
  <c r="AT187" i="3" s="1"/>
  <c r="AT188" i="3" s="1"/>
  <c r="AU188" i="3"/>
  <c r="AU186" i="3"/>
  <c r="AU187" i="3" s="1"/>
  <c r="BN124" i="5"/>
  <c r="AI188" i="3"/>
  <c r="AI186" i="3"/>
  <c r="AI187" i="3" s="1"/>
  <c r="CK193" i="3"/>
  <c r="CK195" i="3"/>
  <c r="CK197" i="3"/>
  <c r="CK199" i="3"/>
  <c r="CK200" i="3"/>
  <c r="CK201" i="3"/>
  <c r="CK229" i="3" s="1"/>
  <c r="EH124" i="5"/>
  <c r="EU124" i="3"/>
  <c r="N113" i="5"/>
  <c r="N123" i="5" s="1"/>
  <c r="FN113" i="3"/>
  <c r="FN123" i="3" s="1"/>
  <c r="FN195" i="3"/>
  <c r="FN200" i="3"/>
  <c r="CG209" i="3"/>
  <c r="CG267" i="3"/>
  <c r="BZ146" i="3"/>
  <c r="BZ148" i="3" s="1"/>
  <c r="BZ193" i="3"/>
  <c r="BZ195" i="3"/>
  <c r="BZ197" i="3"/>
  <c r="BZ199" i="3"/>
  <c r="BZ200" i="3"/>
  <c r="BZ201" i="3"/>
  <c r="BZ229" i="3" s="1"/>
  <c r="CL313" i="5"/>
  <c r="CL174" i="5"/>
  <c r="CL182" i="5" s="1"/>
  <c r="CL226" i="5" s="1"/>
  <c r="CL177" i="5"/>
  <c r="DQ137" i="2"/>
  <c r="DQ138" i="2"/>
  <c r="DQ139" i="2" s="1"/>
  <c r="BU200" i="3"/>
  <c r="BU201" i="3"/>
  <c r="BU229" i="3" s="1"/>
  <c r="BU193" i="3"/>
  <c r="BU195" i="3"/>
  <c r="BU197" i="3"/>
  <c r="BU199" i="3"/>
  <c r="DO209" i="3"/>
  <c r="DO267" i="3"/>
  <c r="AQ124" i="5"/>
  <c r="BM209" i="3"/>
  <c r="BM267" i="3"/>
  <c r="DF162" i="3"/>
  <c r="AS113" i="5"/>
  <c r="AS123" i="5" s="1"/>
  <c r="W209" i="5"/>
  <c r="W267" i="5"/>
  <c r="U146" i="3"/>
  <c r="U148" i="3" s="1"/>
  <c r="U209" i="3"/>
  <c r="U267" i="3"/>
  <c r="DB113" i="5"/>
  <c r="DB123" i="5" s="1"/>
  <c r="FA200" i="3"/>
  <c r="FA201" i="3"/>
  <c r="FA229" i="3" s="1"/>
  <c r="FA193" i="3"/>
  <c r="FA195" i="3"/>
  <c r="FA197" i="3"/>
  <c r="FA199" i="3"/>
  <c r="CL111" i="2"/>
  <c r="CL108" i="2"/>
  <c r="AE108" i="2"/>
  <c r="AE111" i="2"/>
  <c r="FS111" i="2"/>
  <c r="FS108" i="2"/>
  <c r="EJ108" i="2"/>
  <c r="EJ111" i="2"/>
  <c r="CC108" i="2"/>
  <c r="CC111" i="2"/>
  <c r="V108" i="2"/>
  <c r="V111" i="2"/>
  <c r="FJ111" i="2"/>
  <c r="FJ108" i="2"/>
  <c r="CE108" i="2"/>
  <c r="CE111" i="2"/>
  <c r="EB108" i="2"/>
  <c r="EB111" i="2"/>
  <c r="AW111" i="2"/>
  <c r="AW108" i="2"/>
  <c r="ED108" i="2"/>
  <c r="ED111" i="2"/>
  <c r="BK111" i="2"/>
  <c r="BK108" i="2"/>
  <c r="EF111" i="2"/>
  <c r="EF108" i="2"/>
  <c r="BA108" i="2"/>
  <c r="BA111" i="2"/>
  <c r="EO146" i="3"/>
  <c r="EO148" i="3" s="1"/>
  <c r="EO209" i="3"/>
  <c r="EO267" i="3"/>
  <c r="EA113" i="5"/>
  <c r="EA123" i="5" s="1"/>
  <c r="EL133" i="2"/>
  <c r="DO127" i="2"/>
  <c r="J209" i="5"/>
  <c r="J267" i="5"/>
  <c r="Z186" i="3"/>
  <c r="Z187" i="3" s="1"/>
  <c r="Z188" i="3" s="1"/>
  <c r="BH209" i="3"/>
  <c r="BH267" i="3"/>
  <c r="FT209" i="3"/>
  <c r="FT267" i="3"/>
  <c r="AP124" i="3"/>
  <c r="EJ146" i="3"/>
  <c r="EJ148" i="3" s="1"/>
  <c r="EJ209" i="3"/>
  <c r="EJ267" i="3"/>
  <c r="AY137" i="2"/>
  <c r="AY138" i="2" s="1"/>
  <c r="AY139" i="2" s="1"/>
  <c r="CN113" i="3"/>
  <c r="CN123" i="3" s="1"/>
  <c r="DE200" i="3"/>
  <c r="DE201" i="3"/>
  <c r="DE229" i="3" s="1"/>
  <c r="DE193" i="3"/>
  <c r="DE195" i="3"/>
  <c r="DE197" i="3"/>
  <c r="DE199" i="3"/>
  <c r="FN113" i="5"/>
  <c r="FN123" i="5" s="1"/>
  <c r="CS186" i="3"/>
  <c r="CS187" i="3" s="1"/>
  <c r="CS188" i="3" s="1"/>
  <c r="BU150" i="5"/>
  <c r="BU162" i="5" s="1"/>
  <c r="FF209" i="5"/>
  <c r="FF267" i="5"/>
  <c r="X313" i="5"/>
  <c r="X174" i="5"/>
  <c r="X177" i="5"/>
  <c r="CS124" i="5"/>
  <c r="BC146" i="3"/>
  <c r="BC148" i="3" s="1"/>
  <c r="BC267" i="3"/>
  <c r="BC209" i="3"/>
  <c r="EZ209" i="3"/>
  <c r="EZ267" i="3"/>
  <c r="EF195" i="3"/>
  <c r="EF200" i="3"/>
  <c r="BY186" i="5"/>
  <c r="BY187" i="5" s="1"/>
  <c r="BY188" i="5" s="1"/>
  <c r="BP120" i="2"/>
  <c r="BP121" i="2" s="1"/>
  <c r="BP86" i="2"/>
  <c r="BP142" i="2" s="1"/>
  <c r="BP102" i="2"/>
  <c r="BP103" i="2" s="1"/>
  <c r="BP95" i="2"/>
  <c r="BP98" i="2" s="1"/>
  <c r="BP139" i="2"/>
  <c r="BP133" i="2"/>
  <c r="BP127" i="2"/>
  <c r="AG120" i="2"/>
  <c r="AG121" i="2" s="1"/>
  <c r="AG86" i="2"/>
  <c r="AG102" i="2"/>
  <c r="AG103" i="2" s="1"/>
  <c r="AG95" i="2"/>
  <c r="AG98" i="2" s="1"/>
  <c r="AG139" i="2"/>
  <c r="AG133" i="2"/>
  <c r="AG127" i="2"/>
  <c r="FU120" i="2"/>
  <c r="FU121" i="2" s="1"/>
  <c r="FU86" i="2"/>
  <c r="FU102" i="2"/>
  <c r="FU103" i="2" s="1"/>
  <c r="FU95" i="2"/>
  <c r="FU98" i="2" s="1"/>
  <c r="EA120" i="2"/>
  <c r="EA121" i="2" s="1"/>
  <c r="EA86" i="2"/>
  <c r="EA102" i="2"/>
  <c r="EA103" i="2" s="1"/>
  <c r="EA95" i="2"/>
  <c r="EA98" i="2" s="1"/>
  <c r="CR120" i="2"/>
  <c r="CR121" i="2" s="1"/>
  <c r="CR102" i="2"/>
  <c r="CR103" i="2" s="1"/>
  <c r="CR95" i="2"/>
  <c r="CR98" i="2" s="1"/>
  <c r="CR86" i="2"/>
  <c r="M120" i="2"/>
  <c r="M121" i="2" s="1"/>
  <c r="M102" i="2"/>
  <c r="M103" i="2" s="1"/>
  <c r="M95" i="2"/>
  <c r="M98" i="2" s="1"/>
  <c r="M86" i="2"/>
  <c r="FA120" i="2"/>
  <c r="FA121" i="2" s="1"/>
  <c r="FA102" i="2"/>
  <c r="FA103" i="2" s="1"/>
  <c r="FA95" i="2"/>
  <c r="FA98" i="2" s="1"/>
  <c r="FA86" i="2"/>
  <c r="FA139" i="2"/>
  <c r="ED120" i="2"/>
  <c r="ED121" i="2" s="1"/>
  <c r="ED102" i="2"/>
  <c r="ED103" i="2" s="1"/>
  <c r="ED86" i="2"/>
  <c r="ED95" i="2"/>
  <c r="ED98" i="2" s="1"/>
  <c r="CU120" i="2"/>
  <c r="CU121" i="2" s="1"/>
  <c r="CU95" i="2"/>
  <c r="CU98" i="2" s="1"/>
  <c r="CU86" i="2"/>
  <c r="CU102" i="2"/>
  <c r="CU103" i="2" s="1"/>
  <c r="BL120" i="2"/>
  <c r="BL121" i="2" s="1"/>
  <c r="BL95" i="2"/>
  <c r="BL98" i="2" s="1"/>
  <c r="BL86" i="2"/>
  <c r="BL102" i="2"/>
  <c r="BL103" i="2" s="1"/>
  <c r="E120" i="2"/>
  <c r="E121" i="2" s="1"/>
  <c r="E102" i="2"/>
  <c r="E103" i="2" s="1"/>
  <c r="E95" i="2"/>
  <c r="E98" i="2" s="1"/>
  <c r="E86" i="2"/>
  <c r="ES120" i="2"/>
  <c r="ES121" i="2" s="1"/>
  <c r="ES95" i="2"/>
  <c r="ES98" i="2" s="1"/>
  <c r="ES86" i="2"/>
  <c r="ES102" i="2"/>
  <c r="ES103" i="2" s="1"/>
  <c r="DJ120" i="2"/>
  <c r="DJ121" i="2" s="1"/>
  <c r="DJ95" i="2"/>
  <c r="DJ98" i="2" s="1"/>
  <c r="DJ86" i="2"/>
  <c r="DJ102" i="2"/>
  <c r="DJ103" i="2" s="1"/>
  <c r="S95" i="2"/>
  <c r="S98" i="2" s="1"/>
  <c r="S120" i="2"/>
  <c r="S121" i="2" s="1"/>
  <c r="S86" i="2"/>
  <c r="S102" i="2"/>
  <c r="S103" i="2" s="1"/>
  <c r="FG95" i="2"/>
  <c r="FG98" i="2" s="1"/>
  <c r="FG120" i="2"/>
  <c r="FG121" i="2" s="1"/>
  <c r="FG86" i="2"/>
  <c r="FG102" i="2"/>
  <c r="FG103" i="2" s="1"/>
  <c r="BB146" i="3"/>
  <c r="BB148" i="3" s="1"/>
  <c r="BB209" i="3"/>
  <c r="BB267" i="3"/>
  <c r="AY313" i="5"/>
  <c r="AY174" i="5"/>
  <c r="AY177" i="5"/>
  <c r="BR313" i="5"/>
  <c r="BR174" i="5"/>
  <c r="BR182" i="5" s="1"/>
  <c r="BR226" i="5" s="1"/>
  <c r="BR177" i="5"/>
  <c r="EY200" i="3"/>
  <c r="EY195" i="3"/>
  <c r="AL186" i="3"/>
  <c r="AL187" i="3" s="1"/>
  <c r="AL188" i="3" s="1"/>
  <c r="CT127" i="2"/>
  <c r="FH209" i="3"/>
  <c r="FH267" i="3"/>
  <c r="AF113" i="3"/>
  <c r="AF123" i="3" s="1"/>
  <c r="AF209" i="3"/>
  <c r="AF267" i="3"/>
  <c r="FB146" i="3"/>
  <c r="FB148" i="3" s="1"/>
  <c r="FB201" i="3"/>
  <c r="FB229" i="3" s="1"/>
  <c r="FB193" i="3"/>
  <c r="FB195" i="3"/>
  <c r="FB197" i="3"/>
  <c r="FB199" i="3"/>
  <c r="FB200" i="3"/>
  <c r="FO137" i="2"/>
  <c r="FO138" i="2"/>
  <c r="EY186" i="5"/>
  <c r="EY187" i="5" s="1"/>
  <c r="EY188" i="5"/>
  <c r="N313" i="5"/>
  <c r="N174" i="5"/>
  <c r="N177" i="5"/>
  <c r="AS313" i="5"/>
  <c r="AS174" i="5"/>
  <c r="AS177" i="5"/>
  <c r="BX313" i="5"/>
  <c r="BX174" i="5"/>
  <c r="BX177" i="5"/>
  <c r="AB209" i="5"/>
  <c r="AB267" i="5"/>
  <c r="DP186" i="5"/>
  <c r="DP187" i="5" s="1"/>
  <c r="DP188" i="5" s="1"/>
  <c r="BS186" i="5"/>
  <c r="BS187" i="5" s="1"/>
  <c r="BS188" i="5" s="1"/>
  <c r="DN124" i="5"/>
  <c r="EZ127" i="2"/>
  <c r="DZ209" i="3"/>
  <c r="DZ267" i="3"/>
  <c r="CZ186" i="5"/>
  <c r="CZ187" i="5" s="1"/>
  <c r="CZ188" i="5" s="1"/>
  <c r="BY137" i="2"/>
  <c r="BY138" i="2" s="1"/>
  <c r="BY139" i="2" s="1"/>
  <c r="DK186" i="5"/>
  <c r="DK187" i="5" s="1"/>
  <c r="DK188" i="5" s="1"/>
  <c r="CI127" i="2"/>
  <c r="ES137" i="2"/>
  <c r="ES138" i="2" s="1"/>
  <c r="ES139" i="2" s="1"/>
  <c r="FI186" i="5"/>
  <c r="FI187" i="5" s="1"/>
  <c r="FI188" i="5" s="1"/>
  <c r="BM128" i="5"/>
  <c r="AI209" i="5"/>
  <c r="AI267" i="5"/>
  <c r="EO186" i="5"/>
  <c r="EO187" i="5" s="1"/>
  <c r="EO188" i="5" s="1"/>
  <c r="CX113" i="5"/>
  <c r="CX123" i="5" s="1"/>
  <c r="DV193" i="3"/>
  <c r="DV195" i="3"/>
  <c r="DV197" i="3"/>
  <c r="DV199" i="3"/>
  <c r="DV200" i="3"/>
  <c r="DV201" i="3"/>
  <c r="DV229" i="3" s="1"/>
  <c r="CT209" i="3"/>
  <c r="CT267" i="3"/>
  <c r="EL313" i="5"/>
  <c r="EL174" i="5"/>
  <c r="EL177" i="5"/>
  <c r="FQ313" i="5"/>
  <c r="FQ174" i="5"/>
  <c r="FQ182" i="5" s="1"/>
  <c r="FQ226" i="5" s="1"/>
  <c r="FQ177" i="5"/>
  <c r="CL113" i="3"/>
  <c r="CL123" i="3" s="1"/>
  <c r="DN146" i="3"/>
  <c r="DN148" i="3" s="1"/>
  <c r="DN186" i="3"/>
  <c r="DN187" i="3" s="1"/>
  <c r="DN188" i="3"/>
  <c r="BM150" i="5"/>
  <c r="BM162" i="5" s="1"/>
  <c r="FF150" i="3"/>
  <c r="FE124" i="3"/>
  <c r="I209" i="3"/>
  <c r="I267" i="3"/>
  <c r="BF137" i="2"/>
  <c r="BF138" i="2"/>
  <c r="FO209" i="3"/>
  <c r="FO267" i="3"/>
  <c r="AW124" i="3"/>
  <c r="DJ209" i="3"/>
  <c r="DJ267" i="3"/>
  <c r="G186" i="3"/>
  <c r="G187" i="3" s="1"/>
  <c r="G188" i="3"/>
  <c r="CI209" i="3"/>
  <c r="CI267" i="3"/>
  <c r="AK209" i="3"/>
  <c r="AK267" i="3"/>
  <c r="AR113" i="5"/>
  <c r="AR123" i="5" s="1"/>
  <c r="EA209" i="3"/>
  <c r="EA267" i="3"/>
  <c r="CV186" i="3"/>
  <c r="CV187" i="3" s="1"/>
  <c r="CV188" i="3"/>
  <c r="AN193" i="3"/>
  <c r="AN195" i="3"/>
  <c r="AN197" i="3"/>
  <c r="AN199" i="3"/>
  <c r="AN200" i="3"/>
  <c r="AN201" i="3"/>
  <c r="AN229" i="3" s="1"/>
  <c r="BN124" i="3"/>
  <c r="FK113" i="5"/>
  <c r="FK123" i="5" s="1"/>
  <c r="BF209" i="5"/>
  <c r="BF267" i="5"/>
  <c r="K209" i="5"/>
  <c r="K267" i="5"/>
  <c r="BL186" i="5"/>
  <c r="BL187" i="5" s="1"/>
  <c r="BL188" i="5" s="1"/>
  <c r="FA209" i="5"/>
  <c r="FA267" i="5"/>
  <c r="DZ127" i="2"/>
  <c r="EF267" i="5"/>
  <c r="EF209" i="5"/>
  <c r="AF124" i="5"/>
  <c r="EF313" i="5"/>
  <c r="EF174" i="5"/>
  <c r="EF177" i="5"/>
  <c r="BA124" i="3"/>
  <c r="AQ113" i="3"/>
  <c r="AQ123" i="3" s="1"/>
  <c r="EN209" i="3"/>
  <c r="EN267" i="3"/>
  <c r="EN215" i="3"/>
  <c r="EN219" i="3" s="1"/>
  <c r="EN228" i="3" s="1"/>
  <c r="EN173" i="3"/>
  <c r="BF215" i="3"/>
  <c r="BF219" i="3" s="1"/>
  <c r="BF228" i="3" s="1"/>
  <c r="BF173" i="3"/>
  <c r="W215" i="3"/>
  <c r="W219" i="3" s="1"/>
  <c r="W228" i="3" s="1"/>
  <c r="W173" i="3"/>
  <c r="FK215" i="3"/>
  <c r="FK219" i="3" s="1"/>
  <c r="FK228" i="3" s="1"/>
  <c r="FK173" i="3"/>
  <c r="EC215" i="3"/>
  <c r="EC219" i="3" s="1"/>
  <c r="EC228" i="3" s="1"/>
  <c r="EC173" i="3"/>
  <c r="CT173" i="3"/>
  <c r="CT215" i="3"/>
  <c r="CT219" i="3" s="1"/>
  <c r="CT228" i="3" s="1"/>
  <c r="BW215" i="3"/>
  <c r="BW219" i="3" s="1"/>
  <c r="BW228" i="3" s="1"/>
  <c r="BW173" i="3"/>
  <c r="AN215" i="3"/>
  <c r="AN219" i="3" s="1"/>
  <c r="AN228" i="3" s="1"/>
  <c r="AN173" i="3"/>
  <c r="E215" i="3"/>
  <c r="E219" i="3" s="1"/>
  <c r="E228" i="3" s="1"/>
  <c r="E173" i="3"/>
  <c r="ES215" i="3"/>
  <c r="ES219" i="3" s="1"/>
  <c r="ES228" i="3" s="1"/>
  <c r="ES173" i="3"/>
  <c r="DJ215" i="3"/>
  <c r="DJ219" i="3" s="1"/>
  <c r="DJ228" i="3" s="1"/>
  <c r="DJ173" i="3"/>
  <c r="CA215" i="3"/>
  <c r="CA219" i="3" s="1"/>
  <c r="CA228" i="3" s="1"/>
  <c r="CA173" i="3"/>
  <c r="AR215" i="3"/>
  <c r="AR219" i="3" s="1"/>
  <c r="AR228" i="3" s="1"/>
  <c r="AR173" i="3"/>
  <c r="I215" i="3"/>
  <c r="I219" i="3" s="1"/>
  <c r="I228" i="3" s="1"/>
  <c r="I173" i="3"/>
  <c r="EW215" i="3"/>
  <c r="EW219" i="3" s="1"/>
  <c r="EW228" i="3" s="1"/>
  <c r="EW173" i="3"/>
  <c r="FV267" i="3"/>
  <c r="FV209" i="3"/>
  <c r="EO313" i="5"/>
  <c r="EO174" i="5"/>
  <c r="EO177" i="5"/>
  <c r="FT313" i="5"/>
  <c r="FT174" i="5"/>
  <c r="AB313" i="5"/>
  <c r="AB174" i="5"/>
  <c r="AB182" i="5" s="1"/>
  <c r="AB226" i="5" s="1"/>
  <c r="AB177" i="5"/>
  <c r="T195" i="3"/>
  <c r="T197" i="3"/>
  <c r="T199" i="3"/>
  <c r="T200" i="3"/>
  <c r="T201" i="3"/>
  <c r="T229" i="3" s="1"/>
  <c r="T193" i="3"/>
  <c r="FL133" i="2"/>
  <c r="DS162" i="3"/>
  <c r="DG201" i="3"/>
  <c r="DG229" i="3" s="1"/>
  <c r="DG193" i="3"/>
  <c r="DG195" i="3"/>
  <c r="DG197" i="3"/>
  <c r="DG199" i="3"/>
  <c r="DG200" i="3"/>
  <c r="EW127" i="2"/>
  <c r="CY267" i="5"/>
  <c r="CY209" i="5"/>
  <c r="M188" i="5"/>
  <c r="M186" i="5"/>
  <c r="M187" i="5" s="1"/>
  <c r="CA113" i="5"/>
  <c r="CA123" i="5" s="1"/>
  <c r="DV186" i="5"/>
  <c r="DV187" i="5" s="1"/>
  <c r="DV188" i="5" s="1"/>
  <c r="BT124" i="3"/>
  <c r="EN313" i="5"/>
  <c r="EN174" i="5"/>
  <c r="EN182" i="5" s="1"/>
  <c r="EN226" i="5" s="1"/>
  <c r="EN177" i="5"/>
  <c r="ET113" i="5"/>
  <c r="ET123" i="5" s="1"/>
  <c r="H124" i="5"/>
  <c r="FD124" i="5"/>
  <c r="BL137" i="2"/>
  <c r="BL138" i="2"/>
  <c r="BL139" i="2" s="1"/>
  <c r="BG209" i="3"/>
  <c r="BG267" i="3"/>
  <c r="EG209" i="3"/>
  <c r="EG267" i="3"/>
  <c r="AB193" i="3"/>
  <c r="AB195" i="3"/>
  <c r="AB197" i="3"/>
  <c r="AB199" i="3"/>
  <c r="AB200" i="3"/>
  <c r="AB201" i="3"/>
  <c r="AB229" i="3" s="1"/>
  <c r="DL124" i="3"/>
  <c r="CY186" i="3"/>
  <c r="CY187" i="3" s="1"/>
  <c r="CY188" i="3" s="1"/>
  <c r="AC186" i="3"/>
  <c r="AC187" i="3" s="1"/>
  <c r="AC188" i="3"/>
  <c r="F219" i="5"/>
  <c r="F228" i="5" s="1"/>
  <c r="BI137" i="2"/>
  <c r="BI138" i="2"/>
  <c r="FX186" i="3"/>
  <c r="FX187" i="3" s="1"/>
  <c r="FX188" i="3"/>
  <c r="FD128" i="3"/>
  <c r="FK137" i="2"/>
  <c r="FK138" i="2" s="1"/>
  <c r="FK139" i="2" s="1"/>
  <c r="AJ137" i="2"/>
  <c r="AJ138" i="2" s="1"/>
  <c r="AJ139" i="2" s="1"/>
  <c r="R188" i="5"/>
  <c r="R186" i="5"/>
  <c r="R187" i="5" s="1"/>
  <c r="BE113" i="3"/>
  <c r="BE123" i="3" s="1"/>
  <c r="BP195" i="3"/>
  <c r="BP197" i="3"/>
  <c r="BP199" i="3"/>
  <c r="BP200" i="3"/>
  <c r="BP201" i="3"/>
  <c r="BP229" i="3" s="1"/>
  <c r="BP193" i="3"/>
  <c r="EU186" i="5"/>
  <c r="EU187" i="5" s="1"/>
  <c r="EU188" i="5" s="1"/>
  <c r="X113" i="3"/>
  <c r="X123" i="3" s="1"/>
  <c r="X267" i="3"/>
  <c r="X209" i="3"/>
  <c r="EO137" i="2"/>
  <c r="EO138" i="2"/>
  <c r="EO139" i="2" s="1"/>
  <c r="U188" i="5"/>
  <c r="U186" i="5"/>
  <c r="U187" i="5" s="1"/>
  <c r="BT124" i="5"/>
  <c r="EU195" i="3"/>
  <c r="EU200" i="3"/>
  <c r="AP111" i="2"/>
  <c r="AP108" i="2"/>
  <c r="BR186" i="5"/>
  <c r="BR187" i="5" s="1"/>
  <c r="BR188" i="5" s="1"/>
  <c r="CJ137" i="2"/>
  <c r="CJ138" i="2"/>
  <c r="BK193" i="3"/>
  <c r="BK195" i="3"/>
  <c r="BK200" i="3"/>
  <c r="CG200" i="3"/>
  <c r="CG201" i="3"/>
  <c r="CG229" i="3" s="1"/>
  <c r="CG193" i="3"/>
  <c r="CG195" i="3"/>
  <c r="CG197" i="3"/>
  <c r="CG199" i="3"/>
  <c r="DX111" i="2"/>
  <c r="DX108" i="2"/>
  <c r="EU313" i="5"/>
  <c r="EU174" i="5"/>
  <c r="EU182" i="5" s="1"/>
  <c r="EU226" i="5" s="1"/>
  <c r="EU177" i="5"/>
  <c r="BG137" i="2"/>
  <c r="BG138" i="2" s="1"/>
  <c r="BG139" i="2" s="1"/>
  <c r="BH186" i="3"/>
  <c r="BH187" i="3" s="1"/>
  <c r="BH188" i="3" s="1"/>
  <c r="FT186" i="3"/>
  <c r="FT187" i="3" s="1"/>
  <c r="FT188" i="3" s="1"/>
  <c r="AM201" i="3"/>
  <c r="AM229" i="3" s="1"/>
  <c r="AM193" i="3"/>
  <c r="AM195" i="3"/>
  <c r="AM197" i="3"/>
  <c r="AM199" i="3"/>
  <c r="AM200" i="3"/>
  <c r="DD313" i="5"/>
  <c r="DD174" i="5"/>
  <c r="DD177" i="5"/>
  <c r="O137" i="2"/>
  <c r="O138" i="2"/>
  <c r="BK209" i="3"/>
  <c r="BK267" i="3"/>
  <c r="FN209" i="3"/>
  <c r="FN267" i="3"/>
  <c r="BU209" i="3"/>
  <c r="BU267" i="3"/>
  <c r="DO200" i="3"/>
  <c r="DO195" i="3"/>
  <c r="BM186" i="3"/>
  <c r="BM187" i="3" s="1"/>
  <c r="BM188" i="3"/>
  <c r="EV108" i="2"/>
  <c r="EV111" i="2"/>
  <c r="BI111" i="2"/>
  <c r="BI108" i="2"/>
  <c r="FQ124" i="5"/>
  <c r="BR124" i="5"/>
  <c r="BS156" i="3"/>
  <c r="DM186" i="3"/>
  <c r="DM187" i="3" s="1"/>
  <c r="DM188" i="3"/>
  <c r="BD195" i="3"/>
  <c r="BD197" i="3"/>
  <c r="BD199" i="3"/>
  <c r="BD200" i="3"/>
  <c r="BD201" i="3"/>
  <c r="BD229" i="3" s="1"/>
  <c r="BD193" i="3"/>
  <c r="DZ137" i="2"/>
  <c r="DZ138" i="2"/>
  <c r="DZ139" i="2" s="1"/>
  <c r="FD137" i="2"/>
  <c r="FD138" i="2"/>
  <c r="EF209" i="3"/>
  <c r="EF267" i="3"/>
  <c r="BY209" i="5"/>
  <c r="BY267" i="5"/>
  <c r="CR313" i="5"/>
  <c r="CR174" i="5"/>
  <c r="CR182" i="5" s="1"/>
  <c r="CR226" i="5" s="1"/>
  <c r="CR177" i="5"/>
  <c r="DW313" i="5"/>
  <c r="DW174" i="5"/>
  <c r="DW182" i="5" s="1"/>
  <c r="DW226" i="5" s="1"/>
  <c r="DW177" i="5"/>
  <c r="CB120" i="2"/>
  <c r="CB121" i="2" s="1"/>
  <c r="CB86" i="2"/>
  <c r="CB102" i="2"/>
  <c r="CB103" i="2" s="1"/>
  <c r="CB95" i="2"/>
  <c r="CB98" i="2" s="1"/>
  <c r="AS120" i="2"/>
  <c r="AS121" i="2" s="1"/>
  <c r="AS86" i="2"/>
  <c r="AS102" i="2"/>
  <c r="AS103" i="2" s="1"/>
  <c r="AS95" i="2"/>
  <c r="AS98" i="2" s="1"/>
  <c r="DN120" i="2"/>
  <c r="DN121" i="2" s="1"/>
  <c r="DN95" i="2"/>
  <c r="DN98" i="2" s="1"/>
  <c r="DN86" i="2"/>
  <c r="DN102" i="2"/>
  <c r="DN103" i="2" s="1"/>
  <c r="DN139" i="2"/>
  <c r="EM120" i="2"/>
  <c r="EM121" i="2" s="1"/>
  <c r="EM86" i="2"/>
  <c r="EM102" i="2"/>
  <c r="EM103" i="2" s="1"/>
  <c r="EM95" i="2"/>
  <c r="EM98" i="2" s="1"/>
  <c r="EM139" i="2"/>
  <c r="DD120" i="2"/>
  <c r="DD121" i="2" s="1"/>
  <c r="DD102" i="2"/>
  <c r="DD103" i="2" s="1"/>
  <c r="DD95" i="2"/>
  <c r="DD98" i="2" s="1"/>
  <c r="DD86" i="2"/>
  <c r="Y120" i="2"/>
  <c r="Y121" i="2" s="1"/>
  <c r="Y102" i="2"/>
  <c r="Y103" i="2" s="1"/>
  <c r="Y95" i="2"/>
  <c r="Y98" i="2" s="1"/>
  <c r="Y86" i="2"/>
  <c r="FM120" i="2"/>
  <c r="FM121" i="2" s="1"/>
  <c r="FM102" i="2"/>
  <c r="FM103" i="2" s="1"/>
  <c r="FM95" i="2"/>
  <c r="FM98" i="2" s="1"/>
  <c r="FM86" i="2"/>
  <c r="EP120" i="2"/>
  <c r="EP121" i="2" s="1"/>
  <c r="EP102" i="2"/>
  <c r="EP103" i="2" s="1"/>
  <c r="EP95" i="2"/>
  <c r="EP98" i="2" s="1"/>
  <c r="EP86" i="2"/>
  <c r="DG120" i="2"/>
  <c r="DG121" i="2" s="1"/>
  <c r="DG95" i="2"/>
  <c r="DG98" i="2" s="1"/>
  <c r="DG86" i="2"/>
  <c r="DG102" i="2"/>
  <c r="DG103" i="2" s="1"/>
  <c r="BX120" i="2"/>
  <c r="BX121" i="2" s="1"/>
  <c r="BX95" i="2"/>
  <c r="BX98" i="2" s="1"/>
  <c r="BX86" i="2"/>
  <c r="BX102" i="2"/>
  <c r="BX103" i="2" s="1"/>
  <c r="Q120" i="2"/>
  <c r="Q121" i="2" s="1"/>
  <c r="Q95" i="2"/>
  <c r="Q98" i="2" s="1"/>
  <c r="Q86" i="2"/>
  <c r="Q102" i="2"/>
  <c r="Q103" i="2" s="1"/>
  <c r="FE120" i="2"/>
  <c r="FE121" i="2" s="1"/>
  <c r="FE95" i="2"/>
  <c r="FE98" i="2" s="1"/>
  <c r="FE86" i="2"/>
  <c r="FE102" i="2"/>
  <c r="FE103" i="2" s="1"/>
  <c r="FE139" i="2"/>
  <c r="DV120" i="2"/>
  <c r="DV121" i="2" s="1"/>
  <c r="DV95" i="2"/>
  <c r="DV98" i="2" s="1"/>
  <c r="DV86" i="2"/>
  <c r="DV102" i="2"/>
  <c r="DV103" i="2" s="1"/>
  <c r="FS95" i="2"/>
  <c r="FS98" i="2" s="1"/>
  <c r="FS120" i="2"/>
  <c r="FS121" i="2" s="1"/>
  <c r="FS86" i="2"/>
  <c r="FS102" i="2"/>
  <c r="FS103" i="2" s="1"/>
  <c r="CP124" i="3"/>
  <c r="BF186" i="3"/>
  <c r="BF187" i="3" s="1"/>
  <c r="BF188" i="3"/>
  <c r="CC197" i="3"/>
  <c r="CC199" i="3"/>
  <c r="CC200" i="3"/>
  <c r="CC201" i="3"/>
  <c r="CC229" i="3" s="1"/>
  <c r="CC193" i="3"/>
  <c r="CC195" i="3"/>
  <c r="AZ186" i="3"/>
  <c r="AZ187" i="3" s="1"/>
  <c r="AZ188" i="3"/>
  <c r="DA150" i="3"/>
  <c r="DA162" i="3" s="1"/>
  <c r="FP195" i="3"/>
  <c r="FP200" i="3"/>
  <c r="EP188" i="3"/>
  <c r="EP186" i="3"/>
  <c r="EP187" i="3" s="1"/>
  <c r="AL201" i="3"/>
  <c r="AL229" i="3" s="1"/>
  <c r="AL193" i="3"/>
  <c r="AL195" i="3"/>
  <c r="AL197" i="3"/>
  <c r="AL199" i="3"/>
  <c r="AL200" i="3"/>
  <c r="DZ124" i="5"/>
  <c r="CB127" i="2"/>
  <c r="AF146" i="3"/>
  <c r="AF148" i="3" s="1"/>
  <c r="FB209" i="3"/>
  <c r="FB267" i="3"/>
  <c r="CL186" i="5"/>
  <c r="CL187" i="5" s="1"/>
  <c r="CL188" i="5" s="1"/>
  <c r="AX124" i="5"/>
  <c r="AA184" i="5"/>
  <c r="AA207" i="5"/>
  <c r="AA191" i="5"/>
  <c r="AA150" i="5"/>
  <c r="AA115" i="5"/>
  <c r="AA122" i="5" s="1"/>
  <c r="AA124" i="5" s="1"/>
  <c r="AA167" i="5" s="1"/>
  <c r="AA168" i="5" s="1"/>
  <c r="AA169" i="5" s="1"/>
  <c r="AA225" i="5" s="1"/>
  <c r="AA227" i="5" s="1"/>
  <c r="AA104" i="5"/>
  <c r="AA112" i="5"/>
  <c r="AA109" i="5"/>
  <c r="AA111" i="5" s="1"/>
  <c r="AA113" i="5" s="1"/>
  <c r="AA123" i="5" s="1"/>
  <c r="BZ124" i="5"/>
  <c r="CP137" i="2"/>
  <c r="CP138" i="2" s="1"/>
  <c r="CP139" i="2" s="1"/>
  <c r="DW195" i="3"/>
  <c r="DW197" i="3"/>
  <c r="DW199" i="3"/>
  <c r="DW200" i="3"/>
  <c r="DW201" i="3"/>
  <c r="DW229" i="3" s="1"/>
  <c r="DW193" i="3"/>
  <c r="M124" i="3"/>
  <c r="M193" i="3" s="1"/>
  <c r="M197" i="3" s="1"/>
  <c r="M199" i="3" s="1"/>
  <c r="FT137" i="2"/>
  <c r="FT138" i="2"/>
  <c r="FT139" i="2" s="1"/>
  <c r="CZ209" i="5"/>
  <c r="CZ267" i="5"/>
  <c r="Y186" i="3"/>
  <c r="Y187" i="3" s="1"/>
  <c r="Y188" i="3" s="1"/>
  <c r="FT29" i="5"/>
  <c r="D101" i="4"/>
  <c r="CH124" i="5"/>
  <c r="AV124" i="5"/>
  <c r="DV209" i="3"/>
  <c r="DV267" i="3"/>
  <c r="ET188" i="3"/>
  <c r="ET186" i="3"/>
  <c r="ET187" i="3" s="1"/>
  <c r="CF186" i="3"/>
  <c r="CF187" i="3" s="1"/>
  <c r="CF188" i="3"/>
  <c r="EL124" i="5"/>
  <c r="AD186" i="5"/>
  <c r="AD187" i="5" s="1"/>
  <c r="AD188" i="5" s="1"/>
  <c r="DN209" i="3"/>
  <c r="DN267" i="3"/>
  <c r="O209" i="3"/>
  <c r="O267" i="3"/>
  <c r="AH124" i="5"/>
  <c r="D127" i="2"/>
  <c r="CT133" i="2"/>
  <c r="BM186" i="5"/>
  <c r="BM187" i="5" s="1"/>
  <c r="BM188" i="5"/>
  <c r="CB137" i="2"/>
  <c r="CB138" i="2"/>
  <c r="CB139" i="2" s="1"/>
  <c r="FX188" i="5"/>
  <c r="FX186" i="5"/>
  <c r="FX187" i="5" s="1"/>
  <c r="BQ124" i="5"/>
  <c r="G267" i="3"/>
  <c r="G209" i="3"/>
  <c r="EC124" i="5"/>
  <c r="CI186" i="3"/>
  <c r="CI187" i="3" s="1"/>
  <c r="CI188" i="3"/>
  <c r="CQ313" i="5"/>
  <c r="CQ174" i="5"/>
  <c r="CQ182" i="5" s="1"/>
  <c r="CQ226" i="5" s="1"/>
  <c r="CQ177" i="5"/>
  <c r="DV313" i="5"/>
  <c r="DV174" i="5"/>
  <c r="DV182" i="5" s="1"/>
  <c r="DV226" i="5" s="1"/>
  <c r="DV177" i="5"/>
  <c r="CA124" i="3"/>
  <c r="FD186" i="3"/>
  <c r="FD187" i="3" s="1"/>
  <c r="FD188" i="3" s="1"/>
  <c r="CE209" i="3"/>
  <c r="CE267" i="3"/>
  <c r="EA199" i="3"/>
  <c r="EA200" i="3"/>
  <c r="EA201" i="3"/>
  <c r="EA229" i="3" s="1"/>
  <c r="EA193" i="3"/>
  <c r="EA195" i="3"/>
  <c r="EA197" i="3"/>
  <c r="R137" i="2"/>
  <c r="R138" i="2" s="1"/>
  <c r="R139" i="2" s="1"/>
  <c r="AN209" i="3"/>
  <c r="AN267" i="3"/>
  <c r="CX127" i="2"/>
  <c r="BL267" i="5"/>
  <c r="BL209" i="5"/>
  <c r="M313" i="5"/>
  <c r="M174" i="5"/>
  <c r="M177" i="5"/>
  <c r="AR313" i="5"/>
  <c r="AR174" i="5"/>
  <c r="AR177" i="5"/>
  <c r="BW313" i="5"/>
  <c r="BW174" i="5"/>
  <c r="BW182" i="5" s="1"/>
  <c r="BW226" i="5" s="1"/>
  <c r="BW177" i="5"/>
  <c r="S188" i="5"/>
  <c r="S186" i="5"/>
  <c r="S187" i="5" s="1"/>
  <c r="DR124" i="5"/>
  <c r="DQ127" i="2"/>
  <c r="AF186" i="5"/>
  <c r="AF187" i="5" s="1"/>
  <c r="AF188" i="5" s="1"/>
  <c r="R154" i="3"/>
  <c r="AH124" i="3"/>
  <c r="AH193" i="3" s="1"/>
  <c r="AH197" i="3" s="1"/>
  <c r="AH199" i="3" s="1"/>
  <c r="AH337" i="3" s="1"/>
  <c r="P186" i="5"/>
  <c r="P187" i="5" s="1"/>
  <c r="P188" i="5" s="1"/>
  <c r="AX137" i="2"/>
  <c r="AX138" i="2"/>
  <c r="FL124" i="3"/>
  <c r="CF186" i="5"/>
  <c r="CF187" i="5" s="1"/>
  <c r="CF188" i="5" s="1"/>
  <c r="DU193" i="3"/>
  <c r="DU195" i="3"/>
  <c r="DU197" i="3"/>
  <c r="DU199" i="3"/>
  <c r="DU200" i="3"/>
  <c r="DU201" i="3"/>
  <c r="DU229" i="3" s="1"/>
  <c r="L215" i="3"/>
  <c r="L219" i="3" s="1"/>
  <c r="L228" i="3" s="1"/>
  <c r="L173" i="3"/>
  <c r="BR215" i="3"/>
  <c r="BR219" i="3" s="1"/>
  <c r="BR228" i="3" s="1"/>
  <c r="BR173" i="3"/>
  <c r="AI215" i="3"/>
  <c r="AI219" i="3" s="1"/>
  <c r="AI228" i="3" s="1"/>
  <c r="AI173" i="3"/>
  <c r="FW215" i="3"/>
  <c r="FW219" i="3" s="1"/>
  <c r="FW228" i="3" s="1"/>
  <c r="FW173" i="3"/>
  <c r="EO215" i="3"/>
  <c r="EO219" i="3" s="1"/>
  <c r="EO228" i="3" s="1"/>
  <c r="EO173" i="3"/>
  <c r="DF215" i="3"/>
  <c r="DF219" i="3" s="1"/>
  <c r="DF228" i="3" s="1"/>
  <c r="DF173" i="3"/>
  <c r="CI215" i="3"/>
  <c r="CI219" i="3" s="1"/>
  <c r="CI228" i="3" s="1"/>
  <c r="CI173" i="3"/>
  <c r="AZ215" i="3"/>
  <c r="AZ219" i="3" s="1"/>
  <c r="AZ228" i="3" s="1"/>
  <c r="AZ173" i="3"/>
  <c r="Q215" i="3"/>
  <c r="Q219" i="3" s="1"/>
  <c r="Q228" i="3" s="1"/>
  <c r="Q173" i="3"/>
  <c r="FE215" i="3"/>
  <c r="FE219" i="3" s="1"/>
  <c r="FE228" i="3" s="1"/>
  <c r="FE173" i="3"/>
  <c r="DV215" i="3"/>
  <c r="DV219" i="3" s="1"/>
  <c r="DV228" i="3" s="1"/>
  <c r="DV173" i="3"/>
  <c r="CM215" i="3"/>
  <c r="CM219" i="3" s="1"/>
  <c r="CM228" i="3" s="1"/>
  <c r="CM173" i="3"/>
  <c r="BD215" i="3"/>
  <c r="BD219" i="3" s="1"/>
  <c r="BD228" i="3" s="1"/>
  <c r="BD173" i="3"/>
  <c r="U215" i="3"/>
  <c r="U219" i="3" s="1"/>
  <c r="U228" i="3" s="1"/>
  <c r="U173" i="3"/>
  <c r="FI215" i="3"/>
  <c r="FI219" i="3" s="1"/>
  <c r="FI228" i="3" s="1"/>
  <c r="FI173" i="3"/>
  <c r="FU186" i="3"/>
  <c r="FU187" i="3" s="1"/>
  <c r="FU188" i="3" s="1"/>
  <c r="T188" i="3"/>
  <c r="T186" i="3"/>
  <c r="T187" i="3" s="1"/>
  <c r="AR195" i="3"/>
  <c r="AR197" i="3"/>
  <c r="AR199" i="3"/>
  <c r="AR200" i="3"/>
  <c r="AR201" i="3"/>
  <c r="AR229" i="3" s="1"/>
  <c r="AR193" i="3"/>
  <c r="DS186" i="3"/>
  <c r="DS187" i="3" s="1"/>
  <c r="DS188" i="3"/>
  <c r="FN137" i="2"/>
  <c r="FN138" i="2"/>
  <c r="AU209" i="5"/>
  <c r="AU267" i="5"/>
  <c r="D186" i="3"/>
  <c r="D187" i="3" s="1"/>
  <c r="D188" i="3"/>
  <c r="FW137" i="2"/>
  <c r="FW138" i="2"/>
  <c r="BZ133" i="2"/>
  <c r="K209" i="3"/>
  <c r="K267" i="3"/>
  <c r="BG186" i="3"/>
  <c r="BG187" i="3" s="1"/>
  <c r="BG188" i="3" s="1"/>
  <c r="AB209" i="3"/>
  <c r="AB267" i="3"/>
  <c r="AC209" i="3"/>
  <c r="AC267" i="3"/>
  <c r="BP124" i="5"/>
  <c r="FX200" i="3"/>
  <c r="FX201" i="3"/>
  <c r="FX229" i="3" s="1"/>
  <c r="FX193" i="3"/>
  <c r="FX195" i="3"/>
  <c r="FX197" i="3"/>
  <c r="FX199" i="3"/>
  <c r="CH313" i="5"/>
  <c r="CH174" i="5"/>
  <c r="CH177" i="5"/>
  <c r="DM313" i="5"/>
  <c r="DM174" i="5"/>
  <c r="DM182" i="5" s="1"/>
  <c r="DM226" i="5" s="1"/>
  <c r="DM177" i="5"/>
  <c r="ER313" i="5"/>
  <c r="ER174" i="5"/>
  <c r="ER182" i="5" s="1"/>
  <c r="ER226" i="5" s="1"/>
  <c r="ER177" i="5"/>
  <c r="ES124" i="5"/>
  <c r="AK188" i="5"/>
  <c r="AK186" i="5"/>
  <c r="AK187" i="5" s="1"/>
  <c r="BY124" i="3"/>
  <c r="BP188" i="3"/>
  <c r="BP186" i="3"/>
  <c r="BP187" i="3" s="1"/>
  <c r="AK137" i="2"/>
  <c r="AK138" i="2" s="1"/>
  <c r="AK139" i="2" s="1"/>
  <c r="BK128" i="3"/>
  <c r="AA313" i="5"/>
  <c r="AA174" i="5"/>
  <c r="AA182" i="5" s="1"/>
  <c r="AA226" i="5" s="1"/>
  <c r="AA177" i="5"/>
  <c r="CQ209" i="3"/>
  <c r="CQ267" i="3"/>
  <c r="CS313" i="5"/>
  <c r="CS174" i="5"/>
  <c r="CS177" i="5"/>
  <c r="BB138" i="2"/>
  <c r="BB137" i="2"/>
  <c r="EK124" i="5"/>
  <c r="DF188" i="3"/>
  <c r="DF186" i="3"/>
  <c r="DF187" i="3" s="1"/>
  <c r="AQ108" i="2"/>
  <c r="AQ111" i="2"/>
  <c r="CO108" i="2"/>
  <c r="CO111" i="2"/>
  <c r="CQ108" i="2"/>
  <c r="CQ111" i="2"/>
  <c r="D108" i="2"/>
  <c r="D111" i="2"/>
  <c r="C115" i="4"/>
  <c r="C116" i="4" s="1"/>
  <c r="C107" i="4"/>
  <c r="D175" i="4"/>
  <c r="C175" i="4"/>
  <c r="C174" i="4" s="1"/>
  <c r="D107" i="4"/>
  <c r="D115" i="4"/>
  <c r="D116" i="4" s="1"/>
  <c r="FF137" i="2"/>
  <c r="FF138" i="2" s="1"/>
  <c r="FF139" i="2" s="1"/>
  <c r="AO124" i="5"/>
  <c r="FN124" i="5"/>
  <c r="CS200" i="3"/>
  <c r="CS201" i="3"/>
  <c r="CS229" i="3" s="1"/>
  <c r="CS193" i="3"/>
  <c r="CS195" i="3"/>
  <c r="CS197" i="3"/>
  <c r="CS199" i="3"/>
  <c r="AW209" i="5"/>
  <c r="AW267" i="5"/>
  <c r="DA209" i="5"/>
  <c r="DA267" i="5"/>
  <c r="EP133" i="2"/>
  <c r="DF128" i="3"/>
  <c r="ES124" i="3"/>
  <c r="F124" i="5"/>
  <c r="BK186" i="3"/>
  <c r="BK187" i="3" s="1"/>
  <c r="BK188" i="3"/>
  <c r="CC113" i="5"/>
  <c r="CC123" i="5" s="1"/>
  <c r="CC124" i="5" s="1"/>
  <c r="AT113" i="3"/>
  <c r="AT123" i="3" s="1"/>
  <c r="AU199" i="3"/>
  <c r="AU200" i="3"/>
  <c r="AU201" i="3"/>
  <c r="AU229" i="3" s="1"/>
  <c r="AU193" i="3"/>
  <c r="AU195" i="3"/>
  <c r="AU197" i="3"/>
  <c r="ER193" i="3"/>
  <c r="ER195" i="3"/>
  <c r="ER197" i="3"/>
  <c r="ER199" i="3"/>
  <c r="ER200" i="3"/>
  <c r="ER201" i="3"/>
  <c r="ER229" i="3" s="1"/>
  <c r="CK186" i="3"/>
  <c r="CK187" i="3" s="1"/>
  <c r="CK188" i="3" s="1"/>
  <c r="D80" i="4"/>
  <c r="D136" i="4"/>
  <c r="D170" i="4"/>
  <c r="N124" i="5"/>
  <c r="AO154" i="3"/>
  <c r="AO156" i="3" s="1"/>
  <c r="AO158" i="3" s="1"/>
  <c r="FN146" i="3"/>
  <c r="FN148" i="3" s="1"/>
  <c r="DH209" i="5"/>
  <c r="DH267" i="5"/>
  <c r="DO133" i="2"/>
  <c r="F154" i="3"/>
  <c r="EZ207" i="5"/>
  <c r="EZ191" i="5"/>
  <c r="EZ184" i="5"/>
  <c r="EZ152" i="5"/>
  <c r="EZ112" i="5"/>
  <c r="EZ115" i="5"/>
  <c r="EZ122" i="5" s="1"/>
  <c r="EZ104" i="5"/>
  <c r="EZ109" i="5"/>
  <c r="EZ111" i="5" s="1"/>
  <c r="EG186" i="5"/>
  <c r="EG187" i="5" s="1"/>
  <c r="EG188" i="5"/>
  <c r="AV200" i="3"/>
  <c r="AV201" i="3"/>
  <c r="AV229" i="3" s="1"/>
  <c r="AV193" i="3"/>
  <c r="AV195" i="3"/>
  <c r="AV197" i="3"/>
  <c r="AV199" i="3"/>
  <c r="BA124" i="5"/>
  <c r="DF193" i="3"/>
  <c r="DF197" i="3" s="1"/>
  <c r="DF199" i="3" s="1"/>
  <c r="DF337" i="3" s="1"/>
  <c r="DF195" i="3"/>
  <c r="DF200" i="3"/>
  <c r="AE124" i="3"/>
  <c r="BK133" i="2"/>
  <c r="CM186" i="5"/>
  <c r="CM187" i="5" s="1"/>
  <c r="CM188" i="5" s="1"/>
  <c r="BS128" i="3"/>
  <c r="DJ108" i="2"/>
  <c r="DJ111" i="2"/>
  <c r="BC111" i="2"/>
  <c r="BC108" i="2"/>
  <c r="FH108" i="2"/>
  <c r="FH111" i="2"/>
  <c r="DA108" i="2"/>
  <c r="DA111" i="2"/>
  <c r="AT108" i="2"/>
  <c r="AT111" i="2"/>
  <c r="DC108" i="2"/>
  <c r="DC111" i="2"/>
  <c r="L108" i="2"/>
  <c r="L111" i="2"/>
  <c r="EZ108" i="2"/>
  <c r="EZ111" i="2"/>
  <c r="BU108" i="2"/>
  <c r="BU111" i="2"/>
  <c r="N111" i="2"/>
  <c r="N108" i="2"/>
  <c r="FB108" i="2"/>
  <c r="FB111" i="2"/>
  <c r="CI111" i="2"/>
  <c r="CI108" i="2"/>
  <c r="P108" i="2"/>
  <c r="P111" i="2"/>
  <c r="FD111" i="2"/>
  <c r="FD108" i="2"/>
  <c r="BY108" i="2"/>
  <c r="BY111" i="2"/>
  <c r="EE209" i="5"/>
  <c r="EE267" i="5"/>
  <c r="ED209" i="5"/>
  <c r="ED267" i="5"/>
  <c r="DD186" i="5"/>
  <c r="DD187" i="5" s="1"/>
  <c r="DD188" i="5" s="1"/>
  <c r="Z209" i="3"/>
  <c r="Z267" i="3"/>
  <c r="BQ113" i="3"/>
  <c r="BQ123" i="3" s="1"/>
  <c r="BQ200" i="3"/>
  <c r="BQ195" i="3"/>
  <c r="FQ193" i="3"/>
  <c r="FQ195" i="3"/>
  <c r="FQ197" i="3"/>
  <c r="FQ199" i="3"/>
  <c r="FQ200" i="3"/>
  <c r="FQ201" i="3"/>
  <c r="FQ229" i="3" s="1"/>
  <c r="CP127" i="2"/>
  <c r="J162" i="3"/>
  <c r="AP162" i="3"/>
  <c r="CB188" i="5"/>
  <c r="CB186" i="5"/>
  <c r="CB187" i="5" s="1"/>
  <c r="CY137" i="2"/>
  <c r="CY138" i="2" s="1"/>
  <c r="CY139" i="2" s="1"/>
  <c r="CW146" i="3"/>
  <c r="CW148" i="3" s="1"/>
  <c r="CW186" i="3"/>
  <c r="CW187" i="3" s="1"/>
  <c r="CW188" i="3"/>
  <c r="T186" i="5"/>
  <c r="T187" i="5" s="1"/>
  <c r="T188" i="5" s="1"/>
  <c r="CJ209" i="5"/>
  <c r="CJ267" i="5"/>
  <c r="CS267" i="3"/>
  <c r="CS209" i="3"/>
  <c r="BD188" i="3"/>
  <c r="BD186" i="3"/>
  <c r="BD187" i="3" s="1"/>
  <c r="EL127" i="2"/>
  <c r="BU186" i="5"/>
  <c r="BU187" i="5" s="1"/>
  <c r="BU188" i="5" s="1"/>
  <c r="Q186" i="5"/>
  <c r="Q187" i="5" s="1"/>
  <c r="Q188" i="5"/>
  <c r="CP313" i="5"/>
  <c r="CP174" i="5"/>
  <c r="CP177" i="5"/>
  <c r="DA128" i="3"/>
  <c r="CB133" i="2"/>
  <c r="EW197" i="3"/>
  <c r="EW199" i="3"/>
  <c r="EW200" i="3"/>
  <c r="EW201" i="3"/>
  <c r="EW229" i="3" s="1"/>
  <c r="EW193" i="3"/>
  <c r="EW195" i="3"/>
  <c r="EN124" i="5"/>
  <c r="CN120" i="2"/>
  <c r="CN121" i="2" s="1"/>
  <c r="CN86" i="2"/>
  <c r="CN102" i="2"/>
  <c r="CN103" i="2" s="1"/>
  <c r="CN95" i="2"/>
  <c r="CN98" i="2" s="1"/>
  <c r="CN139" i="2"/>
  <c r="CN127" i="2"/>
  <c r="CN133" i="2"/>
  <c r="BE120" i="2"/>
  <c r="BE121" i="2" s="1"/>
  <c r="BE86" i="2"/>
  <c r="BE102" i="2"/>
  <c r="BE103" i="2" s="1"/>
  <c r="BE95" i="2"/>
  <c r="BE98" i="2" s="1"/>
  <c r="K120" i="2"/>
  <c r="K121" i="2" s="1"/>
  <c r="K86" i="2"/>
  <c r="K102" i="2"/>
  <c r="K103" i="2" s="1"/>
  <c r="K95" i="2"/>
  <c r="K98" i="2" s="1"/>
  <c r="K139" i="2"/>
  <c r="EY120" i="2"/>
  <c r="EY121" i="2" s="1"/>
  <c r="EY86" i="2"/>
  <c r="EY102" i="2"/>
  <c r="EY103" i="2" s="1"/>
  <c r="EY95" i="2"/>
  <c r="EY98" i="2" s="1"/>
  <c r="DP120" i="2"/>
  <c r="DP121" i="2" s="1"/>
  <c r="DP102" i="2"/>
  <c r="DP103" i="2" s="1"/>
  <c r="DP95" i="2"/>
  <c r="DP98" i="2" s="1"/>
  <c r="DP86" i="2"/>
  <c r="AK120" i="2"/>
  <c r="AK121" i="2" s="1"/>
  <c r="AK102" i="2"/>
  <c r="AK103" i="2" s="1"/>
  <c r="AK95" i="2"/>
  <c r="AK98" i="2" s="1"/>
  <c r="AK86" i="2"/>
  <c r="N120" i="2"/>
  <c r="N121" i="2" s="1"/>
  <c r="N102" i="2"/>
  <c r="N103" i="2" s="1"/>
  <c r="N95" i="2"/>
  <c r="N98" i="2" s="1"/>
  <c r="N86" i="2"/>
  <c r="FB120" i="2"/>
  <c r="FB121" i="2" s="1"/>
  <c r="FB102" i="2"/>
  <c r="FB103" i="2" s="1"/>
  <c r="FB95" i="2"/>
  <c r="FB98" i="2" s="1"/>
  <c r="FB86" i="2"/>
  <c r="DS120" i="2"/>
  <c r="DS121" i="2" s="1"/>
  <c r="DS95" i="2"/>
  <c r="DS98" i="2" s="1"/>
  <c r="DS86" i="2"/>
  <c r="DS102" i="2"/>
  <c r="DS103" i="2" s="1"/>
  <c r="CJ120" i="2"/>
  <c r="CJ121" i="2" s="1"/>
  <c r="CJ95" i="2"/>
  <c r="CJ98" i="2" s="1"/>
  <c r="CJ86" i="2"/>
  <c r="CJ102" i="2"/>
  <c r="CJ103" i="2" s="1"/>
  <c r="CJ139" i="2"/>
  <c r="AC120" i="2"/>
  <c r="AC121" i="2" s="1"/>
  <c r="AC102" i="2"/>
  <c r="AC103" i="2" s="1"/>
  <c r="AC95" i="2"/>
  <c r="AC98" i="2" s="1"/>
  <c r="AC86" i="2"/>
  <c r="FQ120" i="2"/>
  <c r="FQ121" i="2" s="1"/>
  <c r="FQ102" i="2"/>
  <c r="FQ103" i="2" s="1"/>
  <c r="FQ95" i="2"/>
  <c r="FQ98" i="2" s="1"/>
  <c r="FQ86" i="2"/>
  <c r="EH120" i="2"/>
  <c r="EH121" i="2" s="1"/>
  <c r="EH95" i="2"/>
  <c r="EH98" i="2" s="1"/>
  <c r="EH86" i="2"/>
  <c r="EH102" i="2"/>
  <c r="EH103" i="2" s="1"/>
  <c r="AQ95" i="2"/>
  <c r="AQ98" i="2" s="1"/>
  <c r="AQ120" i="2"/>
  <c r="AQ121" i="2" s="1"/>
  <c r="AQ86" i="2"/>
  <c r="AQ102" i="2"/>
  <c r="AQ103" i="2" s="1"/>
  <c r="D84" i="4"/>
  <c r="C84" i="4"/>
  <c r="CJ193" i="3"/>
  <c r="CJ197" i="3" s="1"/>
  <c r="CJ199" i="3" s="1"/>
  <c r="CJ195" i="3"/>
  <c r="CJ200" i="3"/>
  <c r="CP200" i="3"/>
  <c r="CP195" i="3"/>
  <c r="DC186" i="3"/>
  <c r="DC187" i="3" s="1"/>
  <c r="DC188" i="3" s="1"/>
  <c r="BX124" i="3"/>
  <c r="BF209" i="3"/>
  <c r="BF267" i="3"/>
  <c r="CE186" i="5"/>
  <c r="CE187" i="5" s="1"/>
  <c r="CE188" i="5" s="1"/>
  <c r="BE124" i="5"/>
  <c r="FS313" i="5"/>
  <c r="FS174" i="5"/>
  <c r="FS182" i="5" s="1"/>
  <c r="FS226" i="5" s="1"/>
  <c r="FS177" i="5"/>
  <c r="AZ154" i="3"/>
  <c r="EY124" i="3"/>
  <c r="EY193" i="3" s="1"/>
  <c r="EY197" i="3" s="1"/>
  <c r="EY199" i="3" s="1"/>
  <c r="CS127" i="2"/>
  <c r="EI138" i="2"/>
  <c r="EI139" i="2" s="1"/>
  <c r="EI137" i="2"/>
  <c r="FP209" i="3"/>
  <c r="FP267" i="3"/>
  <c r="EP201" i="3"/>
  <c r="EP229" i="3" s="1"/>
  <c r="EP193" i="3"/>
  <c r="EP195" i="3"/>
  <c r="EP197" i="3"/>
  <c r="EP199" i="3"/>
  <c r="EP200" i="3"/>
  <c r="DK267" i="3"/>
  <c r="DK209" i="3"/>
  <c r="AL209" i="3"/>
  <c r="AL267" i="3"/>
  <c r="BJ124" i="5"/>
  <c r="AJ128" i="5"/>
  <c r="EY209" i="5"/>
  <c r="EY267" i="5"/>
  <c r="CL209" i="5"/>
  <c r="CL267" i="5"/>
  <c r="AW313" i="5"/>
  <c r="AW174" i="5"/>
  <c r="AW182" i="5" s="1"/>
  <c r="AW226" i="5" s="1"/>
  <c r="AW177" i="5"/>
  <c r="CB313" i="5"/>
  <c r="CB174" i="5"/>
  <c r="CB177" i="5"/>
  <c r="DG313" i="5"/>
  <c r="DG174" i="5"/>
  <c r="DG177" i="5"/>
  <c r="FV186" i="5"/>
  <c r="FV187" i="5" s="1"/>
  <c r="FV188" i="5" s="1"/>
  <c r="FG186" i="5"/>
  <c r="FG187" i="5" s="1"/>
  <c r="FG188" i="5" s="1"/>
  <c r="AB124" i="5"/>
  <c r="DP209" i="5"/>
  <c r="DP267" i="5"/>
  <c r="DW267" i="3"/>
  <c r="DW209" i="3"/>
  <c r="CR150" i="5"/>
  <c r="CR162" i="5" s="1"/>
  <c r="EI124" i="3"/>
  <c r="DZ124" i="3"/>
  <c r="CZ195" i="3"/>
  <c r="CZ200" i="3"/>
  <c r="CZ193" i="3"/>
  <c r="CZ197" i="3" s="1"/>
  <c r="CZ199" i="3" s="1"/>
  <c r="AS137" i="2"/>
  <c r="AS138" i="2" s="1"/>
  <c r="AS139" i="2" s="1"/>
  <c r="Y200" i="3"/>
  <c r="Y195" i="3"/>
  <c r="DK209" i="5"/>
  <c r="DK267" i="5"/>
  <c r="Y137" i="2"/>
  <c r="Y138" i="2"/>
  <c r="Y139" i="2" s="1"/>
  <c r="AM127" i="2"/>
  <c r="FI209" i="5"/>
  <c r="FI267" i="5"/>
  <c r="D93" i="4"/>
  <c r="FT18" i="5"/>
  <c r="AV186" i="5"/>
  <c r="AV187" i="5" s="1"/>
  <c r="AV188" i="5" s="1"/>
  <c r="CX124" i="5"/>
  <c r="FU313" i="5"/>
  <c r="FU174" i="5"/>
  <c r="FU182" i="5" s="1"/>
  <c r="FU226" i="5" s="1"/>
  <c r="FU177" i="5"/>
  <c r="AC313" i="5"/>
  <c r="AC174" i="5"/>
  <c r="AC177" i="5"/>
  <c r="CL124" i="3"/>
  <c r="CF146" i="3"/>
  <c r="CF148" i="3" s="1"/>
  <c r="CF209" i="3"/>
  <c r="CF267" i="3"/>
  <c r="AD209" i="5"/>
  <c r="AD267" i="5"/>
  <c r="O186" i="3"/>
  <c r="O187" i="3" s="1"/>
  <c r="O188" i="3"/>
  <c r="FC186" i="5"/>
  <c r="FC187" i="5" s="1"/>
  <c r="FC188" i="5"/>
  <c r="FP133" i="2"/>
  <c r="DR133" i="2"/>
  <c r="DJ124" i="3"/>
  <c r="DP124" i="3"/>
  <c r="CI146" i="3"/>
  <c r="CI148" i="3" s="1"/>
  <c r="DZ133" i="2"/>
  <c r="P186" i="3"/>
  <c r="P187" i="3" s="1"/>
  <c r="P188" i="3" s="1"/>
  <c r="DD150" i="3"/>
  <c r="FD193" i="3"/>
  <c r="FD195" i="3"/>
  <c r="FD197" i="3"/>
  <c r="FD199" i="3"/>
  <c r="FD200" i="3"/>
  <c r="FD201" i="3"/>
  <c r="FD229" i="3" s="1"/>
  <c r="CE186" i="3"/>
  <c r="CE187" i="3" s="1"/>
  <c r="CE188" i="3" s="1"/>
  <c r="DM124" i="5"/>
  <c r="AD193" i="3"/>
  <c r="AD195" i="3"/>
  <c r="AD197" i="3"/>
  <c r="AD199" i="3"/>
  <c r="AD200" i="3"/>
  <c r="AD201" i="3"/>
  <c r="AD229" i="3" s="1"/>
  <c r="E124" i="3"/>
  <c r="E193" i="3" s="1"/>
  <c r="E197" i="3" s="1"/>
  <c r="E199" i="3" s="1"/>
  <c r="AG267" i="5"/>
  <c r="AG209" i="5"/>
  <c r="DI186" i="5"/>
  <c r="DI187" i="5" s="1"/>
  <c r="DI188" i="5"/>
  <c r="FJ124" i="5"/>
  <c r="R188" i="3"/>
  <c r="R186" i="3"/>
  <c r="R187" i="3" s="1"/>
  <c r="CU201" i="3"/>
  <c r="CU229" i="3" s="1"/>
  <c r="CU193" i="3"/>
  <c r="CU195" i="3"/>
  <c r="CU197" i="3"/>
  <c r="CU199" i="3"/>
  <c r="CU200" i="3"/>
  <c r="AH154" i="3"/>
  <c r="P209" i="5"/>
  <c r="P267" i="5"/>
  <c r="S127" i="2"/>
  <c r="AF137" i="2"/>
  <c r="AF138" i="2"/>
  <c r="AF139" i="2" s="1"/>
  <c r="DU209" i="3"/>
  <c r="DU267" i="3"/>
  <c r="EZ215" i="3"/>
  <c r="EZ219" i="3" s="1"/>
  <c r="EZ228" i="3" s="1"/>
  <c r="EZ173" i="3"/>
  <c r="CD215" i="3"/>
  <c r="CD219" i="3" s="1"/>
  <c r="CD228" i="3" s="1"/>
  <c r="CD173" i="3"/>
  <c r="AU215" i="3"/>
  <c r="AU219" i="3" s="1"/>
  <c r="AU228" i="3" s="1"/>
  <c r="AU173" i="3"/>
  <c r="M215" i="3"/>
  <c r="M219" i="3" s="1"/>
  <c r="M228" i="3" s="1"/>
  <c r="M173" i="3"/>
  <c r="FA215" i="3"/>
  <c r="FA219" i="3" s="1"/>
  <c r="FA228" i="3" s="1"/>
  <c r="FA173" i="3"/>
  <c r="DR173" i="3"/>
  <c r="DR215" i="3"/>
  <c r="DR219" i="3" s="1"/>
  <c r="DR228" i="3" s="1"/>
  <c r="CU215" i="3"/>
  <c r="CU219" i="3" s="1"/>
  <c r="CU228" i="3" s="1"/>
  <c r="CU173" i="3"/>
  <c r="BL215" i="3"/>
  <c r="BL219" i="3" s="1"/>
  <c r="BL228" i="3" s="1"/>
  <c r="BL173" i="3"/>
  <c r="AC215" i="3"/>
  <c r="AC219" i="3" s="1"/>
  <c r="AC228" i="3" s="1"/>
  <c r="AC173" i="3"/>
  <c r="FQ215" i="3"/>
  <c r="FQ219" i="3" s="1"/>
  <c r="FQ228" i="3" s="1"/>
  <c r="FQ173" i="3"/>
  <c r="EH215" i="3"/>
  <c r="EH219" i="3" s="1"/>
  <c r="EH228" i="3" s="1"/>
  <c r="EH173" i="3"/>
  <c r="CY215" i="3"/>
  <c r="CY219" i="3" s="1"/>
  <c r="CY228" i="3" s="1"/>
  <c r="CY173" i="3"/>
  <c r="BP215" i="3"/>
  <c r="BP219" i="3" s="1"/>
  <c r="BP228" i="3" s="1"/>
  <c r="BP173" i="3"/>
  <c r="AG215" i="3"/>
  <c r="AG219" i="3" s="1"/>
  <c r="AG228" i="3" s="1"/>
  <c r="AG173" i="3"/>
  <c r="FU215" i="3"/>
  <c r="FU219" i="3" s="1"/>
  <c r="FU228" i="3" s="1"/>
  <c r="FU173" i="3"/>
  <c r="FX313" i="5"/>
  <c r="FX174" i="5"/>
  <c r="FX177" i="5"/>
  <c r="AF313" i="5"/>
  <c r="AF174" i="5"/>
  <c r="AF177" i="5"/>
  <c r="BK313" i="5"/>
  <c r="BK174" i="5"/>
  <c r="BK177" i="5"/>
  <c r="T146" i="3"/>
  <c r="T148" i="3" s="1"/>
  <c r="T209" i="3"/>
  <c r="T267" i="3"/>
  <c r="AR188" i="3"/>
  <c r="AR186" i="3"/>
  <c r="AR187" i="3" s="1"/>
  <c r="DS209" i="3"/>
  <c r="DS267" i="3"/>
  <c r="DG186" i="3"/>
  <c r="DG187" i="3" s="1"/>
  <c r="DG188" i="3" s="1"/>
  <c r="M209" i="5"/>
  <c r="M267" i="5"/>
  <c r="CA124" i="5"/>
  <c r="DV209" i="5"/>
  <c r="DV267" i="5"/>
  <c r="D154" i="3"/>
  <c r="C138" i="4"/>
  <c r="C137" i="4"/>
  <c r="DA313" i="5"/>
  <c r="DA174" i="5"/>
  <c r="DA177" i="5"/>
  <c r="ET124" i="5"/>
  <c r="K186" i="3"/>
  <c r="K187" i="3" s="1"/>
  <c r="K188" i="3" s="1"/>
  <c r="BG113" i="3"/>
  <c r="BG123" i="3" s="1"/>
  <c r="BG200" i="3"/>
  <c r="BG195" i="3"/>
  <c r="EG124" i="3"/>
  <c r="FI200" i="3"/>
  <c r="FI195" i="3"/>
  <c r="FX209" i="3"/>
  <c r="FX267" i="3"/>
  <c r="DM137" i="2"/>
  <c r="DM138" i="2" s="1"/>
  <c r="DM139" i="2" s="1"/>
  <c r="FW186" i="5"/>
  <c r="FW187" i="5" s="1"/>
  <c r="FW188" i="5"/>
  <c r="DE124" i="5"/>
  <c r="AS127" i="2"/>
  <c r="I188" i="5"/>
  <c r="I186" i="5"/>
  <c r="I187" i="5" s="1"/>
  <c r="R267" i="5"/>
  <c r="R209" i="5"/>
  <c r="BE124" i="3"/>
  <c r="EX186" i="5"/>
  <c r="EX187" i="5" s="1"/>
  <c r="EX188" i="5" s="1"/>
  <c r="DI146" i="3"/>
  <c r="DI148" i="3" s="1"/>
  <c r="DI195" i="3"/>
  <c r="DI200" i="3"/>
  <c r="BP113" i="3"/>
  <c r="BP123" i="3" s="1"/>
  <c r="BP209" i="3"/>
  <c r="BP267" i="3"/>
  <c r="DJ133" i="2"/>
  <c r="U209" i="5"/>
  <c r="U267" i="5"/>
  <c r="BD124" i="5"/>
  <c r="FK186" i="3"/>
  <c r="FK187" i="3" s="1"/>
  <c r="FK188" i="3" s="1"/>
  <c r="BZ138" i="2"/>
  <c r="BZ139" i="2" s="1"/>
  <c r="BZ137" i="2"/>
  <c r="BA267" i="5"/>
  <c r="BA209" i="5"/>
  <c r="DF137" i="2"/>
  <c r="DF138" i="2"/>
  <c r="DF139" i="2" s="1"/>
  <c r="AI111" i="2"/>
  <c r="AI108" i="2"/>
  <c r="AQ209" i="5"/>
  <c r="AQ267" i="5"/>
  <c r="FN188" i="3"/>
  <c r="FN186" i="3"/>
  <c r="FN187" i="3" s="1"/>
  <c r="CH137" i="2"/>
  <c r="CH138" i="2" s="1"/>
  <c r="CH139" i="2" s="1"/>
  <c r="S108" i="2"/>
  <c r="S111" i="2"/>
  <c r="BS111" i="2"/>
  <c r="BS108" i="2"/>
  <c r="DR108" i="2"/>
  <c r="DR111" i="2"/>
  <c r="EO200" i="3"/>
  <c r="EO201" i="3"/>
  <c r="EO229" i="3" s="1"/>
  <c r="EO193" i="3"/>
  <c r="EO195" i="3"/>
  <c r="EO197" i="3"/>
  <c r="EO199" i="3"/>
  <c r="J137" i="2"/>
  <c r="J138" i="2"/>
  <c r="AU209" i="3"/>
  <c r="AU267" i="3"/>
  <c r="CK209" i="3"/>
  <c r="CK267" i="3"/>
  <c r="BM108" i="2"/>
  <c r="BM111" i="2"/>
  <c r="DC137" i="2"/>
  <c r="DC138" i="2"/>
  <c r="DC139" i="2" s="1"/>
  <c r="ED186" i="5"/>
  <c r="ED187" i="5" s="1"/>
  <c r="ED188" i="5"/>
  <c r="FR313" i="5"/>
  <c r="FR174" i="5"/>
  <c r="FR177" i="5"/>
  <c r="DE209" i="3"/>
  <c r="DE267" i="3"/>
  <c r="AE95" i="2"/>
  <c r="AE98" i="2" s="1"/>
  <c r="AE120" i="2"/>
  <c r="AE121" i="2" s="1"/>
  <c r="AE86" i="2"/>
  <c r="AE102" i="2"/>
  <c r="AE103" i="2" s="1"/>
  <c r="EU133" i="2"/>
  <c r="ER209" i="3"/>
  <c r="ER267" i="3"/>
  <c r="AL267" i="5"/>
  <c r="AL209" i="5"/>
  <c r="W313" i="5"/>
  <c r="W174" i="5"/>
  <c r="W182" i="5" s="1"/>
  <c r="W226" i="5" s="1"/>
  <c r="W177" i="5"/>
  <c r="BB313" i="5"/>
  <c r="BB174" i="5"/>
  <c r="BB177" i="5"/>
  <c r="CG124" i="3"/>
  <c r="DF128" i="5"/>
  <c r="ER186" i="5"/>
  <c r="ER187" i="5" s="1"/>
  <c r="ER188" i="5" s="1"/>
  <c r="F146" i="3"/>
  <c r="F148" i="3" s="1"/>
  <c r="F195" i="3"/>
  <c r="F200" i="3"/>
  <c r="FB150" i="5"/>
  <c r="FB162" i="5" s="1"/>
  <c r="DE313" i="5"/>
  <c r="DE174" i="5"/>
  <c r="DE177" i="5"/>
  <c r="DO124" i="3"/>
  <c r="DO193" i="3" s="1"/>
  <c r="DO197" i="3" s="1"/>
  <c r="DO199" i="3" s="1"/>
  <c r="EC186" i="3"/>
  <c r="EC187" i="3" s="1"/>
  <c r="EC188" i="3" s="1"/>
  <c r="DF209" i="3"/>
  <c r="DF267" i="3"/>
  <c r="AS124" i="5"/>
  <c r="DQ133" i="2"/>
  <c r="CT150" i="5"/>
  <c r="CT162" i="5" s="1"/>
  <c r="U124" i="3"/>
  <c r="CM209" i="5"/>
  <c r="CM267" i="5"/>
  <c r="DB124" i="5"/>
  <c r="DV108" i="2"/>
  <c r="DV111" i="2"/>
  <c r="BO111" i="2"/>
  <c r="BO108" i="2"/>
  <c r="H108" i="2"/>
  <c r="H111" i="2"/>
  <c r="FT111" i="2"/>
  <c r="FT108" i="2"/>
  <c r="DM108" i="2"/>
  <c r="DM111" i="2"/>
  <c r="BF111" i="2"/>
  <c r="BF108" i="2"/>
  <c r="DO108" i="2"/>
  <c r="DO111" i="2"/>
  <c r="X108" i="2"/>
  <c r="X111" i="2"/>
  <c r="FL108" i="2"/>
  <c r="FL111" i="2"/>
  <c r="CG111" i="2"/>
  <c r="CG108" i="2"/>
  <c r="Z108" i="2"/>
  <c r="Z111" i="2"/>
  <c r="FN108" i="2"/>
  <c r="FN111" i="2"/>
  <c r="CU108" i="2"/>
  <c r="CU111" i="2"/>
  <c r="AB111" i="2"/>
  <c r="AB108" i="2"/>
  <c r="FP111" i="2"/>
  <c r="FP108" i="2"/>
  <c r="CK108" i="2"/>
  <c r="CK111" i="2"/>
  <c r="DD127" i="2"/>
  <c r="EO124" i="3"/>
  <c r="BQ137" i="2"/>
  <c r="BQ138" i="2" s="1"/>
  <c r="BQ139" i="2" s="1"/>
  <c r="K313" i="5"/>
  <c r="K174" i="5"/>
  <c r="K177" i="5"/>
  <c r="AP313" i="5"/>
  <c r="AP174" i="5"/>
  <c r="AP177" i="5"/>
  <c r="DU186" i="5"/>
  <c r="DU187" i="5" s="1"/>
  <c r="DU188" i="5"/>
  <c r="EE113" i="5"/>
  <c r="EE123" i="5" s="1"/>
  <c r="EE124" i="5" s="1"/>
  <c r="DY188" i="5"/>
  <c r="DY186" i="5"/>
  <c r="DY187" i="5" s="1"/>
  <c r="J124" i="5"/>
  <c r="BQ267" i="3"/>
  <c r="BQ209" i="3"/>
  <c r="FQ186" i="3"/>
  <c r="FQ187" i="3" s="1"/>
  <c r="FQ188" i="3" s="1"/>
  <c r="BH124" i="3"/>
  <c r="FT124" i="3"/>
  <c r="J200" i="3"/>
  <c r="J195" i="3"/>
  <c r="EQ137" i="2"/>
  <c r="EQ138" i="2"/>
  <c r="FB137" i="2"/>
  <c r="FB138" i="2"/>
  <c r="FB139" i="2" s="1"/>
  <c r="CW209" i="3"/>
  <c r="CW267" i="3"/>
  <c r="AT137" i="2"/>
  <c r="AT138" i="2"/>
  <c r="AT139" i="2" s="1"/>
  <c r="DY186" i="3"/>
  <c r="DY187" i="3" s="1"/>
  <c r="DY188" i="3" s="1"/>
  <c r="FV313" i="5"/>
  <c r="FV174" i="5"/>
  <c r="FV182" i="5" s="1"/>
  <c r="FV226" i="5" s="1"/>
  <c r="FV177" i="5"/>
  <c r="AD313" i="5"/>
  <c r="AD174" i="5"/>
  <c r="AD177" i="5"/>
  <c r="AY186" i="3"/>
  <c r="AY187" i="3" s="1"/>
  <c r="AY188" i="3"/>
  <c r="BD209" i="3"/>
  <c r="BD267" i="3"/>
  <c r="FC201" i="3"/>
  <c r="FC229" i="3" s="1"/>
  <c r="FC193" i="3"/>
  <c r="FC195" i="3"/>
  <c r="FC197" i="3"/>
  <c r="FC199" i="3"/>
  <c r="FC200" i="3"/>
  <c r="FF124" i="5"/>
  <c r="DP137" i="2"/>
  <c r="DP138" i="2"/>
  <c r="DP139" i="2" s="1"/>
  <c r="DL128" i="5"/>
  <c r="FI127" i="2"/>
  <c r="FV137" i="2"/>
  <c r="FV138" i="2"/>
  <c r="FV139" i="2" s="1"/>
  <c r="CR124" i="3"/>
  <c r="EA313" i="5"/>
  <c r="EA174" i="5"/>
  <c r="EA182" i="5" s="1"/>
  <c r="EA226" i="5" s="1"/>
  <c r="EA177" i="5"/>
  <c r="FF313" i="5"/>
  <c r="FF174" i="5"/>
  <c r="FF177" i="5"/>
  <c r="CZ120" i="2"/>
  <c r="CZ121" i="2" s="1"/>
  <c r="CZ86" i="2"/>
  <c r="CZ102" i="2"/>
  <c r="CZ103" i="2" s="1"/>
  <c r="CZ95" i="2"/>
  <c r="CZ98" i="2" s="1"/>
  <c r="BQ120" i="2"/>
  <c r="BQ121" i="2" s="1"/>
  <c r="BQ86" i="2"/>
  <c r="BQ102" i="2"/>
  <c r="BQ103" i="2" s="1"/>
  <c r="BQ95" i="2"/>
  <c r="BQ98" i="2" s="1"/>
  <c r="W120" i="2"/>
  <c r="W121" i="2" s="1"/>
  <c r="W86" i="2"/>
  <c r="W102" i="2"/>
  <c r="W103" i="2" s="1"/>
  <c r="W95" i="2"/>
  <c r="W98" i="2" s="1"/>
  <c r="FK120" i="2"/>
  <c r="FK121" i="2" s="1"/>
  <c r="FK86" i="2"/>
  <c r="FK102" i="2"/>
  <c r="FK103" i="2" s="1"/>
  <c r="FK95" i="2"/>
  <c r="FK98" i="2" s="1"/>
  <c r="EB120" i="2"/>
  <c r="EB121" i="2" s="1"/>
  <c r="EB102" i="2"/>
  <c r="EB103" i="2" s="1"/>
  <c r="EB95" i="2"/>
  <c r="EB98" i="2" s="1"/>
  <c r="EB86" i="2"/>
  <c r="AW120" i="2"/>
  <c r="AW121" i="2" s="1"/>
  <c r="AW102" i="2"/>
  <c r="AW103" i="2" s="1"/>
  <c r="AW95" i="2"/>
  <c r="AW98" i="2" s="1"/>
  <c r="AW86" i="2"/>
  <c r="Z120" i="2"/>
  <c r="Z121" i="2" s="1"/>
  <c r="Z102" i="2"/>
  <c r="Z103" i="2" s="1"/>
  <c r="Z95" i="2"/>
  <c r="Z98" i="2" s="1"/>
  <c r="Z86" i="2"/>
  <c r="FN120" i="2"/>
  <c r="FN121" i="2" s="1"/>
  <c r="FN102" i="2"/>
  <c r="FN103" i="2" s="1"/>
  <c r="FN95" i="2"/>
  <c r="FN98" i="2" s="1"/>
  <c r="FN86" i="2"/>
  <c r="FN139" i="2"/>
  <c r="EE120" i="2"/>
  <c r="EE121" i="2" s="1"/>
  <c r="EE95" i="2"/>
  <c r="EE98" i="2" s="1"/>
  <c r="EE86" i="2"/>
  <c r="EE102" i="2"/>
  <c r="EE103" i="2" s="1"/>
  <c r="CV120" i="2"/>
  <c r="CV121" i="2" s="1"/>
  <c r="CV95" i="2"/>
  <c r="CV98" i="2" s="1"/>
  <c r="CV86" i="2"/>
  <c r="CV102" i="2"/>
  <c r="CV103" i="2" s="1"/>
  <c r="AO120" i="2"/>
  <c r="AO121" i="2" s="1"/>
  <c r="AO95" i="2"/>
  <c r="AO98" i="2" s="1"/>
  <c r="AO86" i="2"/>
  <c r="AO102" i="2"/>
  <c r="AO103" i="2" s="1"/>
  <c r="F120" i="2"/>
  <c r="F121" i="2" s="1"/>
  <c r="F95" i="2"/>
  <c r="F98" i="2" s="1"/>
  <c r="F86" i="2"/>
  <c r="F102" i="2"/>
  <c r="F103" i="2" s="1"/>
  <c r="F139" i="2"/>
  <c r="ET120" i="2"/>
  <c r="ET121" i="2" s="1"/>
  <c r="ET95" i="2"/>
  <c r="ET98" i="2" s="1"/>
  <c r="ET86" i="2"/>
  <c r="ET102" i="2"/>
  <c r="ET103" i="2" s="1"/>
  <c r="BC95" i="2"/>
  <c r="BC98" i="2" s="1"/>
  <c r="BC120" i="2"/>
  <c r="BC121" i="2" s="1"/>
  <c r="BC86" i="2"/>
  <c r="BC102" i="2"/>
  <c r="BC103" i="2" s="1"/>
  <c r="EB127" i="2"/>
  <c r="CJ209" i="3"/>
  <c r="CJ267" i="3"/>
  <c r="DC199" i="3"/>
  <c r="DC200" i="3"/>
  <c r="DC201" i="3"/>
  <c r="DC229" i="3" s="1"/>
  <c r="DC193" i="3"/>
  <c r="DC195" i="3"/>
  <c r="DC197" i="3"/>
  <c r="BF113" i="3"/>
  <c r="BF123" i="3" s="1"/>
  <c r="BF124" i="3" s="1"/>
  <c r="DA186" i="3"/>
  <c r="DA187" i="3" s="1"/>
  <c r="DA188" i="3"/>
  <c r="G186" i="5"/>
  <c r="G187" i="5" s="1"/>
  <c r="G188" i="5" s="1"/>
  <c r="FP146" i="3"/>
  <c r="FP148" i="3" s="1"/>
  <c r="EP267" i="3"/>
  <c r="EP209" i="3"/>
  <c r="DQ186" i="3"/>
  <c r="DQ187" i="3" s="1"/>
  <c r="DQ188" i="3" s="1"/>
  <c r="BW137" i="2"/>
  <c r="BW138" i="2"/>
  <c r="BW139" i="2" s="1"/>
  <c r="DK195" i="3"/>
  <c r="DK197" i="3"/>
  <c r="DK199" i="3"/>
  <c r="DK200" i="3"/>
  <c r="DK201" i="3"/>
  <c r="DK229" i="3" s="1"/>
  <c r="DK193" i="3"/>
  <c r="AP188" i="5"/>
  <c r="AP186" i="5"/>
  <c r="AP187" i="5" s="1"/>
  <c r="EH186" i="3"/>
  <c r="EH187" i="3" s="1"/>
  <c r="EH188" i="3" s="1"/>
  <c r="CL137" i="2"/>
  <c r="CL138" i="2" s="1"/>
  <c r="CL139" i="2" s="1"/>
  <c r="BR137" i="2"/>
  <c r="BR138" i="2"/>
  <c r="BR139" i="2" s="1"/>
  <c r="FV209" i="5"/>
  <c r="FV267" i="5"/>
  <c r="FG267" i="5"/>
  <c r="FG209" i="5"/>
  <c r="BB188" i="5"/>
  <c r="BB186" i="5"/>
  <c r="BB187" i="5" s="1"/>
  <c r="DW209" i="5"/>
  <c r="DW267" i="5"/>
  <c r="FG195" i="3"/>
  <c r="FG197" i="3"/>
  <c r="FG199" i="3"/>
  <c r="FG200" i="3"/>
  <c r="FG201" i="3"/>
  <c r="FG229" i="3" s="1"/>
  <c r="FG193" i="3"/>
  <c r="EW133" i="2"/>
  <c r="DW186" i="3"/>
  <c r="DW187" i="3" s="1"/>
  <c r="DW188" i="3"/>
  <c r="CR137" i="2"/>
  <c r="CR138" i="2" s="1"/>
  <c r="CR139" i="2" s="1"/>
  <c r="CM195" i="3"/>
  <c r="CM200" i="3"/>
  <c r="EB162" i="3"/>
  <c r="CZ186" i="3"/>
  <c r="CZ187" i="3" s="1"/>
  <c r="CZ188" i="3" s="1"/>
  <c r="Y113" i="3"/>
  <c r="Y123" i="3" s="1"/>
  <c r="Y124" i="3" s="1"/>
  <c r="Y209" i="3"/>
  <c r="Y267" i="3"/>
  <c r="D90" i="4"/>
  <c r="FT20" i="5"/>
  <c r="FZ20" i="5" s="1"/>
  <c r="CB195" i="3"/>
  <c r="CB197" i="3"/>
  <c r="CB199" i="3"/>
  <c r="CB200" i="3"/>
  <c r="CB201" i="3"/>
  <c r="CB229" i="3" s="1"/>
  <c r="CB193" i="3"/>
  <c r="FR186" i="3"/>
  <c r="FR187" i="3" s="1"/>
  <c r="FR188" i="3" s="1"/>
  <c r="AX186" i="3"/>
  <c r="AX187" i="3" s="1"/>
  <c r="AX188" i="3" s="1"/>
  <c r="ET193" i="3"/>
  <c r="ET195" i="3"/>
  <c r="ET197" i="3"/>
  <c r="ET199" i="3"/>
  <c r="ET200" i="3"/>
  <c r="ET201" i="3"/>
  <c r="ET229" i="3" s="1"/>
  <c r="AJ150" i="5"/>
  <c r="AJ162" i="5" s="1"/>
  <c r="EP313" i="5"/>
  <c r="EP174" i="5"/>
  <c r="EP177" i="5"/>
  <c r="CF113" i="3"/>
  <c r="CF123" i="3" s="1"/>
  <c r="Z186" i="5"/>
  <c r="Z187" i="5" s="1"/>
  <c r="Z188" i="5" s="1"/>
  <c r="CO186" i="3"/>
  <c r="CO187" i="3" s="1"/>
  <c r="CO188" i="3"/>
  <c r="DN124" i="3"/>
  <c r="DN193" i="3" s="1"/>
  <c r="DN197" i="3" s="1"/>
  <c r="DN199" i="3" s="1"/>
  <c r="S124" i="3"/>
  <c r="CI184" i="5"/>
  <c r="CI191" i="5"/>
  <c r="CI207" i="5"/>
  <c r="CI150" i="5"/>
  <c r="CI115" i="5"/>
  <c r="CI122" i="5" s="1"/>
  <c r="CI124" i="5" s="1"/>
  <c r="CI167" i="5" s="1"/>
  <c r="CI168" i="5" s="1"/>
  <c r="CI169" i="5" s="1"/>
  <c r="CI225" i="5" s="1"/>
  <c r="CI104" i="5"/>
  <c r="CI112" i="5"/>
  <c r="CI109" i="5"/>
  <c r="CI111" i="5" s="1"/>
  <c r="CI113" i="5" s="1"/>
  <c r="CI123" i="5" s="1"/>
  <c r="FC267" i="5"/>
  <c r="FC209" i="5"/>
  <c r="CV127" i="2"/>
  <c r="Y133" i="2"/>
  <c r="DO186" i="5"/>
  <c r="DO187" i="5" s="1"/>
  <c r="DO188" i="5" s="1"/>
  <c r="BM209" i="5"/>
  <c r="BM267" i="5"/>
  <c r="FX209" i="5"/>
  <c r="FX267" i="5"/>
  <c r="I162" i="3"/>
  <c r="EV137" i="2"/>
  <c r="EV138" i="2"/>
  <c r="EV139" i="2" s="1"/>
  <c r="AH127" i="2"/>
  <c r="EY127" i="2"/>
  <c r="DZ313" i="5"/>
  <c r="DZ174" i="5"/>
  <c r="DZ177" i="5"/>
  <c r="FE313" i="5"/>
  <c r="FE174" i="5"/>
  <c r="FE177" i="5"/>
  <c r="P193" i="3"/>
  <c r="P195" i="3"/>
  <c r="P197" i="3"/>
  <c r="P199" i="3"/>
  <c r="P200" i="3"/>
  <c r="P201" i="3"/>
  <c r="P229" i="3" s="1"/>
  <c r="DD200" i="3"/>
  <c r="DD201" i="3"/>
  <c r="DD229" i="3" s="1"/>
  <c r="DD193" i="3"/>
  <c r="DD195" i="3"/>
  <c r="DD197" i="3"/>
  <c r="DD199" i="3"/>
  <c r="BO124" i="3"/>
  <c r="FD146" i="3"/>
  <c r="FD148" i="3" s="1"/>
  <c r="FD209" i="3"/>
  <c r="FD267" i="3"/>
  <c r="N188" i="3"/>
  <c r="N186" i="3"/>
  <c r="N187" i="3" s="1"/>
  <c r="AK124" i="3"/>
  <c r="AQ137" i="2"/>
  <c r="AQ138" i="2" s="1"/>
  <c r="AQ139" i="2" s="1"/>
  <c r="CE199" i="3"/>
  <c r="CE200" i="3"/>
  <c r="CE201" i="3"/>
  <c r="CE229" i="3" s="1"/>
  <c r="CE193" i="3"/>
  <c r="CE195" i="3"/>
  <c r="CE197" i="3"/>
  <c r="AR124" i="5"/>
  <c r="EA124" i="3"/>
  <c r="N137" i="2"/>
  <c r="N138" i="2"/>
  <c r="N139" i="2" s="1"/>
  <c r="AD209" i="3"/>
  <c r="AD267" i="3"/>
  <c r="CV193" i="3"/>
  <c r="CV195" i="3"/>
  <c r="CV197" i="3"/>
  <c r="CV199" i="3"/>
  <c r="CV200" i="3"/>
  <c r="CV201" i="3"/>
  <c r="CV229" i="3" s="1"/>
  <c r="EH138" i="2"/>
  <c r="EH139" i="2" s="1"/>
  <c r="EH137" i="2"/>
  <c r="FK124" i="5"/>
  <c r="CT137" i="2"/>
  <c r="CT138" i="2"/>
  <c r="CT139" i="2" s="1"/>
  <c r="CD197" i="3"/>
  <c r="CD199" i="3"/>
  <c r="CD200" i="3"/>
  <c r="CD201" i="3"/>
  <c r="CD229" i="3" s="1"/>
  <c r="CD193" i="3"/>
  <c r="CD195" i="3"/>
  <c r="BL124" i="5"/>
  <c r="EY133" i="2"/>
  <c r="AV313" i="5"/>
  <c r="AV174" i="5"/>
  <c r="AV182" i="5" s="1"/>
  <c r="AV226" i="5" s="1"/>
  <c r="AV177" i="5"/>
  <c r="CA313" i="5"/>
  <c r="CA174" i="5"/>
  <c r="CA177" i="5"/>
  <c r="S267" i="5"/>
  <c r="S209" i="5"/>
  <c r="AN186" i="5"/>
  <c r="AN187" i="5" s="1"/>
  <c r="AN188" i="5" s="1"/>
  <c r="R195" i="3"/>
  <c r="R200" i="3"/>
  <c r="Y124" i="5"/>
  <c r="G137" i="2"/>
  <c r="G138" i="2" s="1"/>
  <c r="G139" i="2" s="1"/>
  <c r="DG186" i="5"/>
  <c r="DG187" i="5" s="1"/>
  <c r="DG188" i="5" s="1"/>
  <c r="Q127" i="2"/>
  <c r="EV186" i="5"/>
  <c r="EV187" i="5" s="1"/>
  <c r="EV188" i="5" s="1"/>
  <c r="CO124" i="5"/>
  <c r="AQ124" i="3"/>
  <c r="BE133" i="2"/>
  <c r="CF209" i="5"/>
  <c r="CF267" i="5"/>
  <c r="DU186" i="3"/>
  <c r="DU187" i="3" s="1"/>
  <c r="DU188" i="3"/>
  <c r="X215" i="3"/>
  <c r="X219" i="3" s="1"/>
  <c r="X228" i="3" s="1"/>
  <c r="X173" i="3"/>
  <c r="CP215" i="3"/>
  <c r="CP219" i="3" s="1"/>
  <c r="CP228" i="3" s="1"/>
  <c r="CP173" i="3"/>
  <c r="BG215" i="3"/>
  <c r="BG219" i="3" s="1"/>
  <c r="BG228" i="3" s="1"/>
  <c r="BG173" i="3"/>
  <c r="Y215" i="3"/>
  <c r="Y219" i="3" s="1"/>
  <c r="Y228" i="3" s="1"/>
  <c r="Y173" i="3"/>
  <c r="FM215" i="3"/>
  <c r="FM219" i="3" s="1"/>
  <c r="FM228" i="3" s="1"/>
  <c r="FM173" i="3"/>
  <c r="ED173" i="3"/>
  <c r="ED215" i="3"/>
  <c r="ED219" i="3" s="1"/>
  <c r="ED228" i="3" s="1"/>
  <c r="DG215" i="3"/>
  <c r="DG219" i="3" s="1"/>
  <c r="DG228" i="3" s="1"/>
  <c r="DG173" i="3"/>
  <c r="BX215" i="3"/>
  <c r="BX219" i="3" s="1"/>
  <c r="BX228" i="3" s="1"/>
  <c r="BX173" i="3"/>
  <c r="AO215" i="3"/>
  <c r="AO219" i="3" s="1"/>
  <c r="AO228" i="3" s="1"/>
  <c r="AO173" i="3"/>
  <c r="F215" i="3"/>
  <c r="F219" i="3" s="1"/>
  <c r="F228" i="3" s="1"/>
  <c r="F173" i="3"/>
  <c r="ET215" i="3"/>
  <c r="ET219" i="3" s="1"/>
  <c r="ET228" i="3" s="1"/>
  <c r="ET173" i="3"/>
  <c r="DK215" i="3"/>
  <c r="DK219" i="3" s="1"/>
  <c r="DK228" i="3" s="1"/>
  <c r="DK173" i="3"/>
  <c r="CB215" i="3"/>
  <c r="CB219" i="3" s="1"/>
  <c r="CB228" i="3" s="1"/>
  <c r="CB173" i="3"/>
  <c r="AS215" i="3"/>
  <c r="AS219" i="3" s="1"/>
  <c r="AS228" i="3" s="1"/>
  <c r="AS173" i="3"/>
  <c r="C313" i="3"/>
  <c r="C174" i="3"/>
  <c r="C177" i="3"/>
  <c r="FB128" i="5"/>
  <c r="BI188" i="5"/>
  <c r="BI186" i="5"/>
  <c r="BI187" i="5" s="1"/>
  <c r="AR209" i="3"/>
  <c r="AR267" i="3"/>
  <c r="DG209" i="3"/>
  <c r="DG267" i="3"/>
  <c r="DT124" i="3"/>
  <c r="AG186" i="3"/>
  <c r="AG187" i="3" s="1"/>
  <c r="AG188" i="3"/>
  <c r="K199" i="3"/>
  <c r="K200" i="3"/>
  <c r="K201" i="3"/>
  <c r="K229" i="3" s="1"/>
  <c r="K193" i="3"/>
  <c r="K195" i="3"/>
  <c r="K197" i="3"/>
  <c r="DL154" i="3"/>
  <c r="S138" i="2"/>
  <c r="S139" i="2" s="1"/>
  <c r="S137" i="2"/>
  <c r="CQ186" i="5"/>
  <c r="CQ187" i="5" s="1"/>
  <c r="CQ188" i="5"/>
  <c r="AC186" i="5"/>
  <c r="AC187" i="5" s="1"/>
  <c r="AC188" i="5"/>
  <c r="FI113" i="3"/>
  <c r="FI123" i="3" s="1"/>
  <c r="FI209" i="3"/>
  <c r="FI267" i="3"/>
  <c r="FX113" i="3"/>
  <c r="FX123" i="3" s="1"/>
  <c r="FX124" i="3" s="1"/>
  <c r="CZ127" i="2"/>
  <c r="FM186" i="5"/>
  <c r="FM187" i="5" s="1"/>
  <c r="FM188" i="5" s="1"/>
  <c r="DQ313" i="5"/>
  <c r="DQ174" i="5"/>
  <c r="DQ177" i="5"/>
  <c r="EV313" i="5"/>
  <c r="EV174" i="5"/>
  <c r="EV177" i="5"/>
  <c r="D313" i="5"/>
  <c r="D174" i="5"/>
  <c r="D177" i="5"/>
  <c r="FR186" i="5"/>
  <c r="FR187" i="5" s="1"/>
  <c r="FR188" i="5" s="1"/>
  <c r="AK209" i="5"/>
  <c r="AK267" i="5"/>
  <c r="DB150" i="3"/>
  <c r="DB162" i="3" s="1"/>
  <c r="DI186" i="3"/>
  <c r="DI187" i="3" s="1"/>
  <c r="DI188" i="3" s="1"/>
  <c r="BP146" i="3"/>
  <c r="BP148" i="3" s="1"/>
  <c r="EU209" i="5"/>
  <c r="EU267" i="5"/>
  <c r="FK209" i="3"/>
  <c r="FK267" i="3"/>
  <c r="FP188" i="5"/>
  <c r="FP186" i="5"/>
  <c r="FP187" i="5" s="1"/>
  <c r="BA186" i="5"/>
  <c r="BA187" i="5" s="1"/>
  <c r="BA188" i="5"/>
  <c r="Q108" i="2"/>
  <c r="Q111" i="2"/>
  <c r="CG313" i="5"/>
  <c r="CG174" i="5"/>
  <c r="CG177" i="5"/>
  <c r="DQ124" i="5"/>
  <c r="CC186" i="5"/>
  <c r="CC187" i="5" s="1"/>
  <c r="CC188" i="5" s="1"/>
  <c r="EB313" i="5"/>
  <c r="EB174" i="5"/>
  <c r="EB177" i="5"/>
  <c r="BR207" i="3"/>
  <c r="BR184" i="3"/>
  <c r="BR191" i="3"/>
  <c r="BR150" i="3"/>
  <c r="BR154" i="3" s="1"/>
  <c r="BR112" i="3"/>
  <c r="BR152" i="3"/>
  <c r="BR104" i="3"/>
  <c r="BR115" i="3"/>
  <c r="BR122" i="3" s="1"/>
  <c r="BR142" i="3"/>
  <c r="BR144" i="3"/>
  <c r="BR109" i="3"/>
  <c r="BR111" i="3" s="1"/>
  <c r="EX108" i="2"/>
  <c r="EX111" i="2"/>
  <c r="CC209" i="5"/>
  <c r="CC267" i="5"/>
  <c r="AT209" i="3"/>
  <c r="AT267" i="3"/>
  <c r="F188" i="3"/>
  <c r="F186" i="3"/>
  <c r="F187" i="3" s="1"/>
  <c r="FA209" i="3"/>
  <c r="FA267" i="3"/>
  <c r="FV111" i="2"/>
  <c r="FV108" i="2"/>
  <c r="EN108" i="2"/>
  <c r="EN111" i="2"/>
  <c r="EP108" i="2"/>
  <c r="EP111" i="2"/>
  <c r="ER111" i="2"/>
  <c r="ER108" i="2"/>
  <c r="DX124" i="5"/>
  <c r="CW193" i="3"/>
  <c r="CW195" i="3"/>
  <c r="CW197" i="3"/>
  <c r="CW199" i="3"/>
  <c r="CW200" i="3"/>
  <c r="CW201" i="3"/>
  <c r="CW229" i="3" s="1"/>
  <c r="FM137" i="2"/>
  <c r="FM138" i="2"/>
  <c r="FM139" i="2" s="1"/>
  <c r="FJ137" i="2"/>
  <c r="FJ138" i="2" s="1"/>
  <c r="FJ139" i="2" s="1"/>
  <c r="CK137" i="2"/>
  <c r="CK138" i="2" s="1"/>
  <c r="CK139" i="2" s="1"/>
  <c r="D127" i="4"/>
  <c r="AO193" i="3"/>
  <c r="AO197" i="3" s="1"/>
  <c r="AO199" i="3" s="1"/>
  <c r="AO195" i="3"/>
  <c r="AO200" i="3"/>
  <c r="ER209" i="5"/>
  <c r="ER267" i="5"/>
  <c r="ED188" i="3"/>
  <c r="ED186" i="3"/>
  <c r="ED187" i="3" s="1"/>
  <c r="BZ124" i="3"/>
  <c r="EG267" i="5"/>
  <c r="EG209" i="5"/>
  <c r="FB186" i="5"/>
  <c r="FB187" i="5" s="1"/>
  <c r="FB188" i="5"/>
  <c r="DI127" i="2"/>
  <c r="EC200" i="3"/>
  <c r="EC201" i="3"/>
  <c r="EC229" i="3" s="1"/>
  <c r="EC193" i="3"/>
  <c r="EC195" i="3"/>
  <c r="EC197" i="3"/>
  <c r="EC199" i="3"/>
  <c r="CT186" i="5"/>
  <c r="CT187" i="5" s="1"/>
  <c r="CT188" i="5"/>
  <c r="BR133" i="2"/>
  <c r="W137" i="2"/>
  <c r="W138" i="2" s="1"/>
  <c r="W139" i="2" s="1"/>
  <c r="EH108" i="2"/>
  <c r="EH111" i="2"/>
  <c r="CA111" i="2"/>
  <c r="CA108" i="2"/>
  <c r="T108" i="2"/>
  <c r="T111" i="2"/>
  <c r="DY108" i="2"/>
  <c r="DY111" i="2"/>
  <c r="BR108" i="2"/>
  <c r="BR111" i="2"/>
  <c r="EA111" i="2"/>
  <c r="EA108" i="2"/>
  <c r="AJ108" i="2"/>
  <c r="AJ111" i="2"/>
  <c r="FX108" i="2"/>
  <c r="FX111" i="2"/>
  <c r="CS108" i="2"/>
  <c r="CS111" i="2"/>
  <c r="AL108" i="2"/>
  <c r="AL111" i="2"/>
  <c r="DG108" i="2"/>
  <c r="DG111" i="2"/>
  <c r="AN108" i="2"/>
  <c r="AN111" i="2"/>
  <c r="CW108" i="2"/>
  <c r="CW111" i="2"/>
  <c r="EA124" i="5"/>
  <c r="E124" i="5"/>
  <c r="O184" i="5"/>
  <c r="O207" i="5"/>
  <c r="O191" i="5"/>
  <c r="O150" i="5"/>
  <c r="O115" i="5"/>
  <c r="O122" i="5" s="1"/>
  <c r="O124" i="5" s="1"/>
  <c r="O167" i="5" s="1"/>
  <c r="O168" i="5" s="1"/>
  <c r="O169" i="5" s="1"/>
  <c r="O225" i="5" s="1"/>
  <c r="O104" i="5"/>
  <c r="O112" i="5"/>
  <c r="O109" i="5"/>
  <c r="O111" i="5" s="1"/>
  <c r="O113" i="5" s="1"/>
  <c r="O123" i="5" s="1"/>
  <c r="ED113" i="5"/>
  <c r="ED123" i="5" s="1"/>
  <c r="DD267" i="5"/>
  <c r="DD209" i="5"/>
  <c r="CW186" i="5"/>
  <c r="CW187" i="5" s="1"/>
  <c r="CW188" i="5"/>
  <c r="FQ209" i="3"/>
  <c r="FQ267" i="3"/>
  <c r="L162" i="3"/>
  <c r="BC313" i="5"/>
  <c r="BC174" i="5"/>
  <c r="BC177" i="5"/>
  <c r="AP188" i="3"/>
  <c r="AP186" i="3"/>
  <c r="AP187" i="3" s="1"/>
  <c r="EJ124" i="3"/>
  <c r="BV137" i="2"/>
  <c r="BV138" i="2"/>
  <c r="CB209" i="5"/>
  <c r="CB267" i="5"/>
  <c r="CW113" i="3"/>
  <c r="CW123" i="3" s="1"/>
  <c r="CW124" i="3" s="1"/>
  <c r="T209" i="5"/>
  <c r="T267" i="5"/>
  <c r="BS162" i="3"/>
  <c r="AM113" i="3"/>
  <c r="AM123" i="3" s="1"/>
  <c r="AM124" i="3" s="1"/>
  <c r="AM209" i="3"/>
  <c r="AM267" i="3"/>
  <c r="DM150" i="3"/>
  <c r="FZ173" i="5"/>
  <c r="DE124" i="3"/>
  <c r="AY209" i="3"/>
  <c r="AY267" i="3"/>
  <c r="BU209" i="5"/>
  <c r="BU267" i="5"/>
  <c r="FC152" i="3"/>
  <c r="FC154" i="3" s="1"/>
  <c r="FC156" i="3" s="1"/>
  <c r="FC158" i="3" s="1"/>
  <c r="Q267" i="5"/>
  <c r="Q209" i="5"/>
  <c r="T313" i="5"/>
  <c r="T174" i="5"/>
  <c r="T177" i="5"/>
  <c r="AA137" i="2"/>
  <c r="AA138" i="2"/>
  <c r="BC124" i="3"/>
  <c r="EZ124" i="3"/>
  <c r="J120" i="2"/>
  <c r="J121" i="2" s="1"/>
  <c r="J86" i="2"/>
  <c r="J102" i="2"/>
  <c r="J103" i="2" s="1"/>
  <c r="J95" i="2"/>
  <c r="J98" i="2" s="1"/>
  <c r="J139" i="2"/>
  <c r="DL120" i="2"/>
  <c r="DL121" i="2" s="1"/>
  <c r="DL86" i="2"/>
  <c r="DL102" i="2"/>
  <c r="DL103" i="2" s="1"/>
  <c r="DL95" i="2"/>
  <c r="DL98" i="2" s="1"/>
  <c r="DL139" i="2"/>
  <c r="DL133" i="2"/>
  <c r="DL127" i="2"/>
  <c r="CC120" i="2"/>
  <c r="CC121" i="2" s="1"/>
  <c r="CC86" i="2"/>
  <c r="CC102" i="2"/>
  <c r="CC103" i="2" s="1"/>
  <c r="CC95" i="2"/>
  <c r="CC98" i="2" s="1"/>
  <c r="AI120" i="2"/>
  <c r="AI121" i="2" s="1"/>
  <c r="AI86" i="2"/>
  <c r="AI102" i="2"/>
  <c r="AI103" i="2" s="1"/>
  <c r="AI95" i="2"/>
  <c r="AI98" i="2" s="1"/>
  <c r="FW120" i="2"/>
  <c r="FW121" i="2" s="1"/>
  <c r="FW86" i="2"/>
  <c r="FW142" i="2" s="1"/>
  <c r="FW102" i="2"/>
  <c r="FW103" i="2" s="1"/>
  <c r="FW95" i="2"/>
  <c r="FW98" i="2" s="1"/>
  <c r="FW139" i="2"/>
  <c r="EN120" i="2"/>
  <c r="EN121" i="2" s="1"/>
  <c r="EN102" i="2"/>
  <c r="EN103" i="2" s="1"/>
  <c r="EN95" i="2"/>
  <c r="EN98" i="2" s="1"/>
  <c r="EN86" i="2"/>
  <c r="BI120" i="2"/>
  <c r="BI121" i="2" s="1"/>
  <c r="BI102" i="2"/>
  <c r="BI103" i="2" s="1"/>
  <c r="BI95" i="2"/>
  <c r="BI98" i="2" s="1"/>
  <c r="BI86" i="2"/>
  <c r="BI142" i="2" s="1"/>
  <c r="BI139" i="2"/>
  <c r="AL120" i="2"/>
  <c r="AL121" i="2" s="1"/>
  <c r="AL102" i="2"/>
  <c r="AL103" i="2" s="1"/>
  <c r="AL95" i="2"/>
  <c r="AL98" i="2" s="1"/>
  <c r="AL86" i="2"/>
  <c r="C120" i="2"/>
  <c r="C121" i="2" s="1"/>
  <c r="C95" i="2"/>
  <c r="C86" i="2"/>
  <c r="C102" i="2"/>
  <c r="C103" i="2" s="1"/>
  <c r="EQ120" i="2"/>
  <c r="EQ121" i="2" s="1"/>
  <c r="EQ95" i="2"/>
  <c r="EQ98" i="2" s="1"/>
  <c r="EQ86" i="2"/>
  <c r="EQ102" i="2"/>
  <c r="EQ103" i="2" s="1"/>
  <c r="EQ139" i="2"/>
  <c r="DH120" i="2"/>
  <c r="DH121" i="2" s="1"/>
  <c r="DH95" i="2"/>
  <c r="DH98" i="2" s="1"/>
  <c r="DH86" i="2"/>
  <c r="DH102" i="2"/>
  <c r="DH103" i="2" s="1"/>
  <c r="BA120" i="2"/>
  <c r="BA121" i="2" s="1"/>
  <c r="BA95" i="2"/>
  <c r="BA98" i="2" s="1"/>
  <c r="BA86" i="2"/>
  <c r="BA102" i="2"/>
  <c r="BA103" i="2" s="1"/>
  <c r="BA139" i="2"/>
  <c r="R120" i="2"/>
  <c r="R121" i="2" s="1"/>
  <c r="R95" i="2"/>
  <c r="R98" i="2" s="1"/>
  <c r="R86" i="2"/>
  <c r="R102" i="2"/>
  <c r="R103" i="2" s="1"/>
  <c r="FF120" i="2"/>
  <c r="FF121" i="2" s="1"/>
  <c r="FF95" i="2"/>
  <c r="FF98" i="2" s="1"/>
  <c r="FF86" i="2"/>
  <c r="FF102" i="2"/>
  <c r="FF103" i="2" s="1"/>
  <c r="BO120" i="2"/>
  <c r="BO121" i="2" s="1"/>
  <c r="BO95" i="2"/>
  <c r="BO98" i="2" s="1"/>
  <c r="BO86" i="2"/>
  <c r="BO102" i="2"/>
  <c r="BO103" i="2" s="1"/>
  <c r="BB124" i="3"/>
  <c r="DF186" i="5"/>
  <c r="DF187" i="5" s="1"/>
  <c r="DF188" i="5"/>
  <c r="DC267" i="3"/>
  <c r="DC209" i="3"/>
  <c r="BX186" i="3"/>
  <c r="BX187" i="3" s="1"/>
  <c r="BX188" i="3"/>
  <c r="BJ124" i="3"/>
  <c r="DM127" i="2"/>
  <c r="AA186" i="3"/>
  <c r="AA187" i="3" s="1"/>
  <c r="AA188" i="3"/>
  <c r="FU186" i="5"/>
  <c r="FU187" i="5" s="1"/>
  <c r="FU188" i="5" s="1"/>
  <c r="CE209" i="5"/>
  <c r="CE267" i="5"/>
  <c r="EK186" i="3"/>
  <c r="EK187" i="3" s="1"/>
  <c r="EK188" i="3" s="1"/>
  <c r="FO313" i="5"/>
  <c r="FO174" i="5"/>
  <c r="FO177" i="5"/>
  <c r="CC124" i="3"/>
  <c r="AZ195" i="3"/>
  <c r="AZ200" i="3"/>
  <c r="CK186" i="5"/>
  <c r="CK187" i="5" s="1"/>
  <c r="CK188" i="5" s="1"/>
  <c r="FS137" i="2"/>
  <c r="FS138" i="2" s="1"/>
  <c r="FS139" i="2" s="1"/>
  <c r="DS137" i="2"/>
  <c r="DS138" i="2" s="1"/>
  <c r="DS139" i="2" s="1"/>
  <c r="G209" i="5"/>
  <c r="G267" i="5"/>
  <c r="EP113" i="3"/>
  <c r="EP123" i="3" s="1"/>
  <c r="EP124" i="3" s="1"/>
  <c r="DQ200" i="3"/>
  <c r="DQ201" i="3"/>
  <c r="DQ229" i="3" s="1"/>
  <c r="DQ193" i="3"/>
  <c r="DQ195" i="3"/>
  <c r="DQ197" i="3"/>
  <c r="DQ199" i="3"/>
  <c r="FA127" i="2"/>
  <c r="DK186" i="3"/>
  <c r="DK187" i="3" s="1"/>
  <c r="DK188" i="3" s="1"/>
  <c r="DH124" i="3"/>
  <c r="ES133" i="2"/>
  <c r="AF124" i="3"/>
  <c r="BF127" i="2"/>
  <c r="CL113" i="5"/>
  <c r="CL123" i="5" s="1"/>
  <c r="CF313" i="5"/>
  <c r="CF174" i="5"/>
  <c r="CF182" i="5" s="1"/>
  <c r="CF226" i="5" s="1"/>
  <c r="CF177" i="5"/>
  <c r="DK313" i="5"/>
  <c r="DK174" i="5"/>
  <c r="DK177" i="5"/>
  <c r="FV113" i="5"/>
  <c r="FV123" i="5" s="1"/>
  <c r="BB267" i="5"/>
  <c r="BB209" i="5"/>
  <c r="FJ186" i="3"/>
  <c r="FJ187" i="3" s="1"/>
  <c r="FJ188" i="3" s="1"/>
  <c r="EL137" i="2"/>
  <c r="EL138" i="2"/>
  <c r="EL139" i="2" s="1"/>
  <c r="AT186" i="5"/>
  <c r="AT187" i="5" s="1"/>
  <c r="AT188" i="5"/>
  <c r="DP124" i="5"/>
  <c r="DW113" i="5"/>
  <c r="DW123" i="5" s="1"/>
  <c r="DW124" i="5" s="1"/>
  <c r="FG209" i="3"/>
  <c r="FG267" i="3"/>
  <c r="AS186" i="3"/>
  <c r="AS187" i="3" s="1"/>
  <c r="AS188" i="3"/>
  <c r="CR186" i="5"/>
  <c r="CR187" i="5" s="1"/>
  <c r="CR188" i="5" s="1"/>
  <c r="CM267" i="3"/>
  <c r="CM209" i="3"/>
  <c r="EB186" i="3"/>
  <c r="EB187" i="3" s="1"/>
  <c r="EB188" i="3"/>
  <c r="CZ209" i="3"/>
  <c r="CZ267" i="3"/>
  <c r="FT191" i="5"/>
  <c r="FT207" i="5"/>
  <c r="FT184" i="5"/>
  <c r="FT150" i="5"/>
  <c r="FT162" i="5" s="1"/>
  <c r="FT152" i="5"/>
  <c r="FT112" i="5"/>
  <c r="FT115" i="5"/>
  <c r="FT122" i="5" s="1"/>
  <c r="FT104" i="5"/>
  <c r="FT109" i="5"/>
  <c r="FT111" i="5" s="1"/>
  <c r="FT113" i="5" s="1"/>
  <c r="FT123" i="5" s="1"/>
  <c r="FT135" i="5"/>
  <c r="FZ21" i="5"/>
  <c r="CB188" i="3"/>
  <c r="CB186" i="3"/>
  <c r="CB187" i="3" s="1"/>
  <c r="AX201" i="3"/>
  <c r="AX229" i="3" s="1"/>
  <c r="AX193" i="3"/>
  <c r="AX195" i="3"/>
  <c r="AX197" i="3"/>
  <c r="AX199" i="3"/>
  <c r="AX200" i="3"/>
  <c r="DV124" i="3"/>
  <c r="ET113" i="3"/>
  <c r="ET123" i="3" s="1"/>
  <c r="AG313" i="5"/>
  <c r="AG174" i="5"/>
  <c r="AG177" i="5"/>
  <c r="BL313" i="5"/>
  <c r="BL174" i="5"/>
  <c r="BL177" i="5"/>
  <c r="AD113" i="5"/>
  <c r="AD123" i="5" s="1"/>
  <c r="DD128" i="3"/>
  <c r="BM138" i="2"/>
  <c r="BM139" i="2" s="1"/>
  <c r="BM137" i="2"/>
  <c r="FX113" i="5"/>
  <c r="FX123" i="5" s="1"/>
  <c r="FX124" i="5" s="1"/>
  <c r="FO124" i="3"/>
  <c r="FO193" i="3" s="1"/>
  <c r="FO197" i="3" s="1"/>
  <c r="FO199" i="3" s="1"/>
  <c r="FW127" i="2"/>
  <c r="DJ162" i="3"/>
  <c r="BH127" i="2"/>
  <c r="P113" i="3"/>
  <c r="P123" i="3" s="1"/>
  <c r="P209" i="3"/>
  <c r="P267" i="3"/>
  <c r="DD186" i="3"/>
  <c r="DD187" i="3" s="1"/>
  <c r="DD188" i="3"/>
  <c r="N201" i="3"/>
  <c r="N229" i="3" s="1"/>
  <c r="N193" i="3"/>
  <c r="N195" i="3"/>
  <c r="N197" i="3"/>
  <c r="N199" i="3"/>
  <c r="N200" i="3"/>
  <c r="CE113" i="3"/>
  <c r="CE123" i="3" s="1"/>
  <c r="AL137" i="2"/>
  <c r="AL138" i="2"/>
  <c r="AL139" i="2" s="1"/>
  <c r="AD113" i="3"/>
  <c r="AD123" i="3" s="1"/>
  <c r="CV209" i="3"/>
  <c r="CV267" i="3"/>
  <c r="E162" i="3"/>
  <c r="E127" i="2"/>
  <c r="FS195" i="3"/>
  <c r="FS197" i="3"/>
  <c r="FS199" i="3"/>
  <c r="FS200" i="3"/>
  <c r="FS201" i="3"/>
  <c r="FS229" i="3" s="1"/>
  <c r="FS193" i="3"/>
  <c r="BF124" i="5"/>
  <c r="EG133" i="2"/>
  <c r="CU267" i="5"/>
  <c r="CU209" i="5"/>
  <c r="K124" i="5"/>
  <c r="DX195" i="3"/>
  <c r="DX197" i="3"/>
  <c r="DX199" i="3"/>
  <c r="DX200" i="3"/>
  <c r="DX201" i="3"/>
  <c r="DX229" i="3" s="1"/>
  <c r="DX193" i="3"/>
  <c r="S113" i="5"/>
  <c r="S123" i="5" s="1"/>
  <c r="AN267" i="5"/>
  <c r="AN209" i="5"/>
  <c r="FA124" i="5"/>
  <c r="EW186" i="5"/>
  <c r="EW187" i="5" s="1"/>
  <c r="EW188" i="5" s="1"/>
  <c r="DI113" i="5"/>
  <c r="DI123" i="5" s="1"/>
  <c r="EF124" i="5"/>
  <c r="CE133" i="2"/>
  <c r="BX127" i="2"/>
  <c r="R209" i="3"/>
  <c r="R267" i="3"/>
  <c r="BC188" i="5"/>
  <c r="BC186" i="5"/>
  <c r="BC187" i="5" s="1"/>
  <c r="DG209" i="5"/>
  <c r="DG267" i="5"/>
  <c r="CI137" i="2"/>
  <c r="CI138" i="2" s="1"/>
  <c r="CI139" i="2" s="1"/>
  <c r="EG137" i="2"/>
  <c r="EG138" i="2" s="1"/>
  <c r="EG139" i="2" s="1"/>
  <c r="CF113" i="5"/>
  <c r="CF123" i="5" s="1"/>
  <c r="BV186" i="5"/>
  <c r="BV187" i="5" s="1"/>
  <c r="BV188" i="5" s="1"/>
  <c r="EN124" i="3"/>
  <c r="DU113" i="3"/>
  <c r="DU123" i="3" s="1"/>
  <c r="FL215" i="3"/>
  <c r="FL219" i="3" s="1"/>
  <c r="FL228" i="3" s="1"/>
  <c r="FL173" i="3"/>
  <c r="DB215" i="3"/>
  <c r="DB219" i="3" s="1"/>
  <c r="DB228" i="3" s="1"/>
  <c r="DB173" i="3"/>
  <c r="BS215" i="3"/>
  <c r="BS219" i="3" s="1"/>
  <c r="BS228" i="3" s="1"/>
  <c r="BS173" i="3"/>
  <c r="AK215" i="3"/>
  <c r="AK219" i="3" s="1"/>
  <c r="AK228" i="3" s="1"/>
  <c r="AK173" i="3"/>
  <c r="FZ41" i="3"/>
  <c r="EP173" i="3"/>
  <c r="EP215" i="3"/>
  <c r="EP219" i="3" s="1"/>
  <c r="EP228" i="3" s="1"/>
  <c r="DS215" i="3"/>
  <c r="DS219" i="3" s="1"/>
  <c r="DS228" i="3" s="1"/>
  <c r="DS173" i="3"/>
  <c r="CJ215" i="3"/>
  <c r="CJ219" i="3" s="1"/>
  <c r="CJ228" i="3" s="1"/>
  <c r="CJ173" i="3"/>
  <c r="BA215" i="3"/>
  <c r="BA219" i="3" s="1"/>
  <c r="BA228" i="3" s="1"/>
  <c r="BA173" i="3"/>
  <c r="R215" i="3"/>
  <c r="R219" i="3" s="1"/>
  <c r="R228" i="3" s="1"/>
  <c r="R173" i="3"/>
  <c r="FF215" i="3"/>
  <c r="FF219" i="3" s="1"/>
  <c r="FF228" i="3" s="1"/>
  <c r="FF173" i="3"/>
  <c r="DW215" i="3"/>
  <c r="DW219" i="3" s="1"/>
  <c r="DW228" i="3" s="1"/>
  <c r="DW173" i="3"/>
  <c r="CN215" i="3"/>
  <c r="CN219" i="3" s="1"/>
  <c r="CN228" i="3" s="1"/>
  <c r="CN173" i="3"/>
  <c r="BE215" i="3"/>
  <c r="BE219" i="3" s="1"/>
  <c r="BE228" i="3" s="1"/>
  <c r="BE173" i="3"/>
  <c r="FU156" i="3"/>
  <c r="AH137" i="2"/>
  <c r="AH138" i="2"/>
  <c r="FV154" i="3"/>
  <c r="FV156" i="3" s="1"/>
  <c r="FV158" i="3" s="1"/>
  <c r="AJ313" i="5"/>
  <c r="AJ174" i="5"/>
  <c r="AJ182" i="5" s="1"/>
  <c r="AJ226" i="5" s="1"/>
  <c r="AJ227" i="5" s="1"/>
  <c r="AJ177" i="5"/>
  <c r="BO313" i="5"/>
  <c r="BO174" i="5"/>
  <c r="BO177" i="5"/>
  <c r="AR113" i="3"/>
  <c r="AR123" i="3" s="1"/>
  <c r="BL186" i="3"/>
  <c r="BL187" i="3" s="1"/>
  <c r="BL188" i="3"/>
  <c r="DG113" i="3"/>
  <c r="DG123" i="3" s="1"/>
  <c r="DR188" i="3"/>
  <c r="DR186" i="3"/>
  <c r="DR187" i="3" s="1"/>
  <c r="CY124" i="5"/>
  <c r="DW138" i="2"/>
  <c r="DW139" i="2" s="1"/>
  <c r="DW137" i="2"/>
  <c r="CU137" i="2"/>
  <c r="CU138" i="2"/>
  <c r="CU139" i="2" s="1"/>
  <c r="D195" i="3"/>
  <c r="D200" i="3"/>
  <c r="CN188" i="5"/>
  <c r="CN186" i="5"/>
  <c r="CN187" i="5" s="1"/>
  <c r="CW313" i="5"/>
  <c r="CW174" i="5"/>
  <c r="CW177" i="5"/>
  <c r="AG267" i="3"/>
  <c r="AG209" i="3"/>
  <c r="K113" i="3"/>
  <c r="K123" i="3" s="1"/>
  <c r="BG124" i="3"/>
  <c r="BG193" i="3" s="1"/>
  <c r="BG197" i="3" s="1"/>
  <c r="BG199" i="3" s="1"/>
  <c r="DV127" i="2"/>
  <c r="BW186" i="3"/>
  <c r="BW187" i="3" s="1"/>
  <c r="BW188" i="3"/>
  <c r="CY124" i="3"/>
  <c r="DT137" i="2"/>
  <c r="DT138" i="2"/>
  <c r="CQ209" i="5"/>
  <c r="CQ267" i="5"/>
  <c r="AC209" i="5"/>
  <c r="AC267" i="5"/>
  <c r="FI146" i="3"/>
  <c r="FI148" i="3" s="1"/>
  <c r="W127" i="2"/>
  <c r="FW209" i="5"/>
  <c r="FW267" i="5"/>
  <c r="BV124" i="3"/>
  <c r="CG188" i="5"/>
  <c r="CG186" i="5"/>
  <c r="CG187" i="5" s="1"/>
  <c r="FT177" i="5"/>
  <c r="FZ176" i="5"/>
  <c r="I209" i="5"/>
  <c r="I267" i="5"/>
  <c r="AK113" i="5"/>
  <c r="AK123" i="5" s="1"/>
  <c r="AK124" i="5" s="1"/>
  <c r="BE209" i="3"/>
  <c r="BE267" i="3"/>
  <c r="EX209" i="5"/>
  <c r="EX267" i="5"/>
  <c r="DB197" i="3"/>
  <c r="DB199" i="3"/>
  <c r="DB200" i="3"/>
  <c r="DB201" i="3"/>
  <c r="DB229" i="3" s="1"/>
  <c r="DB193" i="3"/>
  <c r="DB195" i="3"/>
  <c r="DI113" i="3"/>
  <c r="DI123" i="3" s="1"/>
  <c r="DI124" i="3" s="1"/>
  <c r="EU113" i="5"/>
  <c r="EU123" i="5" s="1"/>
  <c r="EU124" i="5" s="1"/>
  <c r="AO127" i="2"/>
  <c r="ED127" i="2"/>
  <c r="BT188" i="5"/>
  <c r="BT186" i="5"/>
  <c r="BT187" i="5" s="1"/>
  <c r="FI133" i="2"/>
  <c r="FK146" i="3"/>
  <c r="FK148" i="3" s="1"/>
  <c r="FK200" i="3"/>
  <c r="FK195" i="3"/>
  <c r="DQ209" i="5"/>
  <c r="DQ267" i="5"/>
  <c r="DN111" i="2"/>
  <c r="DN108" i="2"/>
  <c r="CZ137" i="2"/>
  <c r="CZ138" i="2"/>
  <c r="CZ139" i="2" s="1"/>
  <c r="DX313" i="5"/>
  <c r="DX174" i="5"/>
  <c r="DX177" i="5"/>
  <c r="EK267" i="5"/>
  <c r="EK209" i="5"/>
  <c r="AS188" i="5"/>
  <c r="AS186" i="5"/>
  <c r="AS187" i="5" s="1"/>
  <c r="CZ111" i="2"/>
  <c r="CZ108" i="2"/>
  <c r="O313" i="5"/>
  <c r="O174" i="5"/>
  <c r="O177" i="5"/>
  <c r="BU188" i="3"/>
  <c r="BU186" i="3"/>
  <c r="BU187" i="3" s="1"/>
  <c r="FA186" i="3"/>
  <c r="FA187" i="3" s="1"/>
  <c r="FA188" i="3" s="1"/>
  <c r="BQ108" i="2"/>
  <c r="BQ111" i="2"/>
  <c r="AK108" i="2"/>
  <c r="AK111" i="2"/>
  <c r="AY108" i="2"/>
  <c r="AY111" i="2"/>
  <c r="BK137" i="2"/>
  <c r="BK138" i="2"/>
  <c r="BK139" i="2" s="1"/>
  <c r="DY124" i="3"/>
  <c r="DE186" i="3"/>
  <c r="DE187" i="3" s="1"/>
  <c r="DE188" i="3" s="1"/>
  <c r="AI199" i="3"/>
  <c r="AI200" i="3"/>
  <c r="AI201" i="3"/>
  <c r="AI229" i="3" s="1"/>
  <c r="AI193" i="3"/>
  <c r="AI195" i="3"/>
  <c r="AI197" i="3"/>
  <c r="FK313" i="5"/>
  <c r="FK174" i="5"/>
  <c r="FK182" i="5" s="1"/>
  <c r="FK226" i="5" s="1"/>
  <c r="FK177" i="5"/>
  <c r="S313" i="5"/>
  <c r="S174" i="5"/>
  <c r="S182" i="5" s="1"/>
  <c r="S226" i="5" s="1"/>
  <c r="S177" i="5"/>
  <c r="CH124" i="3"/>
  <c r="BZ209" i="3"/>
  <c r="BZ267" i="3"/>
  <c r="AH108" i="2"/>
  <c r="AH111" i="2"/>
  <c r="BW111" i="2"/>
  <c r="BW108" i="2"/>
  <c r="EY313" i="5"/>
  <c r="EY174" i="5"/>
  <c r="EY182" i="5" s="1"/>
  <c r="EY226" i="5" s="1"/>
  <c r="EY177" i="5"/>
  <c r="G313" i="5"/>
  <c r="G174" i="5"/>
  <c r="G177" i="5"/>
  <c r="EE186" i="5"/>
  <c r="EE187" i="5" s="1"/>
  <c r="EE188" i="5"/>
  <c r="DX137" i="2"/>
  <c r="DX138" i="2"/>
  <c r="DX139" i="2" s="1"/>
  <c r="F209" i="3"/>
  <c r="F267" i="3"/>
  <c r="DJ267" i="5"/>
  <c r="DJ209" i="5"/>
  <c r="DQ186" i="5"/>
  <c r="DQ187" i="5" s="1"/>
  <c r="DQ188" i="5" s="1"/>
  <c r="EE186" i="3"/>
  <c r="EE187" i="3" s="1"/>
  <c r="EE188" i="3"/>
  <c r="CQ162" i="3"/>
  <c r="AT197" i="3"/>
  <c r="AT199" i="3"/>
  <c r="AT200" i="3"/>
  <c r="AT201" i="3"/>
  <c r="AT229" i="3" s="1"/>
  <c r="AT193" i="3"/>
  <c r="AT195" i="3"/>
  <c r="AU124" i="3"/>
  <c r="FS188" i="5"/>
  <c r="FS186" i="5"/>
  <c r="FS187" i="5" s="1"/>
  <c r="AL186" i="5"/>
  <c r="AL187" i="5" s="1"/>
  <c r="AL188" i="5" s="1"/>
  <c r="BF313" i="5"/>
  <c r="BF174" i="5"/>
  <c r="BF177" i="5"/>
  <c r="CK313" i="5"/>
  <c r="CK174" i="5"/>
  <c r="CK177" i="5"/>
  <c r="AO146" i="3"/>
  <c r="AO148" i="3" s="1"/>
  <c r="AO209" i="3"/>
  <c r="AO267" i="3"/>
  <c r="ER113" i="5"/>
  <c r="ER123" i="5" s="1"/>
  <c r="ED201" i="3"/>
  <c r="ED229" i="3" s="1"/>
  <c r="ED193" i="3"/>
  <c r="ED195" i="3"/>
  <c r="ED197" i="3"/>
  <c r="ED199" i="3"/>
  <c r="ED200" i="3"/>
  <c r="F113" i="3"/>
  <c r="F123" i="3" s="1"/>
  <c r="EG113" i="5"/>
  <c r="EG123" i="5" s="1"/>
  <c r="EG124" i="5" s="1"/>
  <c r="H195" i="3"/>
  <c r="H197" i="3"/>
  <c r="H199" i="3"/>
  <c r="H200" i="3"/>
  <c r="H201" i="3"/>
  <c r="H229" i="3" s="1"/>
  <c r="H193" i="3"/>
  <c r="AE313" i="5"/>
  <c r="AE174" i="5"/>
  <c r="AE182" i="5" s="1"/>
  <c r="AE226" i="5" s="1"/>
  <c r="AE177" i="5"/>
  <c r="AV113" i="3"/>
  <c r="AV123" i="3" s="1"/>
  <c r="AV124" i="3" s="1"/>
  <c r="AV186" i="3"/>
  <c r="AV187" i="3" s="1"/>
  <c r="AV188" i="3" s="1"/>
  <c r="EP137" i="2"/>
  <c r="EP138" i="2" s="1"/>
  <c r="EP139" i="2" s="1"/>
  <c r="EC267" i="3"/>
  <c r="EC209" i="3"/>
  <c r="W124" i="5"/>
  <c r="U186" i="3"/>
  <c r="U187" i="3" s="1"/>
  <c r="U188" i="3" s="1"/>
  <c r="CM113" i="5"/>
  <c r="CM123" i="5" s="1"/>
  <c r="F108" i="2"/>
  <c r="F111" i="2"/>
  <c r="ET108" i="2"/>
  <c r="ET111" i="2"/>
  <c r="CM108" i="2"/>
  <c r="CM111" i="2"/>
  <c r="BD111" i="2"/>
  <c r="BD108" i="2"/>
  <c r="EK108" i="2"/>
  <c r="EK111" i="2"/>
  <c r="CD111" i="2"/>
  <c r="CD108" i="2"/>
  <c r="AF111" i="2"/>
  <c r="AF108" i="2"/>
  <c r="EM108" i="2"/>
  <c r="EM111" i="2"/>
  <c r="AV108" i="2"/>
  <c r="AV111" i="2"/>
  <c r="DE108" i="2"/>
  <c r="DE111" i="2"/>
  <c r="AX108" i="2"/>
  <c r="AX111" i="2"/>
  <c r="DS111" i="2"/>
  <c r="DS108" i="2"/>
  <c r="AZ111" i="2"/>
  <c r="AZ108" i="2"/>
  <c r="DI108" i="2"/>
  <c r="DI111" i="2"/>
  <c r="FZ115" i="2"/>
  <c r="C116" i="2"/>
  <c r="FZ116" i="2" s="1"/>
  <c r="GB116" i="2" s="1"/>
  <c r="BD127" i="2"/>
  <c r="AT313" i="5"/>
  <c r="AT174" i="5"/>
  <c r="AT177" i="5"/>
  <c r="BY313" i="5"/>
  <c r="BY174" i="5"/>
  <c r="BY177" i="5"/>
  <c r="EM127" i="2"/>
  <c r="O219" i="5"/>
  <c r="O228" i="5" s="1"/>
  <c r="DU267" i="5"/>
  <c r="DU209" i="5"/>
  <c r="DD113" i="5"/>
  <c r="DD123" i="5" s="1"/>
  <c r="DY209" i="5"/>
  <c r="DY267" i="5"/>
  <c r="CW267" i="5"/>
  <c r="CW209" i="5"/>
  <c r="FQ113" i="3"/>
  <c r="FQ123" i="3" s="1"/>
  <c r="FQ124" i="3" s="1"/>
  <c r="L200" i="3"/>
  <c r="L193" i="3"/>
  <c r="L197" i="3" s="1"/>
  <c r="L199" i="3" s="1"/>
  <c r="L195" i="3"/>
  <c r="J146" i="3"/>
  <c r="J148" i="3" s="1"/>
  <c r="J186" i="3"/>
  <c r="J187" i="3" s="1"/>
  <c r="J188" i="3" s="1"/>
  <c r="EJ162" i="3"/>
  <c r="FS127" i="2"/>
  <c r="CB113" i="5"/>
  <c r="CB123" i="5" s="1"/>
  <c r="CB124" i="5" s="1"/>
  <c r="T113" i="5"/>
  <c r="T123" i="5" s="1"/>
  <c r="CN124" i="3"/>
  <c r="AM186" i="3"/>
  <c r="AM187" i="3" s="1"/>
  <c r="AM188" i="3" s="1"/>
  <c r="C182" i="5"/>
  <c r="AH313" i="5"/>
  <c r="AH174" i="5"/>
  <c r="AH182" i="5" s="1"/>
  <c r="AH226" i="5" s="1"/>
  <c r="AH177" i="5"/>
  <c r="BM313" i="5"/>
  <c r="BM174" i="5"/>
  <c r="BM177" i="5"/>
  <c r="AY113" i="3"/>
  <c r="AY123" i="3" s="1"/>
  <c r="W186" i="3"/>
  <c r="W187" i="3" s="1"/>
  <c r="W188" i="3" s="1"/>
  <c r="CS124" i="3"/>
  <c r="Q113" i="5"/>
  <c r="Q123" i="5" s="1"/>
  <c r="FW186" i="3"/>
  <c r="FW187" i="3" s="1"/>
  <c r="FW188" i="3" s="1"/>
  <c r="ER128" i="3"/>
  <c r="EV195" i="3"/>
  <c r="EV197" i="3"/>
  <c r="EV199" i="3"/>
  <c r="EV200" i="3"/>
  <c r="EV201" i="3"/>
  <c r="EV229" i="3" s="1"/>
  <c r="EV193" i="3"/>
  <c r="EU137" i="2"/>
  <c r="EU138" i="2" s="1"/>
  <c r="EU139" i="2" s="1"/>
  <c r="CS186" i="5"/>
  <c r="CS187" i="5" s="1"/>
  <c r="CS188" i="5" s="1"/>
  <c r="AW124" i="5"/>
  <c r="EJ188" i="5"/>
  <c r="EJ186" i="5"/>
  <c r="EJ187" i="5" s="1"/>
  <c r="FM133" i="2"/>
  <c r="EW124" i="3"/>
  <c r="DA124" i="5"/>
  <c r="BD137" i="2"/>
  <c r="BD138" i="2"/>
  <c r="BD139" i="2" s="1"/>
  <c r="FO207" i="5"/>
  <c r="FO184" i="5"/>
  <c r="FO150" i="5"/>
  <c r="FO191" i="5"/>
  <c r="FO115" i="5"/>
  <c r="FO122" i="5" s="1"/>
  <c r="FO124" i="5" s="1"/>
  <c r="FO167" i="5" s="1"/>
  <c r="FO168" i="5" s="1"/>
  <c r="FO169" i="5" s="1"/>
  <c r="FO225" i="5" s="1"/>
  <c r="FO104" i="5"/>
  <c r="FO112" i="5"/>
  <c r="FO109" i="5"/>
  <c r="FO111" i="5" s="1"/>
  <c r="FO113" i="5" s="1"/>
  <c r="FO123" i="5" s="1"/>
  <c r="FJ313" i="5"/>
  <c r="FJ174" i="5"/>
  <c r="FJ182" i="5" s="1"/>
  <c r="FJ226" i="5" s="1"/>
  <c r="FJ177" i="5"/>
  <c r="R313" i="5"/>
  <c r="R174" i="5"/>
  <c r="R182" i="5" s="1"/>
  <c r="R226" i="5" s="1"/>
  <c r="R177" i="5"/>
  <c r="CD120" i="2"/>
  <c r="CD121" i="2" s="1"/>
  <c r="CD86" i="2"/>
  <c r="CD102" i="2"/>
  <c r="CD103" i="2" s="1"/>
  <c r="CD95" i="2"/>
  <c r="CD98" i="2" s="1"/>
  <c r="DX120" i="2"/>
  <c r="DX121" i="2" s="1"/>
  <c r="DX86" i="2"/>
  <c r="DX102" i="2"/>
  <c r="DX103" i="2" s="1"/>
  <c r="DX95" i="2"/>
  <c r="DX98" i="2" s="1"/>
  <c r="CO120" i="2"/>
  <c r="CO121" i="2" s="1"/>
  <c r="CO86" i="2"/>
  <c r="CO102" i="2"/>
  <c r="CO103" i="2" s="1"/>
  <c r="CO95" i="2"/>
  <c r="CO98" i="2" s="1"/>
  <c r="AU120" i="2"/>
  <c r="AU121" i="2" s="1"/>
  <c r="AU86" i="2"/>
  <c r="AU102" i="2"/>
  <c r="AU103" i="2" s="1"/>
  <c r="AU95" i="2"/>
  <c r="AU98" i="2" s="1"/>
  <c r="L120" i="2"/>
  <c r="L121" i="2" s="1"/>
  <c r="L102" i="2"/>
  <c r="L103" i="2" s="1"/>
  <c r="L95" i="2"/>
  <c r="L98" i="2" s="1"/>
  <c r="L86" i="2"/>
  <c r="EZ120" i="2"/>
  <c r="EZ121" i="2" s="1"/>
  <c r="EZ102" i="2"/>
  <c r="EZ103" i="2" s="1"/>
  <c r="EZ95" i="2"/>
  <c r="EZ98" i="2" s="1"/>
  <c r="EZ86" i="2"/>
  <c r="BU120" i="2"/>
  <c r="BU121" i="2" s="1"/>
  <c r="BU102" i="2"/>
  <c r="BU103" i="2" s="1"/>
  <c r="BU95" i="2"/>
  <c r="BU98" i="2" s="1"/>
  <c r="BU86" i="2"/>
  <c r="AX120" i="2"/>
  <c r="AX121" i="2" s="1"/>
  <c r="AX102" i="2"/>
  <c r="AX103" i="2" s="1"/>
  <c r="AX86" i="2"/>
  <c r="AX95" i="2"/>
  <c r="AX98" i="2" s="1"/>
  <c r="AX139" i="2"/>
  <c r="O120" i="2"/>
  <c r="O121" i="2" s="1"/>
  <c r="O95" i="2"/>
  <c r="O98" i="2" s="1"/>
  <c r="O86" i="2"/>
  <c r="O102" i="2"/>
  <c r="O103" i="2" s="1"/>
  <c r="O139" i="2"/>
  <c r="FC120" i="2"/>
  <c r="FC121" i="2" s="1"/>
  <c r="FC95" i="2"/>
  <c r="FC98" i="2" s="1"/>
  <c r="FC86" i="2"/>
  <c r="FC102" i="2"/>
  <c r="FC103" i="2" s="1"/>
  <c r="DT120" i="2"/>
  <c r="DT121" i="2" s="1"/>
  <c r="DT95" i="2"/>
  <c r="DT98" i="2" s="1"/>
  <c r="DT86" i="2"/>
  <c r="DT102" i="2"/>
  <c r="DT103" i="2" s="1"/>
  <c r="DT139" i="2"/>
  <c r="BM120" i="2"/>
  <c r="BM121" i="2" s="1"/>
  <c r="BM102" i="2"/>
  <c r="BM103" i="2" s="1"/>
  <c r="BM95" i="2"/>
  <c r="BM98" i="2" s="1"/>
  <c r="BM86" i="2"/>
  <c r="AD120" i="2"/>
  <c r="AD121" i="2" s="1"/>
  <c r="AD95" i="2"/>
  <c r="AD98" i="2" s="1"/>
  <c r="AD86" i="2"/>
  <c r="AD102" i="2"/>
  <c r="AD103" i="2" s="1"/>
  <c r="FR120" i="2"/>
  <c r="FR121" i="2" s="1"/>
  <c r="FR95" i="2"/>
  <c r="FR98" i="2" s="1"/>
  <c r="FR86" i="2"/>
  <c r="FR102" i="2"/>
  <c r="FR103" i="2" s="1"/>
  <c r="CA95" i="2"/>
  <c r="CA98" i="2" s="1"/>
  <c r="CA86" i="2"/>
  <c r="CA102" i="2"/>
  <c r="CA103" i="2" s="1"/>
  <c r="CA120" i="2"/>
  <c r="CA121" i="2" s="1"/>
  <c r="CF133" i="2"/>
  <c r="CP154" i="3"/>
  <c r="DC113" i="3"/>
  <c r="DC123" i="3" s="1"/>
  <c r="DC124" i="3" s="1"/>
  <c r="F127" i="2"/>
  <c r="AA209" i="3"/>
  <c r="AA267" i="3"/>
  <c r="AZ113" i="3"/>
  <c r="AZ123" i="3" s="1"/>
  <c r="AZ209" i="3"/>
  <c r="AZ267" i="3"/>
  <c r="DA197" i="3"/>
  <c r="DA199" i="3"/>
  <c r="DA200" i="3"/>
  <c r="DA201" i="3"/>
  <c r="DA229" i="3" s="1"/>
  <c r="DA193" i="3"/>
  <c r="DA195" i="3"/>
  <c r="DL188" i="5"/>
  <c r="DL186" i="5"/>
  <c r="DL187" i="5" s="1"/>
  <c r="AW127" i="2"/>
  <c r="FP127" i="2"/>
  <c r="DQ209" i="3"/>
  <c r="DQ267" i="3"/>
  <c r="BI150" i="3"/>
  <c r="DK113" i="3"/>
  <c r="DK123" i="3" s="1"/>
  <c r="AP267" i="5"/>
  <c r="AP209" i="5"/>
  <c r="DH162" i="3"/>
  <c r="FI128" i="5"/>
  <c r="FH124" i="3"/>
  <c r="DH137" i="2"/>
  <c r="DH138" i="2" s="1"/>
  <c r="DH139" i="2" s="1"/>
  <c r="CL124" i="5"/>
  <c r="FG113" i="5"/>
  <c r="FG123" i="5" s="1"/>
  <c r="FJ197" i="3"/>
  <c r="FJ199" i="3"/>
  <c r="FJ200" i="3"/>
  <c r="FJ201" i="3"/>
  <c r="FJ229" i="3" s="1"/>
  <c r="FJ193" i="3"/>
  <c r="FJ195" i="3"/>
  <c r="FG186" i="3"/>
  <c r="FG187" i="3" s="1"/>
  <c r="FG188" i="3" s="1"/>
  <c r="CR128" i="5"/>
  <c r="BS209" i="5"/>
  <c r="BS267" i="5"/>
  <c r="DT186" i="5"/>
  <c r="DT187" i="5" s="1"/>
  <c r="DT188" i="5"/>
  <c r="M154" i="3"/>
  <c r="CM146" i="3"/>
  <c r="CM148" i="3" s="1"/>
  <c r="CM186" i="3"/>
  <c r="CM187" i="3" s="1"/>
  <c r="CM188" i="3" s="1"/>
  <c r="EB146" i="3"/>
  <c r="EB148" i="3" s="1"/>
  <c r="EB209" i="3"/>
  <c r="EB267" i="3"/>
  <c r="EI162" i="3"/>
  <c r="DK124" i="5"/>
  <c r="BM133" i="2"/>
  <c r="FC137" i="2"/>
  <c r="FC138" i="2" s="1"/>
  <c r="FC139" i="2" s="1"/>
  <c r="D89" i="4"/>
  <c r="FT17" i="5"/>
  <c r="FZ17" i="5" s="1"/>
  <c r="CB209" i="3"/>
  <c r="CB267" i="3"/>
  <c r="AI124" i="5"/>
  <c r="AX113" i="3"/>
  <c r="AX123" i="3" s="1"/>
  <c r="AX124" i="3" s="1"/>
  <c r="AX209" i="3"/>
  <c r="AX267" i="3"/>
  <c r="ET146" i="3"/>
  <c r="ET148" i="3" s="1"/>
  <c r="ET267" i="3"/>
  <c r="ET209" i="3"/>
  <c r="AJ186" i="5"/>
  <c r="AJ187" i="5" s="1"/>
  <c r="AJ188" i="5" s="1"/>
  <c r="CT124" i="3"/>
  <c r="CF200" i="3"/>
  <c r="CF201" i="3"/>
  <c r="CF229" i="3" s="1"/>
  <c r="CF193" i="3"/>
  <c r="CF195" i="3"/>
  <c r="CF197" i="3"/>
  <c r="CF199" i="3"/>
  <c r="Z209" i="5"/>
  <c r="Z267" i="5"/>
  <c r="DN154" i="3"/>
  <c r="S162" i="3"/>
  <c r="CK128" i="3"/>
  <c r="DO209" i="5"/>
  <c r="DO267" i="5"/>
  <c r="CA127" i="2"/>
  <c r="FF186" i="3"/>
  <c r="FF187" i="3" s="1"/>
  <c r="FF188" i="3" s="1"/>
  <c r="I186" i="3"/>
  <c r="I187" i="3" s="1"/>
  <c r="I188" i="3"/>
  <c r="G124" i="3"/>
  <c r="EM186" i="5"/>
  <c r="EM187" i="5" s="1"/>
  <c r="EM188" i="5" s="1"/>
  <c r="FE186" i="5"/>
  <c r="FE187" i="5" s="1"/>
  <c r="FE188" i="5" s="1"/>
  <c r="CI124" i="3"/>
  <c r="CI193" i="3" s="1"/>
  <c r="CI197" i="3" s="1"/>
  <c r="CI199" i="3" s="1"/>
  <c r="ED313" i="5"/>
  <c r="ED174" i="5"/>
  <c r="ED177" i="5"/>
  <c r="FI313" i="5"/>
  <c r="FI174" i="5"/>
  <c r="FI177" i="5"/>
  <c r="Q313" i="5"/>
  <c r="Q174" i="5"/>
  <c r="Q182" i="5" s="1"/>
  <c r="Q226" i="5" s="1"/>
  <c r="Q177" i="5"/>
  <c r="EX133" i="2"/>
  <c r="P146" i="3"/>
  <c r="P148" i="3" s="1"/>
  <c r="DD146" i="3"/>
  <c r="DD148" i="3" s="1"/>
  <c r="DD209" i="3"/>
  <c r="DD267" i="3"/>
  <c r="BO162" i="3"/>
  <c r="N209" i="3"/>
  <c r="N267" i="3"/>
  <c r="AD188" i="3"/>
  <c r="AD186" i="3"/>
  <c r="AD187" i="3" s="1"/>
  <c r="CV113" i="3"/>
  <c r="CV123" i="3" s="1"/>
  <c r="CV124" i="3" s="1"/>
  <c r="P133" i="2"/>
  <c r="FS209" i="3"/>
  <c r="FS267" i="3"/>
  <c r="DU133" i="2"/>
  <c r="CU186" i="5"/>
  <c r="CU187" i="5" s="1"/>
  <c r="CU188" i="5"/>
  <c r="V137" i="2"/>
  <c r="V138" i="2"/>
  <c r="DX186" i="3"/>
  <c r="DX187" i="3" s="1"/>
  <c r="DX188" i="3" s="1"/>
  <c r="CE313" i="5"/>
  <c r="CE174" i="5"/>
  <c r="CE177" i="5"/>
  <c r="DJ313" i="5"/>
  <c r="DJ174" i="5"/>
  <c r="DJ182" i="5" s="1"/>
  <c r="DJ226" i="5" s="1"/>
  <c r="DJ177" i="5"/>
  <c r="AN113" i="5"/>
  <c r="AN123" i="5" s="1"/>
  <c r="EB137" i="2"/>
  <c r="EB138" i="2" s="1"/>
  <c r="EB139" i="2" s="1"/>
  <c r="EI188" i="5"/>
  <c r="EI186" i="5"/>
  <c r="EI187" i="5" s="1"/>
  <c r="R113" i="3"/>
  <c r="R123" i="3" s="1"/>
  <c r="BC267" i="5"/>
  <c r="BC209" i="5"/>
  <c r="P124" i="5"/>
  <c r="AI133" i="2"/>
  <c r="BA154" i="3"/>
  <c r="DG113" i="5"/>
  <c r="DG123" i="5" s="1"/>
  <c r="EV209" i="5"/>
  <c r="EV267" i="5"/>
  <c r="AU133" i="2"/>
  <c r="BO186" i="5"/>
  <c r="BO187" i="5" s="1"/>
  <c r="BO188" i="5" s="1"/>
  <c r="CF124" i="5"/>
  <c r="BX188" i="5"/>
  <c r="BX186" i="5"/>
  <c r="BX187" i="5" s="1"/>
  <c r="DU124" i="3"/>
  <c r="CF215" i="3"/>
  <c r="CF219" i="3" s="1"/>
  <c r="CF228" i="3" s="1"/>
  <c r="CF173" i="3"/>
  <c r="AJ215" i="3"/>
  <c r="AJ219" i="3" s="1"/>
  <c r="AJ228" i="3" s="1"/>
  <c r="AJ173" i="3"/>
  <c r="DN215" i="3"/>
  <c r="DN219" i="3" s="1"/>
  <c r="DN228" i="3" s="1"/>
  <c r="DN173" i="3"/>
  <c r="CE215" i="3"/>
  <c r="CE219" i="3" s="1"/>
  <c r="CE228" i="3" s="1"/>
  <c r="CE173" i="3"/>
  <c r="AW215" i="3"/>
  <c r="AW219" i="3" s="1"/>
  <c r="AW228" i="3" s="1"/>
  <c r="AW173" i="3"/>
  <c r="N215" i="3"/>
  <c r="N219" i="3" s="1"/>
  <c r="N228" i="3" s="1"/>
  <c r="N173" i="3"/>
  <c r="FB173" i="3"/>
  <c r="FB215" i="3"/>
  <c r="FB219" i="3" s="1"/>
  <c r="FB228" i="3" s="1"/>
  <c r="EE215" i="3"/>
  <c r="EE219" i="3" s="1"/>
  <c r="EE228" i="3" s="1"/>
  <c r="EE173" i="3"/>
  <c r="CV215" i="3"/>
  <c r="CV219" i="3" s="1"/>
  <c r="CV228" i="3" s="1"/>
  <c r="CV173" i="3"/>
  <c r="BM215" i="3"/>
  <c r="BM219" i="3" s="1"/>
  <c r="BM228" i="3" s="1"/>
  <c r="BM173" i="3"/>
  <c r="AD215" i="3"/>
  <c r="AD219" i="3" s="1"/>
  <c r="AD228" i="3" s="1"/>
  <c r="AD173" i="3"/>
  <c r="FR215" i="3"/>
  <c r="FR219" i="3" s="1"/>
  <c r="FR228" i="3" s="1"/>
  <c r="FR173" i="3"/>
  <c r="EI215" i="3"/>
  <c r="EI219" i="3" s="1"/>
  <c r="EI228" i="3" s="1"/>
  <c r="EI173" i="3"/>
  <c r="CZ215" i="3"/>
  <c r="CZ219" i="3" s="1"/>
  <c r="CZ228" i="3" s="1"/>
  <c r="CZ173" i="3"/>
  <c r="BQ215" i="3"/>
  <c r="BQ219" i="3" s="1"/>
  <c r="BQ228" i="3" s="1"/>
  <c r="BQ173" i="3"/>
  <c r="FU146" i="3"/>
  <c r="FU148" i="3" s="1"/>
  <c r="FU200" i="3"/>
  <c r="FU193" i="3"/>
  <c r="FU197" i="3" s="1"/>
  <c r="FU199" i="3" s="1"/>
  <c r="FU195" i="3"/>
  <c r="EY137" i="2"/>
  <c r="EY138" i="2" s="1"/>
  <c r="EY139" i="2" s="1"/>
  <c r="BI209" i="5"/>
  <c r="BI267" i="5"/>
  <c r="BL193" i="3"/>
  <c r="BL195" i="3"/>
  <c r="BL197" i="3"/>
  <c r="BL199" i="3"/>
  <c r="BL200" i="3"/>
  <c r="BL201" i="3"/>
  <c r="BL229" i="3" s="1"/>
  <c r="DR195" i="3"/>
  <c r="DR200" i="3"/>
  <c r="Q154" i="3"/>
  <c r="BL133" i="2"/>
  <c r="AU124" i="5"/>
  <c r="M127" i="2"/>
  <c r="DV124" i="5"/>
  <c r="D113" i="3"/>
  <c r="D123" i="3" s="1"/>
  <c r="D124" i="3" s="1"/>
  <c r="D209" i="3"/>
  <c r="D267" i="3"/>
  <c r="DT186" i="3"/>
  <c r="DT187" i="3" s="1"/>
  <c r="DT188" i="3" s="1"/>
  <c r="BH137" i="2"/>
  <c r="BH138" i="2" s="1"/>
  <c r="BH139" i="2" s="1"/>
  <c r="CE137" i="2"/>
  <c r="CE138" i="2" s="1"/>
  <c r="CE139" i="2" s="1"/>
  <c r="CN209" i="5"/>
  <c r="CN267" i="5"/>
  <c r="K124" i="3"/>
  <c r="ET137" i="2"/>
  <c r="ET138" i="2" s="1"/>
  <c r="ET139" i="2" s="1"/>
  <c r="Q133" i="2"/>
  <c r="BW209" i="3"/>
  <c r="BW267" i="3"/>
  <c r="CQ113" i="5"/>
  <c r="CQ123" i="5" s="1"/>
  <c r="CQ124" i="5" s="1"/>
  <c r="FW113" i="5"/>
  <c r="FW123" i="5" s="1"/>
  <c r="FW124" i="5" s="1"/>
  <c r="FM209" i="5"/>
  <c r="FM267" i="5"/>
  <c r="EZ313" i="5"/>
  <c r="EZ174" i="5"/>
  <c r="EZ182" i="5" s="1"/>
  <c r="EZ226" i="5" s="1"/>
  <c r="EZ177" i="5"/>
  <c r="H313" i="5"/>
  <c r="H174" i="5"/>
  <c r="H177" i="5"/>
  <c r="AM313" i="5"/>
  <c r="AM174" i="5"/>
  <c r="AM177" i="5"/>
  <c r="FT217" i="5"/>
  <c r="FZ217" i="5" s="1"/>
  <c r="FZ101" i="5"/>
  <c r="I113" i="5"/>
  <c r="I123" i="5" s="1"/>
  <c r="I124" i="5" s="1"/>
  <c r="FR209" i="5"/>
  <c r="FR267" i="5"/>
  <c r="EX113" i="5"/>
  <c r="EX123" i="5" s="1"/>
  <c r="EX124" i="5" s="1"/>
  <c r="CJ133" i="2"/>
  <c r="AB133" i="2"/>
  <c r="X124" i="3"/>
  <c r="BK127" i="2"/>
  <c r="FK113" i="3"/>
  <c r="FK123" i="3" s="1"/>
  <c r="FK124" i="3" s="1"/>
  <c r="ES193" i="3"/>
  <c r="ES195" i="3"/>
  <c r="ES197" i="3"/>
  <c r="ES199" i="3"/>
  <c r="ES200" i="3"/>
  <c r="ES201" i="3"/>
  <c r="ES229" i="3" s="1"/>
  <c r="FG313" i="5"/>
  <c r="FG174" i="5"/>
  <c r="FG182" i="5" s="1"/>
  <c r="FG226" i="5" s="1"/>
  <c r="FG177" i="5"/>
  <c r="N188" i="5"/>
  <c r="N186" i="5"/>
  <c r="N187" i="5" s="1"/>
  <c r="H124" i="3"/>
  <c r="DO186" i="3"/>
  <c r="DO187" i="3" s="1"/>
  <c r="DO188" i="3" s="1"/>
  <c r="AS209" i="5"/>
  <c r="AS267" i="5"/>
  <c r="DB209" i="5"/>
  <c r="DB267" i="5"/>
  <c r="FG108" i="2"/>
  <c r="FG111" i="2"/>
  <c r="DP108" i="2"/>
  <c r="DP111" i="2"/>
  <c r="AO108" i="2"/>
  <c r="AO111" i="2"/>
  <c r="DP313" i="5"/>
  <c r="DP174" i="5"/>
  <c r="DP182" i="5" s="1"/>
  <c r="DP226" i="5" s="1"/>
  <c r="DP177" i="5"/>
  <c r="EA209" i="5"/>
  <c r="EA267" i="5"/>
  <c r="AI137" i="2"/>
  <c r="AI138" i="2" s="1"/>
  <c r="AI139" i="2" s="1"/>
  <c r="FI137" i="2"/>
  <c r="FI138" i="2"/>
  <c r="FI139" i="2" s="1"/>
  <c r="EI313" i="5"/>
  <c r="EI174" i="5"/>
  <c r="EI177" i="5"/>
  <c r="AY201" i="3"/>
  <c r="AY229" i="3" s="1"/>
  <c r="AY193" i="3"/>
  <c r="AY195" i="3"/>
  <c r="AY197" i="3"/>
  <c r="AY199" i="3"/>
  <c r="AY200" i="3"/>
  <c r="AB137" i="2"/>
  <c r="AB138" i="2"/>
  <c r="AB139" i="2" s="1"/>
  <c r="AP138" i="2"/>
  <c r="AP139" i="2" s="1"/>
  <c r="AP137" i="2"/>
  <c r="CX108" i="2"/>
  <c r="CX111" i="2"/>
  <c r="Z201" i="3"/>
  <c r="Z229" i="3" s="1"/>
  <c r="Z193" i="3"/>
  <c r="Z195" i="3"/>
  <c r="Z197" i="3"/>
  <c r="Z199" i="3"/>
  <c r="Z200" i="3"/>
  <c r="EM313" i="5"/>
  <c r="EM174" i="5"/>
  <c r="EM182" i="5" s="1"/>
  <c r="EM226" i="5" s="1"/>
  <c r="EM177" i="5"/>
  <c r="EW209" i="3"/>
  <c r="EW267" i="3"/>
  <c r="AT124" i="3"/>
  <c r="BX137" i="2"/>
  <c r="BX138" i="2" s="1"/>
  <c r="BX139" i="2" s="1"/>
  <c r="EE209" i="3"/>
  <c r="EE267" i="3"/>
  <c r="BE137" i="2"/>
  <c r="BE138" i="2"/>
  <c r="BE139" i="2" s="1"/>
  <c r="BD133" i="2"/>
  <c r="FS209" i="5"/>
  <c r="FS267" i="5"/>
  <c r="BN186" i="5"/>
  <c r="BN187" i="5" s="1"/>
  <c r="BN188" i="5" s="1"/>
  <c r="AL113" i="5"/>
  <c r="AL123" i="5" s="1"/>
  <c r="AL124" i="5" s="1"/>
  <c r="EU154" i="3"/>
  <c r="AO186" i="3"/>
  <c r="AO187" i="3" s="1"/>
  <c r="AO188" i="3"/>
  <c r="FN124" i="3"/>
  <c r="FN193" i="3" s="1"/>
  <c r="FN197" i="3" s="1"/>
  <c r="FN199" i="3" s="1"/>
  <c r="FU137" i="2"/>
  <c r="FU138" i="2"/>
  <c r="FU139" i="2" s="1"/>
  <c r="Z128" i="3"/>
  <c r="CH186" i="3"/>
  <c r="CH187" i="3" s="1"/>
  <c r="CH188" i="3" s="1"/>
  <c r="ER124" i="5"/>
  <c r="ED209" i="3"/>
  <c r="ED267" i="3"/>
  <c r="BZ188" i="3"/>
  <c r="BZ186" i="3"/>
  <c r="BZ187" i="3" s="1"/>
  <c r="FL313" i="5"/>
  <c r="FL174" i="5"/>
  <c r="FL177" i="5"/>
  <c r="FB267" i="5"/>
  <c r="FB209" i="5"/>
  <c r="H186" i="3"/>
  <c r="H187" i="3" s="1"/>
  <c r="H188" i="3" s="1"/>
  <c r="AV209" i="3"/>
  <c r="AV267" i="3"/>
  <c r="EC113" i="3"/>
  <c r="EC123" i="3" s="1"/>
  <c r="EC124" i="3" s="1"/>
  <c r="DJ138" i="2"/>
  <c r="DJ139" i="2" s="1"/>
  <c r="DJ137" i="2"/>
  <c r="CT209" i="5"/>
  <c r="CT267" i="5"/>
  <c r="R111" i="2"/>
  <c r="R108" i="2"/>
  <c r="FF111" i="2"/>
  <c r="FF108" i="2"/>
  <c r="CY108" i="2"/>
  <c r="CY111" i="2"/>
  <c r="BP111" i="2"/>
  <c r="BP108" i="2"/>
  <c r="I108" i="2"/>
  <c r="I111" i="2"/>
  <c r="EW108" i="2"/>
  <c r="EW111" i="2"/>
  <c r="CP111" i="2"/>
  <c r="CP108" i="2"/>
  <c r="K111" i="2"/>
  <c r="K108" i="2"/>
  <c r="EY111" i="2"/>
  <c r="EY108" i="2"/>
  <c r="BH108" i="2"/>
  <c r="BH111" i="2"/>
  <c r="DQ108" i="2"/>
  <c r="DQ111" i="2"/>
  <c r="BJ108" i="2"/>
  <c r="BJ111" i="2"/>
  <c r="EE111" i="2"/>
  <c r="EE108" i="2"/>
  <c r="BL108" i="2"/>
  <c r="BL111" i="2"/>
  <c r="DU108" i="2"/>
  <c r="DU111" i="2"/>
  <c r="DX209" i="5"/>
  <c r="DX267" i="5"/>
  <c r="DU113" i="5"/>
  <c r="DU123" i="5" s="1"/>
  <c r="DU124" i="5" s="1"/>
  <c r="D184" i="4"/>
  <c r="D174" i="4"/>
  <c r="ED124" i="5"/>
  <c r="DY113" i="5"/>
  <c r="DY123" i="5" s="1"/>
  <c r="DY124" i="5" s="1"/>
  <c r="BQ124" i="3"/>
  <c r="L186" i="3"/>
  <c r="L187" i="3" s="1"/>
  <c r="L188" i="3"/>
  <c r="C96" i="5"/>
  <c r="FZ90" i="5"/>
  <c r="GB90" i="5" s="1"/>
  <c r="J113" i="3"/>
  <c r="J123" i="3" s="1"/>
  <c r="J124" i="3" s="1"/>
  <c r="J209" i="3"/>
  <c r="J267" i="3"/>
  <c r="ED137" i="2"/>
  <c r="ED138" i="2"/>
  <c r="ED139" i="2" s="1"/>
  <c r="EC137" i="2"/>
  <c r="EC138" i="2"/>
  <c r="EC139" i="2" s="1"/>
  <c r="EJ128" i="5"/>
  <c r="BS186" i="3"/>
  <c r="BS187" i="3" s="1"/>
  <c r="BS188" i="3" s="1"/>
  <c r="W209" i="3"/>
  <c r="W267" i="3"/>
  <c r="CJ128" i="3"/>
  <c r="FC186" i="3"/>
  <c r="FC187" i="3" s="1"/>
  <c r="FC188" i="3" s="1"/>
  <c r="FW146" i="3"/>
  <c r="FW148" i="3" s="1"/>
  <c r="FW199" i="3"/>
  <c r="FW200" i="3"/>
  <c r="FW201" i="3"/>
  <c r="FW229" i="3" s="1"/>
  <c r="FW193" i="3"/>
  <c r="FW195" i="3"/>
  <c r="FW197" i="3"/>
  <c r="DU313" i="5"/>
  <c r="DU174" i="5"/>
  <c r="DU182" i="5" s="1"/>
  <c r="DU226" i="5" s="1"/>
  <c r="DU177" i="5"/>
  <c r="EV146" i="3"/>
  <c r="EV148" i="3" s="1"/>
  <c r="EV186" i="3"/>
  <c r="EV187" i="3" s="1"/>
  <c r="EV188" i="3" s="1"/>
  <c r="FE127" i="2"/>
  <c r="CV186" i="5"/>
  <c r="CV187" i="5" s="1"/>
  <c r="CV188" i="5"/>
  <c r="BC162" i="3"/>
  <c r="CW138" i="2"/>
  <c r="CW139" i="2" s="1"/>
  <c r="CW137" i="2"/>
  <c r="CD186" i="5"/>
  <c r="CD187" i="5" s="1"/>
  <c r="CD188" i="5" s="1"/>
  <c r="AE186" i="5"/>
  <c r="AE187" i="5" s="1"/>
  <c r="AE188" i="5" s="1"/>
  <c r="CR200" i="3"/>
  <c r="CR201" i="3"/>
  <c r="CR229" i="3" s="1"/>
  <c r="CR193" i="3"/>
  <c r="CR195" i="3"/>
  <c r="CR197" i="3"/>
  <c r="CR199" i="3"/>
  <c r="EF124" i="3"/>
  <c r="EF193" i="3" s="1"/>
  <c r="EF197" i="3" s="1"/>
  <c r="EF199" i="3" s="1"/>
  <c r="BY124" i="5"/>
  <c r="FJ120" i="2"/>
  <c r="FJ121" i="2" s="1"/>
  <c r="FJ86" i="2"/>
  <c r="FJ102" i="2"/>
  <c r="FJ103" i="2" s="1"/>
  <c r="FJ95" i="2"/>
  <c r="FJ98" i="2" s="1"/>
  <c r="EJ120" i="2"/>
  <c r="EJ121" i="2" s="1"/>
  <c r="EJ86" i="2"/>
  <c r="EJ102" i="2"/>
  <c r="EJ103" i="2" s="1"/>
  <c r="EJ95" i="2"/>
  <c r="EJ98" i="2" s="1"/>
  <c r="EJ139" i="2"/>
  <c r="EJ133" i="2"/>
  <c r="EJ127" i="2"/>
  <c r="DA120" i="2"/>
  <c r="DA121" i="2" s="1"/>
  <c r="DA86" i="2"/>
  <c r="DA102" i="2"/>
  <c r="DA103" i="2" s="1"/>
  <c r="DA95" i="2"/>
  <c r="DA98" i="2" s="1"/>
  <c r="BG120" i="2"/>
  <c r="BG121" i="2" s="1"/>
  <c r="BG86" i="2"/>
  <c r="BG102" i="2"/>
  <c r="BG103" i="2" s="1"/>
  <c r="BG95" i="2"/>
  <c r="BG98" i="2" s="1"/>
  <c r="X120" i="2"/>
  <c r="X121" i="2" s="1"/>
  <c r="X102" i="2"/>
  <c r="X103" i="2" s="1"/>
  <c r="X95" i="2"/>
  <c r="X98" i="2" s="1"/>
  <c r="X86" i="2"/>
  <c r="FL120" i="2"/>
  <c r="FL121" i="2" s="1"/>
  <c r="FL102" i="2"/>
  <c r="FL103" i="2" s="1"/>
  <c r="FL95" i="2"/>
  <c r="FL98" i="2" s="1"/>
  <c r="FL86" i="2"/>
  <c r="FL139" i="2"/>
  <c r="CG120" i="2"/>
  <c r="CG121" i="2" s="1"/>
  <c r="CG102" i="2"/>
  <c r="CG103" i="2" s="1"/>
  <c r="CG95" i="2"/>
  <c r="CG98" i="2" s="1"/>
  <c r="CG86" i="2"/>
  <c r="BJ120" i="2"/>
  <c r="BJ121" i="2" s="1"/>
  <c r="BJ102" i="2"/>
  <c r="BJ103" i="2" s="1"/>
  <c r="BJ86" i="2"/>
  <c r="BJ95" i="2"/>
  <c r="BJ98" i="2" s="1"/>
  <c r="AA120" i="2"/>
  <c r="AA121" i="2" s="1"/>
  <c r="AA95" i="2"/>
  <c r="AA98" i="2" s="1"/>
  <c r="AA86" i="2"/>
  <c r="AA102" i="2"/>
  <c r="AA103" i="2" s="1"/>
  <c r="AA139" i="2"/>
  <c r="FO120" i="2"/>
  <c r="FO121" i="2" s="1"/>
  <c r="FO95" i="2"/>
  <c r="FO98" i="2" s="1"/>
  <c r="FO86" i="2"/>
  <c r="FO102" i="2"/>
  <c r="FO103" i="2" s="1"/>
  <c r="FO139" i="2"/>
  <c r="EF120" i="2"/>
  <c r="EF121" i="2" s="1"/>
  <c r="EF95" i="2"/>
  <c r="EF98" i="2" s="1"/>
  <c r="EF86" i="2"/>
  <c r="EF102" i="2"/>
  <c r="EF103" i="2" s="1"/>
  <c r="BY120" i="2"/>
  <c r="BY121" i="2" s="1"/>
  <c r="BY95" i="2"/>
  <c r="BY98" i="2" s="1"/>
  <c r="BY86" i="2"/>
  <c r="BY102" i="2"/>
  <c r="BY103" i="2" s="1"/>
  <c r="AP120" i="2"/>
  <c r="AP121" i="2" s="1"/>
  <c r="AP95" i="2"/>
  <c r="AP98" i="2" s="1"/>
  <c r="AP86" i="2"/>
  <c r="AP102" i="2"/>
  <c r="AP103" i="2" s="1"/>
  <c r="V120" i="2"/>
  <c r="V121" i="2" s="1"/>
  <c r="V95" i="2"/>
  <c r="V98" i="2" s="1"/>
  <c r="V86" i="2"/>
  <c r="V142" i="2" s="1"/>
  <c r="V102" i="2"/>
  <c r="V103" i="2" s="1"/>
  <c r="V139" i="2"/>
  <c r="CM95" i="2"/>
  <c r="CM98" i="2" s="1"/>
  <c r="CM86" i="2"/>
  <c r="CM102" i="2"/>
  <c r="CM103" i="2" s="1"/>
  <c r="CM120" i="2"/>
  <c r="CM121" i="2" s="1"/>
  <c r="BW184" i="5"/>
  <c r="BW207" i="5"/>
  <c r="BW191" i="5"/>
  <c r="BW150" i="5"/>
  <c r="BW115" i="5"/>
  <c r="BW122" i="5" s="1"/>
  <c r="BW104" i="5"/>
  <c r="BW112" i="5"/>
  <c r="BW109" i="5"/>
  <c r="BW111" i="5" s="1"/>
  <c r="BW113" i="5" s="1"/>
  <c r="BW123" i="5" s="1"/>
  <c r="EP186" i="5"/>
  <c r="EP187" i="5" s="1"/>
  <c r="EP188" i="5" s="1"/>
  <c r="AA113" i="3"/>
  <c r="AA123" i="3" s="1"/>
  <c r="AA124" i="3" s="1"/>
  <c r="FU209" i="5"/>
  <c r="FU267" i="5"/>
  <c r="AM184" i="5"/>
  <c r="AM191" i="5"/>
  <c r="AM207" i="5"/>
  <c r="AM152" i="5"/>
  <c r="AM115" i="5"/>
  <c r="AM122" i="5" s="1"/>
  <c r="AM124" i="5" s="1"/>
  <c r="AM167" i="5" s="1"/>
  <c r="AM168" i="5" s="1"/>
  <c r="AM169" i="5" s="1"/>
  <c r="AM225" i="5" s="1"/>
  <c r="AM104" i="5"/>
  <c r="AM112" i="5"/>
  <c r="AM109" i="5"/>
  <c r="AM111" i="5" s="1"/>
  <c r="AM113" i="5" s="1"/>
  <c r="AM123" i="5" s="1"/>
  <c r="CK209" i="5"/>
  <c r="CK267" i="5"/>
  <c r="EY154" i="3"/>
  <c r="BJ133" i="2"/>
  <c r="DA209" i="3"/>
  <c r="DA267" i="3"/>
  <c r="DL267" i="5"/>
  <c r="DL209" i="5"/>
  <c r="G113" i="5"/>
  <c r="G123" i="5" s="1"/>
  <c r="G124" i="5" s="1"/>
  <c r="DQ113" i="3"/>
  <c r="DQ123" i="3" s="1"/>
  <c r="BI186" i="3"/>
  <c r="BI187" i="3" s="1"/>
  <c r="BI188" i="3" s="1"/>
  <c r="AP113" i="5"/>
  <c r="AP123" i="5" s="1"/>
  <c r="AP124" i="5" s="1"/>
  <c r="EC133" i="2"/>
  <c r="DA127" i="2"/>
  <c r="FB124" i="3"/>
  <c r="EY124" i="5"/>
  <c r="V133" i="2"/>
  <c r="DO313" i="5"/>
  <c r="DO174" i="5"/>
  <c r="DO177" i="5"/>
  <c r="ET313" i="5"/>
  <c r="ET174" i="5"/>
  <c r="ET177" i="5"/>
  <c r="FV124" i="5"/>
  <c r="BB113" i="5"/>
  <c r="BB123" i="5" s="1"/>
  <c r="FJ209" i="3"/>
  <c r="FJ267" i="3"/>
  <c r="AT209" i="5"/>
  <c r="AT267" i="5"/>
  <c r="DC186" i="5"/>
  <c r="DC187" i="5" s="1"/>
  <c r="DC188" i="5" s="1"/>
  <c r="FG113" i="3"/>
  <c r="FG123" i="3" s="1"/>
  <c r="FH186" i="5"/>
  <c r="FH187" i="5" s="1"/>
  <c r="FH188" i="5" s="1"/>
  <c r="BS113" i="5"/>
  <c r="BS123" i="5" s="1"/>
  <c r="BS124" i="5" s="1"/>
  <c r="DW124" i="3"/>
  <c r="CR209" i="5"/>
  <c r="CR267" i="5"/>
  <c r="CM113" i="3"/>
  <c r="CM123" i="3" s="1"/>
  <c r="CM124" i="3" s="1"/>
  <c r="EB113" i="3"/>
  <c r="EB123" i="3" s="1"/>
  <c r="EB124" i="3" s="1"/>
  <c r="CZ124" i="5"/>
  <c r="BJ137" i="2"/>
  <c r="BJ138" i="2" s="1"/>
  <c r="BJ139" i="2" s="1"/>
  <c r="R133" i="2"/>
  <c r="EH133" i="2"/>
  <c r="CB113" i="3"/>
  <c r="CB123" i="3" s="1"/>
  <c r="CB124" i="3" s="1"/>
  <c r="EO124" i="5"/>
  <c r="AX146" i="3"/>
  <c r="AX148" i="3" s="1"/>
  <c r="ET124" i="3"/>
  <c r="AK313" i="5"/>
  <c r="AK174" i="5"/>
  <c r="AK177" i="5"/>
  <c r="BP313" i="5"/>
  <c r="BP174" i="5"/>
  <c r="BP177" i="5"/>
  <c r="CU313" i="5"/>
  <c r="CU174" i="5"/>
  <c r="CU182" i="5" s="1"/>
  <c r="CU226" i="5" s="1"/>
  <c r="CU177" i="5"/>
  <c r="CL186" i="3"/>
  <c r="CL187" i="3" s="1"/>
  <c r="CL188" i="3" s="1"/>
  <c r="Z113" i="5"/>
  <c r="Z123" i="5" s="1"/>
  <c r="Z124" i="5" s="1"/>
  <c r="CO197" i="3"/>
  <c r="CO199" i="3"/>
  <c r="CO200" i="3"/>
  <c r="CO201" i="3"/>
  <c r="CO229" i="3" s="1"/>
  <c r="CO193" i="3"/>
  <c r="CO195" i="3"/>
  <c r="AD124" i="5"/>
  <c r="O124" i="3"/>
  <c r="FW313" i="5"/>
  <c r="FW174" i="5"/>
  <c r="FW182" i="5" s="1"/>
  <c r="FW226" i="5" s="1"/>
  <c r="FW177" i="5"/>
  <c r="AE133" i="2"/>
  <c r="FN127" i="2"/>
  <c r="DO113" i="5"/>
  <c r="DO123" i="5" s="1"/>
  <c r="DO124" i="5" s="1"/>
  <c r="FF146" i="3"/>
  <c r="FF148" i="3" s="1"/>
  <c r="FF193" i="3"/>
  <c r="FF195" i="3"/>
  <c r="FF197" i="3"/>
  <c r="FF199" i="3"/>
  <c r="FF200" i="3"/>
  <c r="FF201" i="3"/>
  <c r="FF229" i="3" s="1"/>
  <c r="BQ188" i="5"/>
  <c r="BQ186" i="5"/>
  <c r="BQ187" i="5" s="1"/>
  <c r="EM209" i="5"/>
  <c r="EM267" i="5"/>
  <c r="EC188" i="5"/>
  <c r="EC186" i="5"/>
  <c r="EC187" i="5" s="1"/>
  <c r="N113" i="3"/>
  <c r="N123" i="3" s="1"/>
  <c r="N124" i="3" s="1"/>
  <c r="CE124" i="3"/>
  <c r="CS137" i="2"/>
  <c r="CS138" i="2" s="1"/>
  <c r="CS139" i="2" s="1"/>
  <c r="BU137" i="2"/>
  <c r="BU138" i="2"/>
  <c r="BU139" i="2" s="1"/>
  <c r="AX133" i="2"/>
  <c r="AN186" i="3"/>
  <c r="AN187" i="3" s="1"/>
  <c r="AN188" i="3"/>
  <c r="FS186" i="3"/>
  <c r="FS187" i="3" s="1"/>
  <c r="FS188" i="3" s="1"/>
  <c r="BN154" i="3"/>
  <c r="CU113" i="5"/>
  <c r="CU123" i="5" s="1"/>
  <c r="CU124" i="5" s="1"/>
  <c r="CD186" i="3"/>
  <c r="CD187" i="3" s="1"/>
  <c r="CD188" i="3"/>
  <c r="FK127" i="2"/>
  <c r="X186" i="5"/>
  <c r="X187" i="5" s="1"/>
  <c r="X188" i="5" s="1"/>
  <c r="L133" i="2"/>
  <c r="DX209" i="3"/>
  <c r="DX267" i="3"/>
  <c r="AG124" i="5"/>
  <c r="S124" i="5"/>
  <c r="EW209" i="5"/>
  <c r="EW267" i="5"/>
  <c r="AE138" i="2"/>
  <c r="AE139" i="2" s="1"/>
  <c r="AE137" i="2"/>
  <c r="BI133" i="2"/>
  <c r="CU186" i="3"/>
  <c r="CU187" i="3" s="1"/>
  <c r="CU188" i="3"/>
  <c r="AH200" i="3"/>
  <c r="AH195" i="3"/>
  <c r="BZ127" i="2"/>
  <c r="AZ127" i="2"/>
  <c r="FL186" i="3"/>
  <c r="FL187" i="3" s="1"/>
  <c r="FL188" i="3"/>
  <c r="EV113" i="5"/>
  <c r="EV123" i="5" s="1"/>
  <c r="BC133" i="2"/>
  <c r="BS137" i="2"/>
  <c r="BS138" i="2"/>
  <c r="BV209" i="5"/>
  <c r="BV267" i="5"/>
  <c r="BH215" i="3"/>
  <c r="BH219" i="3" s="1"/>
  <c r="BH228" i="3" s="1"/>
  <c r="BH173" i="3"/>
  <c r="FX215" i="3"/>
  <c r="FX219" i="3" s="1"/>
  <c r="FX228" i="3" s="1"/>
  <c r="FX173" i="3"/>
  <c r="DZ215" i="3"/>
  <c r="DZ219" i="3" s="1"/>
  <c r="DZ228" i="3" s="1"/>
  <c r="DZ173" i="3"/>
  <c r="CQ215" i="3"/>
  <c r="CQ219" i="3" s="1"/>
  <c r="CQ228" i="3" s="1"/>
  <c r="CQ173" i="3"/>
  <c r="BI215" i="3"/>
  <c r="BI219" i="3" s="1"/>
  <c r="BI228" i="3" s="1"/>
  <c r="BI173" i="3"/>
  <c r="Z215" i="3"/>
  <c r="Z219" i="3" s="1"/>
  <c r="Z228" i="3" s="1"/>
  <c r="Z173" i="3"/>
  <c r="FN173" i="3"/>
  <c r="FN215" i="3"/>
  <c r="FN219" i="3" s="1"/>
  <c r="FN228" i="3" s="1"/>
  <c r="EQ215" i="3"/>
  <c r="EQ219" i="3" s="1"/>
  <c r="EQ228" i="3" s="1"/>
  <c r="EQ173" i="3"/>
  <c r="DH215" i="3"/>
  <c r="DH219" i="3" s="1"/>
  <c r="DH228" i="3" s="1"/>
  <c r="DH173" i="3"/>
  <c r="BY215" i="3"/>
  <c r="BY219" i="3" s="1"/>
  <c r="BY228" i="3" s="1"/>
  <c r="BY173" i="3"/>
  <c r="AP215" i="3"/>
  <c r="AP219" i="3" s="1"/>
  <c r="AP228" i="3" s="1"/>
  <c r="AP173" i="3"/>
  <c r="G215" i="3"/>
  <c r="G219" i="3" s="1"/>
  <c r="G228" i="3" s="1"/>
  <c r="G173" i="3"/>
  <c r="EU215" i="3"/>
  <c r="EU219" i="3" s="1"/>
  <c r="EU228" i="3" s="1"/>
  <c r="EU173" i="3"/>
  <c r="DL215" i="3"/>
  <c r="DL219" i="3" s="1"/>
  <c r="DL228" i="3" s="1"/>
  <c r="DL173" i="3"/>
  <c r="CC215" i="3"/>
  <c r="CC219" i="3" s="1"/>
  <c r="CC228" i="3" s="1"/>
  <c r="CC173" i="3"/>
  <c r="FU209" i="3"/>
  <c r="FU267" i="3"/>
  <c r="CP188" i="5"/>
  <c r="CP186" i="5"/>
  <c r="CP187" i="5" s="1"/>
  <c r="CO137" i="2"/>
  <c r="CO138" i="2"/>
  <c r="CO139" i="2" s="1"/>
  <c r="BG186" i="5"/>
  <c r="BG187" i="5" s="1"/>
  <c r="BG188" i="5" s="1"/>
  <c r="BS313" i="5"/>
  <c r="BS174" i="5"/>
  <c r="BS177" i="5"/>
  <c r="CX313" i="5"/>
  <c r="CX174" i="5"/>
  <c r="CX177" i="5"/>
  <c r="V197" i="3"/>
  <c r="V199" i="3"/>
  <c r="V200" i="3"/>
  <c r="V201" i="3"/>
  <c r="V229" i="3" s="1"/>
  <c r="V193" i="3"/>
  <c r="V195" i="3"/>
  <c r="AJ200" i="3"/>
  <c r="AJ201" i="3"/>
  <c r="AJ229" i="3" s="1"/>
  <c r="AJ193" i="3"/>
  <c r="AJ195" i="3"/>
  <c r="AJ197" i="3"/>
  <c r="AJ199" i="3"/>
  <c r="EX186" i="3"/>
  <c r="EX187" i="3" s="1"/>
  <c r="EX188" i="3" s="1"/>
  <c r="BI113" i="5"/>
  <c r="BI123" i="5" s="1"/>
  <c r="BI124" i="5" s="1"/>
  <c r="BL113" i="3"/>
  <c r="BL123" i="3" s="1"/>
  <c r="BL124" i="3" s="1"/>
  <c r="BL209" i="3"/>
  <c r="BL267" i="3"/>
  <c r="DS124" i="3"/>
  <c r="DS193" i="3" s="1"/>
  <c r="DS197" i="3" s="1"/>
  <c r="DS199" i="3" s="1"/>
  <c r="DR113" i="3"/>
  <c r="DR123" i="3" s="1"/>
  <c r="DR124" i="3" s="1"/>
  <c r="DR209" i="3"/>
  <c r="DR267" i="3"/>
  <c r="M124" i="5"/>
  <c r="DG137" i="2"/>
  <c r="DG138" i="2"/>
  <c r="DG139" i="2" s="1"/>
  <c r="P313" i="5"/>
  <c r="P174" i="5"/>
  <c r="P177" i="5"/>
  <c r="BT200" i="3"/>
  <c r="BT201" i="3"/>
  <c r="BT229" i="3" s="1"/>
  <c r="BT193" i="3"/>
  <c r="BT195" i="3"/>
  <c r="BT197" i="3"/>
  <c r="BT199" i="3"/>
  <c r="H186" i="5"/>
  <c r="H187" i="5" s="1"/>
  <c r="H188" i="5" s="1"/>
  <c r="EP127" i="2"/>
  <c r="DL195" i="3"/>
  <c r="DL200" i="3"/>
  <c r="DL193" i="3"/>
  <c r="DL197" i="3" s="1"/>
  <c r="DL199" i="3" s="1"/>
  <c r="BW113" i="3"/>
  <c r="BW123" i="3" s="1"/>
  <c r="BW124" i="3" s="1"/>
  <c r="AC162" i="3"/>
  <c r="AC113" i="5"/>
  <c r="AC123" i="5" s="1"/>
  <c r="AC124" i="5" s="1"/>
  <c r="FI124" i="3"/>
  <c r="FI193" i="3" s="1"/>
  <c r="FI197" i="3" s="1"/>
  <c r="FI199" i="3" s="1"/>
  <c r="EN137" i="2"/>
  <c r="EN138" i="2"/>
  <c r="EN139" i="2" s="1"/>
  <c r="FM113" i="5"/>
  <c r="FM123" i="5" s="1"/>
  <c r="FM124" i="5" s="1"/>
  <c r="CG209" i="5"/>
  <c r="CG267" i="5"/>
  <c r="EQ201" i="3"/>
  <c r="EQ229" i="3" s="1"/>
  <c r="EQ193" i="3"/>
  <c r="EQ195" i="3"/>
  <c r="EQ197" i="3"/>
  <c r="EQ199" i="3"/>
  <c r="EQ200" i="3"/>
  <c r="FR113" i="5"/>
  <c r="FR123" i="5" s="1"/>
  <c r="R227" i="5"/>
  <c r="V186" i="5"/>
  <c r="V187" i="5" s="1"/>
  <c r="V188" i="5" s="1"/>
  <c r="DB186" i="3"/>
  <c r="DB187" i="3" s="1"/>
  <c r="DB188" i="3"/>
  <c r="O133" i="2"/>
  <c r="AZ137" i="2"/>
  <c r="AZ138" i="2"/>
  <c r="AZ139" i="2" s="1"/>
  <c r="M137" i="2"/>
  <c r="M138" i="2"/>
  <c r="M139" i="2" s="1"/>
  <c r="U124" i="5"/>
  <c r="CQ186" i="3"/>
  <c r="CQ187" i="3" s="1"/>
  <c r="CQ188" i="3" s="1"/>
  <c r="BJ313" i="5"/>
  <c r="BJ174" i="5"/>
  <c r="BJ182" i="5" s="1"/>
  <c r="BJ226" i="5" s="1"/>
  <c r="BJ177" i="5"/>
  <c r="CO313" i="5"/>
  <c r="CO174" i="5"/>
  <c r="CO177" i="5"/>
  <c r="DT313" i="5"/>
  <c r="DT174" i="5"/>
  <c r="DT177" i="5"/>
  <c r="EU209" i="3"/>
  <c r="EU267" i="3"/>
  <c r="EK186" i="5"/>
  <c r="EK187" i="5" s="1"/>
  <c r="EK188" i="5" s="1"/>
  <c r="CH146" i="3"/>
  <c r="CH148" i="3" s="1"/>
  <c r="CH201" i="3"/>
  <c r="CH229" i="3" s="1"/>
  <c r="CH193" i="3"/>
  <c r="CH195" i="3"/>
  <c r="CH197" i="3"/>
  <c r="CH199" i="3"/>
  <c r="CH200" i="3"/>
  <c r="ED113" i="3"/>
  <c r="ED123" i="3" s="1"/>
  <c r="ED124" i="3" s="1"/>
  <c r="F124" i="3"/>
  <c r="H209" i="3"/>
  <c r="H267" i="3"/>
  <c r="DO154" i="3"/>
  <c r="AQ188" i="5"/>
  <c r="AQ186" i="5"/>
  <c r="AQ187" i="5" s="1"/>
  <c r="CM124" i="5"/>
  <c r="AD111" i="2"/>
  <c r="AD108" i="2"/>
  <c r="FR111" i="2"/>
  <c r="FR108" i="2"/>
  <c r="DK108" i="2"/>
  <c r="DK111" i="2"/>
  <c r="CB111" i="2"/>
  <c r="CB108" i="2"/>
  <c r="U108" i="2"/>
  <c r="U111" i="2"/>
  <c r="FI108" i="2"/>
  <c r="FI111" i="2"/>
  <c r="DB111" i="2"/>
  <c r="DB108" i="2"/>
  <c r="W111" i="2"/>
  <c r="W108" i="2"/>
  <c r="FK111" i="2"/>
  <c r="FK108" i="2"/>
  <c r="BT108" i="2"/>
  <c r="BT111" i="2"/>
  <c r="EC111" i="2"/>
  <c r="EC108" i="2"/>
  <c r="BV108" i="2"/>
  <c r="BV111" i="2"/>
  <c r="FZ107" i="2"/>
  <c r="C111" i="2"/>
  <c r="FZ111" i="2" s="1"/>
  <c r="GB111" i="2" s="1"/>
  <c r="C108" i="2"/>
  <c r="EQ108" i="2"/>
  <c r="EQ111" i="2"/>
  <c r="BX108" i="2"/>
  <c r="BX111" i="2"/>
  <c r="AR111" i="2"/>
  <c r="AR108" i="2"/>
  <c r="EG108" i="2"/>
  <c r="EG111" i="2"/>
  <c r="F138" i="2"/>
  <c r="F137" i="2"/>
  <c r="DX188" i="5"/>
  <c r="DX186" i="5"/>
  <c r="DX187" i="5" s="1"/>
  <c r="FQ186" i="5"/>
  <c r="FQ187" i="5" s="1"/>
  <c r="FQ188" i="5"/>
  <c r="AX313" i="5"/>
  <c r="AX174" i="5"/>
  <c r="AX182" i="5" s="1"/>
  <c r="AX226" i="5" s="1"/>
  <c r="AX177" i="5"/>
  <c r="CC313" i="5"/>
  <c r="CC174" i="5"/>
  <c r="CC182" i="5" s="1"/>
  <c r="CC226" i="5" s="1"/>
  <c r="CC177" i="5"/>
  <c r="DH313" i="5"/>
  <c r="DH174" i="5"/>
  <c r="DH177" i="5"/>
  <c r="BU128" i="5"/>
  <c r="DD124" i="5"/>
  <c r="CW113" i="5"/>
  <c r="CW123" i="5" s="1"/>
  <c r="CW124" i="5" s="1"/>
  <c r="L209" i="3"/>
  <c r="L267" i="3"/>
  <c r="BN137" i="2"/>
  <c r="BN138" i="2" s="1"/>
  <c r="BN139" i="2" s="1"/>
  <c r="BS267" i="3"/>
  <c r="BS209" i="3"/>
  <c r="AO186" i="5"/>
  <c r="AO187" i="5" s="1"/>
  <c r="AO188" i="5"/>
  <c r="DY197" i="3"/>
  <c r="DY199" i="3"/>
  <c r="DY200" i="3"/>
  <c r="DY201" i="3"/>
  <c r="DY229" i="3" s="1"/>
  <c r="DY193" i="3"/>
  <c r="DY195" i="3"/>
  <c r="DM146" i="3"/>
  <c r="DM148" i="3" s="1"/>
  <c r="DM209" i="3"/>
  <c r="DM267" i="3"/>
  <c r="AL313" i="5"/>
  <c r="AL174" i="5"/>
  <c r="AL177" i="5"/>
  <c r="BQ313" i="5"/>
  <c r="BQ174" i="5"/>
  <c r="BQ177" i="5"/>
  <c r="CV313" i="5"/>
  <c r="CV174" i="5"/>
  <c r="CV182" i="5" s="1"/>
  <c r="CV226" i="5" s="1"/>
  <c r="CV177" i="5"/>
  <c r="W199" i="3"/>
  <c r="W200" i="3"/>
  <c r="W201" i="3"/>
  <c r="W229" i="3" s="1"/>
  <c r="W193" i="3"/>
  <c r="W195" i="3"/>
  <c r="W197" i="3"/>
  <c r="FC209" i="3"/>
  <c r="FC267" i="3"/>
  <c r="FW267" i="3"/>
  <c r="FW209" i="3"/>
  <c r="EV113" i="3"/>
  <c r="EV123" i="3" s="1"/>
  <c r="EV124" i="3" s="1"/>
  <c r="EV209" i="3"/>
  <c r="EV267" i="3"/>
  <c r="EE137" i="2"/>
  <c r="EE138" i="2"/>
  <c r="EE139" i="2" s="1"/>
  <c r="CS209" i="5"/>
  <c r="CS267" i="5"/>
  <c r="EJ209" i="5"/>
  <c r="EJ267" i="5"/>
  <c r="CD209" i="5"/>
  <c r="CD267" i="5"/>
  <c r="AE209" i="5"/>
  <c r="AE267" i="5"/>
  <c r="AZ188" i="5"/>
  <c r="AZ186" i="5"/>
  <c r="AZ187" i="5" s="1"/>
  <c r="EF186" i="3"/>
  <c r="EF187" i="3" s="1"/>
  <c r="EF188" i="3"/>
  <c r="FN313" i="5"/>
  <c r="FN174" i="5"/>
  <c r="FN177" i="5"/>
  <c r="V313" i="5"/>
  <c r="V174" i="5"/>
  <c r="V177" i="5"/>
  <c r="BA313" i="5"/>
  <c r="BA174" i="5"/>
  <c r="BA182" i="5" s="1"/>
  <c r="BA226" i="5" s="1"/>
  <c r="BA177" i="5"/>
  <c r="FM337" i="3"/>
  <c r="FM207" i="3"/>
  <c r="FM191" i="3"/>
  <c r="FM184" i="3"/>
  <c r="FM150" i="3"/>
  <c r="FM112" i="3"/>
  <c r="FM115" i="3"/>
  <c r="FM122" i="3" s="1"/>
  <c r="FM104" i="3"/>
  <c r="FM109" i="3"/>
  <c r="FM111" i="3" s="1"/>
  <c r="H120" i="2"/>
  <c r="H121" i="2" s="1"/>
  <c r="H86" i="2"/>
  <c r="H102" i="2"/>
  <c r="H103" i="2" s="1"/>
  <c r="H95" i="2"/>
  <c r="H98" i="2" s="1"/>
  <c r="H139" i="2"/>
  <c r="EV120" i="2"/>
  <c r="EV121" i="2" s="1"/>
  <c r="EV86" i="2"/>
  <c r="EV102" i="2"/>
  <c r="EV103" i="2" s="1"/>
  <c r="EV95" i="2"/>
  <c r="EV98" i="2" s="1"/>
  <c r="DM120" i="2"/>
  <c r="DM121" i="2" s="1"/>
  <c r="DM86" i="2"/>
  <c r="DM102" i="2"/>
  <c r="DM103" i="2" s="1"/>
  <c r="DM95" i="2"/>
  <c r="DM98" i="2" s="1"/>
  <c r="BS120" i="2"/>
  <c r="BS121" i="2" s="1"/>
  <c r="BS86" i="2"/>
  <c r="BS142" i="2" s="1"/>
  <c r="BS102" i="2"/>
  <c r="BS103" i="2" s="1"/>
  <c r="BS95" i="2"/>
  <c r="BS98" i="2" s="1"/>
  <c r="BS139" i="2"/>
  <c r="AJ120" i="2"/>
  <c r="AJ121" i="2" s="1"/>
  <c r="AJ102" i="2"/>
  <c r="AJ103" i="2" s="1"/>
  <c r="AJ95" i="2"/>
  <c r="AJ98" i="2" s="1"/>
  <c r="AJ86" i="2"/>
  <c r="FX120" i="2"/>
  <c r="FX121" i="2" s="1"/>
  <c r="FX102" i="2"/>
  <c r="FX103" i="2" s="1"/>
  <c r="FX95" i="2"/>
  <c r="FX98" i="2" s="1"/>
  <c r="FX86" i="2"/>
  <c r="FX142" i="2" s="1"/>
  <c r="FX139" i="2"/>
  <c r="CS120" i="2"/>
  <c r="CS121" i="2" s="1"/>
  <c r="CS102" i="2"/>
  <c r="CS103" i="2" s="1"/>
  <c r="CS95" i="2"/>
  <c r="CS98" i="2" s="1"/>
  <c r="CS86" i="2"/>
  <c r="BV120" i="2"/>
  <c r="BV121" i="2" s="1"/>
  <c r="BV102" i="2"/>
  <c r="BV103" i="2" s="1"/>
  <c r="BV95" i="2"/>
  <c r="BV98" i="2" s="1"/>
  <c r="BV86" i="2"/>
  <c r="BV139" i="2"/>
  <c r="AM120" i="2"/>
  <c r="AM121" i="2" s="1"/>
  <c r="AM95" i="2"/>
  <c r="AM98" i="2" s="1"/>
  <c r="AM86" i="2"/>
  <c r="AM102" i="2"/>
  <c r="AM103" i="2" s="1"/>
  <c r="D120" i="2"/>
  <c r="D121" i="2" s="1"/>
  <c r="D95" i="2"/>
  <c r="D98" i="2" s="1"/>
  <c r="D86" i="2"/>
  <c r="D102" i="2"/>
  <c r="D103" i="2" s="1"/>
  <c r="D139" i="2"/>
  <c r="ER120" i="2"/>
  <c r="ER121" i="2" s="1"/>
  <c r="ER95" i="2"/>
  <c r="ER98" i="2" s="1"/>
  <c r="ER86" i="2"/>
  <c r="ER102" i="2"/>
  <c r="ER103" i="2" s="1"/>
  <c r="CK120" i="2"/>
  <c r="CK121" i="2" s="1"/>
  <c r="CK102" i="2"/>
  <c r="CK103" i="2" s="1"/>
  <c r="CK95" i="2"/>
  <c r="CK98" i="2" s="1"/>
  <c r="CK86" i="2"/>
  <c r="BB120" i="2"/>
  <c r="BB121" i="2" s="1"/>
  <c r="BB95" i="2"/>
  <c r="BB98" i="2" s="1"/>
  <c r="BB86" i="2"/>
  <c r="BB102" i="2"/>
  <c r="BB103" i="2" s="1"/>
  <c r="BB139" i="2"/>
  <c r="BF120" i="2"/>
  <c r="BF121" i="2" s="1"/>
  <c r="BF86" i="2"/>
  <c r="BF102" i="2"/>
  <c r="BF103" i="2" s="1"/>
  <c r="BF95" i="2"/>
  <c r="BF98" i="2" s="1"/>
  <c r="BF139" i="2"/>
  <c r="CY95" i="2"/>
  <c r="CY98" i="2" s="1"/>
  <c r="CY86" i="2"/>
  <c r="CY102" i="2"/>
  <c r="CY103" i="2" s="1"/>
  <c r="CY120" i="2"/>
  <c r="CY121" i="2" s="1"/>
  <c r="CJ186" i="3"/>
  <c r="CJ187" i="3" s="1"/>
  <c r="CJ188" i="3"/>
  <c r="DO137" i="2"/>
  <c r="DO138" i="2"/>
  <c r="DO139" i="2" s="1"/>
  <c r="DF267" i="5"/>
  <c r="DF209" i="5"/>
  <c r="FT127" i="2"/>
  <c r="FU113" i="5"/>
  <c r="FU123" i="5" s="1"/>
  <c r="FU124" i="5" s="1"/>
  <c r="CQ137" i="2"/>
  <c r="CQ138" i="2"/>
  <c r="CQ139" i="2" s="1"/>
  <c r="EK197" i="3"/>
  <c r="EK199" i="3"/>
  <c r="EK200" i="3"/>
  <c r="EK201" i="3"/>
  <c r="EK229" i="3" s="1"/>
  <c r="EK193" i="3"/>
  <c r="EK195" i="3"/>
  <c r="BE188" i="5"/>
  <c r="BE186" i="5"/>
  <c r="BE187" i="5" s="1"/>
  <c r="CK113" i="5"/>
  <c r="CK123" i="5" s="1"/>
  <c r="CK124" i="5" s="1"/>
  <c r="FP124" i="3"/>
  <c r="FP193" i="3" s="1"/>
  <c r="FP197" i="3" s="1"/>
  <c r="FP199" i="3" s="1"/>
  <c r="BI200" i="3"/>
  <c r="BI201" i="3"/>
  <c r="BI229" i="3" s="1"/>
  <c r="BI193" i="3"/>
  <c r="BI195" i="3"/>
  <c r="BI197" i="3"/>
  <c r="BI199" i="3"/>
  <c r="EH113" i="3"/>
  <c r="EH123" i="3" s="1"/>
  <c r="EH124" i="3" s="1"/>
  <c r="EH193" i="3"/>
  <c r="EH195" i="3"/>
  <c r="EH197" i="3"/>
  <c r="EH199" i="3"/>
  <c r="EH200" i="3"/>
  <c r="EH201" i="3"/>
  <c r="EH229" i="3" s="1"/>
  <c r="EV127" i="2"/>
  <c r="AX188" i="5"/>
  <c r="AX186" i="5"/>
  <c r="AX187" i="5" s="1"/>
  <c r="FG124" i="5"/>
  <c r="DC209" i="5"/>
  <c r="DC267" i="5"/>
  <c r="FH209" i="5"/>
  <c r="FH267" i="5"/>
  <c r="BZ186" i="5"/>
  <c r="BZ187" i="5" s="1"/>
  <c r="BZ188" i="5" s="1"/>
  <c r="AS197" i="3"/>
  <c r="AS199" i="3"/>
  <c r="AS200" i="3"/>
  <c r="AS201" i="3"/>
  <c r="AS229" i="3" s="1"/>
  <c r="AS193" i="3"/>
  <c r="AS195" i="3"/>
  <c r="DT209" i="5"/>
  <c r="DT267" i="5"/>
  <c r="DN186" i="5"/>
  <c r="DN187" i="5" s="1"/>
  <c r="DN188" i="5" s="1"/>
  <c r="BQ133" i="2"/>
  <c r="X137" i="2"/>
  <c r="X138" i="2"/>
  <c r="X139" i="2" s="1"/>
  <c r="EK133" i="2"/>
  <c r="DV186" i="3"/>
  <c r="DV187" i="3" s="1"/>
  <c r="DV188" i="3" s="1"/>
  <c r="CD137" i="2"/>
  <c r="CD138" i="2" s="1"/>
  <c r="CD139" i="2" s="1"/>
  <c r="AJ209" i="5"/>
  <c r="AJ267" i="5"/>
  <c r="CF124" i="3"/>
  <c r="CO209" i="3"/>
  <c r="CO267" i="3"/>
  <c r="CF137" i="2"/>
  <c r="CF138" i="2" s="1"/>
  <c r="CF139" i="2" s="1"/>
  <c r="EQ184" i="5"/>
  <c r="EQ207" i="5"/>
  <c r="EQ191" i="5"/>
  <c r="EQ150" i="5"/>
  <c r="EQ115" i="5"/>
  <c r="EQ122" i="5" s="1"/>
  <c r="EQ104" i="5"/>
  <c r="EQ112" i="5"/>
  <c r="EQ109" i="5"/>
  <c r="EQ111" i="5" s="1"/>
  <c r="EQ113" i="5" s="1"/>
  <c r="EQ123" i="5" s="1"/>
  <c r="FC227" i="5"/>
  <c r="AW133" i="2"/>
  <c r="CU127" i="2"/>
  <c r="FF209" i="3"/>
  <c r="FF267" i="3"/>
  <c r="I200" i="3"/>
  <c r="I195" i="3"/>
  <c r="AW186" i="3"/>
  <c r="AW187" i="3" s="1"/>
  <c r="AW188" i="3" s="1"/>
  <c r="EM113" i="5"/>
  <c r="EM123" i="5" s="1"/>
  <c r="EM124" i="5" s="1"/>
  <c r="FE209" i="5"/>
  <c r="FE267" i="5"/>
  <c r="EC267" i="5"/>
  <c r="EC209" i="5"/>
  <c r="CI195" i="3"/>
  <c r="CI200" i="3"/>
  <c r="FM313" i="5"/>
  <c r="FM174" i="5"/>
  <c r="FM177" i="5"/>
  <c r="U313" i="5"/>
  <c r="U174" i="5"/>
  <c r="U182" i="5" s="1"/>
  <c r="U226" i="5" s="1"/>
  <c r="U177" i="5"/>
  <c r="AZ313" i="5"/>
  <c r="AZ174" i="5"/>
  <c r="AZ182" i="5" s="1"/>
  <c r="AZ226" i="5" s="1"/>
  <c r="AZ177" i="5"/>
  <c r="EL207" i="3"/>
  <c r="EL184" i="3"/>
  <c r="EL150" i="3"/>
  <c r="EL162" i="3" s="1"/>
  <c r="EL154" i="3"/>
  <c r="EL112" i="3"/>
  <c r="EL152" i="3"/>
  <c r="EL104" i="3"/>
  <c r="EL115" i="3"/>
  <c r="EL122" i="3" s="1"/>
  <c r="EL191" i="3"/>
  <c r="EL142" i="3"/>
  <c r="EL109" i="3"/>
  <c r="EL111" i="3" s="1"/>
  <c r="EL113" i="3" s="1"/>
  <c r="EL123" i="3" s="1"/>
  <c r="EL144" i="3"/>
  <c r="CQ127" i="2"/>
  <c r="CA195" i="3"/>
  <c r="CA197" i="3"/>
  <c r="CA199" i="3"/>
  <c r="CA200" i="3"/>
  <c r="CA201" i="3"/>
  <c r="CA229" i="3" s="1"/>
  <c r="CA193" i="3"/>
  <c r="EB191" i="5"/>
  <c r="EB184" i="5"/>
  <c r="EB207" i="5"/>
  <c r="EB150" i="5"/>
  <c r="EB112" i="5"/>
  <c r="EB115" i="5"/>
  <c r="EB122" i="5" s="1"/>
  <c r="EB104" i="5"/>
  <c r="EB109" i="5"/>
  <c r="EB111" i="5" s="1"/>
  <c r="EB113" i="5" s="1"/>
  <c r="EB123" i="5" s="1"/>
  <c r="BV313" i="5"/>
  <c r="BV174" i="5"/>
  <c r="BV177" i="5"/>
  <c r="AE127" i="2"/>
  <c r="AD124" i="3"/>
  <c r="FA133" i="2"/>
  <c r="FS113" i="3"/>
  <c r="FS123" i="3" s="1"/>
  <c r="BN188" i="3"/>
  <c r="BN186" i="3"/>
  <c r="BN187" i="3" s="1"/>
  <c r="CD209" i="3"/>
  <c r="CD267" i="3"/>
  <c r="AF127" i="2"/>
  <c r="CO127" i="2"/>
  <c r="DX113" i="3"/>
  <c r="DX123" i="3" s="1"/>
  <c r="DX124" i="3" s="1"/>
  <c r="DN313" i="5"/>
  <c r="DN174" i="5"/>
  <c r="DN177" i="5"/>
  <c r="ES313" i="5"/>
  <c r="ES174" i="5"/>
  <c r="ES177" i="5"/>
  <c r="AN124" i="5"/>
  <c r="EW113" i="5"/>
  <c r="EW123" i="5" s="1"/>
  <c r="EW124" i="5" s="1"/>
  <c r="EI267" i="5"/>
  <c r="EI209" i="5"/>
  <c r="DI124" i="5"/>
  <c r="CQ133" i="2"/>
  <c r="R124" i="3"/>
  <c r="R193" i="3" s="1"/>
  <c r="R197" i="3" s="1"/>
  <c r="CU209" i="3"/>
  <c r="CU267" i="3"/>
  <c r="CV133" i="2"/>
  <c r="BA193" i="3"/>
  <c r="BA197" i="3" s="1"/>
  <c r="BA199" i="3" s="1"/>
  <c r="BA195" i="3"/>
  <c r="BA200" i="3"/>
  <c r="FN133" i="2"/>
  <c r="FL200" i="3"/>
  <c r="FL201" i="3"/>
  <c r="FL229" i="3" s="1"/>
  <c r="FL193" i="3"/>
  <c r="FL195" i="3"/>
  <c r="FL197" i="3"/>
  <c r="FL199" i="3"/>
  <c r="DU137" i="2"/>
  <c r="DU138" i="2" s="1"/>
  <c r="DU139" i="2" s="1"/>
  <c r="BO209" i="5"/>
  <c r="BO267" i="5"/>
  <c r="BX209" i="5"/>
  <c r="BX267" i="5"/>
  <c r="BT215" i="3"/>
  <c r="BT219" i="3" s="1"/>
  <c r="BT228" i="3" s="1"/>
  <c r="BT173" i="3"/>
  <c r="AV215" i="3"/>
  <c r="AV219" i="3" s="1"/>
  <c r="AV228" i="3" s="1"/>
  <c r="AV173" i="3"/>
  <c r="EL215" i="3"/>
  <c r="EL219" i="3" s="1"/>
  <c r="EL228" i="3" s="1"/>
  <c r="EL173" i="3"/>
  <c r="DC215" i="3"/>
  <c r="DC219" i="3" s="1"/>
  <c r="DC228" i="3" s="1"/>
  <c r="DC173" i="3"/>
  <c r="BU215" i="3"/>
  <c r="BU219" i="3" s="1"/>
  <c r="BU228" i="3" s="1"/>
  <c r="BU173" i="3"/>
  <c r="AL215" i="3"/>
  <c r="AL219" i="3" s="1"/>
  <c r="AL228" i="3" s="1"/>
  <c r="AL173" i="3"/>
  <c r="O215" i="3"/>
  <c r="O219" i="3" s="1"/>
  <c r="O228" i="3" s="1"/>
  <c r="O173" i="3"/>
  <c r="FC215" i="3"/>
  <c r="FC219" i="3" s="1"/>
  <c r="FC228" i="3" s="1"/>
  <c r="FC173" i="3"/>
  <c r="DT215" i="3"/>
  <c r="DT219" i="3" s="1"/>
  <c r="DT228" i="3" s="1"/>
  <c r="DT173" i="3"/>
  <c r="CK215" i="3"/>
  <c r="CK219" i="3" s="1"/>
  <c r="CK228" i="3" s="1"/>
  <c r="CK173" i="3"/>
  <c r="BB215" i="3"/>
  <c r="BB219" i="3" s="1"/>
  <c r="BB228" i="3" s="1"/>
  <c r="BB173" i="3"/>
  <c r="S215" i="3"/>
  <c r="S219" i="3" s="1"/>
  <c r="S228" i="3" s="1"/>
  <c r="S173" i="3"/>
  <c r="FG215" i="3"/>
  <c r="FG219" i="3" s="1"/>
  <c r="FG228" i="3" s="1"/>
  <c r="FG173" i="3"/>
  <c r="DX215" i="3"/>
  <c r="DX219" i="3" s="1"/>
  <c r="DX228" i="3" s="1"/>
  <c r="DX173" i="3"/>
  <c r="CO215" i="3"/>
  <c r="CO219" i="3" s="1"/>
  <c r="CO228" i="3" s="1"/>
  <c r="CO173" i="3"/>
  <c r="CP209" i="5"/>
  <c r="CP267" i="5"/>
  <c r="BH133" i="2"/>
  <c r="BG267" i="5"/>
  <c r="BG209" i="5"/>
  <c r="L137" i="2"/>
  <c r="L138" i="2"/>
  <c r="L139" i="2" s="1"/>
  <c r="V146" i="3"/>
  <c r="V148" i="3" s="1"/>
  <c r="V186" i="3"/>
  <c r="V187" i="3" s="1"/>
  <c r="V188" i="3"/>
  <c r="EX197" i="3"/>
  <c r="EX199" i="3"/>
  <c r="EX200" i="3"/>
  <c r="EX201" i="3"/>
  <c r="EX229" i="3" s="1"/>
  <c r="EX193" i="3"/>
  <c r="EX195" i="3"/>
  <c r="DS195" i="3"/>
  <c r="DS200" i="3"/>
  <c r="DG124" i="3"/>
  <c r="Q195" i="3"/>
  <c r="Q200" i="3"/>
  <c r="AK127" i="2"/>
  <c r="CM137" i="2"/>
  <c r="CM138" i="2" s="1"/>
  <c r="CM139" i="2" s="1"/>
  <c r="BT186" i="3"/>
  <c r="BT187" i="3" s="1"/>
  <c r="BT188" i="3" s="1"/>
  <c r="CN113" i="5"/>
  <c r="CN123" i="5" s="1"/>
  <c r="BT127" i="2"/>
  <c r="FD267" i="5"/>
  <c r="FD209" i="5"/>
  <c r="AD127" i="2"/>
  <c r="DL186" i="3"/>
  <c r="DL187" i="3" s="1"/>
  <c r="DL188" i="3" s="1"/>
  <c r="E137" i="2"/>
  <c r="E138" i="2" s="1"/>
  <c r="E139" i="2" s="1"/>
  <c r="AU137" i="2"/>
  <c r="AU138" i="2" s="1"/>
  <c r="AU139" i="2" s="1"/>
  <c r="BP188" i="5"/>
  <c r="BP186" i="5"/>
  <c r="BP187" i="5" s="1"/>
  <c r="L313" i="5"/>
  <c r="L174" i="5"/>
  <c r="L177" i="5"/>
  <c r="AQ313" i="5"/>
  <c r="AQ174" i="5"/>
  <c r="AQ177" i="5"/>
  <c r="L207" i="5"/>
  <c r="L191" i="5"/>
  <c r="L184" i="5"/>
  <c r="L150" i="5"/>
  <c r="L115" i="5"/>
  <c r="L122" i="5" s="1"/>
  <c r="L104" i="5"/>
  <c r="L112" i="5"/>
  <c r="L109" i="5"/>
  <c r="L111" i="5" s="1"/>
  <c r="L113" i="5" s="1"/>
  <c r="L123" i="5" s="1"/>
  <c r="ES186" i="5"/>
  <c r="ES187" i="5" s="1"/>
  <c r="ES188" i="5" s="1"/>
  <c r="BG127" i="2"/>
  <c r="DB209" i="3"/>
  <c r="DB267" i="3"/>
  <c r="BP124" i="3"/>
  <c r="Z127" i="2"/>
  <c r="CK133" i="2"/>
  <c r="BC138" i="2"/>
  <c r="BC139" i="2" s="1"/>
  <c r="BC137" i="2"/>
  <c r="CX137" i="2"/>
  <c r="CX138" i="2" s="1"/>
  <c r="CX139" i="2" s="1"/>
  <c r="ES209" i="3"/>
  <c r="ES267" i="3"/>
  <c r="EZ137" i="2"/>
  <c r="EZ138" i="2"/>
  <c r="EZ139" i="2" s="1"/>
  <c r="DW108" i="2"/>
  <c r="DW111" i="2"/>
  <c r="CN111" i="2"/>
  <c r="CN108" i="2"/>
  <c r="CF108" i="2"/>
  <c r="CF111" i="2"/>
  <c r="EO111" i="2"/>
  <c r="EO108" i="2"/>
  <c r="CH111" i="2"/>
  <c r="CH108" i="2"/>
  <c r="O108" i="2"/>
  <c r="O111" i="2"/>
  <c r="FC111" i="2"/>
  <c r="FC108" i="2"/>
  <c r="CJ108" i="2"/>
  <c r="CJ111" i="2"/>
  <c r="E108" i="2"/>
  <c r="E111" i="2"/>
  <c r="ES108" i="2"/>
  <c r="ES111" i="2"/>
  <c r="FQ209" i="5"/>
  <c r="FQ267" i="5"/>
  <c r="BQ186" i="3"/>
  <c r="BQ187" i="3" s="1"/>
  <c r="BQ188" i="3"/>
  <c r="AP193" i="3"/>
  <c r="AP197" i="3" s="1"/>
  <c r="AP199" i="3" s="1"/>
  <c r="AP195" i="3"/>
  <c r="AP200" i="3"/>
  <c r="AD137" i="2"/>
  <c r="AD138" i="2" s="1"/>
  <c r="AD139" i="2" s="1"/>
  <c r="AO137" i="2"/>
  <c r="AO138" i="2" s="1"/>
  <c r="AO139" i="2" s="1"/>
  <c r="BS146" i="3"/>
  <c r="BS148" i="3" s="1"/>
  <c r="BS200" i="3"/>
  <c r="BS193" i="3"/>
  <c r="BS197" i="3" s="1"/>
  <c r="BS199" i="3" s="1"/>
  <c r="BS337" i="3" s="1"/>
  <c r="BS195" i="3"/>
  <c r="DY209" i="3"/>
  <c r="DY267" i="3"/>
  <c r="DM197" i="3"/>
  <c r="DM199" i="3"/>
  <c r="DM200" i="3"/>
  <c r="DM201" i="3"/>
  <c r="DM229" i="3" s="1"/>
  <c r="DM193" i="3"/>
  <c r="DM195" i="3"/>
  <c r="AY124" i="3"/>
  <c r="W113" i="3"/>
  <c r="W123" i="3" s="1"/>
  <c r="W124" i="3" s="1"/>
  <c r="Q124" i="5"/>
  <c r="FW113" i="3"/>
  <c r="FW123" i="3" s="1"/>
  <c r="FW124" i="3" s="1"/>
  <c r="CV267" i="5"/>
  <c r="CV209" i="5"/>
  <c r="CD113" i="5"/>
  <c r="CD123" i="5" s="1"/>
  <c r="CD124" i="5" s="1"/>
  <c r="EF162" i="3"/>
  <c r="T120" i="2"/>
  <c r="T121" i="2" s="1"/>
  <c r="T86" i="2"/>
  <c r="T102" i="2"/>
  <c r="T103" i="2" s="1"/>
  <c r="T95" i="2"/>
  <c r="T98" i="2" s="1"/>
  <c r="T139" i="2"/>
  <c r="T127" i="2"/>
  <c r="T133" i="2"/>
  <c r="FH120" i="2"/>
  <c r="FH121" i="2" s="1"/>
  <c r="FH86" i="2"/>
  <c r="FH102" i="2"/>
  <c r="FH103" i="2" s="1"/>
  <c r="FH95" i="2"/>
  <c r="FH98" i="2" s="1"/>
  <c r="FH139" i="2"/>
  <c r="FH127" i="2"/>
  <c r="FH133" i="2"/>
  <c r="DY120" i="2"/>
  <c r="DY121" i="2" s="1"/>
  <c r="DY86" i="2"/>
  <c r="DY102" i="2"/>
  <c r="DY103" i="2" s="1"/>
  <c r="DY95" i="2"/>
  <c r="DY98" i="2" s="1"/>
  <c r="CE120" i="2"/>
  <c r="CE121" i="2" s="1"/>
  <c r="CE86" i="2"/>
  <c r="CE102" i="2"/>
  <c r="CE103" i="2" s="1"/>
  <c r="CE95" i="2"/>
  <c r="CE98" i="2" s="1"/>
  <c r="AV120" i="2"/>
  <c r="AV121" i="2" s="1"/>
  <c r="AV102" i="2"/>
  <c r="AV103" i="2" s="1"/>
  <c r="AV95" i="2"/>
  <c r="AV98" i="2" s="1"/>
  <c r="AV86" i="2"/>
  <c r="AV139" i="2"/>
  <c r="AH120" i="2"/>
  <c r="AH121" i="2" s="1"/>
  <c r="AH86" i="2"/>
  <c r="AH102" i="2"/>
  <c r="AH103" i="2" s="1"/>
  <c r="AH95" i="2"/>
  <c r="AH98" i="2" s="1"/>
  <c r="AH139" i="2"/>
  <c r="DE120" i="2"/>
  <c r="DE121" i="2" s="1"/>
  <c r="DE102" i="2"/>
  <c r="DE103" i="2" s="1"/>
  <c r="DE95" i="2"/>
  <c r="DE98" i="2" s="1"/>
  <c r="DE86" i="2"/>
  <c r="DE139" i="2"/>
  <c r="CH120" i="2"/>
  <c r="CH121" i="2" s="1"/>
  <c r="CH102" i="2"/>
  <c r="CH103" i="2" s="1"/>
  <c r="CH86" i="2"/>
  <c r="CH95" i="2"/>
  <c r="CH98" i="2" s="1"/>
  <c r="AY120" i="2"/>
  <c r="AY121" i="2" s="1"/>
  <c r="AY95" i="2"/>
  <c r="AY98" i="2" s="1"/>
  <c r="AY86" i="2"/>
  <c r="AY102" i="2"/>
  <c r="AY103" i="2" s="1"/>
  <c r="P120" i="2"/>
  <c r="P121" i="2" s="1"/>
  <c r="P95" i="2"/>
  <c r="P98" i="2" s="1"/>
  <c r="P86" i="2"/>
  <c r="P102" i="2"/>
  <c r="P103" i="2" s="1"/>
  <c r="FD120" i="2"/>
  <c r="FD121" i="2" s="1"/>
  <c r="FD95" i="2"/>
  <c r="FD98" i="2" s="1"/>
  <c r="FD86" i="2"/>
  <c r="FD102" i="2"/>
  <c r="FD103" i="2" s="1"/>
  <c r="FD139" i="2"/>
  <c r="CW120" i="2"/>
  <c r="CW121" i="2" s="1"/>
  <c r="CW95" i="2"/>
  <c r="CW98" i="2" s="1"/>
  <c r="CW86" i="2"/>
  <c r="CW102" i="2"/>
  <c r="CW103" i="2" s="1"/>
  <c r="BN120" i="2"/>
  <c r="BN121" i="2" s="1"/>
  <c r="BN95" i="2"/>
  <c r="BN98" i="2" s="1"/>
  <c r="BN86" i="2"/>
  <c r="BN102" i="2"/>
  <c r="BN103" i="2" s="1"/>
  <c r="CP120" i="2"/>
  <c r="CP121" i="2" s="1"/>
  <c r="CP95" i="2"/>
  <c r="CP98" i="2" s="1"/>
  <c r="CP86" i="2"/>
  <c r="CP102" i="2"/>
  <c r="CP103" i="2" s="1"/>
  <c r="DK95" i="2"/>
  <c r="DK98" i="2" s="1"/>
  <c r="DK86" i="2"/>
  <c r="DK102" i="2"/>
  <c r="DK103" i="2" s="1"/>
  <c r="DK120" i="2"/>
  <c r="DK121" i="2" s="1"/>
  <c r="DK139" i="2"/>
  <c r="AT128" i="5"/>
  <c r="EP209" i="5"/>
  <c r="EP267" i="5"/>
  <c r="BX193" i="3"/>
  <c r="BX195" i="3"/>
  <c r="BX197" i="3"/>
  <c r="BX199" i="3"/>
  <c r="BX200" i="3"/>
  <c r="BX201" i="3"/>
  <c r="BX229" i="3" s="1"/>
  <c r="BJ188" i="3"/>
  <c r="BJ186" i="3"/>
  <c r="BJ187" i="3" s="1"/>
  <c r="CT313" i="5"/>
  <c r="CT174" i="5"/>
  <c r="CT177" i="5"/>
  <c r="DY127" i="2"/>
  <c r="EK267" i="3"/>
  <c r="EK209" i="3"/>
  <c r="CC186" i="3"/>
  <c r="CC187" i="3" s="1"/>
  <c r="CC188" i="3"/>
  <c r="AN137" i="2"/>
  <c r="AN138" i="2"/>
  <c r="CX186" i="3"/>
  <c r="CX187" i="3" s="1"/>
  <c r="CX188" i="3" s="1"/>
  <c r="DQ124" i="3"/>
  <c r="BI267" i="3"/>
  <c r="BI209" i="3"/>
  <c r="DK124" i="3"/>
  <c r="ER137" i="2"/>
  <c r="ER138" i="2"/>
  <c r="ER139" i="2" s="1"/>
  <c r="EH146" i="3"/>
  <c r="EH148" i="3" s="1"/>
  <c r="EH209" i="3"/>
  <c r="EH267" i="3"/>
  <c r="DD137" i="2"/>
  <c r="DD138" i="2"/>
  <c r="DD139" i="2" s="1"/>
  <c r="FL188" i="5"/>
  <c r="FL186" i="5"/>
  <c r="FL187" i="5" s="1"/>
  <c r="EX313" i="5"/>
  <c r="EX174" i="5"/>
  <c r="EX182" i="5" s="1"/>
  <c r="EX226" i="5" s="1"/>
  <c r="EX177" i="5"/>
  <c r="F313" i="5"/>
  <c r="F174" i="5"/>
  <c r="F177" i="5"/>
  <c r="BB124" i="5"/>
  <c r="DC113" i="5"/>
  <c r="DC123" i="5" s="1"/>
  <c r="DC124" i="5" s="1"/>
  <c r="FG124" i="3"/>
  <c r="DN133" i="2"/>
  <c r="BZ267" i="5"/>
  <c r="BZ209" i="5"/>
  <c r="AS209" i="3"/>
  <c r="AS267" i="3"/>
  <c r="CR227" i="5"/>
  <c r="DT113" i="5"/>
  <c r="DT123" i="5" s="1"/>
  <c r="DT124" i="5" s="1"/>
  <c r="M188" i="3"/>
  <c r="M186" i="3"/>
  <c r="M187" i="3" s="1"/>
  <c r="EB200" i="3"/>
  <c r="EB195" i="3"/>
  <c r="FD313" i="5"/>
  <c r="FD174" i="5"/>
  <c r="FD177" i="5"/>
  <c r="DZ197" i="3"/>
  <c r="DZ199" i="3"/>
  <c r="DZ200" i="3"/>
  <c r="DZ201" i="3"/>
  <c r="DZ229" i="3" s="1"/>
  <c r="DZ193" i="3"/>
  <c r="DZ195" i="3"/>
  <c r="CZ162" i="3"/>
  <c r="FG138" i="2"/>
  <c r="FG139" i="2" s="1"/>
  <c r="FG137" i="2"/>
  <c r="EG127" i="2"/>
  <c r="FF128" i="3"/>
  <c r="FR193" i="3"/>
  <c r="FR195" i="3"/>
  <c r="FR197" i="3"/>
  <c r="FR199" i="3"/>
  <c r="FR200" i="3"/>
  <c r="FR201" i="3"/>
  <c r="FR229" i="3" s="1"/>
  <c r="CH186" i="5"/>
  <c r="CH187" i="5" s="1"/>
  <c r="CH188" i="5"/>
  <c r="BS127" i="2"/>
  <c r="BT313" i="5"/>
  <c r="BT174" i="5"/>
  <c r="BT177" i="5"/>
  <c r="CY313" i="5"/>
  <c r="CY174" i="5"/>
  <c r="CY182" i="5" s="1"/>
  <c r="CY226" i="5" s="1"/>
  <c r="CY177" i="5"/>
  <c r="EL186" i="5"/>
  <c r="EL187" i="5" s="1"/>
  <c r="EL188" i="5"/>
  <c r="EQ219" i="5"/>
  <c r="EQ228" i="5" s="1"/>
  <c r="EX137" i="2"/>
  <c r="EX138" i="2" s="1"/>
  <c r="EX139" i="2" s="1"/>
  <c r="AH186" i="5"/>
  <c r="AH187" i="5" s="1"/>
  <c r="AH188" i="5" s="1"/>
  <c r="BN313" i="5"/>
  <c r="BN174" i="5"/>
  <c r="BN177" i="5"/>
  <c r="DW133" i="2"/>
  <c r="FE193" i="3"/>
  <c r="FE195" i="3"/>
  <c r="FE197" i="3"/>
  <c r="FE199" i="3"/>
  <c r="FE200" i="3"/>
  <c r="FE201" i="3"/>
  <c r="FE229" i="3" s="1"/>
  <c r="BQ267" i="5"/>
  <c r="BQ209" i="5"/>
  <c r="FO195" i="3"/>
  <c r="FO200" i="3"/>
  <c r="AW200" i="3"/>
  <c r="AW201" i="3"/>
  <c r="AW229" i="3" s="1"/>
  <c r="AW193" i="3"/>
  <c r="AW195" i="3"/>
  <c r="AW197" i="3"/>
  <c r="AW199" i="3"/>
  <c r="DP200" i="3"/>
  <c r="DP201" i="3"/>
  <c r="DP229" i="3" s="1"/>
  <c r="DP193" i="3"/>
  <c r="DP195" i="3"/>
  <c r="DP197" i="3"/>
  <c r="DP199" i="3"/>
  <c r="DS207" i="5"/>
  <c r="DS184" i="5"/>
  <c r="DS191" i="5"/>
  <c r="DS150" i="5"/>
  <c r="DS115" i="5"/>
  <c r="DS122" i="5" s="1"/>
  <c r="DS104" i="5"/>
  <c r="DS112" i="5"/>
  <c r="DS109" i="5"/>
  <c r="DS111" i="5" s="1"/>
  <c r="P124" i="3"/>
  <c r="CA186" i="3"/>
  <c r="CA187" i="3" s="1"/>
  <c r="CA188" i="3" s="1"/>
  <c r="DM186" i="5"/>
  <c r="DM187" i="5" s="1"/>
  <c r="DM188" i="5" s="1"/>
  <c r="FP137" i="2"/>
  <c r="FP138" i="2"/>
  <c r="FP139" i="2" s="1"/>
  <c r="S133" i="2"/>
  <c r="BN193" i="3"/>
  <c r="BN197" i="3" s="1"/>
  <c r="BN199" i="3" s="1"/>
  <c r="BN337" i="3" s="1"/>
  <c r="BN195" i="3"/>
  <c r="BN200" i="3"/>
  <c r="EK127" i="2"/>
  <c r="FW133" i="2"/>
  <c r="X209" i="5"/>
  <c r="X267" i="5"/>
  <c r="AG186" i="5"/>
  <c r="AG187" i="5" s="1"/>
  <c r="AG188" i="5" s="1"/>
  <c r="DI209" i="5"/>
  <c r="DI267" i="5"/>
  <c r="K133" i="2"/>
  <c r="FJ186" i="5"/>
  <c r="FJ187" i="5" s="1"/>
  <c r="FJ188" i="5" s="1"/>
  <c r="DR186" i="5"/>
  <c r="DR187" i="5" s="1"/>
  <c r="DR188" i="5"/>
  <c r="D137" i="2"/>
  <c r="D138" i="2"/>
  <c r="AF209" i="5"/>
  <c r="AF267" i="5"/>
  <c r="BA186" i="3"/>
  <c r="BA187" i="3" s="1"/>
  <c r="BA188" i="3"/>
  <c r="Y186" i="5"/>
  <c r="Y187" i="5" s="1"/>
  <c r="Y188" i="5" s="1"/>
  <c r="DG124" i="5"/>
  <c r="BA127" i="2"/>
  <c r="FQ127" i="2"/>
  <c r="FL209" i="3"/>
  <c r="FL267" i="3"/>
  <c r="EV124" i="5"/>
  <c r="CA137" i="2"/>
  <c r="CA138" i="2" s="1"/>
  <c r="CA139" i="2" s="1"/>
  <c r="CO188" i="5"/>
  <c r="CO186" i="5"/>
  <c r="CO187" i="5" s="1"/>
  <c r="BX113" i="5"/>
  <c r="BX123" i="5" s="1"/>
  <c r="BX124" i="5" s="1"/>
  <c r="EN200" i="3"/>
  <c r="EN193" i="3"/>
  <c r="EN197" i="3" s="1"/>
  <c r="EN199" i="3" s="1"/>
  <c r="EN337" i="3" s="1"/>
  <c r="EN195" i="3"/>
  <c r="CR215" i="3"/>
  <c r="CR219" i="3" s="1"/>
  <c r="CR228" i="3" s="1"/>
  <c r="CR173" i="3"/>
  <c r="J215" i="3"/>
  <c r="J219" i="3" s="1"/>
  <c r="J228" i="3" s="1"/>
  <c r="J173" i="3"/>
  <c r="EX215" i="3"/>
  <c r="EX219" i="3" s="1"/>
  <c r="EX228" i="3" s="1"/>
  <c r="EX173" i="3"/>
  <c r="DO215" i="3"/>
  <c r="DO219" i="3" s="1"/>
  <c r="DO228" i="3" s="1"/>
  <c r="DO173" i="3"/>
  <c r="CG215" i="3"/>
  <c r="CG219" i="3" s="1"/>
  <c r="CG228" i="3" s="1"/>
  <c r="CG173" i="3"/>
  <c r="AX215" i="3"/>
  <c r="AX219" i="3" s="1"/>
  <c r="AX228" i="3" s="1"/>
  <c r="AX173" i="3"/>
  <c r="AA215" i="3"/>
  <c r="AA219" i="3" s="1"/>
  <c r="AA228" i="3" s="1"/>
  <c r="AA173" i="3"/>
  <c r="FO215" i="3"/>
  <c r="FO219" i="3" s="1"/>
  <c r="FO228" i="3" s="1"/>
  <c r="FO173" i="3"/>
  <c r="EF215" i="3"/>
  <c r="EF219" i="3" s="1"/>
  <c r="EF228" i="3" s="1"/>
  <c r="EF173" i="3"/>
  <c r="CW215" i="3"/>
  <c r="CW219" i="3" s="1"/>
  <c r="CW228" i="3" s="1"/>
  <c r="CW173" i="3"/>
  <c r="BN215" i="3"/>
  <c r="BN219" i="3" s="1"/>
  <c r="BN228" i="3" s="1"/>
  <c r="BN173" i="3"/>
  <c r="AE215" i="3"/>
  <c r="AE219" i="3" s="1"/>
  <c r="AE228" i="3" s="1"/>
  <c r="AE173" i="3"/>
  <c r="FS215" i="3"/>
  <c r="FS219" i="3" s="1"/>
  <c r="FS228" i="3" s="1"/>
  <c r="FS173" i="3"/>
  <c r="EJ215" i="3"/>
  <c r="EJ219" i="3" s="1"/>
  <c r="EJ228" i="3" s="1"/>
  <c r="EJ173" i="3"/>
  <c r="DA215" i="3"/>
  <c r="DA219" i="3" s="1"/>
  <c r="DA228" i="3" s="1"/>
  <c r="DA173" i="3"/>
  <c r="DB313" i="5"/>
  <c r="DB174" i="5"/>
  <c r="DB182" i="5" s="1"/>
  <c r="DB226" i="5" s="1"/>
  <c r="DB177" i="5"/>
  <c r="EG313" i="5"/>
  <c r="EG174" i="5"/>
  <c r="EG177" i="5"/>
  <c r="V113" i="3"/>
  <c r="V123" i="3" s="1"/>
  <c r="V209" i="3"/>
  <c r="V267" i="3"/>
  <c r="EX146" i="3"/>
  <c r="EX148" i="3" s="1"/>
  <c r="EX209" i="3"/>
  <c r="EX267" i="3"/>
  <c r="AR124" i="3"/>
  <c r="Q113" i="3"/>
  <c r="Q123" i="3" s="1"/>
  <c r="Q124" i="3" s="1"/>
  <c r="Q209" i="3"/>
  <c r="Q267" i="3"/>
  <c r="CV137" i="2"/>
  <c r="CV138" i="2" s="1"/>
  <c r="CV139" i="2" s="1"/>
  <c r="EO127" i="2"/>
  <c r="EK137" i="2"/>
  <c r="EK138" i="2" s="1"/>
  <c r="EK139" i="2" s="1"/>
  <c r="BT209" i="3"/>
  <c r="BT267" i="3"/>
  <c r="AG197" i="3"/>
  <c r="AG199" i="3"/>
  <c r="AG200" i="3"/>
  <c r="AG201" i="3"/>
  <c r="AG229" i="3" s="1"/>
  <c r="AG193" i="3"/>
  <c r="AG195" i="3"/>
  <c r="ET186" i="5"/>
  <c r="ET187" i="5" s="1"/>
  <c r="ET188" i="5" s="1"/>
  <c r="CG137" i="2"/>
  <c r="CG138" i="2" s="1"/>
  <c r="CG139" i="2" s="1"/>
  <c r="H209" i="5"/>
  <c r="H267" i="5"/>
  <c r="FD186" i="5"/>
  <c r="FD187" i="5" s="1"/>
  <c r="FD188" i="5" s="1"/>
  <c r="AZ133" i="2"/>
  <c r="AB186" i="3"/>
  <c r="AB187" i="3" s="1"/>
  <c r="AB188" i="3"/>
  <c r="DL146" i="3"/>
  <c r="DL148" i="3" s="1"/>
  <c r="DL209" i="3"/>
  <c r="DL267" i="3"/>
  <c r="DE133" i="2"/>
  <c r="FI186" i="3"/>
  <c r="FI187" i="3" s="1"/>
  <c r="FI188" i="3"/>
  <c r="CH127" i="2"/>
  <c r="BV186" i="3"/>
  <c r="BV187" i="3" s="1"/>
  <c r="BV188" i="3" s="1"/>
  <c r="DE186" i="5"/>
  <c r="DE187" i="5" s="1"/>
  <c r="DE188" i="5" s="1"/>
  <c r="FR124" i="5"/>
  <c r="V209" i="5"/>
  <c r="V267" i="5"/>
  <c r="D188" i="5"/>
  <c r="D186" i="5"/>
  <c r="D187" i="5" s="1"/>
  <c r="DI162" i="3"/>
  <c r="AP133" i="2"/>
  <c r="BB133" i="2"/>
  <c r="CY133" i="2"/>
  <c r="Q138" i="2"/>
  <c r="Q139" i="2" s="1"/>
  <c r="Q137" i="2"/>
  <c r="BX133" i="2"/>
  <c r="BD188" i="5"/>
  <c r="BD186" i="5"/>
  <c r="BD187" i="5" s="1"/>
  <c r="FJ162" i="3" l="1"/>
  <c r="AJ154" i="3"/>
  <c r="AJ156" i="3" s="1"/>
  <c r="AJ158" i="3" s="1"/>
  <c r="AB154" i="3"/>
  <c r="AB156" i="3" s="1"/>
  <c r="AB158" i="3" s="1"/>
  <c r="FZ174" i="5"/>
  <c r="AY128" i="5"/>
  <c r="H2" i="1" a="1"/>
  <c r="H2" i="1" s="1"/>
  <c r="H5" i="1" s="1"/>
  <c r="FA162" i="3"/>
  <c r="FD154" i="3"/>
  <c r="FD156" i="3" s="1"/>
  <c r="FD158" i="3" s="1"/>
  <c r="CX158" i="3"/>
  <c r="AN154" i="3"/>
  <c r="AN156" i="3" s="1"/>
  <c r="AN158" i="3" s="1"/>
  <c r="T154" i="3"/>
  <c r="T156" i="3" s="1"/>
  <c r="T158" i="3" s="1"/>
  <c r="EQ154" i="3"/>
  <c r="EQ156" i="3" s="1"/>
  <c r="EQ158" i="3" s="1"/>
  <c r="BD162" i="3"/>
  <c r="AL162" i="3"/>
  <c r="AL154" i="3"/>
  <c r="AL156" i="3" s="1"/>
  <c r="AL158" i="3" s="1"/>
  <c r="CK154" i="3"/>
  <c r="CK156" i="3" s="1"/>
  <c r="CK158" i="3" s="1"/>
  <c r="AI162" i="3"/>
  <c r="AM128" i="5"/>
  <c r="FO128" i="5"/>
  <c r="AA128" i="5"/>
  <c r="BK197" i="3"/>
  <c r="BK199" i="3" s="1"/>
  <c r="BK337" i="3" s="1"/>
  <c r="FV197" i="3"/>
  <c r="FV199" i="3" s="1"/>
  <c r="FV337" i="3" s="1"/>
  <c r="FC162" i="3"/>
  <c r="BM162" i="3"/>
  <c r="BM154" i="3"/>
  <c r="BM156" i="3" s="1"/>
  <c r="BM158" i="3" s="1"/>
  <c r="AP167" i="5"/>
  <c r="AP168" i="5" s="1"/>
  <c r="AP169" i="5" s="1"/>
  <c r="AP225" i="5" s="1"/>
  <c r="AP128" i="5"/>
  <c r="CD167" i="5"/>
  <c r="CD168" i="5" s="1"/>
  <c r="CD169" i="5" s="1"/>
  <c r="CD225" i="5" s="1"/>
  <c r="CD128" i="5"/>
  <c r="CD150" i="5"/>
  <c r="CD162" i="5" s="1"/>
  <c r="I337" i="3"/>
  <c r="I201" i="3"/>
  <c r="EV167" i="3"/>
  <c r="EV168" i="3" s="1"/>
  <c r="EV169" i="3" s="1"/>
  <c r="EV225" i="3" s="1"/>
  <c r="EV150" i="3"/>
  <c r="EV128" i="3"/>
  <c r="CW167" i="5"/>
  <c r="CW168" i="5" s="1"/>
  <c r="CW169" i="5" s="1"/>
  <c r="CW225" i="5" s="1"/>
  <c r="CW227" i="5" s="1"/>
  <c r="CW128" i="5"/>
  <c r="CW150" i="5"/>
  <c r="CW162" i="5" s="1"/>
  <c r="ED167" i="3"/>
  <c r="ED168" i="3" s="1"/>
  <c r="ED169" i="3" s="1"/>
  <c r="ED225" i="3" s="1"/>
  <c r="ED128" i="3"/>
  <c r="ED152" i="3"/>
  <c r="EB167" i="3"/>
  <c r="EB168" i="3" s="1"/>
  <c r="EB169" i="3" s="1"/>
  <c r="EB225" i="3" s="1"/>
  <c r="EB128" i="3"/>
  <c r="EB156" i="3"/>
  <c r="EB158" i="3" s="1"/>
  <c r="EB193" i="3"/>
  <c r="EB197" i="3" s="1"/>
  <c r="EB199" i="3" s="1"/>
  <c r="AA167" i="3"/>
  <c r="AA168" i="3" s="1"/>
  <c r="AA169" i="3" s="1"/>
  <c r="AA225" i="3" s="1"/>
  <c r="AA152" i="3"/>
  <c r="AA128" i="3"/>
  <c r="DC167" i="3"/>
  <c r="DC168" i="3" s="1"/>
  <c r="DC169" i="3" s="1"/>
  <c r="DC225" i="3" s="1"/>
  <c r="DC150" i="3"/>
  <c r="DC162" i="3" s="1"/>
  <c r="DC128" i="3"/>
  <c r="FX167" i="5"/>
  <c r="FX168" i="5" s="1"/>
  <c r="FX169" i="5" s="1"/>
  <c r="FX225" i="5" s="1"/>
  <c r="FX128" i="5"/>
  <c r="FX150" i="5"/>
  <c r="FX162" i="5" s="1"/>
  <c r="EP167" i="3"/>
  <c r="EP168" i="3" s="1"/>
  <c r="EP169" i="3" s="1"/>
  <c r="EP225" i="3" s="1"/>
  <c r="EP128" i="3"/>
  <c r="EP150" i="3"/>
  <c r="EP162" i="3" s="1"/>
  <c r="CC167" i="5"/>
  <c r="CC168" i="5" s="1"/>
  <c r="CC169" i="5" s="1"/>
  <c r="CC225" i="5" s="1"/>
  <c r="CC227" i="5" s="1"/>
  <c r="CC128" i="5"/>
  <c r="CC150" i="5"/>
  <c r="CC162" i="5" s="1"/>
  <c r="N167" i="3"/>
  <c r="N168" i="3" s="1"/>
  <c r="N169" i="3" s="1"/>
  <c r="N225" i="3" s="1"/>
  <c r="N128" i="3"/>
  <c r="N152" i="3"/>
  <c r="CM167" i="3"/>
  <c r="CM168" i="3" s="1"/>
  <c r="CM169" i="3" s="1"/>
  <c r="CM225" i="3" s="1"/>
  <c r="CM156" i="3"/>
  <c r="CM158" i="3" s="1"/>
  <c r="CM128" i="3"/>
  <c r="CM193" i="3"/>
  <c r="CM197" i="3" s="1"/>
  <c r="CM199" i="3" s="1"/>
  <c r="FW167" i="5"/>
  <c r="FW168" i="5" s="1"/>
  <c r="FW169" i="5" s="1"/>
  <c r="FW225" i="5" s="1"/>
  <c r="FW227" i="5" s="1"/>
  <c r="FW128" i="5"/>
  <c r="FW150" i="5"/>
  <c r="FW162" i="5" s="1"/>
  <c r="BF167" i="3"/>
  <c r="BF168" i="3" s="1"/>
  <c r="BF169" i="3" s="1"/>
  <c r="BF225" i="3" s="1"/>
  <c r="BF152" i="3"/>
  <c r="BF128" i="3"/>
  <c r="CZ337" i="3"/>
  <c r="CZ201" i="3"/>
  <c r="FL167" i="5"/>
  <c r="FL168" i="5" s="1"/>
  <c r="FL169" i="5" s="1"/>
  <c r="FL225" i="5" s="1"/>
  <c r="FL227" i="5" s="1"/>
  <c r="FL128" i="5"/>
  <c r="FR167" i="3"/>
  <c r="FR168" i="3" s="1"/>
  <c r="FR169" i="3" s="1"/>
  <c r="FR225" i="3" s="1"/>
  <c r="FR128" i="3"/>
  <c r="FR150" i="3"/>
  <c r="FR162" i="3" s="1"/>
  <c r="CX337" i="3"/>
  <c r="CX201" i="3"/>
  <c r="FN337" i="3"/>
  <c r="FN201" i="3"/>
  <c r="FW167" i="3"/>
  <c r="FW168" i="3" s="1"/>
  <c r="FW169" i="3" s="1"/>
  <c r="FW225" i="3" s="1"/>
  <c r="FW150" i="3"/>
  <c r="FW128" i="3"/>
  <c r="FK167" i="3"/>
  <c r="FK168" i="3" s="1"/>
  <c r="FK169" i="3" s="1"/>
  <c r="FK225" i="3" s="1"/>
  <c r="FK128" i="3"/>
  <c r="FK156" i="3"/>
  <c r="FK158" i="3" s="1"/>
  <c r="FK193" i="3"/>
  <c r="FK197" i="3" s="1"/>
  <c r="FK199" i="3" s="1"/>
  <c r="BX167" i="5"/>
  <c r="BX168" i="5" s="1"/>
  <c r="BX169" i="5" s="1"/>
  <c r="BX225" i="5" s="1"/>
  <c r="BX150" i="5"/>
  <c r="BX162" i="5" s="1"/>
  <c r="BX128" i="5"/>
  <c r="FO337" i="3"/>
  <c r="FO201" i="3"/>
  <c r="DS337" i="3"/>
  <c r="DS201" i="3"/>
  <c r="BA337" i="3"/>
  <c r="BA201" i="3"/>
  <c r="FM167" i="5"/>
  <c r="FM168" i="5" s="1"/>
  <c r="FM169" i="5" s="1"/>
  <c r="FM225" i="5" s="1"/>
  <c r="FM128" i="5"/>
  <c r="CV167" i="3"/>
  <c r="CV168" i="3" s="1"/>
  <c r="CV169" i="3" s="1"/>
  <c r="CV225" i="3" s="1"/>
  <c r="CV128" i="3"/>
  <c r="CV150" i="3"/>
  <c r="CV162" i="3" s="1"/>
  <c r="AX167" i="3"/>
  <c r="AX168" i="3" s="1"/>
  <c r="AX169" i="3" s="1"/>
  <c r="AX225" i="3" s="1"/>
  <c r="AX128" i="3"/>
  <c r="AX150" i="3"/>
  <c r="AO337" i="3"/>
  <c r="AO201" i="3"/>
  <c r="DO337" i="3"/>
  <c r="DO201" i="3"/>
  <c r="DI167" i="3"/>
  <c r="DI168" i="3" s="1"/>
  <c r="DI169" i="3" s="1"/>
  <c r="DI225" i="3" s="1"/>
  <c r="DI128" i="3"/>
  <c r="DI156" i="3"/>
  <c r="DI158" i="3" s="1"/>
  <c r="DI193" i="3"/>
  <c r="DI197" i="3" s="1"/>
  <c r="DI199" i="3" s="1"/>
  <c r="Z167" i="5"/>
  <c r="Z168" i="5" s="1"/>
  <c r="Z169" i="5" s="1"/>
  <c r="Z225" i="5" s="1"/>
  <c r="Z150" i="5"/>
  <c r="Z162" i="5" s="1"/>
  <c r="Z128" i="5"/>
  <c r="BS167" i="5"/>
  <c r="BS168" i="5" s="1"/>
  <c r="BS169" i="5" s="1"/>
  <c r="BS225" i="5" s="1"/>
  <c r="BS128" i="5"/>
  <c r="G167" i="5"/>
  <c r="G168" i="5" s="1"/>
  <c r="G169" i="5" s="1"/>
  <c r="G225" i="5" s="1"/>
  <c r="G128" i="5"/>
  <c r="CB167" i="5"/>
  <c r="CB168" i="5" s="1"/>
  <c r="CB169" i="5" s="1"/>
  <c r="CB225" i="5" s="1"/>
  <c r="CB128" i="5"/>
  <c r="Y167" i="3"/>
  <c r="Y168" i="3" s="1"/>
  <c r="Y169" i="3" s="1"/>
  <c r="Y225" i="3" s="1"/>
  <c r="Y128" i="3"/>
  <c r="Y156" i="3"/>
  <c r="Y158" i="3" s="1"/>
  <c r="Y193" i="3"/>
  <c r="Y197" i="3" s="1"/>
  <c r="Y199" i="3" s="1"/>
  <c r="BG337" i="3"/>
  <c r="BG201" i="3"/>
  <c r="CQ167" i="5"/>
  <c r="CQ168" i="5" s="1"/>
  <c r="CQ169" i="5" s="1"/>
  <c r="CQ225" i="5" s="1"/>
  <c r="CQ227" i="5" s="1"/>
  <c r="CQ128" i="5"/>
  <c r="DO167" i="5"/>
  <c r="DO168" i="5" s="1"/>
  <c r="DO169" i="5" s="1"/>
  <c r="DO225" i="5" s="1"/>
  <c r="DO128" i="5"/>
  <c r="DC167" i="5"/>
  <c r="DC168" i="5" s="1"/>
  <c r="DC169" i="5" s="1"/>
  <c r="DC225" i="5" s="1"/>
  <c r="DC227" i="5" s="1"/>
  <c r="DC150" i="5"/>
  <c r="DC162" i="5" s="1"/>
  <c r="DC128" i="5"/>
  <c r="W167" i="3"/>
  <c r="W168" i="3" s="1"/>
  <c r="W169" i="3" s="1"/>
  <c r="W225" i="3" s="1"/>
  <c r="W128" i="3"/>
  <c r="W150" i="3"/>
  <c r="DR167" i="3"/>
  <c r="DR168" i="3" s="1"/>
  <c r="DR169" i="3" s="1"/>
  <c r="DR225" i="3" s="1"/>
  <c r="DR128" i="3"/>
  <c r="DR156" i="3"/>
  <c r="DR158" i="3" s="1"/>
  <c r="DR193" i="3"/>
  <c r="DR197" i="3" s="1"/>
  <c r="DR199" i="3" s="1"/>
  <c r="EF337" i="3"/>
  <c r="EF201" i="3"/>
  <c r="AL167" i="5"/>
  <c r="AL168" i="5" s="1"/>
  <c r="AL169" i="5" s="1"/>
  <c r="AL225" i="5" s="1"/>
  <c r="AL150" i="5"/>
  <c r="AL162" i="5" s="1"/>
  <c r="AL128" i="5"/>
  <c r="EG167" i="5"/>
  <c r="EG168" i="5" s="1"/>
  <c r="EG169" i="5" s="1"/>
  <c r="EG225" i="5" s="1"/>
  <c r="EG128" i="5"/>
  <c r="EG150" i="5"/>
  <c r="EG162" i="5" s="1"/>
  <c r="E337" i="3"/>
  <c r="E201" i="3"/>
  <c r="AK167" i="5"/>
  <c r="AK168" i="5" s="1"/>
  <c r="AK169" i="5" s="1"/>
  <c r="AK225" i="5" s="1"/>
  <c r="AK128" i="5"/>
  <c r="AK150" i="5"/>
  <c r="AK162" i="5" s="1"/>
  <c r="EH167" i="3"/>
  <c r="EH168" i="3" s="1"/>
  <c r="EH169" i="3" s="1"/>
  <c r="EH225" i="3" s="1"/>
  <c r="EH128" i="3"/>
  <c r="EH150" i="3"/>
  <c r="D167" i="3"/>
  <c r="D168" i="3" s="1"/>
  <c r="D169" i="3" s="1"/>
  <c r="D225" i="3" s="1"/>
  <c r="D128" i="3"/>
  <c r="D156" i="3"/>
  <c r="D158" i="3" s="1"/>
  <c r="D193" i="3"/>
  <c r="D197" i="3" s="1"/>
  <c r="D199" i="3" s="1"/>
  <c r="FI337" i="3"/>
  <c r="FI201" i="3"/>
  <c r="CB167" i="3"/>
  <c r="CB168" i="3" s="1"/>
  <c r="CB169" i="3" s="1"/>
  <c r="CB225" i="3" s="1"/>
  <c r="CB128" i="3"/>
  <c r="CB152" i="3"/>
  <c r="DU167" i="5"/>
  <c r="DU168" i="5" s="1"/>
  <c r="DU169" i="5" s="1"/>
  <c r="DU225" i="5" s="1"/>
  <c r="DU227" i="5" s="1"/>
  <c r="DU128" i="5"/>
  <c r="DU150" i="5"/>
  <c r="DU162" i="5" s="1"/>
  <c r="DW167" i="5"/>
  <c r="DW168" i="5" s="1"/>
  <c r="DW169" i="5" s="1"/>
  <c r="DW225" i="5" s="1"/>
  <c r="DW227" i="5" s="1"/>
  <c r="DW150" i="5"/>
  <c r="DW162" i="5" s="1"/>
  <c r="DW128" i="5"/>
  <c r="AM167" i="3"/>
  <c r="AM168" i="3" s="1"/>
  <c r="AM169" i="3" s="1"/>
  <c r="AM225" i="3" s="1"/>
  <c r="AM128" i="3"/>
  <c r="AM150" i="3"/>
  <c r="FQ167" i="3"/>
  <c r="FQ168" i="3" s="1"/>
  <c r="FQ169" i="3" s="1"/>
  <c r="FQ225" i="3" s="1"/>
  <c r="FQ152" i="3"/>
  <c r="FQ128" i="3"/>
  <c r="AC167" i="5"/>
  <c r="AC168" i="5" s="1"/>
  <c r="AC169" i="5" s="1"/>
  <c r="AC225" i="5" s="1"/>
  <c r="AC128" i="5"/>
  <c r="EC167" i="3"/>
  <c r="EC168" i="3" s="1"/>
  <c r="EC169" i="3" s="1"/>
  <c r="EC225" i="3" s="1"/>
  <c r="EC128" i="3"/>
  <c r="EC150" i="3"/>
  <c r="EC162" i="3" s="1"/>
  <c r="EX167" i="5"/>
  <c r="EX168" i="5" s="1"/>
  <c r="EX169" i="5" s="1"/>
  <c r="EX225" i="5" s="1"/>
  <c r="EX227" i="5" s="1"/>
  <c r="EX128" i="5"/>
  <c r="EX150" i="5"/>
  <c r="EX162" i="5" s="1"/>
  <c r="AV167" i="3"/>
  <c r="AV168" i="3" s="1"/>
  <c r="AV169" i="3" s="1"/>
  <c r="AV225" i="3" s="1"/>
  <c r="AV150" i="3"/>
  <c r="AV128" i="3"/>
  <c r="EY337" i="3"/>
  <c r="EY201" i="3"/>
  <c r="CU167" i="5"/>
  <c r="CU168" i="5" s="1"/>
  <c r="CU169" i="5" s="1"/>
  <c r="CU225" i="5" s="1"/>
  <c r="CU227" i="5" s="1"/>
  <c r="CU128" i="5"/>
  <c r="DY167" i="5"/>
  <c r="DY168" i="5" s="1"/>
  <c r="DY169" i="5" s="1"/>
  <c r="DY225" i="5" s="1"/>
  <c r="DY227" i="5" s="1"/>
  <c r="DY150" i="5"/>
  <c r="DY162" i="5" s="1"/>
  <c r="DY128" i="5"/>
  <c r="DT167" i="5"/>
  <c r="DT168" i="5" s="1"/>
  <c r="DT169" i="5" s="1"/>
  <c r="DT225" i="5" s="1"/>
  <c r="DT128" i="5"/>
  <c r="DT150" i="5"/>
  <c r="DT162" i="5" s="1"/>
  <c r="EM167" i="5"/>
  <c r="EM168" i="5" s="1"/>
  <c r="EM169" i="5" s="1"/>
  <c r="EM225" i="5" s="1"/>
  <c r="EM227" i="5" s="1"/>
  <c r="EM128" i="5"/>
  <c r="EM150" i="5"/>
  <c r="EM162" i="5" s="1"/>
  <c r="J167" i="3"/>
  <c r="J168" i="3" s="1"/>
  <c r="J169" i="3" s="1"/>
  <c r="J225" i="3" s="1"/>
  <c r="J128" i="3"/>
  <c r="J156" i="3"/>
  <c r="J158" i="3" s="1"/>
  <c r="J193" i="3"/>
  <c r="J197" i="3" s="1"/>
  <c r="J199" i="3" s="1"/>
  <c r="FU337" i="3"/>
  <c r="FU201" i="3"/>
  <c r="FX167" i="3"/>
  <c r="FX168" i="3" s="1"/>
  <c r="FX169" i="3" s="1"/>
  <c r="FX225" i="3" s="1"/>
  <c r="FX150" i="3"/>
  <c r="FX162" i="3" s="1"/>
  <c r="FX128" i="3"/>
  <c r="AP337" i="3"/>
  <c r="AP201" i="3"/>
  <c r="CI337" i="3"/>
  <c r="CI201" i="3"/>
  <c r="EU167" i="5"/>
  <c r="EU168" i="5" s="1"/>
  <c r="EU169" i="5" s="1"/>
  <c r="EU225" i="5" s="1"/>
  <c r="EU227" i="5" s="1"/>
  <c r="EU128" i="5"/>
  <c r="DN337" i="3"/>
  <c r="DN201" i="3"/>
  <c r="Q167" i="3"/>
  <c r="Q168" i="3" s="1"/>
  <c r="Q169" i="3" s="1"/>
  <c r="Q225" i="3" s="1"/>
  <c r="Q128" i="3"/>
  <c r="Q156" i="3"/>
  <c r="Q158" i="3" s="1"/>
  <c r="Q193" i="3"/>
  <c r="Q197" i="3" s="1"/>
  <c r="Q199" i="3" s="1"/>
  <c r="EW167" i="5"/>
  <c r="EW168" i="5" s="1"/>
  <c r="EW169" i="5" s="1"/>
  <c r="EW225" i="5" s="1"/>
  <c r="EW227" i="5" s="1"/>
  <c r="EW128" i="5"/>
  <c r="R198" i="3"/>
  <c r="R199" i="3"/>
  <c r="FP337" i="3"/>
  <c r="FP201" i="3"/>
  <c r="BW167" i="3"/>
  <c r="BW168" i="3" s="1"/>
  <c r="BW169" i="3" s="1"/>
  <c r="BW225" i="3" s="1"/>
  <c r="BW227" i="3" s="1"/>
  <c r="BW232" i="3" s="1"/>
  <c r="BW237" i="3" s="1"/>
  <c r="BW239" i="3" s="1"/>
  <c r="BW152" i="3"/>
  <c r="BW128" i="3"/>
  <c r="BL167" i="3"/>
  <c r="BL168" i="3" s="1"/>
  <c r="BL169" i="3" s="1"/>
  <c r="BL225" i="3" s="1"/>
  <c r="BL128" i="3"/>
  <c r="BL150" i="3"/>
  <c r="L337" i="3"/>
  <c r="L201" i="3"/>
  <c r="EE167" i="5"/>
  <c r="EE168" i="5" s="1"/>
  <c r="EE169" i="5" s="1"/>
  <c r="EE225" i="5" s="1"/>
  <c r="EE227" i="5" s="1"/>
  <c r="EE128" i="5"/>
  <c r="EE150" i="5"/>
  <c r="EE162" i="5" s="1"/>
  <c r="CJ337" i="3"/>
  <c r="CJ201" i="3"/>
  <c r="M337" i="3"/>
  <c r="M201" i="3"/>
  <c r="EM167" i="3"/>
  <c r="EM168" i="3" s="1"/>
  <c r="EM169" i="3" s="1"/>
  <c r="EM225" i="3" s="1"/>
  <c r="EM150" i="3"/>
  <c r="EM128" i="3"/>
  <c r="DX167" i="3"/>
  <c r="DX168" i="3" s="1"/>
  <c r="DX169" i="3" s="1"/>
  <c r="DX225" i="3" s="1"/>
  <c r="DX128" i="3"/>
  <c r="DX150" i="3"/>
  <c r="DX162" i="3" s="1"/>
  <c r="CK167" i="5"/>
  <c r="CK168" i="5" s="1"/>
  <c r="CK169" i="5" s="1"/>
  <c r="CK225" i="5" s="1"/>
  <c r="CK128" i="5"/>
  <c r="FU167" i="5"/>
  <c r="FU168" i="5" s="1"/>
  <c r="FU169" i="5" s="1"/>
  <c r="FU225" i="5" s="1"/>
  <c r="FU227" i="5" s="1"/>
  <c r="FU128" i="5"/>
  <c r="DL337" i="3"/>
  <c r="DL201" i="3"/>
  <c r="BI167" i="5"/>
  <c r="BI168" i="5" s="1"/>
  <c r="BI169" i="5" s="1"/>
  <c r="BI225" i="5" s="1"/>
  <c r="BI150" i="5"/>
  <c r="BI162" i="5" s="1"/>
  <c r="BI128" i="5"/>
  <c r="I167" i="5"/>
  <c r="I168" i="5" s="1"/>
  <c r="I169" i="5" s="1"/>
  <c r="I225" i="5" s="1"/>
  <c r="I128" i="5"/>
  <c r="CW167" i="3"/>
  <c r="CW168" i="3" s="1"/>
  <c r="CW169" i="3" s="1"/>
  <c r="CW225" i="3" s="1"/>
  <c r="CW150" i="3"/>
  <c r="CW128" i="3"/>
  <c r="O167" i="3"/>
  <c r="O168" i="3" s="1"/>
  <c r="O169" i="3" s="1"/>
  <c r="O225" i="3" s="1"/>
  <c r="O128" i="3"/>
  <c r="O152" i="3"/>
  <c r="DS142" i="2"/>
  <c r="EZ186" i="5"/>
  <c r="EZ187" i="5" s="1"/>
  <c r="EZ188" i="5" s="1"/>
  <c r="AX167" i="5"/>
  <c r="AX168" i="5" s="1"/>
  <c r="AX169" i="5" s="1"/>
  <c r="AX225" i="5" s="1"/>
  <c r="AX227" i="5" s="1"/>
  <c r="AX150" i="5"/>
  <c r="AX162" i="5" s="1"/>
  <c r="AX128" i="5"/>
  <c r="FD167" i="5"/>
  <c r="FD168" i="5" s="1"/>
  <c r="FD169" i="5" s="1"/>
  <c r="FD225" i="5" s="1"/>
  <c r="FD150" i="5"/>
  <c r="FD162" i="5" s="1"/>
  <c r="FD128" i="5"/>
  <c r="FA142" i="2"/>
  <c r="V167" i="3"/>
  <c r="V168" i="3" s="1"/>
  <c r="V169" i="3" s="1"/>
  <c r="V225" i="3" s="1"/>
  <c r="V128" i="3"/>
  <c r="V150" i="3"/>
  <c r="AH313" i="3"/>
  <c r="AH174" i="3"/>
  <c r="AH177" i="3"/>
  <c r="DF142" i="2"/>
  <c r="DI313" i="3"/>
  <c r="DI174" i="3"/>
  <c r="DI182" i="3" s="1"/>
  <c r="DI226" i="3" s="1"/>
  <c r="DI177" i="3"/>
  <c r="FS167" i="3"/>
  <c r="FS168" i="3" s="1"/>
  <c r="FS169" i="3" s="1"/>
  <c r="FS225" i="3" s="1"/>
  <c r="FS128" i="3"/>
  <c r="FS150" i="3"/>
  <c r="FS162" i="3" s="1"/>
  <c r="P167" i="3"/>
  <c r="P168" i="3" s="1"/>
  <c r="P169" i="3" s="1"/>
  <c r="P225" i="3" s="1"/>
  <c r="P227" i="3" s="1"/>
  <c r="P232" i="3" s="1"/>
  <c r="P237" i="3" s="1"/>
  <c r="P239" i="3" s="1"/>
  <c r="P150" i="3"/>
  <c r="P128" i="3"/>
  <c r="P142" i="2"/>
  <c r="AV142" i="2"/>
  <c r="AM186" i="5"/>
  <c r="AM187" i="5" s="1"/>
  <c r="AM188" i="5"/>
  <c r="BQ313" i="3"/>
  <c r="BQ174" i="3"/>
  <c r="BQ177" i="3"/>
  <c r="CV313" i="3"/>
  <c r="CV174" i="3"/>
  <c r="CV182" i="3" s="1"/>
  <c r="CV226" i="3" s="1"/>
  <c r="CV177" i="3"/>
  <c r="DN313" i="3"/>
  <c r="DN174" i="3"/>
  <c r="DN177" i="3"/>
  <c r="O142" i="2"/>
  <c r="DX142" i="2"/>
  <c r="FO209" i="5"/>
  <c r="FO267" i="5"/>
  <c r="BM182" i="5"/>
  <c r="BM226" i="5" s="1"/>
  <c r="BM227" i="5" s="1"/>
  <c r="BV167" i="3"/>
  <c r="BV168" i="3" s="1"/>
  <c r="BV169" i="3" s="1"/>
  <c r="BV225" i="3" s="1"/>
  <c r="BV152" i="3"/>
  <c r="BV128" i="3"/>
  <c r="AK313" i="3"/>
  <c r="AK174" i="3"/>
  <c r="AK177" i="3"/>
  <c r="FT188" i="5"/>
  <c r="FT186" i="5"/>
  <c r="FT187" i="5" s="1"/>
  <c r="DP167" i="5"/>
  <c r="DP168" i="5" s="1"/>
  <c r="DP169" i="5" s="1"/>
  <c r="DP225" i="5" s="1"/>
  <c r="DP227" i="5" s="1"/>
  <c r="DP150" i="5"/>
  <c r="DP162" i="5" s="1"/>
  <c r="DP128" i="5"/>
  <c r="AF167" i="3"/>
  <c r="AF168" i="3" s="1"/>
  <c r="AF169" i="3" s="1"/>
  <c r="AF225" i="3" s="1"/>
  <c r="AF150" i="3"/>
  <c r="AF128" i="3"/>
  <c r="FO182" i="5"/>
  <c r="FO226" i="5" s="1"/>
  <c r="BA142" i="2"/>
  <c r="EZ167" i="3"/>
  <c r="EZ168" i="3" s="1"/>
  <c r="EZ169" i="3" s="1"/>
  <c r="EZ225" i="3" s="1"/>
  <c r="EZ128" i="3"/>
  <c r="EZ150" i="3"/>
  <c r="BR146" i="3"/>
  <c r="BR148" i="3" s="1"/>
  <c r="CA182" i="5"/>
  <c r="CA226" i="5" s="1"/>
  <c r="CI188" i="5"/>
  <c r="CI186" i="5"/>
  <c r="CI187" i="5" s="1"/>
  <c r="FF182" i="5"/>
  <c r="FF226" i="5" s="1"/>
  <c r="AD182" i="5"/>
  <c r="AD226" i="5" s="1"/>
  <c r="EO167" i="3"/>
  <c r="EO168" i="3" s="1"/>
  <c r="EO169" i="3" s="1"/>
  <c r="EO225" i="3" s="1"/>
  <c r="EO128" i="3"/>
  <c r="EO150" i="3"/>
  <c r="DE182" i="5"/>
  <c r="DE226" i="5" s="1"/>
  <c r="BB182" i="5"/>
  <c r="BB226" i="5" s="1"/>
  <c r="EH313" i="3"/>
  <c r="EH174" i="3"/>
  <c r="EH182" i="3" s="1"/>
  <c r="EH226" i="3" s="1"/>
  <c r="EH177" i="3"/>
  <c r="FA313" i="3"/>
  <c r="FA174" i="3"/>
  <c r="FA177" i="3"/>
  <c r="AC182" i="5"/>
  <c r="AC226" i="5" s="1"/>
  <c r="CB182" i="5"/>
  <c r="CB226" i="5" s="1"/>
  <c r="AC142" i="2"/>
  <c r="CP182" i="5"/>
  <c r="CP226" i="5" s="1"/>
  <c r="CS182" i="5"/>
  <c r="CS226" i="5" s="1"/>
  <c r="FI313" i="3"/>
  <c r="FI174" i="3"/>
  <c r="FI177" i="3"/>
  <c r="Q313" i="3"/>
  <c r="Q174" i="3"/>
  <c r="Q182" i="3" s="1"/>
  <c r="Q226" i="3" s="1"/>
  <c r="Q177" i="3"/>
  <c r="AI313" i="3"/>
  <c r="AI174" i="3"/>
  <c r="AI182" i="3" s="1"/>
  <c r="AI226" i="3" s="1"/>
  <c r="AI227" i="3" s="1"/>
  <c r="AI232" i="3" s="1"/>
  <c r="AI237" i="3" s="1"/>
  <c r="AI239" i="3" s="1"/>
  <c r="AI177" i="3"/>
  <c r="DR167" i="5"/>
  <c r="DR168" i="5" s="1"/>
  <c r="DR169" i="5" s="1"/>
  <c r="DR225" i="5" s="1"/>
  <c r="DR128" i="5"/>
  <c r="CA167" i="3"/>
  <c r="CA168" i="3" s="1"/>
  <c r="CA169" i="3" s="1"/>
  <c r="CA225" i="3" s="1"/>
  <c r="CA128" i="3"/>
  <c r="CA150" i="3"/>
  <c r="CA162" i="3" s="1"/>
  <c r="DZ167" i="5"/>
  <c r="DZ168" i="5" s="1"/>
  <c r="DZ169" i="5" s="1"/>
  <c r="DZ225" i="5" s="1"/>
  <c r="DZ128" i="5"/>
  <c r="CB142" i="2"/>
  <c r="H167" i="5"/>
  <c r="H168" i="5" s="1"/>
  <c r="H169" i="5" s="1"/>
  <c r="H225" i="5" s="1"/>
  <c r="H227" i="5" s="1"/>
  <c r="H128" i="5"/>
  <c r="AR313" i="3"/>
  <c r="AR174" i="3"/>
  <c r="AR177" i="3"/>
  <c r="BW313" i="3"/>
  <c r="BW174" i="3"/>
  <c r="BW182" i="3" s="1"/>
  <c r="BW226" i="3" s="1"/>
  <c r="BW177" i="3"/>
  <c r="EN313" i="3"/>
  <c r="EN174" i="3"/>
  <c r="EN177" i="3"/>
  <c r="EL182" i="5"/>
  <c r="EL226" i="5" s="1"/>
  <c r="AY182" i="5"/>
  <c r="AY226" i="5" s="1"/>
  <c r="EU142" i="2"/>
  <c r="AZ142" i="2"/>
  <c r="CF142" i="2"/>
  <c r="FI142" i="2"/>
  <c r="BD142" i="2"/>
  <c r="FT313" i="3"/>
  <c r="FT174" i="3"/>
  <c r="FT177" i="3"/>
  <c r="AB313" i="3"/>
  <c r="AB174" i="3"/>
  <c r="AB182" i="3" s="1"/>
  <c r="AB226" i="3" s="1"/>
  <c r="AB227" i="3" s="1"/>
  <c r="AB232" i="3" s="1"/>
  <c r="AB237" i="3" s="1"/>
  <c r="AB239" i="3" s="1"/>
  <c r="AB177" i="3"/>
  <c r="AT313" i="3"/>
  <c r="AT174" i="3"/>
  <c r="AT177" i="3"/>
  <c r="I182" i="5"/>
  <c r="I226" i="5" s="1"/>
  <c r="I167" i="3"/>
  <c r="I168" i="3" s="1"/>
  <c r="I169" i="3" s="1"/>
  <c r="I225" i="3" s="1"/>
  <c r="I156" i="3"/>
  <c r="I158" i="3" s="1"/>
  <c r="I128" i="3"/>
  <c r="AY227" i="5"/>
  <c r="AB142" i="2"/>
  <c r="BU182" i="5"/>
  <c r="BU226" i="5" s="1"/>
  <c r="BU227" i="5" s="1"/>
  <c r="AU182" i="5"/>
  <c r="AU226" i="5" s="1"/>
  <c r="E182" i="5"/>
  <c r="E226" i="5" s="1"/>
  <c r="BH113" i="5"/>
  <c r="BH123" i="5" s="1"/>
  <c r="AR167" i="5"/>
  <c r="AR168" i="5" s="1"/>
  <c r="AR169" i="5" s="1"/>
  <c r="AR225" i="5" s="1"/>
  <c r="AR227" i="5" s="1"/>
  <c r="AR128" i="5"/>
  <c r="W142" i="2"/>
  <c r="P313" i="3"/>
  <c r="P174" i="3"/>
  <c r="P182" i="3" s="1"/>
  <c r="P226" i="3" s="1"/>
  <c r="P177" i="3"/>
  <c r="EA313" i="3"/>
  <c r="EA174" i="3"/>
  <c r="EA182" i="3" s="1"/>
  <c r="EA226" i="3" s="1"/>
  <c r="EA177" i="3"/>
  <c r="EX313" i="3"/>
  <c r="EX174" i="3"/>
  <c r="EX177" i="3"/>
  <c r="DQ167" i="3"/>
  <c r="DQ168" i="3" s="1"/>
  <c r="DQ169" i="3" s="1"/>
  <c r="DQ225" i="3" s="1"/>
  <c r="DQ128" i="3"/>
  <c r="DQ152" i="3"/>
  <c r="AD167" i="5"/>
  <c r="AD168" i="5" s="1"/>
  <c r="AD169" i="5" s="1"/>
  <c r="AD225" i="5" s="1"/>
  <c r="AD227" i="5" s="1"/>
  <c r="AD128" i="5"/>
  <c r="AM142" i="2"/>
  <c r="EV142" i="2"/>
  <c r="V182" i="5"/>
  <c r="V226" i="5" s="1"/>
  <c r="M167" i="5"/>
  <c r="M168" i="5" s="1"/>
  <c r="M169" i="5" s="1"/>
  <c r="M225" i="5" s="1"/>
  <c r="M128" i="5"/>
  <c r="EI182" i="5"/>
  <c r="EI226" i="5" s="1"/>
  <c r="K167" i="3"/>
  <c r="K168" i="3" s="1"/>
  <c r="K169" i="3" s="1"/>
  <c r="K225" i="3" s="1"/>
  <c r="K150" i="3"/>
  <c r="K128" i="3"/>
  <c r="P167" i="5"/>
  <c r="P168" i="5" s="1"/>
  <c r="P169" i="5" s="1"/>
  <c r="P225" i="5" s="1"/>
  <c r="P227" i="5" s="1"/>
  <c r="P128" i="5"/>
  <c r="P150" i="5"/>
  <c r="P162" i="5" s="1"/>
  <c r="FI182" i="5"/>
  <c r="FI226" i="5" s="1"/>
  <c r="FI227" i="5" s="1"/>
  <c r="DK167" i="5"/>
  <c r="DK168" i="5" s="1"/>
  <c r="DK169" i="5" s="1"/>
  <c r="DK225" i="5" s="1"/>
  <c r="DK128" i="5"/>
  <c r="CL167" i="5"/>
  <c r="CL168" i="5" s="1"/>
  <c r="CL169" i="5" s="1"/>
  <c r="CL225" i="5" s="1"/>
  <c r="CL227" i="5" s="1"/>
  <c r="CL128" i="5"/>
  <c r="W167" i="5"/>
  <c r="W168" i="5" s="1"/>
  <c r="W169" i="5" s="1"/>
  <c r="W225" i="5" s="1"/>
  <c r="W227" i="5" s="1"/>
  <c r="W150" i="5"/>
  <c r="W162" i="5" s="1"/>
  <c r="W128" i="5"/>
  <c r="R313" i="3"/>
  <c r="R174" i="3"/>
  <c r="R182" i="3" s="1"/>
  <c r="R226" i="3" s="1"/>
  <c r="R177" i="3"/>
  <c r="FA167" i="5"/>
  <c r="FA168" i="5" s="1"/>
  <c r="FA169" i="5" s="1"/>
  <c r="FA225" i="5" s="1"/>
  <c r="FA227" i="5" s="1"/>
  <c r="FA128" i="5"/>
  <c r="AG182" i="5"/>
  <c r="AG226" i="5" s="1"/>
  <c r="FT209" i="5"/>
  <c r="FT267" i="5"/>
  <c r="FZ103" i="2"/>
  <c r="GB103" i="2" s="1"/>
  <c r="BC167" i="3"/>
  <c r="BC168" i="3" s="1"/>
  <c r="BC169" i="3" s="1"/>
  <c r="BC225" i="3" s="1"/>
  <c r="BC156" i="3"/>
  <c r="BC158" i="3" s="1"/>
  <c r="BC128" i="3"/>
  <c r="BZ167" i="3"/>
  <c r="BZ168" i="3" s="1"/>
  <c r="BZ169" i="3" s="1"/>
  <c r="BZ225" i="3" s="1"/>
  <c r="BZ150" i="3"/>
  <c r="BZ128" i="3"/>
  <c r="DQ182" i="5"/>
  <c r="DQ226" i="5" s="1"/>
  <c r="CB313" i="3"/>
  <c r="CB174" i="3"/>
  <c r="CB177" i="3"/>
  <c r="DG313" i="3"/>
  <c r="DG174" i="3"/>
  <c r="DG182" i="3" s="1"/>
  <c r="DG226" i="3" s="1"/>
  <c r="DG177" i="3"/>
  <c r="X313" i="3"/>
  <c r="X174" i="3"/>
  <c r="X182" i="3" s="1"/>
  <c r="X226" i="3" s="1"/>
  <c r="X177" i="3"/>
  <c r="F142" i="2"/>
  <c r="Z142" i="2"/>
  <c r="U167" i="3"/>
  <c r="U168" i="3" s="1"/>
  <c r="U169" i="3" s="1"/>
  <c r="U225" i="3" s="1"/>
  <c r="U128" i="3"/>
  <c r="U150" i="3"/>
  <c r="AE142" i="2"/>
  <c r="BK182" i="5"/>
  <c r="BK226" i="5" s="1"/>
  <c r="DD162" i="3"/>
  <c r="DD154" i="3"/>
  <c r="DD156" i="3" s="1"/>
  <c r="DD158" i="3" s="1"/>
  <c r="CI128" i="5"/>
  <c r="DZ167" i="3"/>
  <c r="DZ168" i="3" s="1"/>
  <c r="DZ169" i="3" s="1"/>
  <c r="DZ225" i="3" s="1"/>
  <c r="DZ152" i="3"/>
  <c r="DZ128" i="3"/>
  <c r="AK142" i="2"/>
  <c r="EY142" i="2"/>
  <c r="EZ209" i="5"/>
  <c r="EZ267" i="5"/>
  <c r="BQ167" i="5"/>
  <c r="BQ168" i="5" s="1"/>
  <c r="BQ169" i="5" s="1"/>
  <c r="BQ225" i="5" s="1"/>
  <c r="BQ128" i="5"/>
  <c r="CH167" i="5"/>
  <c r="CH168" i="5" s="1"/>
  <c r="CH169" i="5" s="1"/>
  <c r="CH225" i="5" s="1"/>
  <c r="CH150" i="5"/>
  <c r="CH162" i="5" s="1"/>
  <c r="CH128" i="5"/>
  <c r="AA267" i="5"/>
  <c r="AA209" i="5"/>
  <c r="DN142" i="2"/>
  <c r="BS158" i="3"/>
  <c r="BT167" i="5"/>
  <c r="BT168" i="5" s="1"/>
  <c r="BT169" i="5" s="1"/>
  <c r="BT225" i="5" s="1"/>
  <c r="BT227" i="5" s="1"/>
  <c r="BT150" i="5"/>
  <c r="BT162" i="5" s="1"/>
  <c r="BT128" i="5"/>
  <c r="FT182" i="5"/>
  <c r="FT226" i="5" s="1"/>
  <c r="EF182" i="5"/>
  <c r="EF226" i="5" s="1"/>
  <c r="AW167" i="3"/>
  <c r="AW168" i="3" s="1"/>
  <c r="AW169" i="3" s="1"/>
  <c r="AW225" i="3" s="1"/>
  <c r="AW150" i="3"/>
  <c r="AW162" i="3" s="1"/>
  <c r="AW128" i="3"/>
  <c r="S142" i="2"/>
  <c r="DJ167" i="5"/>
  <c r="DJ168" i="5" s="1"/>
  <c r="DJ169" i="5" s="1"/>
  <c r="DJ225" i="5" s="1"/>
  <c r="DJ227" i="5" s="1"/>
  <c r="DJ128" i="5"/>
  <c r="EG142" i="2"/>
  <c r="BI182" i="5"/>
  <c r="BI226" i="5" s="1"/>
  <c r="DI182" i="5"/>
  <c r="DI226" i="5" s="1"/>
  <c r="T313" i="3"/>
  <c r="T174" i="3"/>
  <c r="T182" i="3" s="1"/>
  <c r="T226" i="3" s="1"/>
  <c r="T227" i="3" s="1"/>
  <c r="T232" i="3" s="1"/>
  <c r="T237" i="3" s="1"/>
  <c r="T239" i="3" s="1"/>
  <c r="T177" i="3"/>
  <c r="AY313" i="3"/>
  <c r="AY174" i="3"/>
  <c r="AY177" i="3"/>
  <c r="DP313" i="3"/>
  <c r="DP174" i="3"/>
  <c r="DP182" i="3" s="1"/>
  <c r="DP226" i="3" s="1"/>
  <c r="DP177" i="3"/>
  <c r="J182" i="5"/>
  <c r="J226" i="5" s="1"/>
  <c r="EI142" i="2"/>
  <c r="AN142" i="2"/>
  <c r="BT142" i="2"/>
  <c r="EW142" i="2"/>
  <c r="FH182" i="5"/>
  <c r="FH226" i="5" s="1"/>
  <c r="DM313" i="3"/>
  <c r="DM174" i="3"/>
  <c r="DM177" i="3"/>
  <c r="ER313" i="3"/>
  <c r="ER174" i="3"/>
  <c r="ER182" i="3" s="1"/>
  <c r="ER226" i="3" s="1"/>
  <c r="ER227" i="3" s="1"/>
  <c r="ER232" i="3" s="1"/>
  <c r="ER237" i="3" s="1"/>
  <c r="ER239" i="3" s="1"/>
  <c r="ER177" i="3"/>
  <c r="FJ313" i="3"/>
  <c r="FJ174" i="3"/>
  <c r="FJ182" i="3" s="1"/>
  <c r="FJ226" i="3" s="1"/>
  <c r="FJ227" i="3" s="1"/>
  <c r="FJ232" i="3" s="1"/>
  <c r="FJ237" i="3" s="1"/>
  <c r="FJ239" i="3" s="1"/>
  <c r="FJ177" i="3"/>
  <c r="FT142" i="2"/>
  <c r="BH124" i="5"/>
  <c r="DA313" i="3"/>
  <c r="DA174" i="3"/>
  <c r="DA177" i="3"/>
  <c r="EF313" i="3"/>
  <c r="EF174" i="3"/>
  <c r="EF182" i="3" s="1"/>
  <c r="EF226" i="3" s="1"/>
  <c r="EF177" i="3"/>
  <c r="DS186" i="5"/>
  <c r="DS187" i="5" s="1"/>
  <c r="DS188" i="5" s="1"/>
  <c r="DK142" i="2"/>
  <c r="DY142" i="2"/>
  <c r="DN182" i="5"/>
  <c r="DN226" i="5" s="1"/>
  <c r="AD167" i="3"/>
  <c r="AD168" i="3" s="1"/>
  <c r="AD169" i="3" s="1"/>
  <c r="AD225" i="3" s="1"/>
  <c r="AD227" i="3" s="1"/>
  <c r="AD232" i="3" s="1"/>
  <c r="AD237" i="3" s="1"/>
  <c r="AD239" i="3" s="1"/>
  <c r="AD128" i="3"/>
  <c r="AD152" i="3"/>
  <c r="FG167" i="5"/>
  <c r="FG168" i="5" s="1"/>
  <c r="FG169" i="5" s="1"/>
  <c r="FG225" i="5" s="1"/>
  <c r="FG227" i="5" s="1"/>
  <c r="FG150" i="5"/>
  <c r="FG162" i="5" s="1"/>
  <c r="FG128" i="5"/>
  <c r="AL182" i="5"/>
  <c r="AL226" i="5" s="1"/>
  <c r="DH182" i="5"/>
  <c r="DH226" i="5" s="1"/>
  <c r="DH227" i="5" s="1"/>
  <c r="BY313" i="3"/>
  <c r="BY174" i="3"/>
  <c r="BY177" i="3"/>
  <c r="CQ313" i="3"/>
  <c r="CQ174" i="3"/>
  <c r="CQ182" i="3" s="1"/>
  <c r="CQ226" i="3" s="1"/>
  <c r="CQ177" i="3"/>
  <c r="AA142" i="2"/>
  <c r="DS209" i="5"/>
  <c r="DS267" i="5"/>
  <c r="BN182" i="5"/>
  <c r="BN226" i="5" s="1"/>
  <c r="AQ182" i="5"/>
  <c r="AQ226" i="5" s="1"/>
  <c r="DG167" i="3"/>
  <c r="DG168" i="3" s="1"/>
  <c r="DG169" i="3" s="1"/>
  <c r="DG225" i="3" s="1"/>
  <c r="DG227" i="3" s="1"/>
  <c r="DG232" i="3" s="1"/>
  <c r="DG237" i="3" s="1"/>
  <c r="DG239" i="3" s="1"/>
  <c r="DG128" i="3"/>
  <c r="DG150" i="3"/>
  <c r="DG162" i="3" s="1"/>
  <c r="CO313" i="3"/>
  <c r="CO174" i="3"/>
  <c r="CO177" i="3"/>
  <c r="DT313" i="3"/>
  <c r="DT174" i="3"/>
  <c r="DT177" i="3"/>
  <c r="EL313" i="3"/>
  <c r="EL174" i="3"/>
  <c r="EL182" i="3" s="1"/>
  <c r="EL226" i="3" s="1"/>
  <c r="EL177" i="3"/>
  <c r="BF142" i="2"/>
  <c r="CX182" i="5"/>
  <c r="CX226" i="5" s="1"/>
  <c r="ET167" i="3"/>
  <c r="ET168" i="3" s="1"/>
  <c r="ET169" i="3" s="1"/>
  <c r="ET225" i="3" s="1"/>
  <c r="ET128" i="3"/>
  <c r="ET150" i="3"/>
  <c r="ET182" i="5"/>
  <c r="ET226" i="5" s="1"/>
  <c r="BW209" i="5"/>
  <c r="BW267" i="5"/>
  <c r="EJ313" i="3"/>
  <c r="EJ174" i="3"/>
  <c r="EJ182" i="3" s="1"/>
  <c r="EJ226" i="3" s="1"/>
  <c r="EJ177" i="3"/>
  <c r="FO313" i="3"/>
  <c r="FO174" i="3"/>
  <c r="FO177" i="3"/>
  <c r="J313" i="3"/>
  <c r="J174" i="3"/>
  <c r="J177" i="3"/>
  <c r="DS113" i="5"/>
  <c r="DS123" i="5" s="1"/>
  <c r="BT182" i="5"/>
  <c r="BT226" i="5" s="1"/>
  <c r="FG167" i="3"/>
  <c r="FG168" i="3" s="1"/>
  <c r="FG169" i="3" s="1"/>
  <c r="FG225" i="3" s="1"/>
  <c r="FG128" i="3"/>
  <c r="FG150" i="3"/>
  <c r="FG162" i="3" s="1"/>
  <c r="CW142" i="2"/>
  <c r="DE142" i="2"/>
  <c r="T142" i="2"/>
  <c r="BP167" i="3"/>
  <c r="BP168" i="3" s="1"/>
  <c r="BP169" i="3" s="1"/>
  <c r="BP225" i="3" s="1"/>
  <c r="BP150" i="3"/>
  <c r="BP128" i="3"/>
  <c r="L124" i="5"/>
  <c r="DI167" i="5"/>
  <c r="DI168" i="5" s="1"/>
  <c r="DI169" i="5" s="1"/>
  <c r="DI225" i="5" s="1"/>
  <c r="DI227" i="5" s="1"/>
  <c r="DI128" i="5"/>
  <c r="FM182" i="5"/>
  <c r="FM226" i="5" s="1"/>
  <c r="F167" i="3"/>
  <c r="F168" i="3" s="1"/>
  <c r="F169" i="3" s="1"/>
  <c r="F225" i="3" s="1"/>
  <c r="F128" i="3"/>
  <c r="F156" i="3"/>
  <c r="F158" i="3" s="1"/>
  <c r="CC313" i="3"/>
  <c r="CC174" i="3"/>
  <c r="CC177" i="3"/>
  <c r="DH313" i="3"/>
  <c r="DH174" i="3"/>
  <c r="DH182" i="3" s="1"/>
  <c r="DH226" i="3" s="1"/>
  <c r="DH177" i="3"/>
  <c r="DZ313" i="3"/>
  <c r="DZ174" i="3"/>
  <c r="DZ177" i="3"/>
  <c r="BP182" i="5"/>
  <c r="BP226" i="5" s="1"/>
  <c r="BW188" i="5"/>
  <c r="BW186" i="5"/>
  <c r="BW187" i="5" s="1"/>
  <c r="EF142" i="2"/>
  <c r="FL142" i="2"/>
  <c r="BG142" i="2"/>
  <c r="EJ142" i="2"/>
  <c r="C214" i="5"/>
  <c r="C103" i="5"/>
  <c r="C127" i="5"/>
  <c r="FZ96" i="5"/>
  <c r="GB96" i="5" s="1"/>
  <c r="ED167" i="5"/>
  <c r="ED168" i="5" s="1"/>
  <c r="ED169" i="5" s="1"/>
  <c r="ED225" i="5" s="1"/>
  <c r="ED128" i="5"/>
  <c r="AM182" i="5"/>
  <c r="AM226" i="5" s="1"/>
  <c r="DV167" i="5"/>
  <c r="DV168" i="5" s="1"/>
  <c r="DV169" i="5" s="1"/>
  <c r="DV225" i="5" s="1"/>
  <c r="DV227" i="5" s="1"/>
  <c r="DV150" i="5"/>
  <c r="DV162" i="5" s="1"/>
  <c r="DV128" i="5"/>
  <c r="CZ313" i="3"/>
  <c r="CZ174" i="3"/>
  <c r="CZ182" i="3" s="1"/>
  <c r="CZ226" i="3" s="1"/>
  <c r="CZ227" i="3" s="1"/>
  <c r="CZ177" i="3"/>
  <c r="EE313" i="3"/>
  <c r="EE174" i="3"/>
  <c r="EE177" i="3"/>
  <c r="AJ313" i="3"/>
  <c r="AJ174" i="3"/>
  <c r="AJ177" i="3"/>
  <c r="DT142" i="2"/>
  <c r="EZ142" i="2"/>
  <c r="AU142" i="2"/>
  <c r="CK182" i="5"/>
  <c r="CK226" i="5" s="1"/>
  <c r="DX182" i="5"/>
  <c r="DX226" i="5" s="1"/>
  <c r="CW182" i="5"/>
  <c r="CW226" i="5" s="1"/>
  <c r="BS313" i="3"/>
  <c r="BS174" i="3"/>
  <c r="BS182" i="3" s="1"/>
  <c r="BS226" i="3" s="1"/>
  <c r="BS227" i="3" s="1"/>
  <c r="BS177" i="3"/>
  <c r="FO167" i="3"/>
  <c r="FO168" i="3" s="1"/>
  <c r="FO169" i="3" s="1"/>
  <c r="FO225" i="3" s="1"/>
  <c r="FO156" i="3"/>
  <c r="FO158" i="3" s="1"/>
  <c r="FO128" i="3"/>
  <c r="FT137" i="5"/>
  <c r="FZ135" i="5"/>
  <c r="FF142" i="2"/>
  <c r="FZ86" i="2"/>
  <c r="GB86" i="2" s="1"/>
  <c r="DE167" i="3"/>
  <c r="DE168" i="3" s="1"/>
  <c r="DE169" i="3" s="1"/>
  <c r="DE225" i="3" s="1"/>
  <c r="DE128" i="3"/>
  <c r="DE150" i="3"/>
  <c r="DE162" i="3" s="1"/>
  <c r="EB182" i="5"/>
  <c r="EB226" i="5" s="1"/>
  <c r="BO167" i="3"/>
  <c r="BO168" i="3" s="1"/>
  <c r="BO169" i="3" s="1"/>
  <c r="BO225" i="3" s="1"/>
  <c r="BO156" i="3"/>
  <c r="BO158" i="3" s="1"/>
  <c r="BO128" i="3"/>
  <c r="S167" i="3"/>
  <c r="S168" i="3" s="1"/>
  <c r="S169" i="3" s="1"/>
  <c r="S225" i="3" s="1"/>
  <c r="S156" i="3"/>
  <c r="S158" i="3" s="1"/>
  <c r="S128" i="3"/>
  <c r="ET167" i="5"/>
  <c r="ET168" i="5" s="1"/>
  <c r="ET169" i="5" s="1"/>
  <c r="ET225" i="5" s="1"/>
  <c r="ET227" i="5" s="1"/>
  <c r="ET128" i="5"/>
  <c r="ET150" i="5"/>
  <c r="ET162" i="5" s="1"/>
  <c r="FQ313" i="3"/>
  <c r="FQ174" i="3"/>
  <c r="FQ177" i="3"/>
  <c r="M313" i="3"/>
  <c r="M174" i="3"/>
  <c r="M177" i="3"/>
  <c r="FJ167" i="5"/>
  <c r="FJ168" i="5" s="1"/>
  <c r="FJ169" i="5" s="1"/>
  <c r="FJ225" i="5" s="1"/>
  <c r="FJ227" i="5" s="1"/>
  <c r="FJ128" i="5"/>
  <c r="EI167" i="3"/>
  <c r="EI168" i="3" s="1"/>
  <c r="EI169" i="3" s="1"/>
  <c r="EI225" i="3" s="1"/>
  <c r="EI128" i="3"/>
  <c r="EI156" i="3"/>
  <c r="EI158" i="3" s="1"/>
  <c r="AB167" i="5"/>
  <c r="AB168" i="5" s="1"/>
  <c r="AB169" i="5" s="1"/>
  <c r="AB225" i="5" s="1"/>
  <c r="AB227" i="5" s="1"/>
  <c r="AB128" i="5"/>
  <c r="EZ113" i="5"/>
  <c r="EZ123" i="5" s="1"/>
  <c r="F167" i="5"/>
  <c r="F168" i="5" s="1"/>
  <c r="F169" i="5" s="1"/>
  <c r="F225" i="5" s="1"/>
  <c r="F128" i="5"/>
  <c r="C108" i="4"/>
  <c r="C111" i="4"/>
  <c r="CH182" i="5"/>
  <c r="CH226" i="5" s="1"/>
  <c r="U313" i="3"/>
  <c r="U174" i="3"/>
  <c r="U177" i="3"/>
  <c r="AZ313" i="3"/>
  <c r="AZ174" i="3"/>
  <c r="AZ182" i="3" s="1"/>
  <c r="AZ226" i="3" s="1"/>
  <c r="AZ177" i="3"/>
  <c r="BR313" i="3"/>
  <c r="BR174" i="3"/>
  <c r="BR182" i="3" s="1"/>
  <c r="BR226" i="3" s="1"/>
  <c r="BR177" i="3"/>
  <c r="FL167" i="3"/>
  <c r="FL168" i="3" s="1"/>
  <c r="FL169" i="3" s="1"/>
  <c r="FL225" i="3" s="1"/>
  <c r="FL152" i="3"/>
  <c r="FL128" i="3"/>
  <c r="AR182" i="5"/>
  <c r="AR226" i="5" s="1"/>
  <c r="D103" i="4"/>
  <c r="AA188" i="5"/>
  <c r="AA186" i="5"/>
  <c r="AA187" i="5" s="1"/>
  <c r="BX142" i="2"/>
  <c r="DD142" i="2"/>
  <c r="BR167" i="5"/>
  <c r="BR168" i="5" s="1"/>
  <c r="BR169" i="5" s="1"/>
  <c r="BR225" i="5" s="1"/>
  <c r="BR227" i="5" s="1"/>
  <c r="BR128" i="5"/>
  <c r="CA313" i="3"/>
  <c r="CA174" i="3"/>
  <c r="CA182" i="3" s="1"/>
  <c r="CA226" i="3" s="1"/>
  <c r="CA177" i="3"/>
  <c r="CU142" i="2"/>
  <c r="EO142" i="2"/>
  <c r="AI182" i="5"/>
  <c r="AI226" i="5" s="1"/>
  <c r="AF313" i="3"/>
  <c r="AF174" i="3"/>
  <c r="AF182" i="3" s="1"/>
  <c r="AF226" i="3" s="1"/>
  <c r="AF177" i="3"/>
  <c r="BK313" i="3"/>
  <c r="BK174" i="3"/>
  <c r="BK177" i="3"/>
  <c r="EB313" i="3"/>
  <c r="EB174" i="3"/>
  <c r="EB182" i="3" s="1"/>
  <c r="EB226" i="3" s="1"/>
  <c r="EB177" i="3"/>
  <c r="CU167" i="3"/>
  <c r="CU168" i="3" s="1"/>
  <c r="CU169" i="3" s="1"/>
  <c r="CU225" i="3" s="1"/>
  <c r="CU128" i="3"/>
  <c r="CU152" i="3"/>
  <c r="CD167" i="3"/>
  <c r="CD168" i="3" s="1"/>
  <c r="CD169" i="3" s="1"/>
  <c r="CD225" i="3" s="1"/>
  <c r="CD128" i="3"/>
  <c r="CD150" i="3"/>
  <c r="CD162" i="3" s="1"/>
  <c r="BC193" i="3"/>
  <c r="BC197" i="3" s="1"/>
  <c r="BC199" i="3" s="1"/>
  <c r="BZ142" i="2"/>
  <c r="DQ142" i="2"/>
  <c r="EK142" i="2"/>
  <c r="BR142" i="2"/>
  <c r="CK313" i="3"/>
  <c r="CK174" i="3"/>
  <c r="CK182" i="3" s="1"/>
  <c r="CK226" i="3" s="1"/>
  <c r="CK227" i="3" s="1"/>
  <c r="CK232" i="3" s="1"/>
  <c r="CK237" i="3" s="1"/>
  <c r="CK239" i="3" s="1"/>
  <c r="CK177" i="3"/>
  <c r="FR142" i="2"/>
  <c r="EL167" i="5"/>
  <c r="EL168" i="5" s="1"/>
  <c r="EL169" i="5" s="1"/>
  <c r="EL225" i="5" s="1"/>
  <c r="EL128" i="5"/>
  <c r="DV142" i="2"/>
  <c r="BK188" i="5"/>
  <c r="BK186" i="5"/>
  <c r="BK187" i="5" s="1"/>
  <c r="CF167" i="5"/>
  <c r="CF168" i="5" s="1"/>
  <c r="CF169" i="5" s="1"/>
  <c r="CF225" i="5" s="1"/>
  <c r="CF227" i="5" s="1"/>
  <c r="CF150" i="5"/>
  <c r="CF162" i="5" s="1"/>
  <c r="CF128" i="5"/>
  <c r="AW167" i="5"/>
  <c r="AW168" i="5" s="1"/>
  <c r="AW169" i="5" s="1"/>
  <c r="AW225" i="5" s="1"/>
  <c r="AW227" i="5" s="1"/>
  <c r="AW128" i="5"/>
  <c r="AW150" i="5"/>
  <c r="AW162" i="5" s="1"/>
  <c r="DY167" i="3"/>
  <c r="DY168" i="3" s="1"/>
  <c r="DY169" i="3" s="1"/>
  <c r="DY225" i="3" s="1"/>
  <c r="DY150" i="3"/>
  <c r="DY162" i="3" s="1"/>
  <c r="DY128" i="3"/>
  <c r="FU158" i="3"/>
  <c r="BA313" i="3"/>
  <c r="BA174" i="3"/>
  <c r="BA182" i="3" s="1"/>
  <c r="BA226" i="3" s="1"/>
  <c r="BA177" i="3"/>
  <c r="BF167" i="5"/>
  <c r="BF168" i="5" s="1"/>
  <c r="BF169" i="5" s="1"/>
  <c r="BF225" i="5" s="1"/>
  <c r="BF128" i="5"/>
  <c r="DH167" i="3"/>
  <c r="DH168" i="3" s="1"/>
  <c r="DH169" i="3" s="1"/>
  <c r="DH225" i="3" s="1"/>
  <c r="DH128" i="3"/>
  <c r="DH156" i="3"/>
  <c r="DH158" i="3" s="1"/>
  <c r="DX167" i="5"/>
  <c r="DX168" i="5" s="1"/>
  <c r="DX169" i="5" s="1"/>
  <c r="DX225" i="5" s="1"/>
  <c r="DX227" i="5" s="1"/>
  <c r="DX150" i="5"/>
  <c r="DX162" i="5" s="1"/>
  <c r="DX128" i="5"/>
  <c r="DK313" i="3"/>
  <c r="DK174" i="3"/>
  <c r="DK182" i="3" s="1"/>
  <c r="DK226" i="3" s="1"/>
  <c r="DK177" i="3"/>
  <c r="DN167" i="3"/>
  <c r="DN168" i="3" s="1"/>
  <c r="DN169" i="3" s="1"/>
  <c r="DN225" i="3" s="1"/>
  <c r="DN156" i="3"/>
  <c r="DN158" i="3" s="1"/>
  <c r="DN128" i="3"/>
  <c r="BC142" i="2"/>
  <c r="FT167" i="3"/>
  <c r="FT168" i="3" s="1"/>
  <c r="FT169" i="3" s="1"/>
  <c r="FT225" i="3" s="1"/>
  <c r="FT128" i="3"/>
  <c r="FT150" i="3"/>
  <c r="O128" i="5"/>
  <c r="F193" i="3"/>
  <c r="F197" i="3" s="1"/>
  <c r="F199" i="3" s="1"/>
  <c r="EG167" i="3"/>
  <c r="EG168" i="3" s="1"/>
  <c r="EG169" i="3" s="1"/>
  <c r="EG225" i="3" s="1"/>
  <c r="EG150" i="3"/>
  <c r="EG128" i="3"/>
  <c r="DM167" i="5"/>
  <c r="DM168" i="5" s="1"/>
  <c r="DM169" i="5" s="1"/>
  <c r="DM225" i="5" s="1"/>
  <c r="DM227" i="5" s="1"/>
  <c r="DM150" i="5"/>
  <c r="DM162" i="5" s="1"/>
  <c r="DM128" i="5"/>
  <c r="BX167" i="3"/>
  <c r="BX168" i="3" s="1"/>
  <c r="BX169" i="3" s="1"/>
  <c r="BX225" i="3" s="1"/>
  <c r="BX150" i="3"/>
  <c r="BX162" i="3" s="1"/>
  <c r="BX128" i="3"/>
  <c r="EH142" i="2"/>
  <c r="FB142" i="2"/>
  <c r="DF201" i="3"/>
  <c r="N167" i="5"/>
  <c r="N168" i="5" s="1"/>
  <c r="N169" i="5" s="1"/>
  <c r="N225" i="5" s="1"/>
  <c r="N128" i="5"/>
  <c r="ES167" i="3"/>
  <c r="ES168" i="3" s="1"/>
  <c r="ES169" i="3" s="1"/>
  <c r="ES225" i="3" s="1"/>
  <c r="ES128" i="3"/>
  <c r="ES150" i="3"/>
  <c r="FT166" i="5"/>
  <c r="FZ29" i="5"/>
  <c r="CP167" i="3"/>
  <c r="CP168" i="3" s="1"/>
  <c r="CP169" i="3" s="1"/>
  <c r="CP225" i="3" s="1"/>
  <c r="CP156" i="3"/>
  <c r="CP158" i="3" s="1"/>
  <c r="CP128" i="3"/>
  <c r="FQ167" i="5"/>
  <c r="FQ168" i="5" s="1"/>
  <c r="FQ169" i="5" s="1"/>
  <c r="FQ225" i="5" s="1"/>
  <c r="FQ227" i="5" s="1"/>
  <c r="FQ128" i="5"/>
  <c r="CT313" i="3"/>
  <c r="CT174" i="3"/>
  <c r="CT177" i="3"/>
  <c r="AF167" i="5"/>
  <c r="AF168" i="5" s="1"/>
  <c r="AF169" i="5" s="1"/>
  <c r="AF225" i="5" s="1"/>
  <c r="AF150" i="5"/>
  <c r="AF162" i="5" s="1"/>
  <c r="AF128" i="5"/>
  <c r="E142" i="2"/>
  <c r="AZ167" i="5"/>
  <c r="AZ168" i="5" s="1"/>
  <c r="AZ169" i="5" s="1"/>
  <c r="AZ225" i="5" s="1"/>
  <c r="AZ227" i="5" s="1"/>
  <c r="AZ128" i="5"/>
  <c r="BK124" i="5"/>
  <c r="BC313" i="3"/>
  <c r="BC174" i="3"/>
  <c r="BC177" i="3"/>
  <c r="BV313" i="3"/>
  <c r="BV174" i="3"/>
  <c r="BV177" i="3"/>
  <c r="DU142" i="2"/>
  <c r="EC142" i="2"/>
  <c r="AR142" i="2"/>
  <c r="FS167" i="5"/>
  <c r="FS168" i="5" s="1"/>
  <c r="FS169" i="5" s="1"/>
  <c r="FS225" i="5" s="1"/>
  <c r="FS227" i="5" s="1"/>
  <c r="FS128" i="5"/>
  <c r="FS150" i="5"/>
  <c r="FS162" i="5" s="1"/>
  <c r="EV313" i="3"/>
  <c r="EV174" i="3"/>
  <c r="EV177" i="3"/>
  <c r="D313" i="3"/>
  <c r="D174" i="3"/>
  <c r="D182" i="3" s="1"/>
  <c r="D226" i="3" s="1"/>
  <c r="D177" i="3"/>
  <c r="V313" i="3"/>
  <c r="V174" i="3"/>
  <c r="V177" i="3"/>
  <c r="BR209" i="3"/>
  <c r="BR267" i="3"/>
  <c r="EO167" i="5"/>
  <c r="EO168" i="5" s="1"/>
  <c r="EO169" i="5" s="1"/>
  <c r="EO225" i="5" s="1"/>
  <c r="EO128" i="5"/>
  <c r="EO150" i="5"/>
  <c r="EO162" i="5" s="1"/>
  <c r="FR167" i="5"/>
  <c r="FR168" i="5" s="1"/>
  <c r="FR169" i="5" s="1"/>
  <c r="FR225" i="5" s="1"/>
  <c r="FR227" i="5" s="1"/>
  <c r="FR128" i="5"/>
  <c r="FR150" i="5"/>
  <c r="FR162" i="5" s="1"/>
  <c r="FS313" i="3"/>
  <c r="FS174" i="3"/>
  <c r="FS177" i="3"/>
  <c r="CR313" i="3"/>
  <c r="CR174" i="3"/>
  <c r="CR182" i="3" s="1"/>
  <c r="CR226" i="3" s="1"/>
  <c r="CR177" i="3"/>
  <c r="L182" i="5"/>
  <c r="L226" i="5" s="1"/>
  <c r="FN182" i="5"/>
  <c r="FN226" i="5" s="1"/>
  <c r="DO182" i="5"/>
  <c r="DO226" i="5" s="1"/>
  <c r="AM227" i="5"/>
  <c r="AP142" i="2"/>
  <c r="CF313" i="3"/>
  <c r="CF174" i="3"/>
  <c r="CF177" i="3"/>
  <c r="ED182" i="5"/>
  <c r="ED226" i="5" s="1"/>
  <c r="FH167" i="3"/>
  <c r="FH168" i="3" s="1"/>
  <c r="FH169" i="3" s="1"/>
  <c r="FH225" i="3" s="1"/>
  <c r="FH227" i="3" s="1"/>
  <c r="FH232" i="3" s="1"/>
  <c r="FH237" i="3" s="1"/>
  <c r="FH239" i="3" s="1"/>
  <c r="FH128" i="3"/>
  <c r="FH150" i="3"/>
  <c r="FH162" i="3" s="1"/>
  <c r="AD142" i="2"/>
  <c r="FO227" i="5"/>
  <c r="BY182" i="5"/>
  <c r="BY226" i="5" s="1"/>
  <c r="CY167" i="5"/>
  <c r="CY168" i="5" s="1"/>
  <c r="CY169" i="5" s="1"/>
  <c r="CY225" i="5" s="1"/>
  <c r="CY227" i="5" s="1"/>
  <c r="CY150" i="5"/>
  <c r="CY162" i="5" s="1"/>
  <c r="CY128" i="5"/>
  <c r="FZ215" i="3"/>
  <c r="DB313" i="3"/>
  <c r="DB174" i="3"/>
  <c r="DB177" i="3"/>
  <c r="DV167" i="3"/>
  <c r="DV168" i="3" s="1"/>
  <c r="DV169" i="3" s="1"/>
  <c r="DV225" i="3" s="1"/>
  <c r="DV128" i="3"/>
  <c r="DV150" i="3"/>
  <c r="DV162" i="3" s="1"/>
  <c r="FZ121" i="2"/>
  <c r="GB121" i="2" s="1"/>
  <c r="EN142" i="2"/>
  <c r="AI142" i="2"/>
  <c r="DL142" i="2"/>
  <c r="DM162" i="3"/>
  <c r="DM154" i="3"/>
  <c r="DM156" i="3" s="1"/>
  <c r="DM158" i="3" s="1"/>
  <c r="ED313" i="3"/>
  <c r="ED174" i="3"/>
  <c r="ED182" i="3" s="1"/>
  <c r="ED226" i="3" s="1"/>
  <c r="ED177" i="3"/>
  <c r="FE182" i="5"/>
  <c r="FE226" i="5" s="1"/>
  <c r="EP182" i="5"/>
  <c r="EP226" i="5" s="1"/>
  <c r="EE142" i="2"/>
  <c r="BQ142" i="2"/>
  <c r="BH167" i="3"/>
  <c r="BH168" i="3" s="1"/>
  <c r="BH169" i="3" s="1"/>
  <c r="BH225" i="3" s="1"/>
  <c r="BH152" i="3"/>
  <c r="BH128" i="3"/>
  <c r="AS167" i="5"/>
  <c r="AS168" i="5" s="1"/>
  <c r="AS169" i="5" s="1"/>
  <c r="AS225" i="5" s="1"/>
  <c r="AS128" i="5"/>
  <c r="DA182" i="5"/>
  <c r="DA226" i="5" s="1"/>
  <c r="AF182" i="5"/>
  <c r="AF226" i="5" s="1"/>
  <c r="FU313" i="3"/>
  <c r="FU174" i="3"/>
  <c r="FU177" i="3"/>
  <c r="AC313" i="3"/>
  <c r="AC174" i="3"/>
  <c r="AC182" i="3" s="1"/>
  <c r="AC226" i="3" s="1"/>
  <c r="AC227" i="3" s="1"/>
  <c r="AC232" i="3" s="1"/>
  <c r="AC237" i="3" s="1"/>
  <c r="AC239" i="3" s="1"/>
  <c r="AC177" i="3"/>
  <c r="AU313" i="3"/>
  <c r="AU174" i="3"/>
  <c r="AU177" i="3"/>
  <c r="BA167" i="5"/>
  <c r="BA168" i="5" s="1"/>
  <c r="BA169" i="5" s="1"/>
  <c r="BA225" i="5" s="1"/>
  <c r="BA227" i="5" s="1"/>
  <c r="BA128" i="5"/>
  <c r="EZ124" i="5"/>
  <c r="BD313" i="3"/>
  <c r="BD174" i="3"/>
  <c r="BD177" i="3"/>
  <c r="CI313" i="3"/>
  <c r="CI174" i="3"/>
  <c r="CI177" i="3"/>
  <c r="L313" i="3"/>
  <c r="L174" i="3"/>
  <c r="L182" i="3" s="1"/>
  <c r="L226" i="3" s="1"/>
  <c r="L227" i="3" s="1"/>
  <c r="L177" i="3"/>
  <c r="AH167" i="5"/>
  <c r="AH168" i="5" s="1"/>
  <c r="AH169" i="5" s="1"/>
  <c r="AH225" i="5" s="1"/>
  <c r="AH227" i="5" s="1"/>
  <c r="AH128" i="5"/>
  <c r="FE142" i="2"/>
  <c r="FM142" i="2"/>
  <c r="DD182" i="5"/>
  <c r="DD226" i="5" s="1"/>
  <c r="EO182" i="5"/>
  <c r="EO226" i="5" s="1"/>
  <c r="DJ313" i="3"/>
  <c r="DJ174" i="3"/>
  <c r="DJ177" i="3"/>
  <c r="EC313" i="3"/>
  <c r="EC174" i="3"/>
  <c r="EC182" i="3" s="1"/>
  <c r="EC226" i="3" s="1"/>
  <c r="EC177" i="3"/>
  <c r="BX182" i="5"/>
  <c r="BX226" i="5" s="1"/>
  <c r="M142" i="2"/>
  <c r="EA142" i="2"/>
  <c r="AG142" i="2"/>
  <c r="BN167" i="5"/>
  <c r="BN168" i="5" s="1"/>
  <c r="BN169" i="5" s="1"/>
  <c r="BN225" i="5" s="1"/>
  <c r="BN227" i="5" s="1"/>
  <c r="BN128" i="5"/>
  <c r="AE167" i="5"/>
  <c r="AE168" i="5" s="1"/>
  <c r="AE169" i="5" s="1"/>
  <c r="AE225" i="5" s="1"/>
  <c r="AE227" i="5" s="1"/>
  <c r="AE128" i="5"/>
  <c r="AE150" i="5"/>
  <c r="AE162" i="5" s="1"/>
  <c r="CD182" i="5"/>
  <c r="CD226" i="5" s="1"/>
  <c r="BO313" i="3"/>
  <c r="BO174" i="3"/>
  <c r="BO182" i="3" s="1"/>
  <c r="BO226" i="3" s="1"/>
  <c r="BO177" i="3"/>
  <c r="CH313" i="3"/>
  <c r="CH174" i="3"/>
  <c r="CH177" i="3"/>
  <c r="AS167" i="3"/>
  <c r="AS168" i="3" s="1"/>
  <c r="AS169" i="3" s="1"/>
  <c r="AS225" i="3" s="1"/>
  <c r="AS128" i="3"/>
  <c r="AS152" i="3"/>
  <c r="FB182" i="5"/>
  <c r="FB226" i="5" s="1"/>
  <c r="FB227" i="5" s="1"/>
  <c r="DY182" i="5"/>
  <c r="DY226" i="5" s="1"/>
  <c r="BO193" i="3"/>
  <c r="BO197" i="3" s="1"/>
  <c r="BO199" i="3" s="1"/>
  <c r="CJ182" i="5"/>
  <c r="CJ226" i="5" s="1"/>
  <c r="CJ227" i="5" s="1"/>
  <c r="Q167" i="5"/>
  <c r="Q168" i="5" s="1"/>
  <c r="Q169" i="5" s="1"/>
  <c r="Q225" i="5" s="1"/>
  <c r="Q227" i="5" s="1"/>
  <c r="Q128" i="5"/>
  <c r="G167" i="3"/>
  <c r="G168" i="3" s="1"/>
  <c r="G169" i="3" s="1"/>
  <c r="G225" i="3" s="1"/>
  <c r="G152" i="3"/>
  <c r="G128" i="3"/>
  <c r="D108" i="4"/>
  <c r="D111" i="4"/>
  <c r="EP142" i="2"/>
  <c r="BH209" i="5"/>
  <c r="BH267" i="5"/>
  <c r="DX313" i="3"/>
  <c r="DX174" i="3"/>
  <c r="DX182" i="3" s="1"/>
  <c r="DX226" i="3" s="1"/>
  <c r="DX177" i="3"/>
  <c r="AV313" i="3"/>
  <c r="AV174" i="3"/>
  <c r="AV177" i="3"/>
  <c r="U167" i="5"/>
  <c r="U168" i="5" s="1"/>
  <c r="U169" i="5" s="1"/>
  <c r="U225" i="5" s="1"/>
  <c r="U227" i="5" s="1"/>
  <c r="U150" i="5"/>
  <c r="U162" i="5" s="1"/>
  <c r="U128" i="5"/>
  <c r="AA313" i="3"/>
  <c r="AA174" i="3"/>
  <c r="AA182" i="3" s="1"/>
  <c r="AA226" i="3" s="1"/>
  <c r="AA177" i="3"/>
  <c r="CP142" i="2"/>
  <c r="BV182" i="5"/>
  <c r="BV226" i="5" s="1"/>
  <c r="EB209" i="5"/>
  <c r="EB267" i="5"/>
  <c r="EL267" i="3"/>
  <c r="EL209" i="3"/>
  <c r="EQ209" i="5"/>
  <c r="EQ267" i="5"/>
  <c r="DT182" i="5"/>
  <c r="DT226" i="5" s="1"/>
  <c r="BS182" i="5"/>
  <c r="BS226" i="5" s="1"/>
  <c r="DL313" i="3"/>
  <c r="DL174" i="3"/>
  <c r="DL182" i="3" s="1"/>
  <c r="DL226" i="3" s="1"/>
  <c r="DL177" i="3"/>
  <c r="EQ313" i="3"/>
  <c r="EQ174" i="3"/>
  <c r="EQ182" i="3" s="1"/>
  <c r="EQ226" i="3" s="1"/>
  <c r="EQ227" i="3" s="1"/>
  <c r="EQ232" i="3" s="1"/>
  <c r="EQ237" i="3" s="1"/>
  <c r="EQ239" i="3" s="1"/>
  <c r="EQ177" i="3"/>
  <c r="FX313" i="3"/>
  <c r="FX174" i="3"/>
  <c r="FX182" i="3" s="1"/>
  <c r="FX226" i="3" s="1"/>
  <c r="FX177" i="3"/>
  <c r="AU167" i="5"/>
  <c r="AU168" i="5" s="1"/>
  <c r="AU169" i="5" s="1"/>
  <c r="AU225" i="5" s="1"/>
  <c r="AU227" i="5" s="1"/>
  <c r="AU150" i="5"/>
  <c r="AU162" i="5" s="1"/>
  <c r="AU128" i="5"/>
  <c r="EI313" i="3"/>
  <c r="EI174" i="3"/>
  <c r="EI182" i="3" s="1"/>
  <c r="EI226" i="3" s="1"/>
  <c r="EI177" i="3"/>
  <c r="EV167" i="5"/>
  <c r="EV168" i="5" s="1"/>
  <c r="EV169" i="5" s="1"/>
  <c r="EV225" i="5" s="1"/>
  <c r="EV128" i="5"/>
  <c r="EV150" i="5"/>
  <c r="EV162" i="5" s="1"/>
  <c r="DS124" i="5"/>
  <c r="BB167" i="5"/>
  <c r="BB168" i="5" s="1"/>
  <c r="BB169" i="5" s="1"/>
  <c r="BB225" i="5" s="1"/>
  <c r="BB227" i="5" s="1"/>
  <c r="BB128" i="5"/>
  <c r="AY142" i="2"/>
  <c r="FG313" i="3"/>
  <c r="FG174" i="3"/>
  <c r="FG182" i="3" s="1"/>
  <c r="FG226" i="3" s="1"/>
  <c r="FG177" i="3"/>
  <c r="O313" i="3"/>
  <c r="O174" i="3"/>
  <c r="O177" i="3"/>
  <c r="BT313" i="3"/>
  <c r="BT174" i="3"/>
  <c r="BT177" i="3"/>
  <c r="R167" i="3"/>
  <c r="R168" i="3" s="1"/>
  <c r="R169" i="3" s="1"/>
  <c r="R225" i="3" s="1"/>
  <c r="R128" i="3"/>
  <c r="R156" i="3"/>
  <c r="R158" i="3" s="1"/>
  <c r="EB186" i="5"/>
  <c r="EB187" i="5" s="1"/>
  <c r="EB188" i="5" s="1"/>
  <c r="EL146" i="3"/>
  <c r="EL148" i="3" s="1"/>
  <c r="EQ186" i="5"/>
  <c r="EQ187" i="5" s="1"/>
  <c r="EQ188" i="5" s="1"/>
  <c r="BB142" i="2"/>
  <c r="BV142" i="2"/>
  <c r="FM186" i="3"/>
  <c r="FM187" i="3" s="1"/>
  <c r="FM188" i="3" s="1"/>
  <c r="DS167" i="3"/>
  <c r="DS168" i="3" s="1"/>
  <c r="DS169" i="3" s="1"/>
  <c r="DS225" i="3" s="1"/>
  <c r="DS128" i="3"/>
  <c r="DS156" i="3"/>
  <c r="DS158" i="3" s="1"/>
  <c r="AK182" i="5"/>
  <c r="AK226" i="5" s="1"/>
  <c r="BJ142" i="2"/>
  <c r="FL182" i="5"/>
  <c r="FL226" i="5" s="1"/>
  <c r="FN167" i="3"/>
  <c r="FN168" i="3" s="1"/>
  <c r="FN169" i="3" s="1"/>
  <c r="FN225" i="3" s="1"/>
  <c r="FN156" i="3"/>
  <c r="FN158" i="3" s="1"/>
  <c r="FN128" i="3"/>
  <c r="H182" i="5"/>
  <c r="H226" i="5" s="1"/>
  <c r="FB313" i="3"/>
  <c r="FB174" i="3"/>
  <c r="FB182" i="3" s="1"/>
  <c r="FB226" i="3" s="1"/>
  <c r="FB177" i="3"/>
  <c r="AI167" i="5"/>
  <c r="AI168" i="5" s="1"/>
  <c r="AI169" i="5" s="1"/>
  <c r="AI225" i="5" s="1"/>
  <c r="AI227" i="5" s="1"/>
  <c r="AI150" i="5"/>
  <c r="AI162" i="5" s="1"/>
  <c r="AI128" i="5"/>
  <c r="AX142" i="2"/>
  <c r="CD142" i="2"/>
  <c r="BF182" i="5"/>
  <c r="BF226" i="5" s="1"/>
  <c r="O182" i="5"/>
  <c r="O226" i="5" s="1"/>
  <c r="CY167" i="3"/>
  <c r="CY168" i="3" s="1"/>
  <c r="CY169" i="3" s="1"/>
  <c r="CY225" i="3" s="1"/>
  <c r="CY150" i="3"/>
  <c r="CY128" i="3"/>
  <c r="BE313" i="3"/>
  <c r="BE174" i="3"/>
  <c r="BE182" i="3" s="1"/>
  <c r="BE226" i="3" s="1"/>
  <c r="BE177" i="3"/>
  <c r="CJ313" i="3"/>
  <c r="CJ174" i="3"/>
  <c r="CJ177" i="3"/>
  <c r="FT124" i="5"/>
  <c r="DK182" i="5"/>
  <c r="DK226" i="5" s="1"/>
  <c r="DH142" i="2"/>
  <c r="T182" i="5"/>
  <c r="T226" i="5" s="1"/>
  <c r="EJ167" i="3"/>
  <c r="EJ168" i="3" s="1"/>
  <c r="EJ169" i="3" s="1"/>
  <c r="EJ225" i="3" s="1"/>
  <c r="EJ128" i="3"/>
  <c r="EJ156" i="3"/>
  <c r="EJ158" i="3" s="1"/>
  <c r="ET313" i="3"/>
  <c r="ET174" i="3"/>
  <c r="ET177" i="3"/>
  <c r="FM313" i="3"/>
  <c r="FM174" i="3"/>
  <c r="FM182" i="3" s="1"/>
  <c r="FM226" i="3" s="1"/>
  <c r="FM177" i="3"/>
  <c r="CR167" i="3"/>
  <c r="CR168" i="3" s="1"/>
  <c r="CR169" i="3" s="1"/>
  <c r="CR225" i="3" s="1"/>
  <c r="CR150" i="3"/>
  <c r="CR162" i="3" s="1"/>
  <c r="CR128" i="3"/>
  <c r="AP182" i="5"/>
  <c r="AP226" i="5" s="1"/>
  <c r="CX167" i="5"/>
  <c r="CX168" i="5" s="1"/>
  <c r="CX169" i="5" s="1"/>
  <c r="CX225" i="5" s="1"/>
  <c r="CX227" i="5" s="1"/>
  <c r="CX128" i="5"/>
  <c r="EY167" i="3"/>
  <c r="EY168" i="3" s="1"/>
  <c r="EY169" i="3" s="1"/>
  <c r="EY225" i="3" s="1"/>
  <c r="EY128" i="3"/>
  <c r="EY156" i="3"/>
  <c r="EY158" i="3" s="1"/>
  <c r="D138" i="4"/>
  <c r="D139" i="4" s="1"/>
  <c r="D137" i="4"/>
  <c r="M182" i="5"/>
  <c r="M226" i="5" s="1"/>
  <c r="BT167" i="3"/>
  <c r="BT168" i="3" s="1"/>
  <c r="BT169" i="3" s="1"/>
  <c r="BT225" i="3" s="1"/>
  <c r="BT150" i="3"/>
  <c r="BT162" i="3" s="1"/>
  <c r="BT128" i="3"/>
  <c r="BA167" i="3"/>
  <c r="BA168" i="3" s="1"/>
  <c r="BA169" i="3" s="1"/>
  <c r="BA225" i="3" s="1"/>
  <c r="BA128" i="3"/>
  <c r="BA156" i="3"/>
  <c r="BA158" i="3" s="1"/>
  <c r="BN167" i="3"/>
  <c r="BN168" i="3" s="1"/>
  <c r="BN169" i="3" s="1"/>
  <c r="BN225" i="3" s="1"/>
  <c r="BN128" i="3"/>
  <c r="BN156" i="3"/>
  <c r="BN158" i="3" s="1"/>
  <c r="G142" i="2"/>
  <c r="CI142" i="2"/>
  <c r="CV167" i="5"/>
  <c r="CV168" i="5" s="1"/>
  <c r="CV169" i="5" s="1"/>
  <c r="CV225" i="5" s="1"/>
  <c r="CV227" i="5" s="1"/>
  <c r="CV128" i="5"/>
  <c r="CV150" i="5"/>
  <c r="CV162" i="5" s="1"/>
  <c r="BH182" i="5"/>
  <c r="BH226" i="5" s="1"/>
  <c r="FH167" i="5"/>
  <c r="FH168" i="5" s="1"/>
  <c r="FH169" i="5" s="1"/>
  <c r="FH225" i="5" s="1"/>
  <c r="FH227" i="5" s="1"/>
  <c r="FH128" i="5"/>
  <c r="FH150" i="5"/>
  <c r="FH162" i="5" s="1"/>
  <c r="DF182" i="5"/>
  <c r="DF226" i="5" s="1"/>
  <c r="DF227" i="5" s="1"/>
  <c r="CL313" i="3"/>
  <c r="CL174" i="3"/>
  <c r="CL182" i="3" s="1"/>
  <c r="CL226" i="3" s="1"/>
  <c r="CL177" i="3"/>
  <c r="DE313" i="3"/>
  <c r="DE174" i="3"/>
  <c r="DE182" i="3" s="1"/>
  <c r="DE226" i="3" s="1"/>
  <c r="DE177" i="3"/>
  <c r="BV167" i="5"/>
  <c r="BV168" i="5" s="1"/>
  <c r="BV169" i="5" s="1"/>
  <c r="BV225" i="5" s="1"/>
  <c r="BV227" i="5" s="1"/>
  <c r="BV128" i="5"/>
  <c r="EH182" i="5"/>
  <c r="EH226" i="5" s="1"/>
  <c r="FV142" i="2"/>
  <c r="AY150" i="5"/>
  <c r="AY162" i="5" s="1"/>
  <c r="DW142" i="2"/>
  <c r="BK142" i="2"/>
  <c r="H313" i="3"/>
  <c r="H174" i="3"/>
  <c r="H182" i="3" s="1"/>
  <c r="H226" i="3" s="1"/>
  <c r="H177" i="3"/>
  <c r="AM313" i="3"/>
  <c r="AM174" i="3"/>
  <c r="AM177" i="3"/>
  <c r="DD313" i="3"/>
  <c r="DD174" i="3"/>
  <c r="DD177" i="3"/>
  <c r="EW167" i="3"/>
  <c r="EW168" i="3" s="1"/>
  <c r="EW169" i="3" s="1"/>
  <c r="EW225" i="3" s="1"/>
  <c r="EW227" i="3" s="1"/>
  <c r="EW232" i="3" s="1"/>
  <c r="EW237" i="3" s="1"/>
  <c r="EW239" i="3" s="1"/>
  <c r="EW152" i="3"/>
  <c r="EW128" i="3"/>
  <c r="FF313" i="3"/>
  <c r="FF174" i="3"/>
  <c r="FF182" i="3" s="1"/>
  <c r="FF226" i="3" s="1"/>
  <c r="FF227" i="3" s="1"/>
  <c r="FF232" i="3" s="1"/>
  <c r="FF237" i="3" s="1"/>
  <c r="FF239" i="3" s="1"/>
  <c r="FF177" i="3"/>
  <c r="BJ167" i="3"/>
  <c r="BJ168" i="3" s="1"/>
  <c r="BJ169" i="3" s="1"/>
  <c r="BJ225" i="3" s="1"/>
  <c r="BJ152" i="3"/>
  <c r="BJ128" i="3"/>
  <c r="BE142" i="2"/>
  <c r="CN167" i="5"/>
  <c r="CN168" i="5" s="1"/>
  <c r="CN169" i="5" s="1"/>
  <c r="CN225" i="5" s="1"/>
  <c r="CN128" i="5"/>
  <c r="FC313" i="3"/>
  <c r="FC174" i="3"/>
  <c r="FC182" i="3" s="1"/>
  <c r="FC226" i="3" s="1"/>
  <c r="FC227" i="3" s="1"/>
  <c r="FC232" i="3" s="1"/>
  <c r="FC237" i="3" s="1"/>
  <c r="FC239" i="3" s="1"/>
  <c r="FC177" i="3"/>
  <c r="CF167" i="3"/>
  <c r="CF168" i="3" s="1"/>
  <c r="CF169" i="3" s="1"/>
  <c r="CF225" i="3" s="1"/>
  <c r="CF150" i="3"/>
  <c r="CF128" i="3"/>
  <c r="FM200" i="3"/>
  <c r="FM201" i="3"/>
  <c r="FM229" i="3" s="1"/>
  <c r="FM193" i="3"/>
  <c r="FM195" i="3"/>
  <c r="FM197" i="3"/>
  <c r="FM199" i="3"/>
  <c r="FI167" i="3"/>
  <c r="FI168" i="3" s="1"/>
  <c r="FI169" i="3" s="1"/>
  <c r="FI225" i="3" s="1"/>
  <c r="FI128" i="3"/>
  <c r="FI156" i="3"/>
  <c r="FI158" i="3" s="1"/>
  <c r="EU313" i="3"/>
  <c r="EU174" i="3"/>
  <c r="EU182" i="3" s="1"/>
  <c r="EU226" i="3" s="1"/>
  <c r="EU177" i="3"/>
  <c r="BH313" i="3"/>
  <c r="BH174" i="3"/>
  <c r="BH182" i="3" s="1"/>
  <c r="BH226" i="3" s="1"/>
  <c r="BH177" i="3"/>
  <c r="BW124" i="5"/>
  <c r="BQ167" i="3"/>
  <c r="BQ168" i="3" s="1"/>
  <c r="BQ169" i="3" s="1"/>
  <c r="BQ225" i="3" s="1"/>
  <c r="BQ156" i="3"/>
  <c r="BQ158" i="3" s="1"/>
  <c r="BQ128" i="3"/>
  <c r="H167" i="3"/>
  <c r="H168" i="3" s="1"/>
  <c r="H169" i="3" s="1"/>
  <c r="H225" i="3" s="1"/>
  <c r="H128" i="3"/>
  <c r="H152" i="3"/>
  <c r="FR313" i="3"/>
  <c r="FR174" i="3"/>
  <c r="FR177" i="3"/>
  <c r="N313" i="3"/>
  <c r="N174" i="3"/>
  <c r="N177" i="3"/>
  <c r="DU167" i="3"/>
  <c r="DU168" i="3" s="1"/>
  <c r="DU169" i="3" s="1"/>
  <c r="DU225" i="3" s="1"/>
  <c r="DU150" i="3"/>
  <c r="DU128" i="3"/>
  <c r="CI167" i="3"/>
  <c r="CI168" i="3" s="1"/>
  <c r="CI169" i="3" s="1"/>
  <c r="CI225" i="3" s="1"/>
  <c r="CI156" i="3"/>
  <c r="CI158" i="3" s="1"/>
  <c r="CI128" i="3"/>
  <c r="C226" i="5"/>
  <c r="CH167" i="3"/>
  <c r="CH168" i="3" s="1"/>
  <c r="CH169" i="3" s="1"/>
  <c r="CH225" i="3" s="1"/>
  <c r="CH150" i="3"/>
  <c r="CH128" i="3"/>
  <c r="FL313" i="3"/>
  <c r="FL174" i="3"/>
  <c r="FL177" i="3"/>
  <c r="BB167" i="3"/>
  <c r="BB168" i="3" s="1"/>
  <c r="BB169" i="3" s="1"/>
  <c r="BB225" i="3" s="1"/>
  <c r="BB156" i="3"/>
  <c r="BB158" i="3" s="1"/>
  <c r="BB128" i="3"/>
  <c r="AL142" i="2"/>
  <c r="O209" i="5"/>
  <c r="O267" i="5"/>
  <c r="DQ167" i="5"/>
  <c r="DQ168" i="5" s="1"/>
  <c r="DQ169" i="5" s="1"/>
  <c r="DQ225" i="5" s="1"/>
  <c r="DQ227" i="5" s="1"/>
  <c r="DQ128" i="5"/>
  <c r="FZ177" i="5"/>
  <c r="Y167" i="5"/>
  <c r="Y168" i="5" s="1"/>
  <c r="Y169" i="5" s="1"/>
  <c r="Y225" i="5" s="1"/>
  <c r="Y227" i="5" s="1"/>
  <c r="Y128" i="5"/>
  <c r="BL167" i="5"/>
  <c r="BL168" i="5" s="1"/>
  <c r="BL169" i="5" s="1"/>
  <c r="BL225" i="5" s="1"/>
  <c r="BL150" i="5"/>
  <c r="BL162" i="5" s="1"/>
  <c r="BL128" i="5"/>
  <c r="AO142" i="2"/>
  <c r="AW142" i="2"/>
  <c r="FK142" i="2"/>
  <c r="FF167" i="5"/>
  <c r="FF168" i="5" s="1"/>
  <c r="FF169" i="5" s="1"/>
  <c r="FF225" i="5" s="1"/>
  <c r="FF227" i="5" s="1"/>
  <c r="FF150" i="5"/>
  <c r="FF162" i="5" s="1"/>
  <c r="FF128" i="5"/>
  <c r="AG313" i="3"/>
  <c r="AG174" i="3"/>
  <c r="AG177" i="3"/>
  <c r="BL313" i="3"/>
  <c r="BL174" i="3"/>
  <c r="BL177" i="3"/>
  <c r="CD313" i="3"/>
  <c r="CD174" i="3"/>
  <c r="CD177" i="3"/>
  <c r="DP167" i="3"/>
  <c r="DP168" i="3" s="1"/>
  <c r="DP169" i="3" s="1"/>
  <c r="DP225" i="3" s="1"/>
  <c r="DP150" i="3"/>
  <c r="DP162" i="3" s="1"/>
  <c r="DP128" i="3"/>
  <c r="C86" i="4"/>
  <c r="C102" i="4"/>
  <c r="C103" i="4" s="1"/>
  <c r="C95" i="4"/>
  <c r="C98" i="4" s="1"/>
  <c r="C120" i="4"/>
  <c r="C121" i="4" s="1"/>
  <c r="C139" i="4"/>
  <c r="C127" i="4"/>
  <c r="CJ142" i="2"/>
  <c r="DP142" i="2"/>
  <c r="K142" i="2"/>
  <c r="CN142" i="2"/>
  <c r="FN167" i="5"/>
  <c r="FN168" i="5" s="1"/>
  <c r="FN169" i="5" s="1"/>
  <c r="FN225" i="5" s="1"/>
  <c r="FN227" i="5" s="1"/>
  <c r="FN128" i="5"/>
  <c r="ES167" i="5"/>
  <c r="ES168" i="5" s="1"/>
  <c r="ES169" i="5" s="1"/>
  <c r="ES225" i="5" s="1"/>
  <c r="ES150" i="5"/>
  <c r="ES162" i="5" s="1"/>
  <c r="ES128" i="5"/>
  <c r="CM313" i="3"/>
  <c r="CM174" i="3"/>
  <c r="CM182" i="3" s="1"/>
  <c r="CM226" i="3" s="1"/>
  <c r="CM177" i="3"/>
  <c r="DF313" i="3"/>
  <c r="DF174" i="3"/>
  <c r="DF177" i="3"/>
  <c r="AV167" i="5"/>
  <c r="AV168" i="5" s="1"/>
  <c r="AV169" i="5" s="1"/>
  <c r="AV225" i="5" s="1"/>
  <c r="AV227" i="5" s="1"/>
  <c r="AV150" i="5"/>
  <c r="AV162" i="5" s="1"/>
  <c r="AV128" i="5"/>
  <c r="FS142" i="2"/>
  <c r="ES313" i="3"/>
  <c r="ES174" i="3"/>
  <c r="ES182" i="3" s="1"/>
  <c r="ES226" i="3" s="1"/>
  <c r="ES177" i="3"/>
  <c r="FK313" i="3"/>
  <c r="FK174" i="3"/>
  <c r="FK182" i="3" s="1"/>
  <c r="FK226" i="3" s="1"/>
  <c r="FK177" i="3"/>
  <c r="DN167" i="5"/>
  <c r="DN168" i="5" s="1"/>
  <c r="DN169" i="5" s="1"/>
  <c r="DN225" i="5" s="1"/>
  <c r="DN227" i="5" s="1"/>
  <c r="DN128" i="5"/>
  <c r="DJ142" i="2"/>
  <c r="EU167" i="3"/>
  <c r="EU168" i="3" s="1"/>
  <c r="EU169" i="3" s="1"/>
  <c r="EU225" i="3" s="1"/>
  <c r="EU156" i="3"/>
  <c r="EU158" i="3" s="1"/>
  <c r="EU128" i="3"/>
  <c r="D167" i="5"/>
  <c r="D168" i="5" s="1"/>
  <c r="D169" i="5" s="1"/>
  <c r="D225" i="5" s="1"/>
  <c r="D128" i="5"/>
  <c r="CX313" i="3"/>
  <c r="CX174" i="3"/>
  <c r="CX177" i="3"/>
  <c r="DQ313" i="3"/>
  <c r="DQ174" i="3"/>
  <c r="DQ177" i="3"/>
  <c r="EI167" i="5"/>
  <c r="EI168" i="5" s="1"/>
  <c r="EI169" i="5" s="1"/>
  <c r="EI225" i="5" s="1"/>
  <c r="EI227" i="5" s="1"/>
  <c r="EI128" i="5"/>
  <c r="BW142" i="2"/>
  <c r="EE167" i="3"/>
  <c r="EE168" i="3" s="1"/>
  <c r="EE169" i="3" s="1"/>
  <c r="EE225" i="3" s="1"/>
  <c r="EE150" i="3"/>
  <c r="EE128" i="3"/>
  <c r="AY209" i="5"/>
  <c r="AY267" i="5"/>
  <c r="CI182" i="5"/>
  <c r="CI226" i="5" s="1"/>
  <c r="CI227" i="5" s="1"/>
  <c r="C136" i="2"/>
  <c r="C80" i="2"/>
  <c r="FZ80" i="2" s="1"/>
  <c r="FZ79" i="2"/>
  <c r="C97" i="2"/>
  <c r="C98" i="2" s="1"/>
  <c r="DI142" i="2"/>
  <c r="DR182" i="5"/>
  <c r="DR226" i="5" s="1"/>
  <c r="BD182" i="5"/>
  <c r="BD226" i="5" s="1"/>
  <c r="CZ167" i="5"/>
  <c r="CZ168" i="5" s="1"/>
  <c r="CZ169" i="5" s="1"/>
  <c r="CZ225" i="5" s="1"/>
  <c r="CZ227" i="5" s="1"/>
  <c r="CZ128" i="5"/>
  <c r="ER167" i="5"/>
  <c r="ER168" i="5" s="1"/>
  <c r="ER169" i="5" s="1"/>
  <c r="ER225" i="5" s="1"/>
  <c r="ER227" i="5" s="1"/>
  <c r="ER128" i="5"/>
  <c r="ER150" i="5"/>
  <c r="ER162" i="5" s="1"/>
  <c r="FO186" i="5"/>
  <c r="FO187" i="5" s="1"/>
  <c r="FO188" i="5" s="1"/>
  <c r="AS313" i="3"/>
  <c r="AS174" i="3"/>
  <c r="AS177" i="3"/>
  <c r="CP313" i="3"/>
  <c r="CP174" i="3"/>
  <c r="CP177" i="3"/>
  <c r="CV142" i="2"/>
  <c r="CA167" i="5"/>
  <c r="CA168" i="5" s="1"/>
  <c r="CA169" i="5" s="1"/>
  <c r="CA225" i="5" s="1"/>
  <c r="CA227" i="5" s="1"/>
  <c r="CA128" i="5"/>
  <c r="CA150" i="5"/>
  <c r="CA162" i="5" s="1"/>
  <c r="BP167" i="5"/>
  <c r="BP168" i="5" s="1"/>
  <c r="BP169" i="5" s="1"/>
  <c r="BP225" i="5" s="1"/>
  <c r="BP227" i="5" s="1"/>
  <c r="BP128" i="5"/>
  <c r="BP150" i="5"/>
  <c r="BP162" i="5" s="1"/>
  <c r="FD142" i="2"/>
  <c r="CE142" i="2"/>
  <c r="FH142" i="2"/>
  <c r="S313" i="3"/>
  <c r="S174" i="3"/>
  <c r="S177" i="3"/>
  <c r="AL313" i="3"/>
  <c r="AL174" i="3"/>
  <c r="AL182" i="3" s="1"/>
  <c r="AL226" i="3" s="1"/>
  <c r="AL227" i="3" s="1"/>
  <c r="AL232" i="3" s="1"/>
  <c r="AL237" i="3" s="1"/>
  <c r="AL239" i="3" s="1"/>
  <c r="AL177" i="3"/>
  <c r="EL124" i="3"/>
  <c r="EL193" i="3" s="1"/>
  <c r="EL197" i="3" s="1"/>
  <c r="EL199" i="3" s="1"/>
  <c r="FP167" i="3"/>
  <c r="FP168" i="3" s="1"/>
  <c r="FP169" i="3" s="1"/>
  <c r="FP225" i="3" s="1"/>
  <c r="FP128" i="3"/>
  <c r="FP156" i="3"/>
  <c r="FP158" i="3" s="1"/>
  <c r="FM209" i="3"/>
  <c r="FM267" i="3"/>
  <c r="CM167" i="5"/>
  <c r="CM168" i="5" s="1"/>
  <c r="CM169" i="5" s="1"/>
  <c r="CM225" i="5" s="1"/>
  <c r="CM227" i="5" s="1"/>
  <c r="CM128" i="5"/>
  <c r="CO182" i="5"/>
  <c r="CO226" i="5" s="1"/>
  <c r="FN313" i="3"/>
  <c r="FN174" i="3"/>
  <c r="FN177" i="3"/>
  <c r="CE167" i="3"/>
  <c r="CE168" i="3" s="1"/>
  <c r="CE169" i="3" s="1"/>
  <c r="CE225" i="3" s="1"/>
  <c r="CE128" i="3"/>
  <c r="CE150" i="3"/>
  <c r="CE162" i="3" s="1"/>
  <c r="CM142" i="2"/>
  <c r="FO142" i="2"/>
  <c r="X142" i="2"/>
  <c r="DA142" i="2"/>
  <c r="FJ142" i="2"/>
  <c r="CT167" i="3"/>
  <c r="CT168" i="3" s="1"/>
  <c r="CT169" i="3" s="1"/>
  <c r="CT225" i="3" s="1"/>
  <c r="CT128" i="3"/>
  <c r="CT150" i="3"/>
  <c r="CA142" i="2"/>
  <c r="FC142" i="2"/>
  <c r="L142" i="2"/>
  <c r="CO142" i="2"/>
  <c r="CS167" i="3"/>
  <c r="CS168" i="3" s="1"/>
  <c r="CS169" i="3" s="1"/>
  <c r="CS225" i="3" s="1"/>
  <c r="CS150" i="3"/>
  <c r="CS162" i="3" s="1"/>
  <c r="CS128" i="3"/>
  <c r="AT182" i="5"/>
  <c r="AT226" i="5" s="1"/>
  <c r="AT227" i="5" s="1"/>
  <c r="G182" i="5"/>
  <c r="G226" i="5" s="1"/>
  <c r="BO182" i="5"/>
  <c r="BO226" i="5" s="1"/>
  <c r="CN313" i="3"/>
  <c r="CN174" i="3"/>
  <c r="CN182" i="3" s="1"/>
  <c r="CN226" i="3" s="1"/>
  <c r="CN177" i="3"/>
  <c r="DS313" i="3"/>
  <c r="DS174" i="3"/>
  <c r="DS177" i="3"/>
  <c r="R142" i="2"/>
  <c r="O186" i="5"/>
  <c r="O187" i="5" s="1"/>
  <c r="O188" i="5"/>
  <c r="BR162" i="3"/>
  <c r="D182" i="5"/>
  <c r="D226" i="5" s="1"/>
  <c r="F313" i="3"/>
  <c r="F174" i="3"/>
  <c r="F182" i="3" s="1"/>
  <c r="F226" i="3" s="1"/>
  <c r="F177" i="3"/>
  <c r="Y313" i="3"/>
  <c r="Y174" i="3"/>
  <c r="Y182" i="3" s="1"/>
  <c r="Y226" i="3" s="1"/>
  <c r="Y177" i="3"/>
  <c r="DZ182" i="5"/>
  <c r="DZ226" i="5" s="1"/>
  <c r="FR182" i="5"/>
  <c r="FR226" i="5" s="1"/>
  <c r="BE167" i="3"/>
  <c r="BE168" i="3" s="1"/>
  <c r="BE169" i="3" s="1"/>
  <c r="BE225" i="3" s="1"/>
  <c r="BE128" i="3"/>
  <c r="BE152" i="3"/>
  <c r="DE167" i="5"/>
  <c r="DE168" i="5" s="1"/>
  <c r="DE169" i="5" s="1"/>
  <c r="DE225" i="5" s="1"/>
  <c r="DE227" i="5" s="1"/>
  <c r="DE150" i="5"/>
  <c r="DE162" i="5" s="1"/>
  <c r="DE128" i="5"/>
  <c r="FX182" i="5"/>
  <c r="FX226" i="5" s="1"/>
  <c r="DJ167" i="3"/>
  <c r="DJ168" i="3" s="1"/>
  <c r="DJ169" i="3" s="1"/>
  <c r="DJ225" i="3" s="1"/>
  <c r="DJ156" i="3"/>
  <c r="DJ158" i="3" s="1"/>
  <c r="DJ128" i="3"/>
  <c r="CP193" i="3"/>
  <c r="CP197" i="3" s="1"/>
  <c r="CP199" i="3" s="1"/>
  <c r="D95" i="4"/>
  <c r="D120" i="4"/>
  <c r="D121" i="4" s="1"/>
  <c r="D102" i="4"/>
  <c r="D86" i="4"/>
  <c r="FQ142" i="2"/>
  <c r="AO167" i="5"/>
  <c r="AO168" i="5" s="1"/>
  <c r="AO169" i="5" s="1"/>
  <c r="AO225" i="5" s="1"/>
  <c r="AO128" i="5"/>
  <c r="AH167" i="3"/>
  <c r="AH168" i="3" s="1"/>
  <c r="AH169" i="3" s="1"/>
  <c r="AH225" i="3" s="1"/>
  <c r="AH128" i="3"/>
  <c r="AH156" i="3"/>
  <c r="AH158" i="3" s="1"/>
  <c r="DG142" i="2"/>
  <c r="AS142" i="2"/>
  <c r="EU193" i="3"/>
  <c r="EU197" i="3" s="1"/>
  <c r="EU199" i="3" s="1"/>
  <c r="AS182" i="5"/>
  <c r="AS226" i="5" s="1"/>
  <c r="ED142" i="2"/>
  <c r="AP167" i="3"/>
  <c r="AP168" i="3" s="1"/>
  <c r="AP169" i="3" s="1"/>
  <c r="E2" i="1" a="1"/>
  <c r="E2" i="1" s="1"/>
  <c r="AP128" i="3"/>
  <c r="AP156" i="3"/>
  <c r="AP158" i="3" s="1"/>
  <c r="EH167" i="5"/>
  <c r="EH168" i="5" s="1"/>
  <c r="EH169" i="5" s="1"/>
  <c r="EH225" i="5" s="1"/>
  <c r="EH150" i="5"/>
  <c r="EH162" i="5" s="1"/>
  <c r="EH128" i="5"/>
  <c r="EK167" i="3"/>
  <c r="EK168" i="3" s="1"/>
  <c r="EK169" i="3" s="1"/>
  <c r="EK225" i="3" s="1"/>
  <c r="EK128" i="3"/>
  <c r="EK152" i="3"/>
  <c r="DO142" i="2"/>
  <c r="U142" i="2"/>
  <c r="DS182" i="5"/>
  <c r="DS226" i="5" s="1"/>
  <c r="V167" i="5"/>
  <c r="V168" i="5" s="1"/>
  <c r="V169" i="5" s="1"/>
  <c r="V225" i="5" s="1"/>
  <c r="V227" i="5" s="1"/>
  <c r="V150" i="5"/>
  <c r="V162" i="5" s="1"/>
  <c r="V128" i="5"/>
  <c r="EX167" i="3"/>
  <c r="EX168" i="3" s="1"/>
  <c r="EX169" i="3" s="1"/>
  <c r="EX225" i="3" s="1"/>
  <c r="EX150" i="3"/>
  <c r="EX128" i="3"/>
  <c r="BG167" i="5"/>
  <c r="BG168" i="5" s="1"/>
  <c r="BG169" i="5" s="1"/>
  <c r="BG225" i="5" s="1"/>
  <c r="BG227" i="5" s="1"/>
  <c r="BG128" i="5"/>
  <c r="DU313" i="3"/>
  <c r="DU174" i="3"/>
  <c r="DU177" i="3"/>
  <c r="EM313" i="3"/>
  <c r="EM174" i="3"/>
  <c r="EM177" i="3"/>
  <c r="EP167" i="5"/>
  <c r="EP168" i="5" s="1"/>
  <c r="EP169" i="5" s="1"/>
  <c r="EP225" i="5" s="1"/>
  <c r="EP227" i="5" s="1"/>
  <c r="EP150" i="5"/>
  <c r="EP162" i="5" s="1"/>
  <c r="EP128" i="5"/>
  <c r="FZ133" i="2"/>
  <c r="GB133" i="2" s="1"/>
  <c r="BH142" i="2"/>
  <c r="AF142" i="2"/>
  <c r="AQ313" i="3"/>
  <c r="AQ174" i="3"/>
  <c r="AQ182" i="3" s="1"/>
  <c r="AQ226" i="3" s="1"/>
  <c r="AQ177" i="3"/>
  <c r="BJ313" i="3"/>
  <c r="BJ174" i="3"/>
  <c r="BJ177" i="3"/>
  <c r="FV167" i="5"/>
  <c r="FV168" i="5" s="1"/>
  <c r="FV169" i="5" s="1"/>
  <c r="FV225" i="5" s="1"/>
  <c r="FV227" i="5" s="1"/>
  <c r="FV128" i="5"/>
  <c r="K167" i="5"/>
  <c r="K168" i="5" s="1"/>
  <c r="K169" i="5" s="1"/>
  <c r="K225" i="5" s="1"/>
  <c r="K227" i="5" s="1"/>
  <c r="K128" i="5"/>
  <c r="K150" i="5"/>
  <c r="K162" i="5" s="1"/>
  <c r="BX313" i="3"/>
  <c r="BX174" i="3"/>
  <c r="BX182" i="3" s="1"/>
  <c r="BX226" i="3" s="1"/>
  <c r="BX177" i="3"/>
  <c r="ES142" i="2"/>
  <c r="AG167" i="3"/>
  <c r="AG168" i="3" s="1"/>
  <c r="AG169" i="3" s="1"/>
  <c r="AG225" i="3" s="1"/>
  <c r="AG128" i="3"/>
  <c r="AG152" i="3"/>
  <c r="AZ167" i="3"/>
  <c r="AZ168" i="3" s="1"/>
  <c r="AZ169" i="3" s="1"/>
  <c r="AZ225" i="3" s="1"/>
  <c r="AZ227" i="3" s="1"/>
  <c r="AZ128" i="3"/>
  <c r="AZ156" i="3"/>
  <c r="AZ158" i="3" s="1"/>
  <c r="T167" i="5"/>
  <c r="T168" i="5" s="1"/>
  <c r="T169" i="5" s="1"/>
  <c r="T225" i="5" s="1"/>
  <c r="T227" i="5" s="1"/>
  <c r="T150" i="5"/>
  <c r="T162" i="5" s="1"/>
  <c r="T128" i="5"/>
  <c r="AY167" i="3"/>
  <c r="AY168" i="3" s="1"/>
  <c r="AY169" i="3" s="1"/>
  <c r="AY225" i="3" s="1"/>
  <c r="AY128" i="3"/>
  <c r="AY150" i="3"/>
  <c r="ER142" i="2"/>
  <c r="AE313" i="3"/>
  <c r="AE174" i="3"/>
  <c r="AE182" i="3" s="1"/>
  <c r="AE226" i="3" s="1"/>
  <c r="AE177" i="3"/>
  <c r="AN167" i="5"/>
  <c r="AN168" i="5" s="1"/>
  <c r="AN169" i="5" s="1"/>
  <c r="AN225" i="5" s="1"/>
  <c r="AN227" i="5" s="1"/>
  <c r="AN150" i="5"/>
  <c r="AN162" i="5" s="1"/>
  <c r="AN128" i="5"/>
  <c r="H142" i="2"/>
  <c r="F182" i="5"/>
  <c r="F226" i="5" s="1"/>
  <c r="CT182" i="5"/>
  <c r="CT226" i="5" s="1"/>
  <c r="CT227" i="5" s="1"/>
  <c r="D142" i="2"/>
  <c r="AJ142" i="2"/>
  <c r="FM113" i="3"/>
  <c r="FM123" i="3" s="1"/>
  <c r="G313" i="3"/>
  <c r="G174" i="3"/>
  <c r="G182" i="3" s="1"/>
  <c r="G226" i="3" s="1"/>
  <c r="G177" i="3"/>
  <c r="Z313" i="3"/>
  <c r="Z174" i="3"/>
  <c r="Z177" i="3"/>
  <c r="EY167" i="5"/>
  <c r="EY168" i="5" s="1"/>
  <c r="EY169" i="5" s="1"/>
  <c r="EY225" i="5" s="1"/>
  <c r="EY227" i="5" s="1"/>
  <c r="EY128" i="5"/>
  <c r="AD313" i="3"/>
  <c r="AD174" i="3"/>
  <c r="AD182" i="3" s="1"/>
  <c r="AD226" i="3" s="1"/>
  <c r="AD177" i="3"/>
  <c r="AW313" i="3"/>
  <c r="AW174" i="3"/>
  <c r="AW182" i="3" s="1"/>
  <c r="AW226" i="3" s="1"/>
  <c r="AW177" i="3"/>
  <c r="BM142" i="2"/>
  <c r="EF167" i="5"/>
  <c r="EF168" i="5" s="1"/>
  <c r="EF169" i="5" s="1"/>
  <c r="EF225" i="5" s="1"/>
  <c r="EF227" i="5" s="1"/>
  <c r="EF128" i="5"/>
  <c r="CG182" i="5"/>
  <c r="CG226" i="5" s="1"/>
  <c r="FZ173" i="3"/>
  <c r="AK167" i="3"/>
  <c r="AK168" i="3" s="1"/>
  <c r="AK169" i="3" s="1"/>
  <c r="AK225" i="3" s="1"/>
  <c r="AK128" i="3"/>
  <c r="AK150" i="3"/>
  <c r="ET142" i="2"/>
  <c r="FN142" i="2"/>
  <c r="K182" i="5"/>
  <c r="K226" i="5" s="1"/>
  <c r="BP313" i="3"/>
  <c r="BP174" i="3"/>
  <c r="BP182" i="3" s="1"/>
  <c r="BP226" i="3" s="1"/>
  <c r="BP177" i="3"/>
  <c r="CU313" i="3"/>
  <c r="CU174" i="3"/>
  <c r="CU182" i="3" s="1"/>
  <c r="CU226" i="3" s="1"/>
  <c r="CU177" i="3"/>
  <c r="EZ313" i="3"/>
  <c r="EZ174" i="3"/>
  <c r="EZ182" i="3" s="1"/>
  <c r="EZ226" i="3" s="1"/>
  <c r="EZ177" i="3"/>
  <c r="E167" i="3"/>
  <c r="E168" i="3" s="1"/>
  <c r="E169" i="3" s="1"/>
  <c r="E225" i="3" s="1"/>
  <c r="E156" i="3"/>
  <c r="E158" i="3" s="1"/>
  <c r="E128" i="3"/>
  <c r="FT136" i="5"/>
  <c r="FZ18" i="5"/>
  <c r="N142" i="2"/>
  <c r="EN167" i="5"/>
  <c r="EN168" i="5" s="1"/>
  <c r="EN169" i="5" s="1"/>
  <c r="EN225" i="5" s="1"/>
  <c r="EN227" i="5" s="1"/>
  <c r="EN128" i="5"/>
  <c r="BQ193" i="3"/>
  <c r="BQ197" i="3" s="1"/>
  <c r="BQ199" i="3" s="1"/>
  <c r="EK167" i="5"/>
  <c r="EK168" i="5" s="1"/>
  <c r="EK169" i="5" s="1"/>
  <c r="EK225" i="5" s="1"/>
  <c r="EK227" i="5" s="1"/>
  <c r="EK128" i="5"/>
  <c r="DV313" i="3"/>
  <c r="DV174" i="3"/>
  <c r="DV177" i="3"/>
  <c r="EO313" i="3"/>
  <c r="EO174" i="3"/>
  <c r="EO182" i="3" s="1"/>
  <c r="EO226" i="3" s="1"/>
  <c r="EO177" i="3"/>
  <c r="BZ167" i="5"/>
  <c r="BZ168" i="5" s="1"/>
  <c r="BZ169" i="5" s="1"/>
  <c r="BZ225" i="5" s="1"/>
  <c r="BZ227" i="5" s="1"/>
  <c r="BZ128" i="5"/>
  <c r="BZ150" i="5"/>
  <c r="BZ162" i="5" s="1"/>
  <c r="EW313" i="3"/>
  <c r="EW174" i="3"/>
  <c r="EW182" i="3" s="1"/>
  <c r="EW226" i="3" s="1"/>
  <c r="EW177" i="3"/>
  <c r="E313" i="3"/>
  <c r="E174" i="3"/>
  <c r="E177" i="3"/>
  <c r="FZ177" i="3" s="1"/>
  <c r="W313" i="3"/>
  <c r="W174" i="3"/>
  <c r="W177" i="3"/>
  <c r="FE167" i="3"/>
  <c r="FE168" i="3" s="1"/>
  <c r="FE169" i="3" s="1"/>
  <c r="FE225" i="3" s="1"/>
  <c r="FE150" i="3"/>
  <c r="FE128" i="3"/>
  <c r="FG142" i="2"/>
  <c r="CS167" i="5"/>
  <c r="CS168" i="5" s="1"/>
  <c r="CS169" i="5" s="1"/>
  <c r="CS225" i="5" s="1"/>
  <c r="CS227" i="5" s="1"/>
  <c r="CS128" i="5"/>
  <c r="CS150" i="5"/>
  <c r="CS162" i="5" s="1"/>
  <c r="BB193" i="3"/>
  <c r="BB197" i="3" s="1"/>
  <c r="BB199" i="3" s="1"/>
  <c r="DZ142" i="2"/>
  <c r="EX142" i="2"/>
  <c r="AI245" i="3"/>
  <c r="CP167" i="5"/>
  <c r="CP168" i="5" s="1"/>
  <c r="CP169" i="5" s="1"/>
  <c r="CP225" i="5" s="1"/>
  <c r="CP227" i="5" s="1"/>
  <c r="CP128" i="5"/>
  <c r="EG313" i="3"/>
  <c r="EG174" i="3"/>
  <c r="EG177" i="3"/>
  <c r="EY313" i="3"/>
  <c r="EY174" i="3"/>
  <c r="EY182" i="3" s="1"/>
  <c r="EY226" i="3" s="1"/>
  <c r="EY177" i="3"/>
  <c r="BO167" i="5"/>
  <c r="BO168" i="5" s="1"/>
  <c r="BO169" i="5" s="1"/>
  <c r="BO225" i="5" s="1"/>
  <c r="BO227" i="5" s="1"/>
  <c r="BO128" i="5"/>
  <c r="AT142" i="2"/>
  <c r="DC142" i="2"/>
  <c r="I142" i="2"/>
  <c r="EJ193" i="3"/>
  <c r="EJ197" i="3" s="1"/>
  <c r="EJ199" i="3" s="1"/>
  <c r="AY186" i="5"/>
  <c r="AY187" i="5" s="1"/>
  <c r="AY188" i="5" s="1"/>
  <c r="S193" i="3"/>
  <c r="S197" i="3" s="1"/>
  <c r="S199" i="3" s="1"/>
  <c r="EI193" i="3"/>
  <c r="EI197" i="3" s="1"/>
  <c r="EI199" i="3" s="1"/>
  <c r="CQ142" i="2"/>
  <c r="AT167" i="3"/>
  <c r="AT168" i="3" s="1"/>
  <c r="AT169" i="3" s="1"/>
  <c r="AT225" i="3" s="1"/>
  <c r="AT152" i="3"/>
  <c r="AT128" i="3"/>
  <c r="AU167" i="3"/>
  <c r="AU168" i="3" s="1"/>
  <c r="AU169" i="3" s="1"/>
  <c r="AU225" i="3" s="1"/>
  <c r="AU128" i="3"/>
  <c r="AU150" i="3"/>
  <c r="AU162" i="3" s="1"/>
  <c r="EL186" i="3"/>
  <c r="EL187" i="3" s="1"/>
  <c r="EL188" i="3" s="1"/>
  <c r="AX313" i="3"/>
  <c r="AX174" i="3"/>
  <c r="AX177" i="3"/>
  <c r="EL200" i="3"/>
  <c r="EL195" i="3"/>
  <c r="CG313" i="3"/>
  <c r="CG174" i="3"/>
  <c r="CG177" i="3"/>
  <c r="L188" i="5"/>
  <c r="L186" i="5"/>
  <c r="L187" i="5" s="1"/>
  <c r="CY142" i="2"/>
  <c r="DM142" i="2"/>
  <c r="S167" i="5"/>
  <c r="S168" i="5" s="1"/>
  <c r="S169" i="5" s="1"/>
  <c r="S225" i="5" s="1"/>
  <c r="S227" i="5" s="1"/>
  <c r="S128" i="5"/>
  <c r="BN201" i="3"/>
  <c r="FD182" i="5"/>
  <c r="FD226" i="5" s="1"/>
  <c r="DK167" i="3"/>
  <c r="DK168" i="3" s="1"/>
  <c r="DK169" i="3" s="1"/>
  <c r="DK225" i="3" s="1"/>
  <c r="DK227" i="3" s="1"/>
  <c r="DK232" i="3" s="1"/>
  <c r="DK237" i="3" s="1"/>
  <c r="DK248" i="3" s="1"/>
  <c r="DK128" i="3"/>
  <c r="DK152" i="3"/>
  <c r="BN142" i="2"/>
  <c r="AH142" i="2"/>
  <c r="BS201" i="3"/>
  <c r="BB313" i="3"/>
  <c r="BB174" i="3"/>
  <c r="BB177" i="3"/>
  <c r="BU313" i="3"/>
  <c r="BU174" i="3"/>
  <c r="BU182" i="3" s="1"/>
  <c r="BU226" i="3" s="1"/>
  <c r="BU227" i="3" s="1"/>
  <c r="BU232" i="3" s="1"/>
  <c r="BU237" i="3" s="1"/>
  <c r="BU239" i="3" s="1"/>
  <c r="BU177" i="3"/>
  <c r="ES182" i="5"/>
  <c r="ES226" i="5" s="1"/>
  <c r="EB124" i="5"/>
  <c r="EQ124" i="5"/>
  <c r="CK142" i="2"/>
  <c r="BQ182" i="5"/>
  <c r="BQ226" i="5" s="1"/>
  <c r="DD167" i="5"/>
  <c r="DD168" i="5" s="1"/>
  <c r="DD169" i="5" s="1"/>
  <c r="DD225" i="5" s="1"/>
  <c r="DD227" i="5" s="1"/>
  <c r="DD150" i="5"/>
  <c r="DD162" i="5" s="1"/>
  <c r="DD128" i="5"/>
  <c r="P182" i="5"/>
  <c r="P226" i="5" s="1"/>
  <c r="AH201" i="3"/>
  <c r="AG167" i="5"/>
  <c r="AG168" i="5" s="1"/>
  <c r="AG169" i="5" s="1"/>
  <c r="AG225" i="5" s="1"/>
  <c r="AG128" i="5"/>
  <c r="FB167" i="3"/>
  <c r="FB168" i="3" s="1"/>
  <c r="FB169" i="3" s="1"/>
  <c r="FB225" i="3" s="1"/>
  <c r="FB227" i="3" s="1"/>
  <c r="FB232" i="3" s="1"/>
  <c r="FB237" i="3" s="1"/>
  <c r="FB239" i="3" s="1"/>
  <c r="FB150" i="3"/>
  <c r="FB128" i="3"/>
  <c r="AM150" i="5"/>
  <c r="AM162" i="5" s="1"/>
  <c r="BY142" i="2"/>
  <c r="CG142" i="2"/>
  <c r="BY167" i="5"/>
  <c r="BY168" i="5" s="1"/>
  <c r="BY169" i="5" s="1"/>
  <c r="BY225" i="5" s="1"/>
  <c r="BY227" i="5" s="1"/>
  <c r="BY128" i="5"/>
  <c r="BY150" i="5"/>
  <c r="BY162" i="5" s="1"/>
  <c r="X167" i="3"/>
  <c r="X168" i="3" s="1"/>
  <c r="X169" i="3" s="1"/>
  <c r="X225" i="3" s="1"/>
  <c r="X227" i="3" s="1"/>
  <c r="X232" i="3" s="1"/>
  <c r="X237" i="3" s="1"/>
  <c r="X239" i="3" s="1"/>
  <c r="X128" i="3"/>
  <c r="X150" i="3"/>
  <c r="CE182" i="5"/>
  <c r="CE226" i="5" s="1"/>
  <c r="CE227" i="5" s="1"/>
  <c r="D91" i="4"/>
  <c r="D92" i="4" s="1"/>
  <c r="D94" i="4" s="1"/>
  <c r="BU142" i="2"/>
  <c r="CN167" i="3"/>
  <c r="CN168" i="3" s="1"/>
  <c r="CN169" i="3" s="1"/>
  <c r="CN225" i="3" s="1"/>
  <c r="CN227" i="3" s="1"/>
  <c r="CN232" i="3" s="1"/>
  <c r="CN237" i="3" s="1"/>
  <c r="CN239" i="3" s="1"/>
  <c r="CN152" i="3"/>
  <c r="CN128" i="3"/>
  <c r="BG167" i="3"/>
  <c r="BG168" i="3" s="1"/>
  <c r="BG169" i="3" s="1"/>
  <c r="BG225" i="3" s="1"/>
  <c r="BG156" i="3"/>
  <c r="BG158" i="3" s="1"/>
  <c r="BG128" i="3"/>
  <c r="DW313" i="3"/>
  <c r="DW174" i="3"/>
  <c r="DW177" i="3"/>
  <c r="EN167" i="3"/>
  <c r="EN168" i="3" s="1"/>
  <c r="EN169" i="3" s="1"/>
  <c r="EN225" i="3" s="1"/>
  <c r="EN128" i="3"/>
  <c r="EN156" i="3"/>
  <c r="EN158" i="3" s="1"/>
  <c r="AZ193" i="3"/>
  <c r="AZ197" i="3" s="1"/>
  <c r="AZ199" i="3" s="1"/>
  <c r="BO142" i="2"/>
  <c r="CC142" i="2"/>
  <c r="J142" i="2"/>
  <c r="BC182" i="5"/>
  <c r="BC226" i="5" s="1"/>
  <c r="BC227" i="5" s="1"/>
  <c r="E167" i="5"/>
  <c r="E168" i="5" s="1"/>
  <c r="E169" i="5" s="1"/>
  <c r="E225" i="5" s="1"/>
  <c r="E128" i="5"/>
  <c r="BR200" i="3"/>
  <c r="BR195" i="3"/>
  <c r="DT167" i="3"/>
  <c r="DT168" i="3" s="1"/>
  <c r="DT169" i="3" s="1"/>
  <c r="DT225" i="3" s="1"/>
  <c r="DT150" i="3"/>
  <c r="DT128" i="3"/>
  <c r="C182" i="3"/>
  <c r="AO313" i="3"/>
  <c r="AO174" i="3"/>
  <c r="AO182" i="3" s="1"/>
  <c r="AO226" i="3" s="1"/>
  <c r="AO227" i="3" s="1"/>
  <c r="AO177" i="3"/>
  <c r="BG313" i="3"/>
  <c r="BG174" i="3"/>
  <c r="BG182" i="3" s="1"/>
  <c r="BG226" i="3" s="1"/>
  <c r="BG177" i="3"/>
  <c r="AQ167" i="3"/>
  <c r="AQ168" i="3" s="1"/>
  <c r="AQ169" i="3" s="1"/>
  <c r="AQ225" i="3" s="1"/>
  <c r="AQ128" i="3"/>
  <c r="AQ150" i="3"/>
  <c r="FK167" i="5"/>
  <c r="FK168" i="5" s="1"/>
  <c r="FK169" i="5" s="1"/>
  <c r="FK225" i="5" s="1"/>
  <c r="FK227" i="5" s="1"/>
  <c r="FK128" i="5"/>
  <c r="CZ142" i="2"/>
  <c r="J167" i="5"/>
  <c r="J168" i="5" s="1"/>
  <c r="J169" i="5" s="1"/>
  <c r="J225" i="5" s="1"/>
  <c r="J227" i="5" s="1"/>
  <c r="J128" i="5"/>
  <c r="CG167" i="3"/>
  <c r="CG168" i="3" s="1"/>
  <c r="CG169" i="3" s="1"/>
  <c r="CG225" i="3" s="1"/>
  <c r="CG128" i="3"/>
  <c r="CG150" i="3"/>
  <c r="CG162" i="3" s="1"/>
  <c r="BD167" i="5"/>
  <c r="BD168" i="5" s="1"/>
  <c r="BD169" i="5" s="1"/>
  <c r="BD225" i="5" s="1"/>
  <c r="BD227" i="5" s="1"/>
  <c r="BD128" i="5"/>
  <c r="DG182" i="5"/>
  <c r="DG226" i="5" s="1"/>
  <c r="AE167" i="3"/>
  <c r="AE168" i="3" s="1"/>
  <c r="AE169" i="3" s="1"/>
  <c r="AE225" i="3" s="1"/>
  <c r="AE227" i="3" s="1"/>
  <c r="AE232" i="3" s="1"/>
  <c r="AE237" i="3" s="1"/>
  <c r="AE239" i="3" s="1"/>
  <c r="AE128" i="3"/>
  <c r="AE150" i="3"/>
  <c r="BY167" i="3"/>
  <c r="BY168" i="3" s="1"/>
  <c r="BY169" i="3" s="1"/>
  <c r="BY225" i="3" s="1"/>
  <c r="BY150" i="3"/>
  <c r="BY128" i="3"/>
  <c r="Q142" i="2"/>
  <c r="Y142" i="2"/>
  <c r="EM142" i="2"/>
  <c r="FF162" i="3"/>
  <c r="FF154" i="3"/>
  <c r="FF156" i="3" s="1"/>
  <c r="FF158" i="3" s="1"/>
  <c r="BL142" i="2"/>
  <c r="CR142" i="2"/>
  <c r="FU142" i="2"/>
  <c r="AQ167" i="5"/>
  <c r="AQ168" i="5" s="1"/>
  <c r="AQ169" i="5" s="1"/>
  <c r="AQ225" i="5" s="1"/>
  <c r="AQ227" i="5" s="1"/>
  <c r="AQ150" i="5"/>
  <c r="AQ162" i="5" s="1"/>
  <c r="AQ128" i="5"/>
  <c r="CQ167" i="3"/>
  <c r="CQ168" i="3" s="1"/>
  <c r="CQ169" i="3" s="1"/>
  <c r="CQ225" i="3" s="1"/>
  <c r="CQ227" i="3" s="1"/>
  <c r="CQ128" i="3"/>
  <c r="CQ156" i="3"/>
  <c r="CQ158" i="3" s="1"/>
  <c r="CX142" i="2"/>
  <c r="DR142" i="2"/>
  <c r="FE167" i="5"/>
  <c r="FE168" i="5" s="1"/>
  <c r="FE169" i="5" s="1"/>
  <c r="FE225" i="5" s="1"/>
  <c r="FE227" i="5" s="1"/>
  <c r="FE128" i="5"/>
  <c r="FE150" i="5"/>
  <c r="FE162" i="5" s="1"/>
  <c r="DY313" i="3"/>
  <c r="DY174" i="3"/>
  <c r="DY182" i="3" s="1"/>
  <c r="DY226" i="3" s="1"/>
  <c r="DY177" i="3"/>
  <c r="FD313" i="3"/>
  <c r="FD174" i="3"/>
  <c r="FD177" i="3"/>
  <c r="FV313" i="3"/>
  <c r="FV174" i="3"/>
  <c r="FV177" i="3"/>
  <c r="CO167" i="3"/>
  <c r="CO168" i="3" s="1"/>
  <c r="CO169" i="3" s="1"/>
  <c r="CO225" i="3" s="1"/>
  <c r="CO128" i="3"/>
  <c r="CO152" i="3"/>
  <c r="DH193" i="3"/>
  <c r="DH197" i="3" s="1"/>
  <c r="DH199" i="3" s="1"/>
  <c r="FZ127" i="2"/>
  <c r="GB127" i="2" s="1"/>
  <c r="CT142" i="2"/>
  <c r="CQ193" i="3"/>
  <c r="CQ197" i="3" s="1"/>
  <c r="CQ199" i="3" s="1"/>
  <c r="BZ313" i="3"/>
  <c r="BZ174" i="3"/>
  <c r="BZ177" i="3"/>
  <c r="CS313" i="3"/>
  <c r="CS174" i="3"/>
  <c r="CS182" i="3" s="1"/>
  <c r="CS226" i="3" s="1"/>
  <c r="CS177" i="3"/>
  <c r="FP142" i="2"/>
  <c r="BH188" i="5"/>
  <c r="BH186" i="5"/>
  <c r="BH187" i="5" s="1"/>
  <c r="DC313" i="3"/>
  <c r="DC174" i="3"/>
  <c r="DC177" i="3"/>
  <c r="O227" i="5"/>
  <c r="EB142" i="2"/>
  <c r="DR313" i="3"/>
  <c r="DR174" i="3"/>
  <c r="DR177" i="3"/>
  <c r="FH313" i="3"/>
  <c r="FH174" i="3"/>
  <c r="FH182" i="3" s="1"/>
  <c r="FH226" i="3" s="1"/>
  <c r="FH177" i="3"/>
  <c r="C127" i="3"/>
  <c r="C214" i="3"/>
  <c r="FZ96" i="3"/>
  <c r="GB96" i="3" s="1"/>
  <c r="C103" i="3"/>
  <c r="EG182" i="5"/>
  <c r="EG226" i="5" s="1"/>
  <c r="BN313" i="3"/>
  <c r="BN174" i="3"/>
  <c r="BN182" i="3" s="1"/>
  <c r="BN226" i="3" s="1"/>
  <c r="BN177" i="3"/>
  <c r="AR167" i="3"/>
  <c r="AR168" i="3" s="1"/>
  <c r="AR169" i="3" s="1"/>
  <c r="AR225" i="3" s="1"/>
  <c r="AR128" i="3"/>
  <c r="AR152" i="3"/>
  <c r="CW313" i="3"/>
  <c r="CW174" i="3"/>
  <c r="CW182" i="3" s="1"/>
  <c r="CW226" i="3" s="1"/>
  <c r="CW177" i="3"/>
  <c r="DO313" i="3"/>
  <c r="DO174" i="3"/>
  <c r="DO177" i="3"/>
  <c r="EN201" i="3"/>
  <c r="DG167" i="5"/>
  <c r="DG168" i="5" s="1"/>
  <c r="DG169" i="5" s="1"/>
  <c r="DG225" i="5" s="1"/>
  <c r="DG128" i="5"/>
  <c r="DG150" i="5"/>
  <c r="DG162" i="5" s="1"/>
  <c r="CH142" i="2"/>
  <c r="L209" i="5"/>
  <c r="L267" i="5"/>
  <c r="CS142" i="2"/>
  <c r="FM124" i="3"/>
  <c r="FZ108" i="2"/>
  <c r="AP313" i="3"/>
  <c r="AP174" i="3"/>
  <c r="AP177" i="3"/>
  <c r="BI313" i="3"/>
  <c r="BI174" i="3"/>
  <c r="BI182" i="3" s="1"/>
  <c r="BI226" i="3" s="1"/>
  <c r="BI227" i="3" s="1"/>
  <c r="BI232" i="3" s="1"/>
  <c r="BI237" i="3" s="1"/>
  <c r="BI239" i="3" s="1"/>
  <c r="BI177" i="3"/>
  <c r="FT219" i="5"/>
  <c r="FT228" i="5" s="1"/>
  <c r="DW167" i="3"/>
  <c r="DW168" i="3" s="1"/>
  <c r="DW169" i="3" s="1"/>
  <c r="DW225" i="3" s="1"/>
  <c r="DW128" i="3"/>
  <c r="DW150" i="3"/>
  <c r="AM209" i="5"/>
  <c r="AM267" i="5"/>
  <c r="EF167" i="3"/>
  <c r="EF168" i="3" s="1"/>
  <c r="EF169" i="3" s="1"/>
  <c r="EF225" i="3" s="1"/>
  <c r="EF128" i="3"/>
  <c r="EF156" i="3"/>
  <c r="EF158" i="3" s="1"/>
  <c r="BM313" i="3"/>
  <c r="BM174" i="3"/>
  <c r="BM177" i="3"/>
  <c r="CE313" i="3"/>
  <c r="CE174" i="3"/>
  <c r="CE182" i="3" s="1"/>
  <c r="CE226" i="3" s="1"/>
  <c r="CE177" i="3"/>
  <c r="BI162" i="3"/>
  <c r="BI154" i="3"/>
  <c r="BI156" i="3" s="1"/>
  <c r="BI158" i="3" s="1"/>
  <c r="DA167" i="5"/>
  <c r="DA168" i="5" s="1"/>
  <c r="DA169" i="5" s="1"/>
  <c r="DA225" i="5" s="1"/>
  <c r="DA227" i="5" s="1"/>
  <c r="DA150" i="5"/>
  <c r="DA162" i="5" s="1"/>
  <c r="DA128" i="5"/>
  <c r="EP313" i="3"/>
  <c r="EP174" i="3"/>
  <c r="EP177" i="3"/>
  <c r="BL182" i="5"/>
  <c r="BL226" i="5" s="1"/>
  <c r="CC167" i="3"/>
  <c r="CC168" i="3" s="1"/>
  <c r="CC169" i="3" s="1"/>
  <c r="CC225" i="3" s="1"/>
  <c r="CC128" i="3"/>
  <c r="CC150" i="3"/>
  <c r="EQ142" i="2"/>
  <c r="EA167" i="5"/>
  <c r="EA168" i="5" s="1"/>
  <c r="EA169" i="5" s="1"/>
  <c r="EA225" i="5" s="1"/>
  <c r="EA227" i="5" s="1"/>
  <c r="EA128" i="5"/>
  <c r="BR113" i="3"/>
  <c r="BR123" i="3" s="1"/>
  <c r="BR124" i="3" s="1"/>
  <c r="BR186" i="3"/>
  <c r="BR187" i="3" s="1"/>
  <c r="BR188" i="3" s="1"/>
  <c r="EV182" i="5"/>
  <c r="EV226" i="5" s="1"/>
  <c r="CO167" i="5"/>
  <c r="CO168" i="5" s="1"/>
  <c r="CO169" i="5" s="1"/>
  <c r="CO225" i="5" s="1"/>
  <c r="CO227" i="5" s="1"/>
  <c r="CO128" i="5"/>
  <c r="EA167" i="3"/>
  <c r="EA168" i="3" s="1"/>
  <c r="EA169" i="3" s="1"/>
  <c r="EA225" i="3" s="1"/>
  <c r="EA227" i="3" s="1"/>
  <c r="EA232" i="3" s="1"/>
  <c r="EA237" i="3" s="1"/>
  <c r="EA239" i="3" s="1"/>
  <c r="EA152" i="3"/>
  <c r="EA128" i="3"/>
  <c r="CI209" i="5"/>
  <c r="CI267" i="5"/>
  <c r="DB167" i="5"/>
  <c r="DB168" i="5" s="1"/>
  <c r="DB169" i="5" s="1"/>
  <c r="DB225" i="5" s="1"/>
  <c r="DB227" i="5" s="1"/>
  <c r="DB150" i="5"/>
  <c r="DB162" i="5" s="1"/>
  <c r="DB128" i="5"/>
  <c r="DO167" i="3"/>
  <c r="DO168" i="3" s="1"/>
  <c r="DO169" i="3" s="1"/>
  <c r="DO225" i="3" s="1"/>
  <c r="DO156" i="3"/>
  <c r="DO158" i="3" s="1"/>
  <c r="DO128" i="3"/>
  <c r="CY313" i="3"/>
  <c r="CY174" i="3"/>
  <c r="CY177" i="3"/>
  <c r="CL167" i="3"/>
  <c r="CL168" i="3" s="1"/>
  <c r="CL169" i="3" s="1"/>
  <c r="CL225" i="3" s="1"/>
  <c r="CL128" i="3"/>
  <c r="CL152" i="3"/>
  <c r="BJ167" i="5"/>
  <c r="BJ168" i="5" s="1"/>
  <c r="BJ169" i="5" s="1"/>
  <c r="BJ225" i="5" s="1"/>
  <c r="BJ227" i="5" s="1"/>
  <c r="BJ128" i="5"/>
  <c r="BE167" i="5"/>
  <c r="BE168" i="5" s="1"/>
  <c r="BE169" i="5" s="1"/>
  <c r="BE225" i="5" s="1"/>
  <c r="BE227" i="5" s="1"/>
  <c r="BE128" i="5"/>
  <c r="AQ142" i="2"/>
  <c r="FE313" i="3"/>
  <c r="FE174" i="3"/>
  <c r="FE177" i="3"/>
  <c r="FW313" i="3"/>
  <c r="FW174" i="3"/>
  <c r="FW182" i="3" s="1"/>
  <c r="FW226" i="3" s="1"/>
  <c r="FW177" i="3"/>
  <c r="EC167" i="5"/>
  <c r="EC168" i="5" s="1"/>
  <c r="EC169" i="5" s="1"/>
  <c r="EC225" i="5" s="1"/>
  <c r="EC227" i="5" s="1"/>
  <c r="EC150" i="5"/>
  <c r="EC162" i="5" s="1"/>
  <c r="EC128" i="5"/>
  <c r="M167" i="3"/>
  <c r="M168" i="3" s="1"/>
  <c r="M169" i="3" s="1"/>
  <c r="M225" i="3" s="1"/>
  <c r="M128" i="3"/>
  <c r="M156" i="3"/>
  <c r="M158" i="3" s="1"/>
  <c r="DL167" i="3"/>
  <c r="DL168" i="3" s="1"/>
  <c r="DL169" i="3" s="1"/>
  <c r="DL225" i="3" s="1"/>
  <c r="DL156" i="3"/>
  <c r="DL158" i="3" s="1"/>
  <c r="DL128" i="3"/>
  <c r="I313" i="3"/>
  <c r="I174" i="3"/>
  <c r="I182" i="3" s="1"/>
  <c r="I226" i="3" s="1"/>
  <c r="I177" i="3"/>
  <c r="AN313" i="3"/>
  <c r="AN174" i="3"/>
  <c r="AN182" i="3" s="1"/>
  <c r="AN226" i="3" s="1"/>
  <c r="AN227" i="3" s="1"/>
  <c r="AN232" i="3" s="1"/>
  <c r="AN237" i="3" s="1"/>
  <c r="AN239" i="3" s="1"/>
  <c r="AN177" i="3"/>
  <c r="BF313" i="3"/>
  <c r="BF174" i="3"/>
  <c r="BF182" i="3" s="1"/>
  <c r="BF226" i="3" s="1"/>
  <c r="BF177" i="3"/>
  <c r="N182" i="5"/>
  <c r="N226" i="5" s="1"/>
  <c r="X182" i="5"/>
  <c r="X226" i="5" s="1"/>
  <c r="CN182" i="5"/>
  <c r="CN226" i="5" s="1"/>
  <c r="EK313" i="3"/>
  <c r="EK174" i="3"/>
  <c r="EK177" i="3"/>
  <c r="FP313" i="3"/>
  <c r="FP174" i="3"/>
  <c r="FP182" i="3" s="1"/>
  <c r="FP226" i="3" s="1"/>
  <c r="FP177" i="3"/>
  <c r="K313" i="3"/>
  <c r="K174" i="3"/>
  <c r="K182" i="3" s="1"/>
  <c r="K226" i="3" s="1"/>
  <c r="K177" i="3"/>
  <c r="BK209" i="5"/>
  <c r="BK267" i="5"/>
  <c r="DJ193" i="3"/>
  <c r="DJ197" i="3" s="1"/>
  <c r="DJ199" i="3" s="1"/>
  <c r="CG167" i="5"/>
  <c r="CG168" i="5" s="1"/>
  <c r="CG169" i="5" s="1"/>
  <c r="CG225" i="5" s="1"/>
  <c r="CG227" i="5" s="1"/>
  <c r="CG128" i="5"/>
  <c r="CG150" i="5"/>
  <c r="CG162" i="5" s="1"/>
  <c r="X167" i="5"/>
  <c r="X168" i="5" s="1"/>
  <c r="X169" i="5" s="1"/>
  <c r="X225" i="5" s="1"/>
  <c r="X128" i="5"/>
  <c r="X150" i="5"/>
  <c r="X162" i="5" s="1"/>
  <c r="AO182" i="5"/>
  <c r="AO226" i="5" s="1"/>
  <c r="CL142" i="2"/>
  <c r="DB142" i="2"/>
  <c r="FP167" i="5"/>
  <c r="FP168" i="5" s="1"/>
  <c r="FP169" i="5" s="1"/>
  <c r="FP225" i="5" s="1"/>
  <c r="FP227" i="5" s="1"/>
  <c r="FP128" i="5"/>
  <c r="EL142" i="2"/>
  <c r="Z182" i="5"/>
  <c r="Z226" i="5" s="1"/>
  <c r="EQ182" i="5"/>
  <c r="EQ226" i="5" s="1"/>
  <c r="AB248" i="3" l="1"/>
  <c r="AI247" i="3"/>
  <c r="AI248" i="3"/>
  <c r="EQ247" i="3"/>
  <c r="EQ248" i="3"/>
  <c r="EQ245" i="3"/>
  <c r="T248" i="3"/>
  <c r="T245" i="3"/>
  <c r="FH245" i="3"/>
  <c r="T247" i="3"/>
  <c r="FJ245" i="3"/>
  <c r="FJ247" i="3"/>
  <c r="BK201" i="3"/>
  <c r="BK229" i="3" s="1"/>
  <c r="FV201" i="3"/>
  <c r="AB247" i="3"/>
  <c r="FJ248" i="3"/>
  <c r="EA245" i="3"/>
  <c r="X248" i="3"/>
  <c r="BU245" i="3"/>
  <c r="CN248" i="3"/>
  <c r="AN245" i="3"/>
  <c r="FZ98" i="2"/>
  <c r="GB98" i="2" s="1"/>
  <c r="EL337" i="3"/>
  <c r="EL201" i="3"/>
  <c r="BR167" i="3"/>
  <c r="BR168" i="3" s="1"/>
  <c r="BR169" i="3" s="1"/>
  <c r="BR225" i="3" s="1"/>
  <c r="BR227" i="3" s="1"/>
  <c r="BR128" i="3"/>
  <c r="BR156" i="3"/>
  <c r="BR158" i="3" s="1"/>
  <c r="BR193" i="3"/>
  <c r="BR197" i="3" s="1"/>
  <c r="BR199" i="3" s="1"/>
  <c r="FZ174" i="3"/>
  <c r="AC245" i="3"/>
  <c r="DZ162" i="3"/>
  <c r="DZ154" i="3"/>
  <c r="DZ156" i="3" s="1"/>
  <c r="DZ158" i="3" s="1"/>
  <c r="AL247" i="3"/>
  <c r="AF162" i="3"/>
  <c r="AF154" i="3"/>
  <c r="AF156" i="3" s="1"/>
  <c r="AF158" i="3" s="1"/>
  <c r="P162" i="3"/>
  <c r="P154" i="3"/>
  <c r="P156" i="3" s="1"/>
  <c r="P158" i="3" s="1"/>
  <c r="CW162" i="3"/>
  <c r="CW154" i="3"/>
  <c r="CW156" i="3" s="1"/>
  <c r="CW158" i="3" s="1"/>
  <c r="CK227" i="5"/>
  <c r="J337" i="3"/>
  <c r="J201" i="3"/>
  <c r="AM227" i="3"/>
  <c r="AM232" i="3" s="1"/>
  <c r="AM237" i="3" s="1"/>
  <c r="G227" i="5"/>
  <c r="AO229" i="3"/>
  <c r="AO232" i="3" s="1"/>
  <c r="AO237" i="3" s="1"/>
  <c r="AA154" i="3"/>
  <c r="AA156" i="3" s="1"/>
  <c r="AA158" i="3" s="1"/>
  <c r="AA162" i="3"/>
  <c r="EK182" i="3"/>
  <c r="EK226" i="3" s="1"/>
  <c r="FH248" i="3"/>
  <c r="FE182" i="3"/>
  <c r="FE226" i="3" s="1"/>
  <c r="CY182" i="3"/>
  <c r="CY226" i="3" s="1"/>
  <c r="CY227" i="3" s="1"/>
  <c r="CY232" i="3" s="1"/>
  <c r="CY237" i="3" s="1"/>
  <c r="EF227" i="3"/>
  <c r="AP182" i="3"/>
  <c r="AP226" i="3" s="1"/>
  <c r="DR182" i="3"/>
  <c r="DR226" i="3" s="1"/>
  <c r="C226" i="3"/>
  <c r="E227" i="5"/>
  <c r="BS229" i="3"/>
  <c r="BS232" i="3" s="1"/>
  <c r="BS237" i="3" s="1"/>
  <c r="EG182" i="3"/>
  <c r="EG226" i="3" s="1"/>
  <c r="BB337" i="3"/>
  <c r="BB201" i="3"/>
  <c r="FE162" i="3"/>
  <c r="FE154" i="3"/>
  <c r="FE156" i="3" s="1"/>
  <c r="FE158" i="3" s="1"/>
  <c r="AY162" i="3"/>
  <c r="AY154" i="3"/>
  <c r="AY156" i="3" s="1"/>
  <c r="AY158" i="3" s="1"/>
  <c r="BE162" i="3"/>
  <c r="BE154" i="3"/>
  <c r="BE156" i="3" s="1"/>
  <c r="BE158" i="3" s="1"/>
  <c r="DS182" i="3"/>
  <c r="DS226" i="3" s="1"/>
  <c r="CT162" i="3"/>
  <c r="CT154" i="3"/>
  <c r="CT156" i="3" s="1"/>
  <c r="CT158" i="3" s="1"/>
  <c r="FZ170" i="2"/>
  <c r="GB79" i="2"/>
  <c r="EU227" i="3"/>
  <c r="BU247" i="3"/>
  <c r="FL182" i="3"/>
  <c r="FL226" i="3" s="1"/>
  <c r="H154" i="3"/>
  <c r="H156" i="3" s="1"/>
  <c r="H158" i="3" s="1"/>
  <c r="H162" i="3"/>
  <c r="BJ154" i="3"/>
  <c r="BJ156" i="3" s="1"/>
  <c r="BJ158" i="3" s="1"/>
  <c r="BJ162" i="3"/>
  <c r="ET182" i="3"/>
  <c r="ET226" i="3" s="1"/>
  <c r="DS167" i="5"/>
  <c r="DS168" i="5" s="1"/>
  <c r="DS169" i="5" s="1"/>
  <c r="DS225" i="5" s="1"/>
  <c r="DS227" i="5" s="1"/>
  <c r="DS128" i="5"/>
  <c r="AS227" i="5"/>
  <c r="DB182" i="3"/>
  <c r="DB226" i="3" s="1"/>
  <c r="DB227" i="3" s="1"/>
  <c r="DB232" i="3" s="1"/>
  <c r="DB237" i="3" s="1"/>
  <c r="CN245" i="3"/>
  <c r="AB245" i="3"/>
  <c r="BK182" i="3"/>
  <c r="BK226" i="3" s="1"/>
  <c r="BK227" i="3" s="1"/>
  <c r="U182" i="3"/>
  <c r="U226" i="3" s="1"/>
  <c r="CC182" i="3"/>
  <c r="CC226" i="3" s="1"/>
  <c r="BY182" i="3"/>
  <c r="BY226" i="3" s="1"/>
  <c r="M227" i="5"/>
  <c r="DQ227" i="3"/>
  <c r="DQ232" i="3" s="1"/>
  <c r="DQ237" i="3" s="1"/>
  <c r="AN247" i="3"/>
  <c r="I227" i="3"/>
  <c r="FT182" i="3"/>
  <c r="FT226" i="3" s="1"/>
  <c r="AL248" i="3"/>
  <c r="AF227" i="3"/>
  <c r="AF232" i="3" s="1"/>
  <c r="AF237" i="3" s="1"/>
  <c r="CW227" i="3"/>
  <c r="CW232" i="3" s="1"/>
  <c r="CW237" i="3" s="1"/>
  <c r="FP229" i="3"/>
  <c r="D337" i="3"/>
  <c r="D201" i="3"/>
  <c r="D229" i="3" s="1"/>
  <c r="DR227" i="3"/>
  <c r="DS229" i="3"/>
  <c r="CZ229" i="3"/>
  <c r="CZ232" i="3" s="1"/>
  <c r="CZ237" i="3" s="1"/>
  <c r="CM227" i="3"/>
  <c r="AA227" i="3"/>
  <c r="AA232" i="3" s="1"/>
  <c r="AA237" i="3" s="1"/>
  <c r="CN162" i="3"/>
  <c r="CN154" i="3"/>
  <c r="CN156" i="3" s="1"/>
  <c r="CN158" i="3" s="1"/>
  <c r="K162" i="3"/>
  <c r="K154" i="3"/>
  <c r="K156" i="3" s="1"/>
  <c r="K158" i="3" s="1"/>
  <c r="V162" i="3"/>
  <c r="V154" i="3"/>
  <c r="V156" i="3" s="1"/>
  <c r="V158" i="3" s="1"/>
  <c r="EC227" i="3"/>
  <c r="EC232" i="3" s="1"/>
  <c r="EC237" i="3" s="1"/>
  <c r="BS227" i="5"/>
  <c r="FW162" i="3"/>
  <c r="FW154" i="3"/>
  <c r="FW156" i="3" s="1"/>
  <c r="FW158" i="3" s="1"/>
  <c r="EB337" i="3"/>
  <c r="EB201" i="3"/>
  <c r="EB229" i="3" s="1"/>
  <c r="EV162" i="3"/>
  <c r="EV154" i="3"/>
  <c r="EV156" i="3" s="1"/>
  <c r="EV158" i="3" s="1"/>
  <c r="BM182" i="3"/>
  <c r="BM226" i="3" s="1"/>
  <c r="BM227" i="3" s="1"/>
  <c r="BM232" i="3" s="1"/>
  <c r="BM237" i="3" s="1"/>
  <c r="DG227" i="5"/>
  <c r="BZ182" i="3"/>
  <c r="BZ226" i="3" s="1"/>
  <c r="CO162" i="3"/>
  <c r="CO154" i="3"/>
  <c r="CO156" i="3" s="1"/>
  <c r="CO158" i="3" s="1"/>
  <c r="FB245" i="3"/>
  <c r="DT162" i="3"/>
  <c r="DT154" i="3"/>
  <c r="DT156" i="3" s="1"/>
  <c r="DT158" i="3" s="1"/>
  <c r="D96" i="4"/>
  <c r="D97" i="4" s="1"/>
  <c r="D98" i="4" s="1"/>
  <c r="D142" i="4" s="1"/>
  <c r="FC248" i="3"/>
  <c r="S337" i="3"/>
  <c r="S201" i="3"/>
  <c r="FE227" i="3"/>
  <c r="FE232" i="3" s="1"/>
  <c r="FE237" i="3" s="1"/>
  <c r="ER247" i="3"/>
  <c r="AO227" i="5"/>
  <c r="BE227" i="3"/>
  <c r="BE232" i="3" s="1"/>
  <c r="BE237" i="3" s="1"/>
  <c r="CE227" i="3"/>
  <c r="CE232" i="3" s="1"/>
  <c r="CE237" i="3" s="1"/>
  <c r="CP182" i="3"/>
  <c r="CP226" i="3" s="1"/>
  <c r="CP227" i="3" s="1"/>
  <c r="C137" i="2"/>
  <c r="C138" i="2"/>
  <c r="C139" i="2" s="1"/>
  <c r="FZ139" i="2" s="1"/>
  <c r="GB139" i="2" s="1"/>
  <c r="DQ182" i="3"/>
  <c r="DQ226" i="3" s="1"/>
  <c r="DP227" i="3"/>
  <c r="DP232" i="3" s="1"/>
  <c r="DP237" i="3" s="1"/>
  <c r="AV182" i="3"/>
  <c r="AV226" i="3" s="1"/>
  <c r="CH182" i="3"/>
  <c r="CH226" i="3" s="1"/>
  <c r="CF182" i="3"/>
  <c r="CF226" i="3" s="1"/>
  <c r="CF227" i="3" s="1"/>
  <c r="CF232" i="3" s="1"/>
  <c r="CF237" i="3" s="1"/>
  <c r="EO227" i="5"/>
  <c r="EA247" i="3"/>
  <c r="CT182" i="3"/>
  <c r="CT226" i="3" s="1"/>
  <c r="ES162" i="3"/>
  <c r="ES154" i="3"/>
  <c r="ES156" i="3" s="1"/>
  <c r="ES158" i="3" s="1"/>
  <c r="BO227" i="3"/>
  <c r="FG227" i="3"/>
  <c r="FG232" i="3" s="1"/>
  <c r="FG237" i="3" s="1"/>
  <c r="DA182" i="3"/>
  <c r="DA226" i="3" s="1"/>
  <c r="DA227" i="3" s="1"/>
  <c r="DA232" i="3" s="1"/>
  <c r="DA237" i="3" s="1"/>
  <c r="DM182" i="3"/>
  <c r="DM226" i="3" s="1"/>
  <c r="DM227" i="3" s="1"/>
  <c r="DM232" i="3" s="1"/>
  <c r="DM237" i="3" s="1"/>
  <c r="AY182" i="3"/>
  <c r="AY226" i="3" s="1"/>
  <c r="AY227" i="3" s="1"/>
  <c r="AY232" i="3" s="1"/>
  <c r="AY237" i="3" s="1"/>
  <c r="U162" i="3"/>
  <c r="U154" i="3"/>
  <c r="U156" i="3" s="1"/>
  <c r="U158" i="3" s="1"/>
  <c r="CB182" i="3"/>
  <c r="CB226" i="3" s="1"/>
  <c r="BZ162" i="3"/>
  <c r="BZ154" i="3"/>
  <c r="BZ156" i="3" s="1"/>
  <c r="BZ158" i="3" s="1"/>
  <c r="EX182" i="3"/>
  <c r="EX226" i="3" s="1"/>
  <c r="FI182" i="3"/>
  <c r="FI226" i="3" s="1"/>
  <c r="EO162" i="3"/>
  <c r="EO154" i="3"/>
  <c r="EO156" i="3" s="1"/>
  <c r="EO158" i="3" s="1"/>
  <c r="I227" i="5"/>
  <c r="DX227" i="3"/>
  <c r="DX232" i="3" s="1"/>
  <c r="DX237" i="3" s="1"/>
  <c r="L229" i="3"/>
  <c r="R337" i="3"/>
  <c r="R201" i="3"/>
  <c r="R229" i="3" s="1"/>
  <c r="EY229" i="3"/>
  <c r="BG229" i="3"/>
  <c r="AX162" i="3"/>
  <c r="AX154" i="3"/>
  <c r="AX156" i="3" s="1"/>
  <c r="AX158" i="3" s="1"/>
  <c r="FW227" i="3"/>
  <c r="FW232" i="3" s="1"/>
  <c r="FW237" i="3" s="1"/>
  <c r="N154" i="3"/>
  <c r="N156" i="3" s="1"/>
  <c r="N158" i="3" s="1"/>
  <c r="N162" i="3"/>
  <c r="AK162" i="3"/>
  <c r="AK154" i="3"/>
  <c r="AK156" i="3" s="1"/>
  <c r="AK158" i="3" s="1"/>
  <c r="AP225" i="3"/>
  <c r="AP227" i="3" s="1"/>
  <c r="K2" i="1" a="1"/>
  <c r="K2" i="1" s="1"/>
  <c r="BH162" i="3"/>
  <c r="BH154" i="3"/>
  <c r="BH156" i="3" s="1"/>
  <c r="BH158" i="3" s="1"/>
  <c r="BK167" i="5"/>
  <c r="BK168" i="5" s="1"/>
  <c r="BK169" i="5" s="1"/>
  <c r="BK225" i="5" s="1"/>
  <c r="BK227" i="5" s="1"/>
  <c r="BK128" i="5"/>
  <c r="EA248" i="3"/>
  <c r="F337" i="3"/>
  <c r="F201" i="3"/>
  <c r="F229" i="3" s="1"/>
  <c r="EL227" i="5"/>
  <c r="CD227" i="3"/>
  <c r="CD232" i="3" s="1"/>
  <c r="CD237" i="3" s="1"/>
  <c r="FL154" i="3"/>
  <c r="FL156" i="3" s="1"/>
  <c r="FL158" i="3" s="1"/>
  <c r="FL162" i="3"/>
  <c r="EI227" i="3"/>
  <c r="DE227" i="3"/>
  <c r="DE232" i="3" s="1"/>
  <c r="DE237" i="3" s="1"/>
  <c r="AW227" i="3"/>
  <c r="AW232" i="3" s="1"/>
  <c r="AW237" i="3" s="1"/>
  <c r="BZ227" i="3"/>
  <c r="BZ232" i="3" s="1"/>
  <c r="BZ237" i="3" s="1"/>
  <c r="K227" i="3"/>
  <c r="K232" i="3" s="1"/>
  <c r="K237" i="3" s="1"/>
  <c r="EZ162" i="3"/>
  <c r="EZ154" i="3"/>
  <c r="EZ156" i="3" s="1"/>
  <c r="EZ158" i="3" s="1"/>
  <c r="AC227" i="5"/>
  <c r="D227" i="3"/>
  <c r="EG227" i="5"/>
  <c r="W162" i="3"/>
  <c r="W154" i="3"/>
  <c r="W156" i="3" s="1"/>
  <c r="W158" i="3" s="1"/>
  <c r="BO337" i="3"/>
  <c r="BO201" i="3"/>
  <c r="BO229" i="3" s="1"/>
  <c r="CQ337" i="3"/>
  <c r="CQ201" i="3"/>
  <c r="CQ229" i="3" s="1"/>
  <c r="CQ232" i="3" s="1"/>
  <c r="CQ237" i="3" s="1"/>
  <c r="DW182" i="3"/>
  <c r="DW226" i="3" s="1"/>
  <c r="BW247" i="3"/>
  <c r="FC245" i="3"/>
  <c r="BB182" i="3"/>
  <c r="BB226" i="3" s="1"/>
  <c r="DV182" i="3"/>
  <c r="DV226" i="3" s="1"/>
  <c r="ER248" i="3"/>
  <c r="S182" i="3"/>
  <c r="S226" i="3" s="1"/>
  <c r="S227" i="3" s="1"/>
  <c r="CD182" i="3"/>
  <c r="CD226" i="3" s="1"/>
  <c r="CH162" i="3"/>
  <c r="CH154" i="3"/>
  <c r="CH156" i="3" s="1"/>
  <c r="CH158" i="3" s="1"/>
  <c r="DU162" i="3"/>
  <c r="DU154" i="3"/>
  <c r="DU156" i="3" s="1"/>
  <c r="DU158" i="3" s="1"/>
  <c r="CN227" i="5"/>
  <c r="BN227" i="3"/>
  <c r="CY162" i="3"/>
  <c r="CY154" i="3"/>
  <c r="CY156" i="3" s="1"/>
  <c r="CY158" i="3" s="1"/>
  <c r="DJ182" i="3"/>
  <c r="DJ226" i="3" s="1"/>
  <c r="CI182" i="3"/>
  <c r="CI226" i="3" s="1"/>
  <c r="CI227" i="3" s="1"/>
  <c r="FU182" i="3"/>
  <c r="FU226" i="3" s="1"/>
  <c r="FU227" i="3" s="1"/>
  <c r="BH227" i="3"/>
  <c r="BH232" i="3" s="1"/>
  <c r="BH237" i="3" s="1"/>
  <c r="FS182" i="3"/>
  <c r="FS226" i="3" s="1"/>
  <c r="EV182" i="3"/>
  <c r="EV226" i="3" s="1"/>
  <c r="EV227" i="3" s="1"/>
  <c r="EV232" i="3" s="1"/>
  <c r="EV237" i="3" s="1"/>
  <c r="BV182" i="3"/>
  <c r="BV226" i="3" s="1"/>
  <c r="BX227" i="3"/>
  <c r="BX232" i="3" s="1"/>
  <c r="BX237" i="3" s="1"/>
  <c r="DH227" i="3"/>
  <c r="DY227" i="3"/>
  <c r="DY232" i="3" s="1"/>
  <c r="DY237" i="3" s="1"/>
  <c r="FL227" i="3"/>
  <c r="FL232" i="3" s="1"/>
  <c r="FL237" i="3" s="1"/>
  <c r="BP162" i="3"/>
  <c r="BP154" i="3"/>
  <c r="BP156" i="3" s="1"/>
  <c r="BP158" i="3" s="1"/>
  <c r="DT182" i="3"/>
  <c r="DT226" i="3" s="1"/>
  <c r="DT227" i="3" s="1"/>
  <c r="DT232" i="3" s="1"/>
  <c r="DT237" i="3" s="1"/>
  <c r="DK245" i="3"/>
  <c r="U227" i="3"/>
  <c r="U232" i="3" s="1"/>
  <c r="U237" i="3" s="1"/>
  <c r="DG247" i="3"/>
  <c r="EN182" i="3"/>
  <c r="EN226" i="3" s="1"/>
  <c r="EN227" i="3" s="1"/>
  <c r="CA227" i="3"/>
  <c r="CA232" i="3" s="1"/>
  <c r="CA237" i="3" s="1"/>
  <c r="FA182" i="3"/>
  <c r="FA226" i="3" s="1"/>
  <c r="FA227" i="3" s="1"/>
  <c r="FA232" i="3" s="1"/>
  <c r="FA237" i="3" s="1"/>
  <c r="BQ182" i="3"/>
  <c r="BQ226" i="3" s="1"/>
  <c r="BL162" i="3"/>
  <c r="BL154" i="3"/>
  <c r="BL156" i="3" s="1"/>
  <c r="BL158" i="3" s="1"/>
  <c r="EH162" i="3"/>
  <c r="EH154" i="3"/>
  <c r="EH156" i="3" s="1"/>
  <c r="EH158" i="3" s="1"/>
  <c r="Y337" i="3"/>
  <c r="Y201" i="3"/>
  <c r="Y229" i="3" s="1"/>
  <c r="Z227" i="5"/>
  <c r="AX227" i="3"/>
  <c r="AX232" i="3" s="1"/>
  <c r="AX237" i="3" s="1"/>
  <c r="BF154" i="3"/>
  <c r="BF156" i="3" s="1"/>
  <c r="BF158" i="3" s="1"/>
  <c r="BF162" i="3"/>
  <c r="EB227" i="3"/>
  <c r="I229" i="3"/>
  <c r="DL227" i="3"/>
  <c r="CS227" i="3"/>
  <c r="CS232" i="3" s="1"/>
  <c r="CS237" i="3" s="1"/>
  <c r="FZ214" i="3"/>
  <c r="C219" i="3"/>
  <c r="AE162" i="3"/>
  <c r="AE154" i="3"/>
  <c r="AE156" i="3" s="1"/>
  <c r="AE158" i="3" s="1"/>
  <c r="FC247" i="3"/>
  <c r="H227" i="3"/>
  <c r="H232" i="3" s="1"/>
  <c r="H237" i="3" s="1"/>
  <c r="EV227" i="5"/>
  <c r="FZ127" i="3"/>
  <c r="FB248" i="3"/>
  <c r="AQ227" i="3"/>
  <c r="AQ232" i="3" s="1"/>
  <c r="AQ237" i="3" s="1"/>
  <c r="EP182" i="3"/>
  <c r="EP226" i="3" s="1"/>
  <c r="EP227" i="3" s="1"/>
  <c r="EP232" i="3" s="1"/>
  <c r="EP237" i="3" s="1"/>
  <c r="DO182" i="3"/>
  <c r="DO226" i="3" s="1"/>
  <c r="DC182" i="3"/>
  <c r="DC226" i="3" s="1"/>
  <c r="AZ337" i="3"/>
  <c r="AZ201" i="3"/>
  <c r="AZ229" i="3" s="1"/>
  <c r="AZ232" i="3" s="1"/>
  <c r="AZ237" i="3" s="1"/>
  <c r="BW248" i="3"/>
  <c r="Z182" i="3"/>
  <c r="Z226" i="3" s="1"/>
  <c r="Z227" i="3" s="1"/>
  <c r="Z232" i="3" s="1"/>
  <c r="Z237" i="3" s="1"/>
  <c r="AS182" i="3"/>
  <c r="AS226" i="3" s="1"/>
  <c r="CX182" i="3"/>
  <c r="CX226" i="3" s="1"/>
  <c r="CX227" i="3" s="1"/>
  <c r="ES227" i="5"/>
  <c r="CH227" i="3"/>
  <c r="CH232" i="3" s="1"/>
  <c r="CH237" i="3" s="1"/>
  <c r="FT167" i="5"/>
  <c r="FT168" i="5" s="1"/>
  <c r="FT169" i="5" s="1"/>
  <c r="FT225" i="5" s="1"/>
  <c r="FT227" i="5" s="1"/>
  <c r="FT232" i="5" s="1"/>
  <c r="FT237" i="5" s="1"/>
  <c r="FT128" i="5"/>
  <c r="DS227" i="3"/>
  <c r="R227" i="3"/>
  <c r="ES227" i="3"/>
  <c r="ES232" i="3" s="1"/>
  <c r="ES237" i="3" s="1"/>
  <c r="P247" i="3"/>
  <c r="CU154" i="3"/>
  <c r="CU156" i="3" s="1"/>
  <c r="CU158" i="3" s="1"/>
  <c r="CU162" i="3"/>
  <c r="FT139" i="5"/>
  <c r="FZ137" i="5"/>
  <c r="ED227" i="5"/>
  <c r="BP227" i="3"/>
  <c r="BP232" i="3" s="1"/>
  <c r="BP237" i="3" s="1"/>
  <c r="BH167" i="5"/>
  <c r="BH168" i="5" s="1"/>
  <c r="BH169" i="5" s="1"/>
  <c r="BH225" i="5" s="1"/>
  <c r="BH227" i="5" s="1"/>
  <c r="BH128" i="5"/>
  <c r="EW245" i="3"/>
  <c r="DG248" i="3"/>
  <c r="EO227" i="3"/>
  <c r="EO232" i="3" s="1"/>
  <c r="EO237" i="3" s="1"/>
  <c r="BV154" i="3"/>
  <c r="BV156" i="3" s="1"/>
  <c r="BV158" i="3" s="1"/>
  <c r="BV162" i="3"/>
  <c r="O154" i="3"/>
  <c r="O156" i="3" s="1"/>
  <c r="O158" i="3" s="1"/>
  <c r="O162" i="3"/>
  <c r="BI227" i="5"/>
  <c r="EM162" i="3"/>
  <c r="EM154" i="3"/>
  <c r="EM156" i="3" s="1"/>
  <c r="EM158" i="3" s="1"/>
  <c r="DI337" i="3"/>
  <c r="DI201" i="3"/>
  <c r="DI229" i="3" s="1"/>
  <c r="BF227" i="3"/>
  <c r="BF232" i="3" s="1"/>
  <c r="BF237" i="3" s="1"/>
  <c r="FX227" i="5"/>
  <c r="ED154" i="3"/>
  <c r="ED156" i="3" s="1"/>
  <c r="ED158" i="3" s="1"/>
  <c r="ED162" i="3"/>
  <c r="L167" i="5"/>
  <c r="L168" i="5" s="1"/>
  <c r="L169" i="5" s="1"/>
  <c r="L225" i="5" s="1"/>
  <c r="L227" i="5" s="1"/>
  <c r="L128" i="5"/>
  <c r="EN229" i="3"/>
  <c r="AG154" i="3"/>
  <c r="AG156" i="3" s="1"/>
  <c r="AG158" i="3" s="1"/>
  <c r="AG162" i="3"/>
  <c r="CT227" i="3"/>
  <c r="CT232" i="3" s="1"/>
  <c r="CT237" i="3" s="1"/>
  <c r="DW227" i="3"/>
  <c r="DW232" i="3" s="1"/>
  <c r="DW237" i="3" s="1"/>
  <c r="DK239" i="3"/>
  <c r="DK240" i="3"/>
  <c r="G162" i="3"/>
  <c r="G154" i="3"/>
  <c r="G156" i="3" s="1"/>
  <c r="G158" i="3" s="1"/>
  <c r="AS154" i="3"/>
  <c r="AS156" i="3" s="1"/>
  <c r="AS158" i="3" s="1"/>
  <c r="AS162" i="3"/>
  <c r="FT162" i="3"/>
  <c r="FT154" i="3"/>
  <c r="FT156" i="3" s="1"/>
  <c r="FT158" i="3" s="1"/>
  <c r="P248" i="3"/>
  <c r="BC337" i="3"/>
  <c r="BC201" i="3"/>
  <c r="F227" i="5"/>
  <c r="DZ182" i="3"/>
  <c r="DZ226" i="3" s="1"/>
  <c r="DZ227" i="3" s="1"/>
  <c r="DZ232" i="3" s="1"/>
  <c r="DZ237" i="3" s="1"/>
  <c r="ET162" i="3"/>
  <c r="ET154" i="3"/>
  <c r="ET156" i="3" s="1"/>
  <c r="ET158" i="3" s="1"/>
  <c r="CH227" i="5"/>
  <c r="DK247" i="3"/>
  <c r="EW247" i="3"/>
  <c r="DG245" i="3"/>
  <c r="AT182" i="3"/>
  <c r="AT226" i="3" s="1"/>
  <c r="AT227" i="3" s="1"/>
  <c r="AT232" i="3" s="1"/>
  <c r="AT237" i="3" s="1"/>
  <c r="DR227" i="5"/>
  <c r="EZ227" i="3"/>
  <c r="EZ232" i="3" s="1"/>
  <c r="EZ237" i="3" s="1"/>
  <c r="BV227" i="3"/>
  <c r="BV232" i="3" s="1"/>
  <c r="BV237" i="3" s="1"/>
  <c r="DL229" i="3"/>
  <c r="Q337" i="3"/>
  <c r="Q201" i="3"/>
  <c r="Q229" i="3" s="1"/>
  <c r="AV162" i="3"/>
  <c r="AV154" i="3"/>
  <c r="AV156" i="3" s="1"/>
  <c r="AV158" i="3" s="1"/>
  <c r="FQ162" i="3"/>
  <c r="FQ154" i="3"/>
  <c r="FQ156" i="3" s="1"/>
  <c r="FQ158" i="3" s="1"/>
  <c r="CB154" i="3"/>
  <c r="CB156" i="3" s="1"/>
  <c r="CB158" i="3" s="1"/>
  <c r="CB162" i="3"/>
  <c r="AL227" i="5"/>
  <c r="BX227" i="5"/>
  <c r="DJ337" i="3"/>
  <c r="DJ201" i="3"/>
  <c r="DJ229" i="3" s="1"/>
  <c r="CC227" i="3"/>
  <c r="CC232" i="3" s="1"/>
  <c r="CC237" i="3" s="1"/>
  <c r="AQ162" i="3"/>
  <c r="AQ154" i="3"/>
  <c r="AQ156" i="3" s="1"/>
  <c r="AQ158" i="3" s="1"/>
  <c r="FB247" i="3"/>
  <c r="ER245" i="3"/>
  <c r="EK154" i="3"/>
  <c r="EK156" i="3" s="1"/>
  <c r="EK158" i="3" s="1"/>
  <c r="EK162" i="3"/>
  <c r="FM167" i="3"/>
  <c r="FM168" i="3" s="1"/>
  <c r="FM169" i="3" s="1"/>
  <c r="FM225" i="3" s="1"/>
  <c r="FM227" i="3" s="1"/>
  <c r="FM232" i="3" s="1"/>
  <c r="FM237" i="3" s="1"/>
  <c r="FM239" i="3" s="1"/>
  <c r="FM128" i="3"/>
  <c r="FM152" i="3"/>
  <c r="EK227" i="3"/>
  <c r="EK232" i="3" s="1"/>
  <c r="EK237" i="3" s="1"/>
  <c r="DJ227" i="3"/>
  <c r="X227" i="5"/>
  <c r="CL154" i="3"/>
  <c r="CL156" i="3" s="1"/>
  <c r="CL158" i="3" s="1"/>
  <c r="CL162" i="3"/>
  <c r="DO227" i="3"/>
  <c r="FV182" i="3"/>
  <c r="FV226" i="3" s="1"/>
  <c r="FV227" i="3" s="1"/>
  <c r="X162" i="3"/>
  <c r="X154" i="3"/>
  <c r="X156" i="3" s="1"/>
  <c r="X158" i="3" s="1"/>
  <c r="AG227" i="5"/>
  <c r="AX182" i="3"/>
  <c r="AX226" i="3" s="1"/>
  <c r="W182" i="3"/>
  <c r="W226" i="3" s="1"/>
  <c r="W227" i="3" s="1"/>
  <c r="W232" i="3" s="1"/>
  <c r="W237" i="3" s="1"/>
  <c r="EM182" i="3"/>
  <c r="EM226" i="3" s="1"/>
  <c r="EM227" i="3" s="1"/>
  <c r="EM232" i="3" s="1"/>
  <c r="EM237" i="3" s="1"/>
  <c r="EX162" i="3"/>
  <c r="EX154" i="3"/>
  <c r="EX156" i="3" s="1"/>
  <c r="EX158" i="3" s="1"/>
  <c r="FN182" i="3"/>
  <c r="FN226" i="3" s="1"/>
  <c r="FN229" i="3" s="1"/>
  <c r="FP227" i="3"/>
  <c r="EE162" i="3"/>
  <c r="EE154" i="3"/>
  <c r="EE156" i="3" s="1"/>
  <c r="EE158" i="3" s="1"/>
  <c r="X245" i="3"/>
  <c r="BL182" i="3"/>
  <c r="BL226" i="3" s="1"/>
  <c r="BL227" i="3" s="1"/>
  <c r="BL232" i="3" s="1"/>
  <c r="BL237" i="3" s="1"/>
  <c r="N182" i="3"/>
  <c r="N226" i="3" s="1"/>
  <c r="N227" i="3" s="1"/>
  <c r="N232" i="3" s="1"/>
  <c r="N237" i="3" s="1"/>
  <c r="DD182" i="3"/>
  <c r="DD226" i="3" s="1"/>
  <c r="DD227" i="3" s="1"/>
  <c r="DD232" i="3" s="1"/>
  <c r="DD237" i="3" s="1"/>
  <c r="BA227" i="3"/>
  <c r="CR227" i="3"/>
  <c r="CR232" i="3" s="1"/>
  <c r="CR237" i="3" s="1"/>
  <c r="EJ227" i="3"/>
  <c r="BT182" i="3"/>
  <c r="BT226" i="3" s="1"/>
  <c r="BT227" i="3" s="1"/>
  <c r="BT232" i="3" s="1"/>
  <c r="BT237" i="3" s="1"/>
  <c r="G227" i="3"/>
  <c r="G232" i="3" s="1"/>
  <c r="G237" i="3" s="1"/>
  <c r="BD182" i="3"/>
  <c r="BD226" i="3" s="1"/>
  <c r="BD227" i="3" s="1"/>
  <c r="BD232" i="3" s="1"/>
  <c r="BD237" i="3" s="1"/>
  <c r="BC182" i="3"/>
  <c r="BC226" i="3" s="1"/>
  <c r="BC227" i="3" s="1"/>
  <c r="N227" i="5"/>
  <c r="P245" i="3"/>
  <c r="CU227" i="3"/>
  <c r="CU232" i="3" s="1"/>
  <c r="CU237" i="3" s="1"/>
  <c r="M182" i="3"/>
  <c r="M226" i="3" s="1"/>
  <c r="M227" i="3" s="1"/>
  <c r="AJ182" i="3"/>
  <c r="AJ226" i="3" s="1"/>
  <c r="AJ227" i="3" s="1"/>
  <c r="AJ232" i="3" s="1"/>
  <c r="AJ237" i="3" s="1"/>
  <c r="FZ127" i="5"/>
  <c r="F227" i="3"/>
  <c r="J182" i="3"/>
  <c r="J226" i="3" s="1"/>
  <c r="J227" i="3" s="1"/>
  <c r="CO182" i="3"/>
  <c r="CO226" i="3" s="1"/>
  <c r="CO227" i="3" s="1"/>
  <c r="CO232" i="3" s="1"/>
  <c r="CO237" i="3" s="1"/>
  <c r="DK227" i="5"/>
  <c r="EW248" i="3"/>
  <c r="AE245" i="3"/>
  <c r="DZ227" i="5"/>
  <c r="FS227" i="3"/>
  <c r="FS232" i="3" s="1"/>
  <c r="FS237" i="3" s="1"/>
  <c r="FD227" i="5"/>
  <c r="M229" i="3"/>
  <c r="AV227" i="3"/>
  <c r="AV232" i="3" s="1"/>
  <c r="AV237" i="3" s="1"/>
  <c r="EH227" i="3"/>
  <c r="EH232" i="3" s="1"/>
  <c r="EH237" i="3" s="1"/>
  <c r="EF229" i="3"/>
  <c r="Y227" i="3"/>
  <c r="CV227" i="3"/>
  <c r="CV232" i="3" s="1"/>
  <c r="CV237" i="3" s="1"/>
  <c r="FK337" i="3"/>
  <c r="FK201" i="3"/>
  <c r="FK229" i="3" s="1"/>
  <c r="DW162" i="3"/>
  <c r="DW154" i="3"/>
  <c r="DW156" i="3" s="1"/>
  <c r="DW158" i="3" s="1"/>
  <c r="DK154" i="3"/>
  <c r="DK156" i="3" s="1"/>
  <c r="DK158" i="3" s="1"/>
  <c r="DK162" i="3"/>
  <c r="AT154" i="3"/>
  <c r="AT156" i="3" s="1"/>
  <c r="AT158" i="3" s="1"/>
  <c r="AT162" i="3"/>
  <c r="CP337" i="3"/>
  <c r="CP201" i="3"/>
  <c r="BW245" i="3"/>
  <c r="AG227" i="3"/>
  <c r="AG232" i="3" s="1"/>
  <c r="AG237" i="3" s="1"/>
  <c r="CC162" i="3"/>
  <c r="CC154" i="3"/>
  <c r="CC156" i="3" s="1"/>
  <c r="CC158" i="3" s="1"/>
  <c r="BI247" i="3"/>
  <c r="BG227" i="3"/>
  <c r="BN229" i="3"/>
  <c r="EJ337" i="3"/>
  <c r="EJ201" i="3"/>
  <c r="EJ229" i="3" s="1"/>
  <c r="EX227" i="3"/>
  <c r="EX232" i="3" s="1"/>
  <c r="EX237" i="3" s="1"/>
  <c r="AD248" i="3"/>
  <c r="FF247" i="3"/>
  <c r="D227" i="5"/>
  <c r="X247" i="3"/>
  <c r="C142" i="4"/>
  <c r="BL227" i="5"/>
  <c r="FN227" i="3"/>
  <c r="CK248" i="3"/>
  <c r="FT227" i="3"/>
  <c r="FT232" i="3" s="1"/>
  <c r="FT237" i="3" s="1"/>
  <c r="FO227" i="3"/>
  <c r="C184" i="5"/>
  <c r="C207" i="5"/>
  <c r="C191" i="5"/>
  <c r="C150" i="5"/>
  <c r="C115" i="5"/>
  <c r="C122" i="5" s="1"/>
  <c r="C104" i="5"/>
  <c r="FZ104" i="5" s="1"/>
  <c r="C112" i="5"/>
  <c r="FZ103" i="5"/>
  <c r="GB103" i="5" s="1"/>
  <c r="C109" i="5"/>
  <c r="BQ227" i="5"/>
  <c r="AE248" i="3"/>
  <c r="FX227" i="3"/>
  <c r="FX232" i="3" s="1"/>
  <c r="FX237" i="3" s="1"/>
  <c r="DT227" i="5"/>
  <c r="DI227" i="3"/>
  <c r="DC227" i="3"/>
  <c r="DC232" i="3" s="1"/>
  <c r="DC237" i="3" s="1"/>
  <c r="ED227" i="3"/>
  <c r="ED232" i="3" s="1"/>
  <c r="ED237" i="3" s="1"/>
  <c r="CD227" i="5"/>
  <c r="BY227" i="3"/>
  <c r="BY232" i="3" s="1"/>
  <c r="BY237" i="3" s="1"/>
  <c r="C207" i="3"/>
  <c r="C184" i="3"/>
  <c r="C150" i="3"/>
  <c r="C162" i="3" s="1"/>
  <c r="C152" i="3"/>
  <c r="C191" i="3"/>
  <c r="C115" i="3"/>
  <c r="C122" i="3" s="1"/>
  <c r="C112" i="3"/>
  <c r="FZ103" i="3"/>
  <c r="GB103" i="3" s="1"/>
  <c r="C104" i="3"/>
  <c r="FZ104" i="3" s="1"/>
  <c r="C142" i="3"/>
  <c r="C146" i="3" s="1"/>
  <c r="C148" i="3" s="1"/>
  <c r="FZ148" i="3" s="1"/>
  <c r="C109" i="3"/>
  <c r="C144" i="3"/>
  <c r="EI337" i="3"/>
  <c r="EI201" i="3"/>
  <c r="EI229" i="3" s="1"/>
  <c r="EQ167" i="5"/>
  <c r="EQ168" i="5" s="1"/>
  <c r="EQ169" i="5" s="1"/>
  <c r="EQ225" i="5" s="1"/>
  <c r="EQ227" i="5" s="1"/>
  <c r="EQ128" i="5"/>
  <c r="FF245" i="3"/>
  <c r="BQ227" i="3"/>
  <c r="CF162" i="3"/>
  <c r="CF154" i="3"/>
  <c r="CF156" i="3" s="1"/>
  <c r="CF158" i="3" s="1"/>
  <c r="AS227" i="3"/>
  <c r="AS232" i="3" s="1"/>
  <c r="AS237" i="3" s="1"/>
  <c r="EZ167" i="5"/>
  <c r="EZ168" i="5" s="1"/>
  <c r="EZ169" i="5" s="1"/>
  <c r="EZ225" i="5" s="1"/>
  <c r="EZ227" i="5" s="1"/>
  <c r="EZ150" i="5"/>
  <c r="EZ162" i="5" s="1"/>
  <c r="EZ128" i="5"/>
  <c r="CK247" i="3"/>
  <c r="AF227" i="5"/>
  <c r="EG162" i="3"/>
  <c r="EG154" i="3"/>
  <c r="EG156" i="3" s="1"/>
  <c r="EG158" i="3" s="1"/>
  <c r="BF227" i="5"/>
  <c r="FZ214" i="5"/>
  <c r="C219" i="5"/>
  <c r="ET227" i="3"/>
  <c r="ET232" i="3" s="1"/>
  <c r="ET237" i="3" s="1"/>
  <c r="AC248" i="3"/>
  <c r="AE247" i="3"/>
  <c r="Q227" i="3"/>
  <c r="FU229" i="3"/>
  <c r="AM162" i="3"/>
  <c r="AM154" i="3"/>
  <c r="AM156" i="3" s="1"/>
  <c r="AM158" i="3" s="1"/>
  <c r="CB227" i="3"/>
  <c r="CB232" i="3" s="1"/>
  <c r="CB237" i="3" s="1"/>
  <c r="DR337" i="3"/>
  <c r="DR201" i="3"/>
  <c r="DR229" i="3" s="1"/>
  <c r="CB227" i="5"/>
  <c r="DO229" i="3"/>
  <c r="FM227" i="5"/>
  <c r="FR227" i="3"/>
  <c r="FR232" i="3" s="1"/>
  <c r="FR237" i="3" s="1"/>
  <c r="CM337" i="3"/>
  <c r="CM201" i="3"/>
  <c r="CM229" i="3" s="1"/>
  <c r="BQ337" i="3"/>
  <c r="BQ201" i="3"/>
  <c r="BQ229" i="3" s="1"/>
  <c r="EL167" i="3"/>
  <c r="EL168" i="3" s="1"/>
  <c r="EL169" i="3" s="1"/>
  <c r="EL225" i="3" s="1"/>
  <c r="EL227" i="3" s="1"/>
  <c r="EL128" i="3"/>
  <c r="EL156" i="3"/>
  <c r="EL158" i="3" s="1"/>
  <c r="EG227" i="3"/>
  <c r="EG232" i="3" s="1"/>
  <c r="EG237" i="3" s="1"/>
  <c r="L232" i="3"/>
  <c r="L237" i="3" s="1"/>
  <c r="EA162" i="3"/>
  <c r="EA154" i="3"/>
  <c r="EA156" i="3" s="1"/>
  <c r="EA158" i="3" s="1"/>
  <c r="BI248" i="3"/>
  <c r="BY162" i="3"/>
  <c r="BY154" i="3"/>
  <c r="BY156" i="3" s="1"/>
  <c r="BY158" i="3" s="1"/>
  <c r="FB162" i="3"/>
  <c r="FB154" i="3"/>
  <c r="FB156" i="3" s="1"/>
  <c r="FB158" i="3" s="1"/>
  <c r="EH227" i="5"/>
  <c r="AH227" i="3"/>
  <c r="AD245" i="3"/>
  <c r="FZ182" i="5"/>
  <c r="GB182" i="5" s="1"/>
  <c r="FH247" i="3"/>
  <c r="CL227" i="3"/>
  <c r="CL232" i="3" s="1"/>
  <c r="CL237" i="3" s="1"/>
  <c r="BI245" i="3"/>
  <c r="AR162" i="3"/>
  <c r="AR154" i="3"/>
  <c r="AR156" i="3" s="1"/>
  <c r="AR158" i="3" s="1"/>
  <c r="DH337" i="3"/>
  <c r="DH201" i="3"/>
  <c r="DH229" i="3" s="1"/>
  <c r="FD182" i="3"/>
  <c r="FD226" i="3" s="1"/>
  <c r="FD227" i="3" s="1"/>
  <c r="FD232" i="3" s="1"/>
  <c r="FD237" i="3" s="1"/>
  <c r="EB167" i="5"/>
  <c r="EB168" i="5" s="1"/>
  <c r="EB169" i="5" s="1"/>
  <c r="EB225" i="5" s="1"/>
  <c r="EB227" i="5" s="1"/>
  <c r="EB128" i="5"/>
  <c r="CG182" i="3"/>
  <c r="CG226" i="3" s="1"/>
  <c r="CG227" i="3" s="1"/>
  <c r="CG232" i="3" s="1"/>
  <c r="CG237" i="3" s="1"/>
  <c r="E182" i="3"/>
  <c r="E226" i="3" s="1"/>
  <c r="E227" i="3" s="1"/>
  <c r="BJ182" i="3"/>
  <c r="BJ226" i="3" s="1"/>
  <c r="BJ227" i="3" s="1"/>
  <c r="BJ232" i="3" s="1"/>
  <c r="BJ237" i="3" s="1"/>
  <c r="DU182" i="3"/>
  <c r="DU226" i="3" s="1"/>
  <c r="DU227" i="3" s="1"/>
  <c r="DU232" i="3" s="1"/>
  <c r="DU237" i="3" s="1"/>
  <c r="EU337" i="3"/>
  <c r="EU201" i="3"/>
  <c r="EU229" i="3" s="1"/>
  <c r="AD247" i="3"/>
  <c r="FF248" i="3"/>
  <c r="BU248" i="3"/>
  <c r="DF182" i="3"/>
  <c r="DF226" i="3" s="1"/>
  <c r="DF227" i="3" s="1"/>
  <c r="AG182" i="3"/>
  <c r="AG226" i="3" s="1"/>
  <c r="BB227" i="3"/>
  <c r="FZ226" i="5"/>
  <c r="FR182" i="3"/>
  <c r="FR226" i="3" s="1"/>
  <c r="BW167" i="5"/>
  <c r="BW168" i="5" s="1"/>
  <c r="BW169" i="5" s="1"/>
  <c r="BW225" i="5" s="1"/>
  <c r="BW227" i="5" s="1"/>
  <c r="BW128" i="5"/>
  <c r="FI227" i="3"/>
  <c r="EW162" i="3"/>
  <c r="EW154" i="3"/>
  <c r="EW156" i="3" s="1"/>
  <c r="EW158" i="3" s="1"/>
  <c r="AM182" i="3"/>
  <c r="AM226" i="3" s="1"/>
  <c r="EY227" i="3"/>
  <c r="CJ182" i="3"/>
  <c r="CJ226" i="3" s="1"/>
  <c r="CJ227" i="3" s="1"/>
  <c r="O182" i="3"/>
  <c r="O226" i="3" s="1"/>
  <c r="O227" i="3" s="1"/>
  <c r="O232" i="3" s="1"/>
  <c r="O237" i="3" s="1"/>
  <c r="AU182" i="3"/>
  <c r="AU226" i="3" s="1"/>
  <c r="AU227" i="3" s="1"/>
  <c r="AU232" i="3" s="1"/>
  <c r="AU237" i="3" s="1"/>
  <c r="CK245" i="3"/>
  <c r="DV227" i="3"/>
  <c r="DV232" i="3" s="1"/>
  <c r="DV237" i="3" s="1"/>
  <c r="V182" i="3"/>
  <c r="V226" i="3" s="1"/>
  <c r="V227" i="3" s="1"/>
  <c r="V232" i="3" s="1"/>
  <c r="V237" i="3" s="1"/>
  <c r="CN247" i="3"/>
  <c r="FZ166" i="5"/>
  <c r="FQ182" i="3"/>
  <c r="FQ226" i="3" s="1"/>
  <c r="FQ227" i="3" s="1"/>
  <c r="FQ232" i="3" s="1"/>
  <c r="FQ237" i="3" s="1"/>
  <c r="EE182" i="3"/>
  <c r="EE226" i="3" s="1"/>
  <c r="EE227" i="3" s="1"/>
  <c r="EE232" i="3" s="1"/>
  <c r="EE237" i="3" s="1"/>
  <c r="FO182" i="3"/>
  <c r="FO226" i="3" s="1"/>
  <c r="FO229" i="3" s="1"/>
  <c r="AD154" i="3"/>
  <c r="AD156" i="3" s="1"/>
  <c r="AD158" i="3" s="1"/>
  <c r="AD162" i="3"/>
  <c r="AC247" i="3"/>
  <c r="DQ154" i="3"/>
  <c r="DQ156" i="3" s="1"/>
  <c r="DQ158" i="3" s="1"/>
  <c r="DQ162" i="3"/>
  <c r="AN248" i="3"/>
  <c r="AR182" i="3"/>
  <c r="AR226" i="3" s="1"/>
  <c r="AR227" i="3" s="1"/>
  <c r="AR232" i="3" s="1"/>
  <c r="AR237" i="3" s="1"/>
  <c r="AL245" i="3"/>
  <c r="AK182" i="3"/>
  <c r="AK226" i="3" s="1"/>
  <c r="AK227" i="3" s="1"/>
  <c r="AK232" i="3" s="1"/>
  <c r="AK237" i="3" s="1"/>
  <c r="DN182" i="3"/>
  <c r="DN226" i="3" s="1"/>
  <c r="DN227" i="3" s="1"/>
  <c r="AH182" i="3"/>
  <c r="AH226" i="3" s="1"/>
  <c r="AH229" i="3" s="1"/>
  <c r="BW154" i="3"/>
  <c r="BW156" i="3" s="1"/>
  <c r="BW158" i="3" s="1"/>
  <c r="BW162" i="3"/>
  <c r="DN229" i="3"/>
  <c r="FI229" i="3"/>
  <c r="AK227" i="5"/>
  <c r="DO227" i="5"/>
  <c r="BA229" i="3"/>
  <c r="FK227" i="3"/>
  <c r="AP227" i="5"/>
  <c r="AI249" i="3" l="1"/>
  <c r="AI253" i="3" s="1"/>
  <c r="AI258" i="3" s="1"/>
  <c r="AI259" i="3" s="1"/>
  <c r="AI264" i="3" s="1"/>
  <c r="AI270" i="3" s="1"/>
  <c r="AI273" i="3" s="1"/>
  <c r="F232" i="3"/>
  <c r="F237" i="3" s="1"/>
  <c r="F245" i="3" s="1"/>
  <c r="AL249" i="3"/>
  <c r="AL253" i="3" s="1"/>
  <c r="AL258" i="3" s="1"/>
  <c r="AL259" i="3" s="1"/>
  <c r="AL289" i="3" s="1"/>
  <c r="EQ249" i="3"/>
  <c r="EQ253" i="3" s="1"/>
  <c r="EQ258" i="3" s="1"/>
  <c r="EQ259" i="3" s="1"/>
  <c r="EQ289" i="3" s="1"/>
  <c r="EQ296" i="3" s="1"/>
  <c r="EY232" i="3"/>
  <c r="EY237" i="3" s="1"/>
  <c r="EY239" i="3" s="1"/>
  <c r="BU249" i="3"/>
  <c r="BU253" i="3" s="1"/>
  <c r="BU258" i="3" s="1"/>
  <c r="BU259" i="3" s="1"/>
  <c r="BU264" i="3" s="1"/>
  <c r="BU270" i="3" s="1"/>
  <c r="BU273" i="3" s="1"/>
  <c r="P249" i="3"/>
  <c r="P253" i="3" s="1"/>
  <c r="P258" i="3" s="1"/>
  <c r="P259" i="3" s="1"/>
  <c r="P289" i="3" s="1"/>
  <c r="T249" i="3"/>
  <c r="T253" i="3" s="1"/>
  <c r="T258" i="3" s="1"/>
  <c r="T259" i="3" s="1"/>
  <c r="T144" i="2" s="1"/>
  <c r="FK232" i="3"/>
  <c r="FK237" i="3" s="1"/>
  <c r="FK239" i="3" s="1"/>
  <c r="FH249" i="3"/>
  <c r="FH253" i="3" s="1"/>
  <c r="FH258" i="3" s="1"/>
  <c r="FH259" i="3" s="1"/>
  <c r="FH144" i="2" s="1"/>
  <c r="Y232" i="3"/>
  <c r="Y237" i="3" s="1"/>
  <c r="Y245" i="3" s="1"/>
  <c r="EB232" i="3"/>
  <c r="EB237" i="3" s="1"/>
  <c r="EB239" i="3" s="1"/>
  <c r="BG232" i="3"/>
  <c r="BG237" i="3" s="1"/>
  <c r="BG247" i="3" s="1"/>
  <c r="Q232" i="3"/>
  <c r="Q237" i="3" s="1"/>
  <c r="Q248" i="3" s="1"/>
  <c r="FJ249" i="3"/>
  <c r="FJ253" i="3" s="1"/>
  <c r="FJ258" i="3" s="1"/>
  <c r="FJ259" i="3" s="1"/>
  <c r="FJ264" i="3" s="1"/>
  <c r="FJ270" i="3" s="1"/>
  <c r="FJ273" i="3" s="1"/>
  <c r="DJ232" i="3"/>
  <c r="DJ237" i="3" s="1"/>
  <c r="DJ247" i="3" s="1"/>
  <c r="X249" i="3"/>
  <c r="X253" i="3" s="1"/>
  <c r="X258" i="3" s="1"/>
  <c r="X259" i="3" s="1"/>
  <c r="X144" i="2" s="1"/>
  <c r="R232" i="3"/>
  <c r="R237" i="3" s="1"/>
  <c r="R248" i="3" s="1"/>
  <c r="AP229" i="3"/>
  <c r="AP232" i="3" s="1"/>
  <c r="AP237" i="3" s="1"/>
  <c r="AB249" i="3"/>
  <c r="AB253" i="3" s="1"/>
  <c r="AB258" i="3" s="1"/>
  <c r="AB259" i="3" s="1"/>
  <c r="AB289" i="3" s="1"/>
  <c r="DS232" i="3"/>
  <c r="DS237" i="3" s="1"/>
  <c r="DS248" i="3" s="1"/>
  <c r="EA249" i="3"/>
  <c r="EA253" i="3" s="1"/>
  <c r="EA258" i="3" s="1"/>
  <c r="EA259" i="3" s="1"/>
  <c r="EA289" i="3" s="1"/>
  <c r="DN232" i="3"/>
  <c r="DN237" i="3" s="1"/>
  <c r="DN247" i="3" s="1"/>
  <c r="FP232" i="3"/>
  <c r="FP237" i="3" s="1"/>
  <c r="FP245" i="3" s="1"/>
  <c r="DG249" i="3"/>
  <c r="DG253" i="3" s="1"/>
  <c r="DG258" i="3" s="1"/>
  <c r="DG259" i="3" s="1"/>
  <c r="DG264" i="3" s="1"/>
  <c r="DG270" i="3" s="1"/>
  <c r="DG273" i="3" s="1"/>
  <c r="EN232" i="3"/>
  <c r="EN237" i="3" s="1"/>
  <c r="EN248" i="3" s="1"/>
  <c r="BW249" i="3"/>
  <c r="BW253" i="3" s="1"/>
  <c r="BW258" i="3" s="1"/>
  <c r="BW259" i="3" s="1"/>
  <c r="BW264" i="3" s="1"/>
  <c r="BW270" i="3" s="1"/>
  <c r="BW273" i="3" s="1"/>
  <c r="CK249" i="3"/>
  <c r="CK253" i="3" s="1"/>
  <c r="CK258" i="3" s="1"/>
  <c r="CK259" i="3" s="1"/>
  <c r="CK144" i="2" s="1"/>
  <c r="AN249" i="3"/>
  <c r="AN253" i="3" s="1"/>
  <c r="AN258" i="3" s="1"/>
  <c r="AN259" i="3" s="1"/>
  <c r="AN289" i="3" s="1"/>
  <c r="EW249" i="3"/>
  <c r="EW253" i="3" s="1"/>
  <c r="EW258" i="3" s="1"/>
  <c r="EW259" i="3" s="1"/>
  <c r="EW289" i="3" s="1"/>
  <c r="D232" i="3"/>
  <c r="D237" i="3" s="1"/>
  <c r="D245" i="3" s="1"/>
  <c r="M232" i="3"/>
  <c r="M237" i="3" s="1"/>
  <c r="M239" i="3" s="1"/>
  <c r="BO232" i="3"/>
  <c r="BO237" i="3" s="1"/>
  <c r="BO247" i="3" s="1"/>
  <c r="AY239" i="3"/>
  <c r="AY245" i="3"/>
  <c r="AY248" i="3"/>
  <c r="AY247" i="3"/>
  <c r="D146" i="4" a="1"/>
  <c r="D146" i="4" s="1"/>
  <c r="D145" i="4" a="1"/>
  <c r="D145" i="4" s="1"/>
  <c r="O239" i="3"/>
  <c r="O245" i="3"/>
  <c r="O247" i="3"/>
  <c r="O248" i="3"/>
  <c r="DZ239" i="3"/>
  <c r="DZ248" i="3"/>
  <c r="DZ247" i="3"/>
  <c r="DZ245" i="3"/>
  <c r="CZ239" i="3"/>
  <c r="CZ248" i="3"/>
  <c r="CZ245" i="3"/>
  <c r="CZ247" i="3"/>
  <c r="BJ239" i="3"/>
  <c r="BJ245" i="3"/>
  <c r="BJ248" i="3"/>
  <c r="BJ247" i="3"/>
  <c r="EM239" i="3"/>
  <c r="EM247" i="3"/>
  <c r="EM248" i="3"/>
  <c r="EM245" i="3"/>
  <c r="DT239" i="3"/>
  <c r="DT248" i="3"/>
  <c r="DT247" i="3"/>
  <c r="DT245" i="3"/>
  <c r="EP239" i="3"/>
  <c r="EP248" i="3"/>
  <c r="EP245" i="3"/>
  <c r="EP247" i="3"/>
  <c r="BL239" i="3"/>
  <c r="BL248" i="3"/>
  <c r="BL247" i="3"/>
  <c r="BL245" i="3"/>
  <c r="FT239" i="5"/>
  <c r="FT247" i="5"/>
  <c r="FT248" i="5"/>
  <c r="FT245" i="5"/>
  <c r="V239" i="3"/>
  <c r="V248" i="3"/>
  <c r="V247" i="3"/>
  <c r="V245" i="3"/>
  <c r="N239" i="3"/>
  <c r="N247" i="3"/>
  <c r="N245" i="3"/>
  <c r="N248" i="3"/>
  <c r="AU239" i="3"/>
  <c r="AU248" i="3"/>
  <c r="AU245" i="3"/>
  <c r="AU247" i="3"/>
  <c r="EE239" i="3"/>
  <c r="EE245" i="3"/>
  <c r="EE248" i="3"/>
  <c r="EE247" i="3"/>
  <c r="AT239" i="3"/>
  <c r="AT245" i="3"/>
  <c r="AT248" i="3"/>
  <c r="AT247" i="3"/>
  <c r="CQ239" i="3"/>
  <c r="CQ248" i="3"/>
  <c r="CQ247" i="3"/>
  <c r="CQ245" i="3"/>
  <c r="CY239" i="3"/>
  <c r="CY247" i="3"/>
  <c r="CY248" i="3"/>
  <c r="CY245" i="3"/>
  <c r="AK239" i="3"/>
  <c r="AK248" i="3"/>
  <c r="AK247" i="3"/>
  <c r="AK245" i="3"/>
  <c r="AR239" i="3"/>
  <c r="AR247" i="3"/>
  <c r="AR245" i="3"/>
  <c r="AR248" i="3"/>
  <c r="W239" i="3"/>
  <c r="W248" i="3"/>
  <c r="W245" i="3"/>
  <c r="W247" i="3"/>
  <c r="FQ239" i="3"/>
  <c r="FQ245" i="3"/>
  <c r="FQ247" i="3"/>
  <c r="FQ248" i="3"/>
  <c r="DU239" i="3"/>
  <c r="DU245" i="3"/>
  <c r="DU247" i="3"/>
  <c r="DU248" i="3"/>
  <c r="EV239" i="3"/>
  <c r="EV247" i="3"/>
  <c r="EV248" i="3"/>
  <c r="EV245" i="3"/>
  <c r="CF239" i="3"/>
  <c r="CF247" i="3"/>
  <c r="CF245" i="3"/>
  <c r="CF248" i="3"/>
  <c r="CO239" i="3"/>
  <c r="CO248" i="3"/>
  <c r="CO245" i="3"/>
  <c r="CO247" i="3"/>
  <c r="BT239" i="3"/>
  <c r="BT247" i="3"/>
  <c r="BT245" i="3"/>
  <c r="BT248" i="3"/>
  <c r="CG239" i="3"/>
  <c r="CG248" i="3"/>
  <c r="CG247" i="3"/>
  <c r="CG245" i="3"/>
  <c r="BS239" i="3"/>
  <c r="BS247" i="3"/>
  <c r="BS245" i="3"/>
  <c r="BS248" i="3"/>
  <c r="FX239" i="3"/>
  <c r="FX247" i="3"/>
  <c r="FX245" i="3"/>
  <c r="FX248" i="3"/>
  <c r="FO232" i="3"/>
  <c r="FO237" i="3" s="1"/>
  <c r="EX239" i="3"/>
  <c r="EX248" i="3"/>
  <c r="EX247" i="3"/>
  <c r="EX245" i="3"/>
  <c r="DO232" i="3"/>
  <c r="DO237" i="3" s="1"/>
  <c r="EK239" i="3"/>
  <c r="EK247" i="3"/>
  <c r="EK245" i="3"/>
  <c r="EK248" i="3"/>
  <c r="BF239" i="3"/>
  <c r="BF247" i="3"/>
  <c r="BF245" i="3"/>
  <c r="BF248" i="3"/>
  <c r="BH239" i="3"/>
  <c r="BH245" i="3"/>
  <c r="BH248" i="3"/>
  <c r="BH247" i="3"/>
  <c r="EI232" i="3"/>
  <c r="EI237" i="3" s="1"/>
  <c r="AA239" i="3"/>
  <c r="AA248" i="3"/>
  <c r="AA245" i="3"/>
  <c r="AA247" i="3"/>
  <c r="I232" i="3"/>
  <c r="I237" i="3" s="1"/>
  <c r="EF232" i="3"/>
  <c r="EF237" i="3" s="1"/>
  <c r="CL239" i="3"/>
  <c r="CL245" i="3"/>
  <c r="CL248" i="3"/>
  <c r="CL247" i="3"/>
  <c r="AG239" i="3"/>
  <c r="AG248" i="3"/>
  <c r="AG245" i="3"/>
  <c r="AG247" i="3"/>
  <c r="CV239" i="3"/>
  <c r="CV247" i="3"/>
  <c r="CV245" i="3"/>
  <c r="CV248" i="3"/>
  <c r="CX229" i="3"/>
  <c r="CX232" i="3" s="1"/>
  <c r="CX237" i="3" s="1"/>
  <c r="FA239" i="3"/>
  <c r="FA248" i="3"/>
  <c r="FA245" i="3"/>
  <c r="FA247" i="3"/>
  <c r="FU232" i="3"/>
  <c r="FU237" i="3" s="1"/>
  <c r="K239" i="3"/>
  <c r="K245" i="3"/>
  <c r="K247" i="3"/>
  <c r="K248" i="3"/>
  <c r="BM239" i="3"/>
  <c r="BM245" i="3"/>
  <c r="BM247" i="3"/>
  <c r="BM248" i="3"/>
  <c r="CM232" i="3"/>
  <c r="CM237" i="3" s="1"/>
  <c r="E229" i="3"/>
  <c r="E232" i="3" s="1"/>
  <c r="E237" i="3" s="1"/>
  <c r="C186" i="3"/>
  <c r="C187" i="3" s="1"/>
  <c r="C188" i="3"/>
  <c r="FZ188" i="3" s="1"/>
  <c r="GB188" i="3" s="1"/>
  <c r="C209" i="3"/>
  <c r="C267" i="3"/>
  <c r="FE239" i="3"/>
  <c r="FE245" i="3"/>
  <c r="FE247" i="3"/>
  <c r="FE248" i="3"/>
  <c r="CB239" i="3"/>
  <c r="CB247" i="3"/>
  <c r="CB245" i="3"/>
  <c r="CB248" i="3"/>
  <c r="BQ232" i="3"/>
  <c r="BQ237" i="3" s="1"/>
  <c r="FT239" i="3"/>
  <c r="FT245" i="3"/>
  <c r="FT248" i="3"/>
  <c r="FT247" i="3"/>
  <c r="FN232" i="3"/>
  <c r="FN237" i="3" s="1"/>
  <c r="AE249" i="3"/>
  <c r="AE253" i="3" s="1"/>
  <c r="AE258" i="3" s="1"/>
  <c r="AE259" i="3" s="1"/>
  <c r="G239" i="3"/>
  <c r="G247" i="3"/>
  <c r="G248" i="3"/>
  <c r="G245" i="3"/>
  <c r="EO239" i="3"/>
  <c r="EO247" i="3"/>
  <c r="EO248" i="3"/>
  <c r="EO245" i="3"/>
  <c r="CS239" i="3"/>
  <c r="CS245" i="3"/>
  <c r="CS247" i="3"/>
  <c r="CS248" i="3"/>
  <c r="BZ239" i="3"/>
  <c r="BZ245" i="3"/>
  <c r="BZ248" i="3"/>
  <c r="BZ247" i="3"/>
  <c r="CD239" i="3"/>
  <c r="CD248" i="3"/>
  <c r="CD247" i="3"/>
  <c r="CD245" i="3"/>
  <c r="DM239" i="3"/>
  <c r="DM248" i="3"/>
  <c r="DM247" i="3"/>
  <c r="DM245" i="3"/>
  <c r="BR337" i="3"/>
  <c r="BR201" i="3"/>
  <c r="BR229" i="3" s="1"/>
  <c r="BR232" i="3" s="1"/>
  <c r="BR237" i="3" s="1"/>
  <c r="BD239" i="3"/>
  <c r="BD247" i="3"/>
  <c r="BD245" i="3"/>
  <c r="BD248" i="3"/>
  <c r="BY239" i="3"/>
  <c r="BY245" i="3"/>
  <c r="BY247" i="3"/>
  <c r="BY248" i="3"/>
  <c r="DF229" i="3"/>
  <c r="DF232" i="3" s="1"/>
  <c r="DF237" i="3" s="1"/>
  <c r="EH239" i="3"/>
  <c r="EH248" i="3"/>
  <c r="EH247" i="3"/>
  <c r="EH245" i="3"/>
  <c r="ER249" i="3"/>
  <c r="ER253" i="3" s="1"/>
  <c r="ER258" i="3" s="1"/>
  <c r="ER259" i="3" s="1"/>
  <c r="CT239" i="3"/>
  <c r="CT247" i="3"/>
  <c r="CT245" i="3"/>
  <c r="CT248" i="3"/>
  <c r="BP239" i="3"/>
  <c r="BP245" i="3"/>
  <c r="BP248" i="3"/>
  <c r="BP247" i="3"/>
  <c r="H239" i="3"/>
  <c r="H248" i="3"/>
  <c r="H247" i="3"/>
  <c r="H245" i="3"/>
  <c r="DL232" i="3"/>
  <c r="DL237" i="3" s="1"/>
  <c r="DY239" i="3"/>
  <c r="DY248" i="3"/>
  <c r="DY247" i="3"/>
  <c r="DY245" i="3"/>
  <c r="DA239" i="3"/>
  <c r="DA245" i="3"/>
  <c r="DA247" i="3"/>
  <c r="DA248" i="3"/>
  <c r="CE239" i="3"/>
  <c r="CE248" i="3"/>
  <c r="CE247" i="3"/>
  <c r="CE245" i="3"/>
  <c r="S229" i="3"/>
  <c r="S232" i="3" s="1"/>
  <c r="S237" i="3" s="1"/>
  <c r="FB249" i="3"/>
  <c r="FB253" i="3" s="1"/>
  <c r="FB258" i="3" s="1"/>
  <c r="FB259" i="3" s="1"/>
  <c r="DR232" i="3"/>
  <c r="DR237" i="3" s="1"/>
  <c r="BK232" i="3"/>
  <c r="BK237" i="3" s="1"/>
  <c r="EU232" i="3"/>
  <c r="EU237" i="3" s="1"/>
  <c r="J229" i="3"/>
  <c r="J232" i="3" s="1"/>
  <c r="J237" i="3" s="1"/>
  <c r="AJ239" i="3"/>
  <c r="AJ248" i="3"/>
  <c r="AJ247" i="3"/>
  <c r="AJ245" i="3"/>
  <c r="DQ239" i="3"/>
  <c r="DQ245" i="3"/>
  <c r="DQ248" i="3"/>
  <c r="DQ247" i="3"/>
  <c r="FD239" i="3"/>
  <c r="FD247" i="3"/>
  <c r="FD248" i="3"/>
  <c r="FD245" i="3"/>
  <c r="FF249" i="3"/>
  <c r="FF253" i="3" s="1"/>
  <c r="FF258" i="3" s="1"/>
  <c r="FF259" i="3" s="1"/>
  <c r="CP229" i="3"/>
  <c r="CP232" i="3" s="1"/>
  <c r="CP237" i="3" s="1"/>
  <c r="EJ232" i="3"/>
  <c r="EJ237" i="3" s="1"/>
  <c r="CC239" i="3"/>
  <c r="CC248" i="3"/>
  <c r="CC247" i="3"/>
  <c r="CC245" i="3"/>
  <c r="CH239" i="3"/>
  <c r="CH247" i="3"/>
  <c r="CH245" i="3"/>
  <c r="CH248" i="3"/>
  <c r="Z239" i="3"/>
  <c r="Z245" i="3"/>
  <c r="Z248" i="3"/>
  <c r="Z247" i="3"/>
  <c r="U239" i="3"/>
  <c r="U248" i="3"/>
  <c r="U245" i="3"/>
  <c r="U247" i="3"/>
  <c r="DH232" i="3"/>
  <c r="DH237" i="3" s="1"/>
  <c r="AW239" i="3"/>
  <c r="AW245" i="3"/>
  <c r="AW248" i="3"/>
  <c r="AW247" i="3"/>
  <c r="CI229" i="3"/>
  <c r="CI232" i="3" s="1"/>
  <c r="CI237" i="3" s="1"/>
  <c r="C111" i="3"/>
  <c r="C113" i="3" s="1"/>
  <c r="FZ109" i="3"/>
  <c r="AO239" i="3"/>
  <c r="AO245" i="3"/>
  <c r="AO247" i="3"/>
  <c r="AO248" i="3"/>
  <c r="AX239" i="3"/>
  <c r="AX248" i="3"/>
  <c r="AX247" i="3"/>
  <c r="AX245" i="3"/>
  <c r="C145" i="4"/>
  <c r="C146" i="4"/>
  <c r="AV239" i="3"/>
  <c r="AV245" i="3"/>
  <c r="AV248" i="3"/>
  <c r="AV247" i="3"/>
  <c r="CU239" i="3"/>
  <c r="CU245" i="3"/>
  <c r="CU247" i="3"/>
  <c r="CU248" i="3"/>
  <c r="CR239" i="3"/>
  <c r="CR247" i="3"/>
  <c r="CR245" i="3"/>
  <c r="CR248" i="3"/>
  <c r="AZ239" i="3"/>
  <c r="AZ248" i="3"/>
  <c r="AZ247" i="3"/>
  <c r="AZ245" i="3"/>
  <c r="DK249" i="3"/>
  <c r="DK253" i="3" s="1"/>
  <c r="DK258" i="3" s="1"/>
  <c r="DK259" i="3" s="1"/>
  <c r="BX239" i="3"/>
  <c r="BX245" i="3"/>
  <c r="BX248" i="3"/>
  <c r="BX247" i="3"/>
  <c r="FG239" i="3"/>
  <c r="FG248" i="3"/>
  <c r="FG247" i="3"/>
  <c r="FG245" i="3"/>
  <c r="BE239" i="3"/>
  <c r="BE248" i="3"/>
  <c r="BE247" i="3"/>
  <c r="BE245" i="3"/>
  <c r="FZ182" i="3"/>
  <c r="GB182" i="3" s="1"/>
  <c r="ES239" i="3"/>
  <c r="ES245" i="3"/>
  <c r="ES247" i="3"/>
  <c r="ES248" i="3"/>
  <c r="CA239" i="3"/>
  <c r="CA247" i="3"/>
  <c r="CA248" i="3"/>
  <c r="CA245" i="3"/>
  <c r="FL239" i="3"/>
  <c r="FL245" i="3"/>
  <c r="FL247" i="3"/>
  <c r="FL248" i="3"/>
  <c r="AM239" i="3"/>
  <c r="AM245" i="3"/>
  <c r="AM248" i="3"/>
  <c r="AM247" i="3"/>
  <c r="ED239" i="3"/>
  <c r="ED248" i="3"/>
  <c r="ED245" i="3"/>
  <c r="ED247" i="3"/>
  <c r="DV239" i="3"/>
  <c r="DV247" i="3"/>
  <c r="DV248" i="3"/>
  <c r="DV245" i="3"/>
  <c r="FI232" i="3"/>
  <c r="FI237" i="3" s="1"/>
  <c r="AD249" i="3"/>
  <c r="AD253" i="3" s="1"/>
  <c r="AD258" i="3" s="1"/>
  <c r="AD259" i="3" s="1"/>
  <c r="ET239" i="3"/>
  <c r="ET245" i="3"/>
  <c r="ET247" i="3"/>
  <c r="ET248" i="3"/>
  <c r="DC239" i="3"/>
  <c r="DC245" i="3"/>
  <c r="DC248" i="3"/>
  <c r="DC247" i="3"/>
  <c r="BA232" i="3"/>
  <c r="BA237" i="3" s="1"/>
  <c r="FM162" i="3"/>
  <c r="FZ162" i="3" s="1"/>
  <c r="FM154" i="3"/>
  <c r="FM156" i="3" s="1"/>
  <c r="FM158" i="3" s="1"/>
  <c r="BC229" i="3"/>
  <c r="BC232" i="3" s="1"/>
  <c r="BC237" i="3" s="1"/>
  <c r="GB137" i="5"/>
  <c r="FZ139" i="5"/>
  <c r="FQ19" i="5"/>
  <c r="FE19" i="5"/>
  <c r="ES19" i="5"/>
  <c r="EG19" i="5"/>
  <c r="DU19" i="5"/>
  <c r="DI19" i="5"/>
  <c r="CW19" i="5"/>
  <c r="CK19" i="5"/>
  <c r="BY19" i="5"/>
  <c r="BM19" i="5"/>
  <c r="BA19" i="5"/>
  <c r="AO19" i="5"/>
  <c r="AC19" i="5"/>
  <c r="Q19" i="5"/>
  <c r="E19" i="5"/>
  <c r="FP19" i="5"/>
  <c r="FD19" i="5"/>
  <c r="ER19" i="5"/>
  <c r="EF19" i="5"/>
  <c r="DT19" i="5"/>
  <c r="DH19" i="5"/>
  <c r="CV19" i="5"/>
  <c r="CJ19" i="5"/>
  <c r="BX19" i="5"/>
  <c r="BL19" i="5"/>
  <c r="AZ19" i="5"/>
  <c r="AN19" i="5"/>
  <c r="AB19" i="5"/>
  <c r="P19" i="5"/>
  <c r="D19" i="5"/>
  <c r="FO19" i="5"/>
  <c r="FC19" i="5"/>
  <c r="EQ19" i="5"/>
  <c r="EE19" i="5"/>
  <c r="DS19" i="5"/>
  <c r="DG19" i="5"/>
  <c r="CU19" i="5"/>
  <c r="FN19" i="5"/>
  <c r="FB19" i="5"/>
  <c r="EP19" i="5"/>
  <c r="ED19" i="5"/>
  <c r="DR19" i="5"/>
  <c r="DF19" i="5"/>
  <c r="CT19" i="5"/>
  <c r="CH19" i="5"/>
  <c r="BV19" i="5"/>
  <c r="BJ19" i="5"/>
  <c r="AX19" i="5"/>
  <c r="AL19" i="5"/>
  <c r="Z19" i="5"/>
  <c r="N19" i="5"/>
  <c r="FM19" i="5"/>
  <c r="FA19" i="5"/>
  <c r="EO19" i="5"/>
  <c r="EC19" i="5"/>
  <c r="DQ19" i="5"/>
  <c r="DE19" i="5"/>
  <c r="CS19" i="5"/>
  <c r="CG19" i="5"/>
  <c r="BU19" i="5"/>
  <c r="BI19" i="5"/>
  <c r="AW19" i="5"/>
  <c r="AK19" i="5"/>
  <c r="Y19" i="5"/>
  <c r="M19" i="5"/>
  <c r="FX19" i="5"/>
  <c r="FL19" i="5"/>
  <c r="EZ19" i="5"/>
  <c r="EN19" i="5"/>
  <c r="EB19" i="5"/>
  <c r="DP19" i="5"/>
  <c r="DD19" i="5"/>
  <c r="CR19" i="5"/>
  <c r="CF19" i="5"/>
  <c r="BT19" i="5"/>
  <c r="BH19" i="5"/>
  <c r="AV19" i="5"/>
  <c r="AJ19" i="5"/>
  <c r="X19" i="5"/>
  <c r="L19" i="5"/>
  <c r="FW19" i="5"/>
  <c r="FK19" i="5"/>
  <c r="EY19" i="5"/>
  <c r="EM19" i="5"/>
  <c r="EA19" i="5"/>
  <c r="DO19" i="5"/>
  <c r="DC19" i="5"/>
  <c r="CQ19" i="5"/>
  <c r="CE19" i="5"/>
  <c r="BS19" i="5"/>
  <c r="BG19" i="5"/>
  <c r="AU19" i="5"/>
  <c r="AI19" i="5"/>
  <c r="W19" i="5"/>
  <c r="K19" i="5"/>
  <c r="FV19" i="5"/>
  <c r="FJ19" i="5"/>
  <c r="EX19" i="5"/>
  <c r="EL19" i="5"/>
  <c r="DZ19" i="5"/>
  <c r="DN19" i="5"/>
  <c r="DB19" i="5"/>
  <c r="CP19" i="5"/>
  <c r="CD19" i="5"/>
  <c r="BR19" i="5"/>
  <c r="BF19" i="5"/>
  <c r="AT19" i="5"/>
  <c r="AH19" i="5"/>
  <c r="V19" i="5"/>
  <c r="J19" i="5"/>
  <c r="FU19" i="5"/>
  <c r="FI19" i="5"/>
  <c r="EW19" i="5"/>
  <c r="EK19" i="5"/>
  <c r="DY19" i="5"/>
  <c r="DM19" i="5"/>
  <c r="DA19" i="5"/>
  <c r="CO19" i="5"/>
  <c r="CC19" i="5"/>
  <c r="BQ19" i="5"/>
  <c r="BE19" i="5"/>
  <c r="AS19" i="5"/>
  <c r="AG19" i="5"/>
  <c r="U19" i="5"/>
  <c r="I19" i="5"/>
  <c r="FT19" i="5"/>
  <c r="FT142" i="5" s="1"/>
  <c r="FT146" i="5" s="1"/>
  <c r="FT148" i="5" s="1"/>
  <c r="FH19" i="5"/>
  <c r="EV19" i="5"/>
  <c r="EJ19" i="5"/>
  <c r="DX19" i="5"/>
  <c r="DL19" i="5"/>
  <c r="CZ19" i="5"/>
  <c r="CN19" i="5"/>
  <c r="CB19" i="5"/>
  <c r="BP19" i="5"/>
  <c r="BD19" i="5"/>
  <c r="AR19" i="5"/>
  <c r="AF19" i="5"/>
  <c r="T19" i="5"/>
  <c r="H19" i="5"/>
  <c r="FS19" i="5"/>
  <c r="FG19" i="5"/>
  <c r="EU19" i="5"/>
  <c r="EI19" i="5"/>
  <c r="DW19" i="5"/>
  <c r="DK19" i="5"/>
  <c r="CY19" i="5"/>
  <c r="CM19" i="5"/>
  <c r="CA19" i="5"/>
  <c r="BO19" i="5"/>
  <c r="BC19" i="5"/>
  <c r="AQ19" i="5"/>
  <c r="AE19" i="5"/>
  <c r="S19" i="5"/>
  <c r="G19" i="5"/>
  <c r="FR19" i="5"/>
  <c r="FF19" i="5"/>
  <c r="ET19" i="5"/>
  <c r="EH19" i="5"/>
  <c r="DV19" i="5"/>
  <c r="DJ19" i="5"/>
  <c r="CX19" i="5"/>
  <c r="CL19" i="5"/>
  <c r="BZ19" i="5"/>
  <c r="BN19" i="5"/>
  <c r="BB19" i="5"/>
  <c r="AP19" i="5"/>
  <c r="AD19" i="5"/>
  <c r="R19" i="5"/>
  <c r="F19" i="5"/>
  <c r="CI19" i="5"/>
  <c r="BW19" i="5"/>
  <c r="BK19" i="5"/>
  <c r="AY19" i="5"/>
  <c r="AM19" i="5"/>
  <c r="AA19" i="5"/>
  <c r="O19" i="5"/>
  <c r="C19" i="5"/>
  <c r="FC249" i="3"/>
  <c r="FC253" i="3" s="1"/>
  <c r="FC258" i="3" s="1"/>
  <c r="FC259" i="3" s="1"/>
  <c r="FZ226" i="3"/>
  <c r="AC249" i="3"/>
  <c r="AC253" i="3" s="1"/>
  <c r="AC258" i="3" s="1"/>
  <c r="AC259" i="3" s="1"/>
  <c r="AQ239" i="3"/>
  <c r="AQ245" i="3"/>
  <c r="AQ247" i="3"/>
  <c r="AQ248" i="3"/>
  <c r="FM248" i="3"/>
  <c r="DP239" i="3"/>
  <c r="DP245" i="3"/>
  <c r="DP248" i="3"/>
  <c r="DP247" i="3"/>
  <c r="CW239" i="3"/>
  <c r="CW245" i="3"/>
  <c r="CW248" i="3"/>
  <c r="CW247" i="3"/>
  <c r="CN249" i="3"/>
  <c r="CN253" i="3" s="1"/>
  <c r="CN258" i="3" s="1"/>
  <c r="CN259" i="3" s="1"/>
  <c r="EL229" i="3"/>
  <c r="EL232" i="3" s="1"/>
  <c r="EL237" i="3" s="1"/>
  <c r="CK289" i="3"/>
  <c r="AH232" i="3"/>
  <c r="AH237" i="3" s="1"/>
  <c r="CJ229" i="3"/>
  <c r="CJ232" i="3" s="1"/>
  <c r="CJ237" i="3" s="1"/>
  <c r="C228" i="5"/>
  <c r="FZ228" i="5" s="1"/>
  <c r="FZ219" i="5"/>
  <c r="C195" i="3"/>
  <c r="C200" i="3"/>
  <c r="FR239" i="3"/>
  <c r="FR247" i="3"/>
  <c r="FR245" i="3"/>
  <c r="FR248" i="3"/>
  <c r="C154" i="3"/>
  <c r="C209" i="5"/>
  <c r="C267" i="5"/>
  <c r="EZ239" i="3"/>
  <c r="EZ247" i="3"/>
  <c r="EZ248" i="3"/>
  <c r="EZ245" i="3"/>
  <c r="FM245" i="3"/>
  <c r="FW239" i="3"/>
  <c r="FW247" i="3"/>
  <c r="FW245" i="3"/>
  <c r="FW248" i="3"/>
  <c r="DX239" i="3"/>
  <c r="DX245" i="3"/>
  <c r="DX247" i="3"/>
  <c r="DX248" i="3"/>
  <c r="AF239" i="3"/>
  <c r="AF245" i="3"/>
  <c r="AF248" i="3"/>
  <c r="AF247" i="3"/>
  <c r="DB239" i="3"/>
  <c r="DB248" i="3"/>
  <c r="DB247" i="3"/>
  <c r="DB245" i="3"/>
  <c r="BB229" i="3"/>
  <c r="BB232" i="3" s="1"/>
  <c r="BB237" i="3" s="1"/>
  <c r="L239" i="3"/>
  <c r="L248" i="3"/>
  <c r="L247" i="3"/>
  <c r="L245" i="3"/>
  <c r="BV239" i="3"/>
  <c r="BV248" i="3"/>
  <c r="BV247" i="3"/>
  <c r="BV245" i="3"/>
  <c r="AS239" i="3"/>
  <c r="AS245" i="3"/>
  <c r="AS248" i="3"/>
  <c r="AS247" i="3"/>
  <c r="DI232" i="3"/>
  <c r="DI237" i="3" s="1"/>
  <c r="BI249" i="3"/>
  <c r="BI253" i="3" s="1"/>
  <c r="BI258" i="3" s="1"/>
  <c r="BI259" i="3" s="1"/>
  <c r="EG239" i="3"/>
  <c r="EG245" i="3"/>
  <c r="EG247" i="3"/>
  <c r="EG248" i="3"/>
  <c r="C111" i="5"/>
  <c r="C113" i="5" s="1"/>
  <c r="FZ109" i="5"/>
  <c r="C188" i="5"/>
  <c r="FZ188" i="5" s="1"/>
  <c r="GB188" i="5" s="1"/>
  <c r="C186" i="5"/>
  <c r="C187" i="5" s="1"/>
  <c r="FS239" i="3"/>
  <c r="FS247" i="3"/>
  <c r="FS248" i="3"/>
  <c r="FS245" i="3"/>
  <c r="DD239" i="3"/>
  <c r="DD245" i="3"/>
  <c r="DD248" i="3"/>
  <c r="DD247" i="3"/>
  <c r="BN232" i="3"/>
  <c r="BN237" i="3" s="1"/>
  <c r="FM247" i="3"/>
  <c r="C142" i="2"/>
  <c r="DJ248" i="3"/>
  <c r="DW239" i="3"/>
  <c r="DW248" i="3"/>
  <c r="DW247" i="3"/>
  <c r="DW245" i="3"/>
  <c r="FV229" i="3"/>
  <c r="FV232" i="3" s="1"/>
  <c r="FV237" i="3" s="1"/>
  <c r="R239" i="3"/>
  <c r="R247" i="3"/>
  <c r="FZ219" i="3"/>
  <c r="C228" i="3"/>
  <c r="FZ228" i="3" s="1"/>
  <c r="DE239" i="3"/>
  <c r="DE245" i="3"/>
  <c r="DE247" i="3"/>
  <c r="DE248" i="3"/>
  <c r="EC239" i="3"/>
  <c r="EC245" i="3"/>
  <c r="EC248" i="3"/>
  <c r="EC247" i="3"/>
  <c r="BG239" i="3" l="1"/>
  <c r="F248" i="3"/>
  <c r="F239" i="3"/>
  <c r="BU289" i="3"/>
  <c r="BU303" i="3" s="1"/>
  <c r="F247" i="3"/>
  <c r="AI290" i="3"/>
  <c r="AI281" i="3"/>
  <c r="AI285" i="3" s="1"/>
  <c r="AI294" i="3" s="1"/>
  <c r="T264" i="3"/>
  <c r="T270" i="3" s="1"/>
  <c r="T273" i="3" s="1"/>
  <c r="AI144" i="2"/>
  <c r="AI145" i="2" s="1"/>
  <c r="AI146" i="2" s="1"/>
  <c r="AI147" i="2" s="1"/>
  <c r="AI151" i="2" s="1"/>
  <c r="AI152" i="2" s="1"/>
  <c r="AI289" i="3"/>
  <c r="T289" i="3"/>
  <c r="T303" i="3" s="1"/>
  <c r="EQ82" i="3"/>
  <c r="EQ303" i="3"/>
  <c r="EQ312" i="3" s="1"/>
  <c r="FK248" i="3"/>
  <c r="D239" i="3"/>
  <c r="Y239" i="3"/>
  <c r="BG248" i="3"/>
  <c r="AL144" i="2"/>
  <c r="AL145" i="2" s="1"/>
  <c r="AL146" i="2" s="1"/>
  <c r="AL147" i="2" s="1"/>
  <c r="BG245" i="3"/>
  <c r="AL264" i="3"/>
  <c r="AL270" i="3" s="1"/>
  <c r="AL273" i="3" s="1"/>
  <c r="P264" i="3"/>
  <c r="P270" i="3" s="1"/>
  <c r="P273" i="3" s="1"/>
  <c r="P281" i="3" s="1"/>
  <c r="P285" i="3" s="1"/>
  <c r="P294" i="3" s="1"/>
  <c r="EQ264" i="3"/>
  <c r="EQ270" i="3" s="1"/>
  <c r="EQ273" i="3" s="1"/>
  <c r="EQ281" i="3" s="1"/>
  <c r="EQ285" i="3" s="1"/>
  <c r="EQ294" i="3" s="1"/>
  <c r="EQ144" i="2"/>
  <c r="EQ145" i="2" s="1"/>
  <c r="Y248" i="3"/>
  <c r="BU144" i="2"/>
  <c r="BU145" i="2" s="1"/>
  <c r="BU146" i="2" s="1"/>
  <c r="BU147" i="2" s="1"/>
  <c r="FK247" i="3"/>
  <c r="FJ144" i="2"/>
  <c r="FJ145" i="2" s="1"/>
  <c r="FJ146" i="2" s="1"/>
  <c r="FJ147" i="2" s="1"/>
  <c r="DS247" i="3"/>
  <c r="EY245" i="3"/>
  <c r="EY248" i="3"/>
  <c r="FK245" i="3"/>
  <c r="EB245" i="3"/>
  <c r="EB247" i="3"/>
  <c r="EB248" i="3"/>
  <c r="BO248" i="3"/>
  <c r="FJ289" i="3"/>
  <c r="FJ82" i="3" s="1"/>
  <c r="Y247" i="3"/>
  <c r="P144" i="2"/>
  <c r="P145" i="2" s="1"/>
  <c r="P146" i="2" s="1"/>
  <c r="P147" i="2" s="1"/>
  <c r="EA144" i="2"/>
  <c r="EA145" i="2" s="1"/>
  <c r="EA146" i="2" s="1"/>
  <c r="EA147" i="2" s="1"/>
  <c r="R245" i="3"/>
  <c r="R249" i="3" s="1"/>
  <c r="R253" i="3" s="1"/>
  <c r="R258" i="3" s="1"/>
  <c r="R259" i="3" s="1"/>
  <c r="R289" i="3" s="1"/>
  <c r="CK264" i="3"/>
  <c r="CK270" i="3" s="1"/>
  <c r="CK273" i="3" s="1"/>
  <c r="CK290" i="3" s="1"/>
  <c r="CK292" i="3" s="1"/>
  <c r="DJ239" i="3"/>
  <c r="EY247" i="3"/>
  <c r="FH264" i="3"/>
  <c r="FH270" i="3" s="1"/>
  <c r="FH273" i="3" s="1"/>
  <c r="Q245" i="3"/>
  <c r="Q239" i="3"/>
  <c r="DJ245" i="3"/>
  <c r="DJ249" i="3" s="1"/>
  <c r="DJ253" i="3" s="1"/>
  <c r="DJ258" i="3" s="1"/>
  <c r="DJ259" i="3" s="1"/>
  <c r="EW144" i="2"/>
  <c r="EW146" i="2" s="1"/>
  <c r="EW147" i="2" s="1"/>
  <c r="FH289" i="3"/>
  <c r="FH303" i="3" s="1"/>
  <c r="X264" i="3"/>
  <c r="X270" i="3" s="1"/>
  <c r="X273" i="3" s="1"/>
  <c r="X281" i="3" s="1"/>
  <c r="X285" i="3" s="1"/>
  <c r="X294" i="3" s="1"/>
  <c r="X289" i="3"/>
  <c r="X82" i="3" s="1"/>
  <c r="FP248" i="3"/>
  <c r="AN144" i="2"/>
  <c r="AN145" i="2" s="1"/>
  <c r="AN146" i="2" s="1"/>
  <c r="AN147" i="2" s="1"/>
  <c r="AB144" i="2"/>
  <c r="AB264" i="3"/>
  <c r="AB270" i="3" s="1"/>
  <c r="AB273" i="3" s="1"/>
  <c r="AB281" i="3" s="1"/>
  <c r="AB285" i="3" s="1"/>
  <c r="AB294" i="3" s="1"/>
  <c r="Q247" i="3"/>
  <c r="D247" i="3"/>
  <c r="D248" i="3"/>
  <c r="DS239" i="3"/>
  <c r="AN264" i="3"/>
  <c r="AN270" i="3" s="1"/>
  <c r="AN273" i="3" s="1"/>
  <c r="AN290" i="3" s="1"/>
  <c r="AN292" i="3" s="1"/>
  <c r="DG289" i="3"/>
  <c r="DG303" i="3" s="1"/>
  <c r="EZ249" i="3"/>
  <c r="EZ253" i="3" s="1"/>
  <c r="EZ258" i="3" s="1"/>
  <c r="EZ259" i="3" s="1"/>
  <c r="EZ264" i="3" s="1"/>
  <c r="EZ270" i="3" s="1"/>
  <c r="EZ273" i="3" s="1"/>
  <c r="EN247" i="3"/>
  <c r="EN239" i="3"/>
  <c r="BW289" i="3"/>
  <c r="BW303" i="3" s="1"/>
  <c r="BW144" i="2"/>
  <c r="EW264" i="3"/>
  <c r="EW270" i="3" s="1"/>
  <c r="EW273" i="3" s="1"/>
  <c r="EW290" i="3" s="1"/>
  <c r="DG144" i="2"/>
  <c r="DN245" i="3"/>
  <c r="AY249" i="3"/>
  <c r="AY253" i="3" s="1"/>
  <c r="AY258" i="3" s="1"/>
  <c r="AY259" i="3" s="1"/>
  <c r="AY264" i="3" s="1"/>
  <c r="AY270" i="3" s="1"/>
  <c r="AY273" i="3" s="1"/>
  <c r="DN248" i="3"/>
  <c r="DS245" i="3"/>
  <c r="EN245" i="3"/>
  <c r="DN239" i="3"/>
  <c r="FP247" i="3"/>
  <c r="CQ249" i="3"/>
  <c r="CQ253" i="3" s="1"/>
  <c r="CQ258" i="3" s="1"/>
  <c r="CQ259" i="3" s="1"/>
  <c r="CQ264" i="3" s="1"/>
  <c r="CQ270" i="3" s="1"/>
  <c r="CQ273" i="3" s="1"/>
  <c r="AM249" i="3"/>
  <c r="AM253" i="3" s="1"/>
  <c r="AM258" i="3" s="1"/>
  <c r="AM259" i="3" s="1"/>
  <c r="AM289" i="3" s="1"/>
  <c r="DM249" i="3"/>
  <c r="DM253" i="3" s="1"/>
  <c r="DM258" i="3" s="1"/>
  <c r="DM259" i="3" s="1"/>
  <c r="DM289" i="3" s="1"/>
  <c r="FG249" i="3"/>
  <c r="FG253" i="3" s="1"/>
  <c r="FG258" i="3" s="1"/>
  <c r="FG259" i="3" s="1"/>
  <c r="FG264" i="3" s="1"/>
  <c r="FG270" i="3" s="1"/>
  <c r="FG273" i="3" s="1"/>
  <c r="H249" i="3"/>
  <c r="H253" i="3" s="1"/>
  <c r="H258" i="3" s="1"/>
  <c r="H259" i="3" s="1"/>
  <c r="H264" i="3" s="1"/>
  <c r="H270" i="3" s="1"/>
  <c r="H273" i="3" s="1"/>
  <c r="M247" i="3"/>
  <c r="ES249" i="3"/>
  <c r="ES253" i="3" s="1"/>
  <c r="ES258" i="3" s="1"/>
  <c r="ES259" i="3" s="1"/>
  <c r="ES289" i="3" s="1"/>
  <c r="FP239" i="3"/>
  <c r="M248" i="3"/>
  <c r="EA264" i="3"/>
  <c r="EA270" i="3" s="1"/>
  <c r="EA273" i="3" s="1"/>
  <c r="EA281" i="3" s="1"/>
  <c r="EA285" i="3" s="1"/>
  <c r="EA294" i="3" s="1"/>
  <c r="CR249" i="3"/>
  <c r="CR253" i="3" s="1"/>
  <c r="CR258" i="3" s="1"/>
  <c r="CR259" i="3" s="1"/>
  <c r="CR289" i="3" s="1"/>
  <c r="FT158" i="5"/>
  <c r="FA249" i="3"/>
  <c r="FA253" i="3" s="1"/>
  <c r="FA258" i="3" s="1"/>
  <c r="FA259" i="3" s="1"/>
  <c r="FA144" i="2" s="1"/>
  <c r="EX249" i="3"/>
  <c r="EX253" i="3" s="1"/>
  <c r="EX258" i="3" s="1"/>
  <c r="EX259" i="3" s="1"/>
  <c r="EX264" i="3" s="1"/>
  <c r="EX270" i="3" s="1"/>
  <c r="EX273" i="3" s="1"/>
  <c r="BO245" i="3"/>
  <c r="FT192" i="5"/>
  <c r="FT199" i="5" s="1"/>
  <c r="ET249" i="3"/>
  <c r="ET253" i="3" s="1"/>
  <c r="ET258" i="3" s="1"/>
  <c r="ET259" i="3" s="1"/>
  <c r="ET264" i="3" s="1"/>
  <c r="ET270" i="3" s="1"/>
  <c r="ET273" i="3" s="1"/>
  <c r="CA249" i="3"/>
  <c r="CA253" i="3" s="1"/>
  <c r="CA258" i="3" s="1"/>
  <c r="CA259" i="3" s="1"/>
  <c r="CA144" i="2" s="1"/>
  <c r="BP249" i="3"/>
  <c r="BP253" i="3" s="1"/>
  <c r="BP258" i="3" s="1"/>
  <c r="BP259" i="3" s="1"/>
  <c r="BP264" i="3" s="1"/>
  <c r="BP270" i="3" s="1"/>
  <c r="BP273" i="3" s="1"/>
  <c r="G249" i="3"/>
  <c r="G253" i="3" s="1"/>
  <c r="G258" i="3" s="1"/>
  <c r="G259" i="3" s="1"/>
  <c r="G289" i="3" s="1"/>
  <c r="W249" i="3"/>
  <c r="W253" i="3" s="1"/>
  <c r="W258" i="3" s="1"/>
  <c r="W259" i="3" s="1"/>
  <c r="W289" i="3" s="1"/>
  <c r="M245" i="3"/>
  <c r="K249" i="3"/>
  <c r="K253" i="3" s="1"/>
  <c r="K258" i="3" s="1"/>
  <c r="K259" i="3" s="1"/>
  <c r="K264" i="3" s="1"/>
  <c r="K270" i="3" s="1"/>
  <c r="K273" i="3" s="1"/>
  <c r="BO239" i="3"/>
  <c r="BF249" i="3"/>
  <c r="BF253" i="3" s="1"/>
  <c r="BF258" i="3" s="1"/>
  <c r="BF259" i="3" s="1"/>
  <c r="BF144" i="2" s="1"/>
  <c r="DD249" i="3"/>
  <c r="DD253" i="3" s="1"/>
  <c r="DD258" i="3" s="1"/>
  <c r="DD259" i="3" s="1"/>
  <c r="DD289" i="3" s="1"/>
  <c r="CF249" i="3"/>
  <c r="CF253" i="3" s="1"/>
  <c r="CF258" i="3" s="1"/>
  <c r="CF259" i="3" s="1"/>
  <c r="CF264" i="3" s="1"/>
  <c r="CF270" i="3" s="1"/>
  <c r="CF273" i="3" s="1"/>
  <c r="BL249" i="3"/>
  <c r="BL253" i="3" s="1"/>
  <c r="BL258" i="3" s="1"/>
  <c r="BL259" i="3" s="1"/>
  <c r="BL144" i="2" s="1"/>
  <c r="DT249" i="3"/>
  <c r="DT253" i="3" s="1"/>
  <c r="DT258" i="3" s="1"/>
  <c r="DT259" i="3" s="1"/>
  <c r="DT264" i="3" s="1"/>
  <c r="DT270" i="3" s="1"/>
  <c r="DT273" i="3" s="1"/>
  <c r="EC249" i="3"/>
  <c r="EC253" i="3" s="1"/>
  <c r="EC258" i="3" s="1"/>
  <c r="EC259" i="3" s="1"/>
  <c r="EC289" i="3" s="1"/>
  <c r="BV249" i="3"/>
  <c r="BV253" i="3" s="1"/>
  <c r="BV258" i="3" s="1"/>
  <c r="BV259" i="3" s="1"/>
  <c r="BV289" i="3" s="1"/>
  <c r="BX249" i="3"/>
  <c r="BX253" i="3" s="1"/>
  <c r="BX258" i="3" s="1"/>
  <c r="BX259" i="3" s="1"/>
  <c r="BX264" i="3" s="1"/>
  <c r="BX270" i="3" s="1"/>
  <c r="BX273" i="3" s="1"/>
  <c r="CS249" i="3"/>
  <c r="CS253" i="3" s="1"/>
  <c r="CS258" i="3" s="1"/>
  <c r="CS259" i="3" s="1"/>
  <c r="CS289" i="3" s="1"/>
  <c r="FX249" i="3"/>
  <c r="FX253" i="3" s="1"/>
  <c r="FX258" i="3" s="1"/>
  <c r="FX259" i="3" s="1"/>
  <c r="FX289" i="3" s="1"/>
  <c r="AQ249" i="3"/>
  <c r="AQ253" i="3" s="1"/>
  <c r="AQ258" i="3" s="1"/>
  <c r="AQ259" i="3" s="1"/>
  <c r="AQ289" i="3" s="1"/>
  <c r="EK249" i="3"/>
  <c r="EK253" i="3" s="1"/>
  <c r="EK258" i="3" s="1"/>
  <c r="EK259" i="3" s="1"/>
  <c r="EK144" i="2" s="1"/>
  <c r="EV249" i="3"/>
  <c r="EV253" i="3" s="1"/>
  <c r="EV258" i="3" s="1"/>
  <c r="EV259" i="3" s="1"/>
  <c r="EV289" i="3" s="1"/>
  <c r="AK249" i="3"/>
  <c r="AK253" i="3" s="1"/>
  <c r="AK258" i="3" s="1"/>
  <c r="AK259" i="3" s="1"/>
  <c r="AK289" i="3" s="1"/>
  <c r="V249" i="3"/>
  <c r="V253" i="3" s="1"/>
  <c r="V258" i="3" s="1"/>
  <c r="V259" i="3" s="1"/>
  <c r="V289" i="3" s="1"/>
  <c r="EH249" i="3"/>
  <c r="EH253" i="3" s="1"/>
  <c r="EH258" i="3" s="1"/>
  <c r="EH259" i="3" s="1"/>
  <c r="EH289" i="3" s="1"/>
  <c r="FE249" i="3"/>
  <c r="FE253" i="3" s="1"/>
  <c r="FE258" i="3" s="1"/>
  <c r="FE259" i="3" s="1"/>
  <c r="FE289" i="3" s="1"/>
  <c r="FQ249" i="3"/>
  <c r="FQ253" i="3" s="1"/>
  <c r="FQ258" i="3" s="1"/>
  <c r="FQ259" i="3" s="1"/>
  <c r="FQ144" i="2" s="1"/>
  <c r="DP249" i="3"/>
  <c r="DP253" i="3" s="1"/>
  <c r="DP258" i="3" s="1"/>
  <c r="DP259" i="3" s="1"/>
  <c r="DP289" i="3" s="1"/>
  <c r="FT337" i="5"/>
  <c r="FT339" i="5" s="1"/>
  <c r="FL249" i="3"/>
  <c r="FL253" i="3" s="1"/>
  <c r="FL258" i="3" s="1"/>
  <c r="FL259" i="3" s="1"/>
  <c r="FL264" i="3" s="1"/>
  <c r="FL270" i="3" s="1"/>
  <c r="FL273" i="3" s="1"/>
  <c r="BB239" i="3"/>
  <c r="BB247" i="3"/>
  <c r="BB245" i="3"/>
  <c r="BB248" i="3"/>
  <c r="CI239" i="3"/>
  <c r="CI245" i="3"/>
  <c r="CI247" i="3"/>
  <c r="CI248" i="3"/>
  <c r="DF239" i="3"/>
  <c r="DF248" i="3"/>
  <c r="DF245" i="3"/>
  <c r="DF247" i="3"/>
  <c r="S239" i="3"/>
  <c r="S247" i="3"/>
  <c r="S248" i="3"/>
  <c r="S245" i="3"/>
  <c r="E239" i="3"/>
  <c r="E245" i="3"/>
  <c r="E247" i="3"/>
  <c r="E248" i="3"/>
  <c r="BC239" i="3"/>
  <c r="BC247" i="3"/>
  <c r="BC248" i="3"/>
  <c r="BC245" i="3"/>
  <c r="EW142" i="5"/>
  <c r="EW146" i="5" s="1"/>
  <c r="EW148" i="5" s="1"/>
  <c r="EW192" i="5"/>
  <c r="EW144" i="5"/>
  <c r="EW337" i="5"/>
  <c r="EW339" i="5" s="1"/>
  <c r="EW154" i="5"/>
  <c r="EW156" i="5"/>
  <c r="EW158" i="5"/>
  <c r="EW152" i="5"/>
  <c r="EW162" i="5" s="1"/>
  <c r="DW249" i="3"/>
  <c r="DW253" i="3" s="1"/>
  <c r="DW258" i="3" s="1"/>
  <c r="DW259" i="3" s="1"/>
  <c r="BI289" i="3"/>
  <c r="BI264" i="3"/>
  <c r="BI270" i="3" s="1"/>
  <c r="BI273" i="3" s="1"/>
  <c r="BI144" i="2"/>
  <c r="DB249" i="3"/>
  <c r="DB253" i="3" s="1"/>
  <c r="DB258" i="3" s="1"/>
  <c r="DB259" i="3" s="1"/>
  <c r="DX249" i="3"/>
  <c r="DX253" i="3" s="1"/>
  <c r="DX258" i="3" s="1"/>
  <c r="DX259" i="3" s="1"/>
  <c r="FT154" i="5"/>
  <c r="BW192" i="5"/>
  <c r="BW144" i="5"/>
  <c r="BW142" i="5"/>
  <c r="BW146" i="5" s="1"/>
  <c r="BW148" i="5" s="1"/>
  <c r="BW152" i="5"/>
  <c r="BW162" i="5" s="1"/>
  <c r="BW154" i="5"/>
  <c r="BW156" i="5"/>
  <c r="BW158" i="5"/>
  <c r="BW337" i="5"/>
  <c r="BW339" i="5" s="1"/>
  <c r="DV142" i="5"/>
  <c r="DV146" i="5" s="1"/>
  <c r="DV148" i="5" s="1"/>
  <c r="DV192" i="5"/>
  <c r="DV144" i="5"/>
  <c r="DV158" i="5"/>
  <c r="DV337" i="5"/>
  <c r="DV339" i="5" s="1"/>
  <c r="DV154" i="5"/>
  <c r="DV156" i="5"/>
  <c r="CM192" i="5"/>
  <c r="CM142" i="5"/>
  <c r="CM146" i="5" s="1"/>
  <c r="CM148" i="5" s="1"/>
  <c r="CM144" i="5"/>
  <c r="CM152" i="5"/>
  <c r="CM162" i="5" s="1"/>
  <c r="CM337" i="5"/>
  <c r="CM339" i="5" s="1"/>
  <c r="CM156" i="5"/>
  <c r="CM154" i="5"/>
  <c r="CM158" i="5"/>
  <c r="BD192" i="5"/>
  <c r="BD144" i="5"/>
  <c r="BD142" i="5"/>
  <c r="BD146" i="5" s="1"/>
  <c r="BD148" i="5" s="1"/>
  <c r="BD154" i="5"/>
  <c r="BD156" i="5"/>
  <c r="BD158" i="5"/>
  <c r="BD152" i="5"/>
  <c r="BD162" i="5" s="1"/>
  <c r="BD337" i="5"/>
  <c r="BD339" i="5" s="1"/>
  <c r="U142" i="5"/>
  <c r="U146" i="5" s="1"/>
  <c r="U148" i="5" s="1"/>
  <c r="U192" i="5"/>
  <c r="U144" i="5"/>
  <c r="U337" i="5"/>
  <c r="U339" i="5" s="1"/>
  <c r="U154" i="5"/>
  <c r="U156" i="5"/>
  <c r="U158" i="5"/>
  <c r="FI192" i="5"/>
  <c r="FI142" i="5"/>
  <c r="FI146" i="5" s="1"/>
  <c r="FI148" i="5" s="1"/>
  <c r="FI144" i="5"/>
  <c r="FI152" i="5"/>
  <c r="FI162" i="5" s="1"/>
  <c r="FI337" i="5"/>
  <c r="FI339" i="5" s="1"/>
  <c r="FI154" i="5"/>
  <c r="FI156" i="5"/>
  <c r="FI158" i="5"/>
  <c r="DZ192" i="5"/>
  <c r="DZ142" i="5"/>
  <c r="DZ146" i="5" s="1"/>
  <c r="DZ148" i="5" s="1"/>
  <c r="DZ144" i="5"/>
  <c r="DZ156" i="5"/>
  <c r="DZ158" i="5"/>
  <c r="DZ154" i="5"/>
  <c r="DZ152" i="5"/>
  <c r="DZ162" i="5" s="1"/>
  <c r="DZ337" i="5"/>
  <c r="DZ339" i="5" s="1"/>
  <c r="CQ192" i="5"/>
  <c r="CQ142" i="5"/>
  <c r="CQ146" i="5" s="1"/>
  <c r="CQ148" i="5" s="1"/>
  <c r="CQ144" i="5"/>
  <c r="CQ154" i="5"/>
  <c r="CQ337" i="5"/>
  <c r="CQ339" i="5" s="1"/>
  <c r="CQ156" i="5"/>
  <c r="CQ158" i="5"/>
  <c r="CQ152" i="5"/>
  <c r="CQ162" i="5" s="1"/>
  <c r="BH144" i="5"/>
  <c r="BH142" i="5"/>
  <c r="BH146" i="5" s="1"/>
  <c r="BH148" i="5" s="1"/>
  <c r="BH192" i="5"/>
  <c r="BH158" i="5"/>
  <c r="BH156" i="5"/>
  <c r="BH152" i="5"/>
  <c r="BH162" i="5" s="1"/>
  <c r="BH154" i="5"/>
  <c r="BH337" i="5"/>
  <c r="BH339" i="5" s="1"/>
  <c r="Y192" i="5"/>
  <c r="Y144" i="5"/>
  <c r="Y142" i="5"/>
  <c r="Y146" i="5" s="1"/>
  <c r="Y148" i="5" s="1"/>
  <c r="Y158" i="5"/>
  <c r="Y152" i="5"/>
  <c r="Y162" i="5" s="1"/>
  <c r="Y154" i="5"/>
  <c r="Y156" i="5"/>
  <c r="Y337" i="5"/>
  <c r="Y339" i="5" s="1"/>
  <c r="FM192" i="5"/>
  <c r="FM142" i="5"/>
  <c r="FM146" i="5" s="1"/>
  <c r="FM148" i="5" s="1"/>
  <c r="FM144" i="5"/>
  <c r="FM337" i="5"/>
  <c r="FM339" i="5" s="1"/>
  <c r="FM158" i="5"/>
  <c r="FM152" i="5"/>
  <c r="FM162" i="5" s="1"/>
  <c r="FM154" i="5"/>
  <c r="FM156" i="5"/>
  <c r="EP144" i="5"/>
  <c r="EP192" i="5"/>
  <c r="EP142" i="5"/>
  <c r="EP146" i="5" s="1"/>
  <c r="EP148" i="5" s="1"/>
  <c r="EP156" i="5"/>
  <c r="EP158" i="5"/>
  <c r="EP154" i="5"/>
  <c r="EP337" i="5"/>
  <c r="EP339" i="5" s="1"/>
  <c r="AB192" i="5"/>
  <c r="AB142" i="5"/>
  <c r="AB146" i="5" s="1"/>
  <c r="AB148" i="5" s="1"/>
  <c r="AB144" i="5"/>
  <c r="AB152" i="5"/>
  <c r="AB162" i="5" s="1"/>
  <c r="AB154" i="5"/>
  <c r="AB156" i="5"/>
  <c r="AB158" i="5"/>
  <c r="AB337" i="5"/>
  <c r="AB339" i="5" s="1"/>
  <c r="FP192" i="5"/>
  <c r="FP142" i="5"/>
  <c r="FP146" i="5" s="1"/>
  <c r="FP148" i="5" s="1"/>
  <c r="FP144" i="5"/>
  <c r="FP152" i="5"/>
  <c r="FP162" i="5" s="1"/>
  <c r="FP154" i="5"/>
  <c r="FP156" i="5"/>
  <c r="FP158" i="5"/>
  <c r="FP337" i="5"/>
  <c r="FP339" i="5" s="1"/>
  <c r="EG192" i="5"/>
  <c r="EG142" i="5"/>
  <c r="EG146" i="5" s="1"/>
  <c r="EG148" i="5" s="1"/>
  <c r="EG144" i="5"/>
  <c r="EG337" i="5"/>
  <c r="EG339" i="5" s="1"/>
  <c r="EG154" i="5"/>
  <c r="EG156" i="5"/>
  <c r="EG158" i="5"/>
  <c r="ED249" i="3"/>
  <c r="ED253" i="3" s="1"/>
  <c r="ED258" i="3" s="1"/>
  <c r="ED259" i="3" s="1"/>
  <c r="AZ249" i="3"/>
  <c r="AZ253" i="3" s="1"/>
  <c r="AZ258" i="3" s="1"/>
  <c r="AZ259" i="3" s="1"/>
  <c r="ER289" i="3"/>
  <c r="ER264" i="3"/>
  <c r="ER270" i="3" s="1"/>
  <c r="ER273" i="3" s="1"/>
  <c r="ER144" i="2"/>
  <c r="BZ249" i="3"/>
  <c r="BZ253" i="3" s="1"/>
  <c r="BZ258" i="3" s="1"/>
  <c r="BZ259" i="3" s="1"/>
  <c r="BQ239" i="3"/>
  <c r="BQ248" i="3"/>
  <c r="BQ247" i="3"/>
  <c r="BQ245" i="3"/>
  <c r="CL249" i="3"/>
  <c r="CL253" i="3" s="1"/>
  <c r="CL258" i="3" s="1"/>
  <c r="CL259" i="3" s="1"/>
  <c r="BT249" i="3"/>
  <c r="BT253" i="3" s="1"/>
  <c r="BT258" i="3" s="1"/>
  <c r="BT259" i="3" s="1"/>
  <c r="DU249" i="3"/>
  <c r="DU253" i="3" s="1"/>
  <c r="DU258" i="3" s="1"/>
  <c r="DU259" i="3" s="1"/>
  <c r="BJ249" i="3"/>
  <c r="BJ253" i="3" s="1"/>
  <c r="BJ258" i="3" s="1"/>
  <c r="BJ259" i="3" s="1"/>
  <c r="O249" i="3"/>
  <c r="O253" i="3" s="1"/>
  <c r="O258" i="3" s="1"/>
  <c r="O259" i="3" s="1"/>
  <c r="AR192" i="5"/>
  <c r="AR142" i="5"/>
  <c r="AR146" i="5" s="1"/>
  <c r="AR148" i="5" s="1"/>
  <c r="AR144" i="5"/>
  <c r="AR154" i="5"/>
  <c r="AR156" i="5"/>
  <c r="AR158" i="5"/>
  <c r="AR152" i="5"/>
  <c r="AR162" i="5" s="1"/>
  <c r="AR337" i="5"/>
  <c r="AR339" i="5" s="1"/>
  <c r="DN192" i="5"/>
  <c r="DN142" i="5"/>
  <c r="DN146" i="5" s="1"/>
  <c r="DN148" i="5" s="1"/>
  <c r="DN144" i="5"/>
  <c r="DN156" i="5"/>
  <c r="DN158" i="5"/>
  <c r="DN152" i="5"/>
  <c r="DN162" i="5" s="1"/>
  <c r="DN154" i="5"/>
  <c r="DN337" i="5"/>
  <c r="DN339" i="5" s="1"/>
  <c r="M192" i="5"/>
  <c r="M144" i="5"/>
  <c r="M142" i="5"/>
  <c r="M146" i="5" s="1"/>
  <c r="M148" i="5" s="1"/>
  <c r="M154" i="5"/>
  <c r="M156" i="5"/>
  <c r="M337" i="5"/>
  <c r="M339" i="5" s="1"/>
  <c r="M158" i="5"/>
  <c r="M152" i="5"/>
  <c r="M162" i="5" s="1"/>
  <c r="ED192" i="5"/>
  <c r="ED144" i="5"/>
  <c r="ED142" i="5"/>
  <c r="ED146" i="5" s="1"/>
  <c r="ED148" i="5" s="1"/>
  <c r="ED156" i="5"/>
  <c r="ED337" i="5"/>
  <c r="ED339" i="5" s="1"/>
  <c r="ED152" i="5"/>
  <c r="ED162" i="5" s="1"/>
  <c r="ED158" i="5"/>
  <c r="ED154" i="5"/>
  <c r="FD144" i="5"/>
  <c r="FD142" i="5"/>
  <c r="FD146" i="5" s="1"/>
  <c r="FD148" i="5" s="1"/>
  <c r="FD192" i="5"/>
  <c r="FD154" i="5"/>
  <c r="FD156" i="5"/>
  <c r="FD158" i="5"/>
  <c r="FD337" i="5"/>
  <c r="FD339" i="5" s="1"/>
  <c r="BT192" i="5"/>
  <c r="BT142" i="5"/>
  <c r="BT146" i="5" s="1"/>
  <c r="BT148" i="5" s="1"/>
  <c r="BT144" i="5"/>
  <c r="BT158" i="5"/>
  <c r="BT154" i="5"/>
  <c r="BT156" i="5"/>
  <c r="BT337" i="5"/>
  <c r="BT339" i="5" s="1"/>
  <c r="BY249" i="3"/>
  <c r="BY253" i="3" s="1"/>
  <c r="BY258" i="3" s="1"/>
  <c r="BY259" i="3" s="1"/>
  <c r="X145" i="2"/>
  <c r="X146" i="2" s="1"/>
  <c r="X147" i="2" s="1"/>
  <c r="J239" i="3"/>
  <c r="J248" i="3"/>
  <c r="J247" i="3"/>
  <c r="J245" i="3"/>
  <c r="DE249" i="3"/>
  <c r="DE253" i="3" s="1"/>
  <c r="DE258" i="3" s="1"/>
  <c r="DE259" i="3" s="1"/>
  <c r="FT156" i="5"/>
  <c r="F192" i="5"/>
  <c r="F144" i="5"/>
  <c r="F142" i="5"/>
  <c r="F146" i="5" s="1"/>
  <c r="F148" i="5" s="1"/>
  <c r="F154" i="5"/>
  <c r="F156" i="5"/>
  <c r="F158" i="5"/>
  <c r="F152" i="5"/>
  <c r="F162" i="5" s="1"/>
  <c r="F337" i="5"/>
  <c r="F339" i="5" s="1"/>
  <c r="ET192" i="5"/>
  <c r="ET144" i="5"/>
  <c r="ET142" i="5"/>
  <c r="ET146" i="5" s="1"/>
  <c r="ET148" i="5" s="1"/>
  <c r="ET154" i="5"/>
  <c r="ET156" i="5"/>
  <c r="ET158" i="5"/>
  <c r="ET337" i="5"/>
  <c r="ET339" i="5" s="1"/>
  <c r="DK144" i="5"/>
  <c r="DK142" i="5"/>
  <c r="DK146" i="5" s="1"/>
  <c r="DK148" i="5" s="1"/>
  <c r="DK192" i="5"/>
  <c r="DK158" i="5"/>
  <c r="DK337" i="5"/>
  <c r="DK339" i="5" s="1"/>
  <c r="DK152" i="5"/>
  <c r="DK162" i="5" s="1"/>
  <c r="DK154" i="5"/>
  <c r="DK156" i="5"/>
  <c r="CB144" i="5"/>
  <c r="CB142" i="5"/>
  <c r="CB146" i="5" s="1"/>
  <c r="CB148" i="5" s="1"/>
  <c r="CB192" i="5"/>
  <c r="CB337" i="5"/>
  <c r="CB339" i="5" s="1"/>
  <c r="CB154" i="5"/>
  <c r="CB156" i="5"/>
  <c r="CB158" i="5"/>
  <c r="CB152" i="5"/>
  <c r="CB162" i="5" s="1"/>
  <c r="AS142" i="5"/>
  <c r="AS146" i="5" s="1"/>
  <c r="AS148" i="5" s="1"/>
  <c r="AS192" i="5"/>
  <c r="AS144" i="5"/>
  <c r="AS156" i="5"/>
  <c r="AS158" i="5"/>
  <c r="AS154" i="5"/>
  <c r="AS152" i="5"/>
  <c r="AS162" i="5" s="1"/>
  <c r="AS337" i="5"/>
  <c r="AS339" i="5" s="1"/>
  <c r="J142" i="5"/>
  <c r="J146" i="5" s="1"/>
  <c r="J148" i="5" s="1"/>
  <c r="J192" i="5"/>
  <c r="J144" i="5"/>
  <c r="J152" i="5"/>
  <c r="J162" i="5" s="1"/>
  <c r="J154" i="5"/>
  <c r="J337" i="5"/>
  <c r="J339" i="5" s="1"/>
  <c r="J156" i="5"/>
  <c r="J158" i="5"/>
  <c r="EX144" i="5"/>
  <c r="EX142" i="5"/>
  <c r="EX146" i="5" s="1"/>
  <c r="EX148" i="5" s="1"/>
  <c r="EX192" i="5"/>
  <c r="EX337" i="5"/>
  <c r="EX339" i="5" s="1"/>
  <c r="EX156" i="5"/>
  <c r="EX158" i="5"/>
  <c r="EX154" i="5"/>
  <c r="DO144" i="5"/>
  <c r="DO192" i="5"/>
  <c r="DO142" i="5"/>
  <c r="DO146" i="5" s="1"/>
  <c r="DO148" i="5" s="1"/>
  <c r="DO337" i="5"/>
  <c r="DO339" i="5" s="1"/>
  <c r="DO156" i="5"/>
  <c r="DO158" i="5"/>
  <c r="DO152" i="5"/>
  <c r="DO162" i="5" s="1"/>
  <c r="DO154" i="5"/>
  <c r="CF192" i="5"/>
  <c r="CF142" i="5"/>
  <c r="CF146" i="5" s="1"/>
  <c r="CF148" i="5" s="1"/>
  <c r="CF144" i="5"/>
  <c r="CF156" i="5"/>
  <c r="CF337" i="5"/>
  <c r="CF339" i="5" s="1"/>
  <c r="CF158" i="5"/>
  <c r="CF154" i="5"/>
  <c r="AW192" i="5"/>
  <c r="AW142" i="5"/>
  <c r="AW146" i="5" s="1"/>
  <c r="AW148" i="5" s="1"/>
  <c r="AW144" i="5"/>
  <c r="AW154" i="5"/>
  <c r="AW156" i="5"/>
  <c r="AW337" i="5"/>
  <c r="AW339" i="5" s="1"/>
  <c r="AW158" i="5"/>
  <c r="Z192" i="5"/>
  <c r="Z144" i="5"/>
  <c r="Z142" i="5"/>
  <c r="Z146" i="5" s="1"/>
  <c r="Z148" i="5" s="1"/>
  <c r="Z337" i="5"/>
  <c r="Z339" i="5" s="1"/>
  <c r="Z158" i="5"/>
  <c r="Z154" i="5"/>
  <c r="Z156" i="5"/>
  <c r="FN142" i="5"/>
  <c r="FN146" i="5" s="1"/>
  <c r="FN148" i="5" s="1"/>
  <c r="FN192" i="5"/>
  <c r="FN144" i="5"/>
  <c r="FN152" i="5"/>
  <c r="FN162" i="5" s="1"/>
  <c r="FN158" i="5"/>
  <c r="FN154" i="5"/>
  <c r="FN156" i="5"/>
  <c r="FN337" i="5"/>
  <c r="FN339" i="5" s="1"/>
  <c r="AZ142" i="5"/>
  <c r="AZ146" i="5" s="1"/>
  <c r="AZ148" i="5" s="1"/>
  <c r="AZ144" i="5"/>
  <c r="AZ192" i="5"/>
  <c r="AZ152" i="5"/>
  <c r="AZ162" i="5" s="1"/>
  <c r="AZ154" i="5"/>
  <c r="AZ156" i="5"/>
  <c r="AZ158" i="5"/>
  <c r="AZ337" i="5"/>
  <c r="AZ339" i="5" s="1"/>
  <c r="Q192" i="5"/>
  <c r="Q144" i="5"/>
  <c r="Q142" i="5"/>
  <c r="Q146" i="5" s="1"/>
  <c r="Q148" i="5" s="1"/>
  <c r="Q337" i="5"/>
  <c r="Q339" i="5" s="1"/>
  <c r="Q152" i="5"/>
  <c r="Q162" i="5" s="1"/>
  <c r="Q154" i="5"/>
  <c r="Q156" i="5"/>
  <c r="Q158" i="5"/>
  <c r="FE192" i="5"/>
  <c r="FE144" i="5"/>
  <c r="FE142" i="5"/>
  <c r="FE146" i="5" s="1"/>
  <c r="FE148" i="5" s="1"/>
  <c r="FE337" i="5"/>
  <c r="FE339" i="5" s="1"/>
  <c r="FE154" i="5"/>
  <c r="FE156" i="5"/>
  <c r="FE158" i="5"/>
  <c r="AV249" i="3"/>
  <c r="AV253" i="3" s="1"/>
  <c r="AV258" i="3" s="1"/>
  <c r="AV259" i="3" s="1"/>
  <c r="AW249" i="3"/>
  <c r="AW253" i="3" s="1"/>
  <c r="AW258" i="3" s="1"/>
  <c r="AW259" i="3" s="1"/>
  <c r="CB249" i="3"/>
  <c r="CB253" i="3" s="1"/>
  <c r="CB258" i="3" s="1"/>
  <c r="CB259" i="3" s="1"/>
  <c r="BH249" i="3"/>
  <c r="BH253" i="3" s="1"/>
  <c r="BH258" i="3" s="1"/>
  <c r="BH259" i="3" s="1"/>
  <c r="AR249" i="3"/>
  <c r="AR253" i="3" s="1"/>
  <c r="AR258" i="3" s="1"/>
  <c r="AR259" i="3" s="1"/>
  <c r="N249" i="3"/>
  <c r="N253" i="3" s="1"/>
  <c r="N258" i="3" s="1"/>
  <c r="N259" i="3" s="1"/>
  <c r="I142" i="5"/>
  <c r="I146" i="5" s="1"/>
  <c r="I148" i="5" s="1"/>
  <c r="I144" i="5"/>
  <c r="I192" i="5"/>
  <c r="I337" i="5"/>
  <c r="I339" i="5" s="1"/>
  <c r="I154" i="5"/>
  <c r="I156" i="5"/>
  <c r="I158" i="5"/>
  <c r="I152" i="5"/>
  <c r="I162" i="5" s="1"/>
  <c r="AB145" i="2"/>
  <c r="AB146" i="2" s="1"/>
  <c r="AB147" i="2" s="1"/>
  <c r="N192" i="5"/>
  <c r="N144" i="5"/>
  <c r="N142" i="5"/>
  <c r="N146" i="5" s="1"/>
  <c r="N148" i="5" s="1"/>
  <c r="N152" i="5"/>
  <c r="N162" i="5" s="1"/>
  <c r="N154" i="5"/>
  <c r="N156" i="5"/>
  <c r="N158" i="5"/>
  <c r="N337" i="5"/>
  <c r="N339" i="5" s="1"/>
  <c r="DQ249" i="3"/>
  <c r="DQ253" i="3" s="1"/>
  <c r="DQ258" i="3" s="1"/>
  <c r="DQ259" i="3" s="1"/>
  <c r="C123" i="5"/>
  <c r="FZ113" i="5"/>
  <c r="FR249" i="3"/>
  <c r="FR253" i="3" s="1"/>
  <c r="FR258" i="3" s="1"/>
  <c r="FR259" i="3" s="1"/>
  <c r="AI275" i="3"/>
  <c r="DI239" i="3"/>
  <c r="DI245" i="3"/>
  <c r="DI247" i="3"/>
  <c r="DI248" i="3"/>
  <c r="FW249" i="3"/>
  <c r="FW253" i="3" s="1"/>
  <c r="FW258" i="3" s="1"/>
  <c r="FW259" i="3" s="1"/>
  <c r="FT144" i="5"/>
  <c r="AB303" i="3"/>
  <c r="AB296" i="3"/>
  <c r="AB82" i="3"/>
  <c r="R144" i="5"/>
  <c r="R142" i="5"/>
  <c r="R146" i="5" s="1"/>
  <c r="R148" i="5" s="1"/>
  <c r="R192" i="5"/>
  <c r="R158" i="5"/>
  <c r="R337" i="5"/>
  <c r="R339" i="5" s="1"/>
  <c r="R152" i="5"/>
  <c r="R162" i="5" s="1"/>
  <c r="R154" i="5"/>
  <c r="R156" i="5"/>
  <c r="FF192" i="5"/>
  <c r="FF144" i="5"/>
  <c r="FF142" i="5"/>
  <c r="FF146" i="5" s="1"/>
  <c r="FF148" i="5" s="1"/>
  <c r="FF154" i="5"/>
  <c r="FF156" i="5"/>
  <c r="FF158" i="5"/>
  <c r="FF337" i="5"/>
  <c r="FF339" i="5" s="1"/>
  <c r="DW192" i="5"/>
  <c r="DW142" i="5"/>
  <c r="DW146" i="5" s="1"/>
  <c r="DW148" i="5" s="1"/>
  <c r="DW144" i="5"/>
  <c r="DW337" i="5"/>
  <c r="DW339" i="5" s="1"/>
  <c r="DW154" i="5"/>
  <c r="DW156" i="5"/>
  <c r="DW158" i="5"/>
  <c r="CN192" i="5"/>
  <c r="CN144" i="5"/>
  <c r="CN142" i="5"/>
  <c r="CN146" i="5" s="1"/>
  <c r="CN148" i="5" s="1"/>
  <c r="CN337" i="5"/>
  <c r="CN339" i="5" s="1"/>
  <c r="CN154" i="5"/>
  <c r="CN156" i="5"/>
  <c r="CN158" i="5"/>
  <c r="CN152" i="5"/>
  <c r="CN162" i="5" s="1"/>
  <c r="BE192" i="5"/>
  <c r="BE142" i="5"/>
  <c r="BE146" i="5" s="1"/>
  <c r="BE148" i="5" s="1"/>
  <c r="BE144" i="5"/>
  <c r="BE154" i="5"/>
  <c r="BE156" i="5"/>
  <c r="BE158" i="5"/>
  <c r="BE152" i="5"/>
  <c r="BE162" i="5" s="1"/>
  <c r="BE337" i="5"/>
  <c r="BE339" i="5" s="1"/>
  <c r="V142" i="5"/>
  <c r="V146" i="5" s="1"/>
  <c r="V148" i="5" s="1"/>
  <c r="V192" i="5"/>
  <c r="V144" i="5"/>
  <c r="V156" i="5"/>
  <c r="V158" i="5"/>
  <c r="V154" i="5"/>
  <c r="V337" i="5"/>
  <c r="V339" i="5" s="1"/>
  <c r="FJ192" i="5"/>
  <c r="FJ142" i="5"/>
  <c r="FJ146" i="5" s="1"/>
  <c r="FJ148" i="5" s="1"/>
  <c r="FJ144" i="5"/>
  <c r="FJ156" i="5"/>
  <c r="FJ158" i="5"/>
  <c r="FJ154" i="5"/>
  <c r="FJ152" i="5"/>
  <c r="FJ162" i="5" s="1"/>
  <c r="FJ337" i="5"/>
  <c r="FJ339" i="5" s="1"/>
  <c r="EA192" i="5"/>
  <c r="EA142" i="5"/>
  <c r="EA146" i="5" s="1"/>
  <c r="EA148" i="5" s="1"/>
  <c r="EA144" i="5"/>
  <c r="EA156" i="5"/>
  <c r="EA158" i="5"/>
  <c r="EA152" i="5"/>
  <c r="EA162" i="5" s="1"/>
  <c r="EA154" i="5"/>
  <c r="EA337" i="5"/>
  <c r="EA339" i="5" s="1"/>
  <c r="CR192" i="5"/>
  <c r="CR144" i="5"/>
  <c r="CR142" i="5"/>
  <c r="CR146" i="5" s="1"/>
  <c r="CR148" i="5" s="1"/>
  <c r="CR337" i="5"/>
  <c r="CR339" i="5" s="1"/>
  <c r="CR158" i="5"/>
  <c r="CR156" i="5"/>
  <c r="CR154" i="5"/>
  <c r="BI142" i="5"/>
  <c r="BI146" i="5" s="1"/>
  <c r="BI148" i="5" s="1"/>
  <c r="BI192" i="5"/>
  <c r="BI144" i="5"/>
  <c r="BI337" i="5"/>
  <c r="BI339" i="5" s="1"/>
  <c r="BI158" i="5"/>
  <c r="BI154" i="5"/>
  <c r="BI156" i="5"/>
  <c r="AL192" i="5"/>
  <c r="AL144" i="5"/>
  <c r="AL142" i="5"/>
  <c r="AL146" i="5" s="1"/>
  <c r="AL148" i="5" s="1"/>
  <c r="AL337" i="5"/>
  <c r="AL339" i="5" s="1"/>
  <c r="AL158" i="5"/>
  <c r="AL156" i="5"/>
  <c r="AL154" i="5"/>
  <c r="CU192" i="5"/>
  <c r="CU144" i="5"/>
  <c r="CU142" i="5"/>
  <c r="CU146" i="5" s="1"/>
  <c r="CU148" i="5" s="1"/>
  <c r="CU337" i="5"/>
  <c r="CU339" i="5" s="1"/>
  <c r="CU152" i="5"/>
  <c r="CU162" i="5" s="1"/>
  <c r="CU154" i="5"/>
  <c r="CU156" i="5"/>
  <c r="CU158" i="5"/>
  <c r="BL192" i="5"/>
  <c r="BL142" i="5"/>
  <c r="BL146" i="5" s="1"/>
  <c r="BL148" i="5" s="1"/>
  <c r="BL144" i="5"/>
  <c r="BL154" i="5"/>
  <c r="BL156" i="5"/>
  <c r="BL158" i="5"/>
  <c r="BL337" i="5"/>
  <c r="BL339" i="5" s="1"/>
  <c r="AC192" i="5"/>
  <c r="AC142" i="5"/>
  <c r="AC146" i="5" s="1"/>
  <c r="AC148" i="5" s="1"/>
  <c r="AC144" i="5"/>
  <c r="AC337" i="5"/>
  <c r="AC339" i="5" s="1"/>
  <c r="AC152" i="5"/>
  <c r="AC162" i="5" s="1"/>
  <c r="AC154" i="5"/>
  <c r="AC156" i="5"/>
  <c r="AC158" i="5"/>
  <c r="FQ192" i="5"/>
  <c r="FQ144" i="5"/>
  <c r="FQ142" i="5"/>
  <c r="FQ146" i="5" s="1"/>
  <c r="FQ148" i="5" s="1"/>
  <c r="FQ152" i="5"/>
  <c r="FQ162" i="5" s="1"/>
  <c r="FQ154" i="5"/>
  <c r="FQ156" i="5"/>
  <c r="FQ158" i="5"/>
  <c r="FQ337" i="5"/>
  <c r="FQ339" i="5" s="1"/>
  <c r="Z249" i="3"/>
  <c r="Z253" i="3" s="1"/>
  <c r="Z258" i="3" s="1"/>
  <c r="Z259" i="3" s="1"/>
  <c r="AJ249" i="3"/>
  <c r="AJ253" i="3" s="1"/>
  <c r="AJ258" i="3" s="1"/>
  <c r="AJ259" i="3" s="1"/>
  <c r="FJ281" i="3"/>
  <c r="FJ285" i="3" s="1"/>
  <c r="FJ294" i="3" s="1"/>
  <c r="FJ290" i="3"/>
  <c r="DA249" i="3"/>
  <c r="DA253" i="3" s="1"/>
  <c r="DA258" i="3" s="1"/>
  <c r="DA259" i="3" s="1"/>
  <c r="DG145" i="2"/>
  <c r="DG146" i="2" s="1"/>
  <c r="DG147" i="2" s="1"/>
  <c r="CV249" i="3"/>
  <c r="CV253" i="3" s="1"/>
  <c r="CV258" i="3" s="1"/>
  <c r="CV259" i="3" s="1"/>
  <c r="EF239" i="3"/>
  <c r="EF247" i="3"/>
  <c r="EF245" i="3"/>
  <c r="EF248" i="3"/>
  <c r="BS249" i="3"/>
  <c r="BS253" i="3" s="1"/>
  <c r="BS258" i="3" s="1"/>
  <c r="BS259" i="3" s="1"/>
  <c r="CZ249" i="3"/>
  <c r="CZ253" i="3" s="1"/>
  <c r="CZ258" i="3" s="1"/>
  <c r="CZ259" i="3" s="1"/>
  <c r="AC289" i="3"/>
  <c r="AC264" i="3"/>
  <c r="AC270" i="3" s="1"/>
  <c r="AC273" i="3" s="1"/>
  <c r="AC144" i="2"/>
  <c r="ET289" i="3"/>
  <c r="EW303" i="3"/>
  <c r="EW296" i="3"/>
  <c r="EW82" i="3"/>
  <c r="ES192" i="5"/>
  <c r="ES142" i="5"/>
  <c r="ES146" i="5" s="1"/>
  <c r="ES148" i="5" s="1"/>
  <c r="ES144" i="5"/>
  <c r="ES154" i="5"/>
  <c r="ES156" i="5"/>
  <c r="ES158" i="5"/>
  <c r="ES337" i="5"/>
  <c r="ES339" i="5" s="1"/>
  <c r="BM249" i="3"/>
  <c r="BM253" i="3" s="1"/>
  <c r="BM258" i="3" s="1"/>
  <c r="BM259" i="3" s="1"/>
  <c r="FZ142" i="2"/>
  <c r="GB142" i="2" s="1"/>
  <c r="CN289" i="3"/>
  <c r="CN264" i="3"/>
  <c r="CN270" i="3" s="1"/>
  <c r="CN273" i="3" s="1"/>
  <c r="CN144" i="2"/>
  <c r="AD192" i="5"/>
  <c r="AD144" i="5"/>
  <c r="AD142" i="5"/>
  <c r="AD146" i="5" s="1"/>
  <c r="AD148" i="5" s="1"/>
  <c r="AD158" i="5"/>
  <c r="AD337" i="5"/>
  <c r="AD339" i="5" s="1"/>
  <c r="AD152" i="5"/>
  <c r="AD162" i="5" s="1"/>
  <c r="AD154" i="5"/>
  <c r="AD156" i="5"/>
  <c r="FR192" i="5"/>
  <c r="FR142" i="5"/>
  <c r="FR146" i="5" s="1"/>
  <c r="FR148" i="5" s="1"/>
  <c r="FR144" i="5"/>
  <c r="FR337" i="5"/>
  <c r="FR339" i="5" s="1"/>
  <c r="FR154" i="5"/>
  <c r="FR156" i="5"/>
  <c r="FR158" i="5"/>
  <c r="EI192" i="5"/>
  <c r="EI142" i="5"/>
  <c r="EI146" i="5" s="1"/>
  <c r="EI148" i="5" s="1"/>
  <c r="EI144" i="5"/>
  <c r="EI337" i="5"/>
  <c r="EI339" i="5" s="1"/>
  <c r="EI152" i="5"/>
  <c r="EI162" i="5" s="1"/>
  <c r="EI154" i="5"/>
  <c r="EI156" i="5"/>
  <c r="EI158" i="5"/>
  <c r="CZ144" i="5"/>
  <c r="CZ192" i="5"/>
  <c r="CZ142" i="5"/>
  <c r="CZ146" i="5" s="1"/>
  <c r="CZ148" i="5" s="1"/>
  <c r="CZ152" i="5"/>
  <c r="CZ162" i="5" s="1"/>
  <c r="CZ337" i="5"/>
  <c r="CZ339" i="5" s="1"/>
  <c r="CZ154" i="5"/>
  <c r="CZ156" i="5"/>
  <c r="CZ158" i="5"/>
  <c r="BQ192" i="5"/>
  <c r="BQ142" i="5"/>
  <c r="BQ146" i="5" s="1"/>
  <c r="BQ148" i="5" s="1"/>
  <c r="BQ144" i="5"/>
  <c r="BQ154" i="5"/>
  <c r="BQ156" i="5"/>
  <c r="BQ158" i="5"/>
  <c r="BQ152" i="5"/>
  <c r="BQ162" i="5" s="1"/>
  <c r="BQ337" i="5"/>
  <c r="BQ339" i="5" s="1"/>
  <c r="AH144" i="5"/>
  <c r="AH192" i="5"/>
  <c r="AH142" i="5"/>
  <c r="AH146" i="5" s="1"/>
  <c r="AH148" i="5" s="1"/>
  <c r="AH156" i="5"/>
  <c r="AH158" i="5"/>
  <c r="AH152" i="5"/>
  <c r="AH162" i="5" s="1"/>
  <c r="AH154" i="5"/>
  <c r="AH337" i="5"/>
  <c r="AH339" i="5" s="1"/>
  <c r="FV192" i="5"/>
  <c r="FV142" i="5"/>
  <c r="FV146" i="5" s="1"/>
  <c r="FV148" i="5" s="1"/>
  <c r="FV144" i="5"/>
  <c r="FV337" i="5"/>
  <c r="FV339" i="5" s="1"/>
  <c r="FV156" i="5"/>
  <c r="FV158" i="5"/>
  <c r="FV152" i="5"/>
  <c r="FV162" i="5" s="1"/>
  <c r="FV154" i="5"/>
  <c r="EM192" i="5"/>
  <c r="EM142" i="5"/>
  <c r="EM146" i="5" s="1"/>
  <c r="EM148" i="5" s="1"/>
  <c r="EM144" i="5"/>
  <c r="EM337" i="5"/>
  <c r="EM339" i="5" s="1"/>
  <c r="EM156" i="5"/>
  <c r="EM158" i="5"/>
  <c r="EM154" i="5"/>
  <c r="DD144" i="5"/>
  <c r="DD192" i="5"/>
  <c r="DD142" i="5"/>
  <c r="DD146" i="5" s="1"/>
  <c r="DD148" i="5" s="1"/>
  <c r="DD337" i="5"/>
  <c r="DD339" i="5" s="1"/>
  <c r="DD154" i="5"/>
  <c r="DD158" i="5"/>
  <c r="DD156" i="5"/>
  <c r="BU192" i="5"/>
  <c r="BU142" i="5"/>
  <c r="BU146" i="5" s="1"/>
  <c r="BU148" i="5" s="1"/>
  <c r="BU144" i="5"/>
  <c r="BU156" i="5"/>
  <c r="BU337" i="5"/>
  <c r="BU339" i="5" s="1"/>
  <c r="BU158" i="5"/>
  <c r="BU154" i="5"/>
  <c r="AX192" i="5"/>
  <c r="AX144" i="5"/>
  <c r="AX142" i="5"/>
  <c r="AX146" i="5" s="1"/>
  <c r="AX148" i="5" s="1"/>
  <c r="AX154" i="5"/>
  <c r="AX156" i="5"/>
  <c r="AX158" i="5"/>
  <c r="AX337" i="5"/>
  <c r="AX339" i="5" s="1"/>
  <c r="DG144" i="5"/>
  <c r="DG142" i="5"/>
  <c r="DG146" i="5" s="1"/>
  <c r="DG148" i="5" s="1"/>
  <c r="DG192" i="5"/>
  <c r="DG337" i="5"/>
  <c r="DG339" i="5" s="1"/>
  <c r="DG154" i="5"/>
  <c r="DG156" i="5"/>
  <c r="DG158" i="5"/>
  <c r="BX192" i="5"/>
  <c r="BX142" i="5"/>
  <c r="BX146" i="5" s="1"/>
  <c r="BX148" i="5" s="1"/>
  <c r="BX144" i="5"/>
  <c r="BX337" i="5"/>
  <c r="BX339" i="5" s="1"/>
  <c r="BX154" i="5"/>
  <c r="BX158" i="5"/>
  <c r="BX156" i="5"/>
  <c r="AO144" i="5"/>
  <c r="AO142" i="5"/>
  <c r="AO146" i="5" s="1"/>
  <c r="AO148" i="5" s="1"/>
  <c r="AO192" i="5"/>
  <c r="AO152" i="5"/>
  <c r="AO162" i="5" s="1"/>
  <c r="AO154" i="5"/>
  <c r="AO156" i="5"/>
  <c r="AO158" i="5"/>
  <c r="AO337" i="5"/>
  <c r="AO339" i="5" s="1"/>
  <c r="AO249" i="3"/>
  <c r="AO253" i="3" s="1"/>
  <c r="AO258" i="3" s="1"/>
  <c r="AO259" i="3" s="1"/>
  <c r="EQ309" i="3"/>
  <c r="EA290" i="3"/>
  <c r="EA292" i="3" s="1"/>
  <c r="EU239" i="3"/>
  <c r="EU247" i="3"/>
  <c r="EU248" i="3"/>
  <c r="EU245" i="3"/>
  <c r="DG290" i="3"/>
  <c r="DG281" i="3"/>
  <c r="DG285" i="3" s="1"/>
  <c r="DG294" i="3" s="1"/>
  <c r="I239" i="3"/>
  <c r="I248" i="3"/>
  <c r="I247" i="3"/>
  <c r="I245" i="3"/>
  <c r="DO239" i="3"/>
  <c r="DO247" i="3"/>
  <c r="DO245" i="3"/>
  <c r="DO248" i="3"/>
  <c r="CO249" i="3"/>
  <c r="CO253" i="3" s="1"/>
  <c r="CO258" i="3" s="1"/>
  <c r="CO259" i="3" s="1"/>
  <c r="EE249" i="3"/>
  <c r="EE253" i="3" s="1"/>
  <c r="EE258" i="3" s="1"/>
  <c r="EE259" i="3" s="1"/>
  <c r="AN303" i="3"/>
  <c r="AN296" i="3"/>
  <c r="AN82" i="3"/>
  <c r="DJ192" i="5"/>
  <c r="DJ144" i="5"/>
  <c r="DJ142" i="5"/>
  <c r="DJ146" i="5" s="1"/>
  <c r="DJ148" i="5" s="1"/>
  <c r="DJ156" i="5"/>
  <c r="DJ154" i="5"/>
  <c r="DJ158" i="5"/>
  <c r="DJ337" i="5"/>
  <c r="DJ339" i="5" s="1"/>
  <c r="DJ152" i="5"/>
  <c r="DJ162" i="5" s="1"/>
  <c r="CE192" i="5"/>
  <c r="CE142" i="5"/>
  <c r="CE146" i="5" s="1"/>
  <c r="CE148" i="5" s="1"/>
  <c r="CE144" i="5"/>
  <c r="CE337" i="5"/>
  <c r="CE339" i="5" s="1"/>
  <c r="CE156" i="5"/>
  <c r="CE158" i="5"/>
  <c r="CE154" i="5"/>
  <c r="DU144" i="5"/>
  <c r="DU142" i="5"/>
  <c r="DU146" i="5" s="1"/>
  <c r="DU148" i="5" s="1"/>
  <c r="DU192" i="5"/>
  <c r="DU337" i="5"/>
  <c r="DU339" i="5" s="1"/>
  <c r="DU154" i="5"/>
  <c r="DU156" i="5"/>
  <c r="DU158" i="5"/>
  <c r="EH192" i="5"/>
  <c r="EH144" i="5"/>
  <c r="EH142" i="5"/>
  <c r="EH146" i="5" s="1"/>
  <c r="EH148" i="5" s="1"/>
  <c r="EH154" i="5"/>
  <c r="EH156" i="5"/>
  <c r="EH158" i="5"/>
  <c r="EH337" i="5"/>
  <c r="EH339" i="5" s="1"/>
  <c r="FU192" i="5"/>
  <c r="FU142" i="5"/>
  <c r="FU146" i="5" s="1"/>
  <c r="FU148" i="5" s="1"/>
  <c r="FU144" i="5"/>
  <c r="FU337" i="5"/>
  <c r="FU339" i="5" s="1"/>
  <c r="FU154" i="5"/>
  <c r="FU156" i="5"/>
  <c r="FU158" i="5"/>
  <c r="FU152" i="5"/>
  <c r="FU162" i="5" s="1"/>
  <c r="E192" i="5"/>
  <c r="E142" i="5"/>
  <c r="E146" i="5" s="1"/>
  <c r="E148" i="5" s="1"/>
  <c r="E144" i="5"/>
  <c r="E152" i="5"/>
  <c r="E162" i="5" s="1"/>
  <c r="E154" i="5"/>
  <c r="E156" i="5"/>
  <c r="E158" i="5"/>
  <c r="E337" i="5"/>
  <c r="E339" i="5" s="1"/>
  <c r="EL239" i="3"/>
  <c r="EL245" i="3"/>
  <c r="EL248" i="3"/>
  <c r="EL247" i="3"/>
  <c r="FV239" i="3"/>
  <c r="FV247" i="3"/>
  <c r="FV248" i="3"/>
  <c r="FV245" i="3"/>
  <c r="FT197" i="5"/>
  <c r="G144" i="5"/>
  <c r="G142" i="5"/>
  <c r="G146" i="5" s="1"/>
  <c r="G148" i="5" s="1"/>
  <c r="G192" i="5"/>
  <c r="G337" i="5"/>
  <c r="G339" i="5" s="1"/>
  <c r="G152" i="5"/>
  <c r="G162" i="5" s="1"/>
  <c r="G154" i="5"/>
  <c r="G156" i="5"/>
  <c r="G158" i="5"/>
  <c r="CC192" i="5"/>
  <c r="CC142" i="5"/>
  <c r="CC146" i="5" s="1"/>
  <c r="CC148" i="5" s="1"/>
  <c r="CC144" i="5"/>
  <c r="CC158" i="5"/>
  <c r="CC156" i="5"/>
  <c r="CC337" i="5"/>
  <c r="CC339" i="5" s="1"/>
  <c r="CC154" i="5"/>
  <c r="EY192" i="5"/>
  <c r="EY142" i="5"/>
  <c r="EY146" i="5" s="1"/>
  <c r="EY148" i="5" s="1"/>
  <c r="EY144" i="5"/>
  <c r="EY152" i="5"/>
  <c r="EY162" i="5" s="1"/>
  <c r="EY154" i="5"/>
  <c r="EY337" i="5"/>
  <c r="EY339" i="5" s="1"/>
  <c r="EY156" i="5"/>
  <c r="EY158" i="5"/>
  <c r="BJ144" i="5"/>
  <c r="BJ142" i="5"/>
  <c r="BJ146" i="5" s="1"/>
  <c r="BJ148" i="5" s="1"/>
  <c r="BJ192" i="5"/>
  <c r="BJ152" i="5"/>
  <c r="BJ162" i="5" s="1"/>
  <c r="BJ158" i="5"/>
  <c r="BJ154" i="5"/>
  <c r="BJ156" i="5"/>
  <c r="BJ337" i="5"/>
  <c r="BJ339" i="5" s="1"/>
  <c r="BA192" i="5"/>
  <c r="BA142" i="5"/>
  <c r="BA146" i="5" s="1"/>
  <c r="BA148" i="5" s="1"/>
  <c r="BA144" i="5"/>
  <c r="BA152" i="5"/>
  <c r="BA162" i="5" s="1"/>
  <c r="BA154" i="5"/>
  <c r="BA156" i="5"/>
  <c r="BA337" i="5"/>
  <c r="BA339" i="5" s="1"/>
  <c r="BA158" i="5"/>
  <c r="AD289" i="3"/>
  <c r="AD264" i="3"/>
  <c r="AD270" i="3" s="1"/>
  <c r="AD273" i="3" s="1"/>
  <c r="AD144" i="2"/>
  <c r="BR239" i="3"/>
  <c r="BR247" i="3"/>
  <c r="BR245" i="3"/>
  <c r="BR248" i="3"/>
  <c r="EA303" i="3"/>
  <c r="EA296" i="3"/>
  <c r="EA82" i="3"/>
  <c r="BK239" i="3"/>
  <c r="BK245" i="3"/>
  <c r="BK248" i="3"/>
  <c r="BK247" i="3"/>
  <c r="BP289" i="3"/>
  <c r="DG296" i="3"/>
  <c r="FZ209" i="3"/>
  <c r="CK303" i="3"/>
  <c r="CK296" i="3"/>
  <c r="CK82" i="3"/>
  <c r="CI142" i="5"/>
  <c r="CI146" i="5" s="1"/>
  <c r="CI148" i="5" s="1"/>
  <c r="CI192" i="5"/>
  <c r="CI144" i="5"/>
  <c r="CI152" i="5"/>
  <c r="CI162" i="5" s="1"/>
  <c r="CI154" i="5"/>
  <c r="CI156" i="5"/>
  <c r="CI158" i="5"/>
  <c r="CI337" i="5"/>
  <c r="CI339" i="5" s="1"/>
  <c r="BP192" i="5"/>
  <c r="BP142" i="5"/>
  <c r="BP146" i="5" s="1"/>
  <c r="BP148" i="5" s="1"/>
  <c r="BP144" i="5"/>
  <c r="BP154" i="5"/>
  <c r="BP156" i="5"/>
  <c r="BP158" i="5"/>
  <c r="BP337" i="5"/>
  <c r="BP339" i="5" s="1"/>
  <c r="EL192" i="5"/>
  <c r="EL144" i="5"/>
  <c r="EL142" i="5"/>
  <c r="EL146" i="5" s="1"/>
  <c r="EL148" i="5" s="1"/>
  <c r="EL156" i="5"/>
  <c r="EL158" i="5"/>
  <c r="EL152" i="5"/>
  <c r="EL162" i="5" s="1"/>
  <c r="EL154" i="5"/>
  <c r="EL337" i="5"/>
  <c r="EL339" i="5" s="1"/>
  <c r="AK192" i="5"/>
  <c r="AK142" i="5"/>
  <c r="AK146" i="5" s="1"/>
  <c r="AK148" i="5" s="1"/>
  <c r="AK144" i="5"/>
  <c r="AK156" i="5"/>
  <c r="AK337" i="5"/>
  <c r="AK339" i="5" s="1"/>
  <c r="AK158" i="5"/>
  <c r="AK154" i="5"/>
  <c r="FB142" i="5"/>
  <c r="FB146" i="5" s="1"/>
  <c r="FB148" i="5" s="1"/>
  <c r="FB144" i="5"/>
  <c r="FB192" i="5"/>
  <c r="FB337" i="5"/>
  <c r="FB339" i="5" s="1"/>
  <c r="FB154" i="5"/>
  <c r="FB156" i="5"/>
  <c r="FB158" i="5"/>
  <c r="AP192" i="5"/>
  <c r="AP144" i="5"/>
  <c r="AP142" i="5"/>
  <c r="AP146" i="5" s="1"/>
  <c r="AP148" i="5" s="1"/>
  <c r="AP337" i="5"/>
  <c r="AP339" i="5" s="1"/>
  <c r="AP152" i="5"/>
  <c r="AP162" i="5" s="1"/>
  <c r="AP154" i="5"/>
  <c r="AP156" i="5"/>
  <c r="AP158" i="5"/>
  <c r="DL192" i="5"/>
  <c r="DL142" i="5"/>
  <c r="DL146" i="5" s="1"/>
  <c r="DL148" i="5" s="1"/>
  <c r="DL144" i="5"/>
  <c r="DL337" i="5"/>
  <c r="DL339" i="5" s="1"/>
  <c r="DL154" i="5"/>
  <c r="DL156" i="5"/>
  <c r="DL158" i="5"/>
  <c r="DL152" i="5"/>
  <c r="DL162" i="5" s="1"/>
  <c r="K142" i="5"/>
  <c r="K146" i="5" s="1"/>
  <c r="K148" i="5" s="1"/>
  <c r="K192" i="5"/>
  <c r="K144" i="5"/>
  <c r="K158" i="5"/>
  <c r="K154" i="5"/>
  <c r="K337" i="5"/>
  <c r="K339" i="5" s="1"/>
  <c r="K156" i="5"/>
  <c r="DP192" i="5"/>
  <c r="DP142" i="5"/>
  <c r="DP146" i="5" s="1"/>
  <c r="DP148" i="5" s="1"/>
  <c r="DP144" i="5"/>
  <c r="DP154" i="5"/>
  <c r="DP156" i="5"/>
  <c r="DP337" i="5"/>
  <c r="DP339" i="5" s="1"/>
  <c r="DP158" i="5"/>
  <c r="CG142" i="5"/>
  <c r="CG146" i="5" s="1"/>
  <c r="CG148" i="5" s="1"/>
  <c r="CG192" i="5"/>
  <c r="CG144" i="5"/>
  <c r="CG337" i="5"/>
  <c r="CG339" i="5" s="1"/>
  <c r="CG158" i="5"/>
  <c r="CG154" i="5"/>
  <c r="CG156" i="5"/>
  <c r="CJ142" i="5"/>
  <c r="CJ146" i="5" s="1"/>
  <c r="CJ148" i="5" s="1"/>
  <c r="CJ144" i="5"/>
  <c r="CJ192" i="5"/>
  <c r="CJ158" i="5"/>
  <c r="CJ154" i="5"/>
  <c r="CJ337" i="5"/>
  <c r="CJ339" i="5" s="1"/>
  <c r="CJ152" i="5"/>
  <c r="CJ162" i="5" s="1"/>
  <c r="CJ156" i="5"/>
  <c r="AF249" i="3"/>
  <c r="AF253" i="3" s="1"/>
  <c r="AF258" i="3" s="1"/>
  <c r="AF259" i="3" s="1"/>
  <c r="FM249" i="3"/>
  <c r="FM253" i="3" s="1"/>
  <c r="FM258" i="3" s="1"/>
  <c r="FM259" i="3" s="1"/>
  <c r="C192" i="5"/>
  <c r="C144" i="5"/>
  <c r="C142" i="5"/>
  <c r="C146" i="5" s="1"/>
  <c r="C148" i="5" s="1"/>
  <c r="FZ148" i="5" s="1"/>
  <c r="C337" i="5"/>
  <c r="C152" i="5"/>
  <c r="C162" i="5" s="1"/>
  <c r="FZ162" i="5" s="1"/>
  <c r="C154" i="5"/>
  <c r="C156" i="5"/>
  <c r="C158" i="5"/>
  <c r="BB144" i="5"/>
  <c r="BB192" i="5"/>
  <c r="BB142" i="5"/>
  <c r="BB146" i="5" s="1"/>
  <c r="BB148" i="5" s="1"/>
  <c r="BB337" i="5"/>
  <c r="BB339" i="5" s="1"/>
  <c r="BB152" i="5"/>
  <c r="BB162" i="5" s="1"/>
  <c r="BB154" i="5"/>
  <c r="BB156" i="5"/>
  <c r="BB158" i="5"/>
  <c r="S192" i="5"/>
  <c r="S142" i="5"/>
  <c r="S146" i="5" s="1"/>
  <c r="S148" i="5" s="1"/>
  <c r="S144" i="5"/>
  <c r="S337" i="5"/>
  <c r="S339" i="5" s="1"/>
  <c r="S152" i="5"/>
  <c r="S162" i="5" s="1"/>
  <c r="S154" i="5"/>
  <c r="S156" i="5"/>
  <c r="S158" i="5"/>
  <c r="FG192" i="5"/>
  <c r="FG142" i="5"/>
  <c r="FG146" i="5" s="1"/>
  <c r="FG148" i="5" s="1"/>
  <c r="FG144" i="5"/>
  <c r="FG337" i="5"/>
  <c r="FG339" i="5" s="1"/>
  <c r="FG154" i="5"/>
  <c r="FG156" i="5"/>
  <c r="FG158" i="5"/>
  <c r="DX142" i="5"/>
  <c r="DX146" i="5" s="1"/>
  <c r="DX148" i="5" s="1"/>
  <c r="DX144" i="5"/>
  <c r="DX192" i="5"/>
  <c r="DX154" i="5"/>
  <c r="DX156" i="5"/>
  <c r="DX158" i="5"/>
  <c r="DX337" i="5"/>
  <c r="DX339" i="5" s="1"/>
  <c r="CO192" i="5"/>
  <c r="CO142" i="5"/>
  <c r="CO146" i="5" s="1"/>
  <c r="CO148" i="5" s="1"/>
  <c r="CO144" i="5"/>
  <c r="CO154" i="5"/>
  <c r="CO156" i="5"/>
  <c r="CO158" i="5"/>
  <c r="CO152" i="5"/>
  <c r="CO162" i="5" s="1"/>
  <c r="CO337" i="5"/>
  <c r="CO339" i="5" s="1"/>
  <c r="BF192" i="5"/>
  <c r="BF142" i="5"/>
  <c r="BF146" i="5" s="1"/>
  <c r="BF148" i="5" s="1"/>
  <c r="BF144" i="5"/>
  <c r="BF158" i="5"/>
  <c r="BF154" i="5"/>
  <c r="BF152" i="5"/>
  <c r="BF162" i="5" s="1"/>
  <c r="BF337" i="5"/>
  <c r="BF339" i="5" s="1"/>
  <c r="BF156" i="5"/>
  <c r="W192" i="5"/>
  <c r="W142" i="5"/>
  <c r="W146" i="5" s="1"/>
  <c r="W148" i="5" s="1"/>
  <c r="W144" i="5"/>
  <c r="W154" i="5"/>
  <c r="W337" i="5"/>
  <c r="W339" i="5" s="1"/>
  <c r="W156" i="5"/>
  <c r="W158" i="5"/>
  <c r="FK144" i="5"/>
  <c r="FK192" i="5"/>
  <c r="FK142" i="5"/>
  <c r="FK146" i="5" s="1"/>
  <c r="FK148" i="5" s="1"/>
  <c r="FK158" i="5"/>
  <c r="FK152" i="5"/>
  <c r="FK162" i="5" s="1"/>
  <c r="FK154" i="5"/>
  <c r="FK337" i="5"/>
  <c r="FK339" i="5" s="1"/>
  <c r="FK156" i="5"/>
  <c r="EB144" i="5"/>
  <c r="EB142" i="5"/>
  <c r="EB146" i="5" s="1"/>
  <c r="EB148" i="5" s="1"/>
  <c r="EB192" i="5"/>
  <c r="EB158" i="5"/>
  <c r="EB337" i="5"/>
  <c r="EB339" i="5" s="1"/>
  <c r="EB154" i="5"/>
  <c r="EB156" i="5"/>
  <c r="EB152" i="5"/>
  <c r="EB162" i="5" s="1"/>
  <c r="CS192" i="5"/>
  <c r="CS142" i="5"/>
  <c r="CS146" i="5" s="1"/>
  <c r="CS148" i="5" s="1"/>
  <c r="CS144" i="5"/>
  <c r="CS337" i="5"/>
  <c r="CS339" i="5" s="1"/>
  <c r="CS158" i="5"/>
  <c r="CS154" i="5"/>
  <c r="CS156" i="5"/>
  <c r="BV142" i="5"/>
  <c r="BV146" i="5" s="1"/>
  <c r="BV148" i="5" s="1"/>
  <c r="BV192" i="5"/>
  <c r="BV144" i="5"/>
  <c r="BV337" i="5"/>
  <c r="BV339" i="5" s="1"/>
  <c r="BV152" i="5"/>
  <c r="BV162" i="5" s="1"/>
  <c r="BV156" i="5"/>
  <c r="BV158" i="5"/>
  <c r="BV154" i="5"/>
  <c r="EE192" i="5"/>
  <c r="EE144" i="5"/>
  <c r="EE142" i="5"/>
  <c r="EE146" i="5" s="1"/>
  <c r="EE148" i="5" s="1"/>
  <c r="EE156" i="5"/>
  <c r="EE158" i="5"/>
  <c r="EE337" i="5"/>
  <c r="EE339" i="5" s="1"/>
  <c r="EE154" i="5"/>
  <c r="CV142" i="5"/>
  <c r="CV146" i="5" s="1"/>
  <c r="CV148" i="5" s="1"/>
  <c r="CV192" i="5"/>
  <c r="CV144" i="5"/>
  <c r="CV154" i="5"/>
  <c r="CV158" i="5"/>
  <c r="CV156" i="5"/>
  <c r="CV337" i="5"/>
  <c r="CV339" i="5" s="1"/>
  <c r="BM192" i="5"/>
  <c r="BM142" i="5"/>
  <c r="BM146" i="5" s="1"/>
  <c r="BM148" i="5" s="1"/>
  <c r="BM144" i="5"/>
  <c r="BM158" i="5"/>
  <c r="BM337" i="5"/>
  <c r="BM339" i="5" s="1"/>
  <c r="BM154" i="5"/>
  <c r="BM156" i="5"/>
  <c r="DC249" i="3"/>
  <c r="DC253" i="3" s="1"/>
  <c r="DC258" i="3" s="1"/>
  <c r="DC259" i="3" s="1"/>
  <c r="FI239" i="3"/>
  <c r="FI248" i="3"/>
  <c r="FI245" i="3"/>
  <c r="FI247" i="3"/>
  <c r="CH249" i="3"/>
  <c r="CH253" i="3" s="1"/>
  <c r="CH258" i="3" s="1"/>
  <c r="CH259" i="3" s="1"/>
  <c r="FF289" i="3"/>
  <c r="FF264" i="3"/>
  <c r="FF270" i="3" s="1"/>
  <c r="FF273" i="3" s="1"/>
  <c r="FF144" i="2"/>
  <c r="DR239" i="3"/>
  <c r="DR248" i="3"/>
  <c r="DR247" i="3"/>
  <c r="DR245" i="3"/>
  <c r="DY249" i="3"/>
  <c r="DY253" i="3" s="1"/>
  <c r="DY258" i="3" s="1"/>
  <c r="DY259" i="3" s="1"/>
  <c r="CD249" i="3"/>
  <c r="CD253" i="3" s="1"/>
  <c r="CD258" i="3" s="1"/>
  <c r="CD259" i="3" s="1"/>
  <c r="AE289" i="3"/>
  <c r="AE264" i="3"/>
  <c r="AE270" i="3" s="1"/>
  <c r="AE273" i="3" s="1"/>
  <c r="AE144" i="2"/>
  <c r="AA249" i="3"/>
  <c r="AA253" i="3" s="1"/>
  <c r="AA258" i="3" s="1"/>
  <c r="AA259" i="3" s="1"/>
  <c r="EM249" i="3"/>
  <c r="EM253" i="3" s="1"/>
  <c r="EM258" i="3" s="1"/>
  <c r="EM259" i="3" s="1"/>
  <c r="DZ249" i="3"/>
  <c r="DZ253" i="3" s="1"/>
  <c r="DZ258" i="3" s="1"/>
  <c r="DZ259" i="3" s="1"/>
  <c r="FZ209" i="5"/>
  <c r="BK144" i="5"/>
  <c r="BK192" i="5"/>
  <c r="BK142" i="5"/>
  <c r="BK146" i="5" s="1"/>
  <c r="BK148" i="5" s="1"/>
  <c r="BK152" i="5"/>
  <c r="BK162" i="5" s="1"/>
  <c r="BK154" i="5"/>
  <c r="BK156" i="5"/>
  <c r="BK158" i="5"/>
  <c r="BK337" i="5"/>
  <c r="BK339" i="5" s="1"/>
  <c r="FA192" i="5"/>
  <c r="FA142" i="5"/>
  <c r="FA146" i="5" s="1"/>
  <c r="FA148" i="5" s="1"/>
  <c r="FA144" i="5"/>
  <c r="FA152" i="5"/>
  <c r="FA162" i="5" s="1"/>
  <c r="FA154" i="5"/>
  <c r="FA156" i="5"/>
  <c r="FA337" i="5"/>
  <c r="FA339" i="5" s="1"/>
  <c r="FA158" i="5"/>
  <c r="DC144" i="5"/>
  <c r="DC192" i="5"/>
  <c r="DC142" i="5"/>
  <c r="DC146" i="5" s="1"/>
  <c r="DC148" i="5" s="1"/>
  <c r="DC337" i="5"/>
  <c r="DC339" i="5" s="1"/>
  <c r="DC156" i="5"/>
  <c r="DC158" i="5"/>
  <c r="DC154" i="5"/>
  <c r="AI304" i="3"/>
  <c r="AI318" i="3" s="1"/>
  <c r="FC289" i="3"/>
  <c r="FC264" i="3"/>
  <c r="FC270" i="3" s="1"/>
  <c r="FC273" i="3" s="1"/>
  <c r="FC144" i="2"/>
  <c r="EU192" i="5"/>
  <c r="EU142" i="5"/>
  <c r="EU146" i="5" s="1"/>
  <c r="EU148" i="5" s="1"/>
  <c r="EU144" i="5"/>
  <c r="EU337" i="5"/>
  <c r="EU339" i="5" s="1"/>
  <c r="EU152" i="5"/>
  <c r="EU162" i="5" s="1"/>
  <c r="EU154" i="5"/>
  <c r="EU156" i="5"/>
  <c r="EU158" i="5"/>
  <c r="AT142" i="5"/>
  <c r="AT146" i="5" s="1"/>
  <c r="AT148" i="5" s="1"/>
  <c r="AT192" i="5"/>
  <c r="AT144" i="5"/>
  <c r="AT337" i="5"/>
  <c r="AT339" i="5" s="1"/>
  <c r="AT156" i="5"/>
  <c r="AT158" i="5"/>
  <c r="AT152" i="5"/>
  <c r="AT162" i="5" s="1"/>
  <c r="AT154" i="5"/>
  <c r="DS144" i="5"/>
  <c r="DS192" i="5"/>
  <c r="DS142" i="5"/>
  <c r="DS146" i="5" s="1"/>
  <c r="DS148" i="5" s="1"/>
  <c r="DS154" i="5"/>
  <c r="DS152" i="5"/>
  <c r="DS162" i="5" s="1"/>
  <c r="DS156" i="5"/>
  <c r="DS158" i="5"/>
  <c r="DS337" i="5"/>
  <c r="DS339" i="5" s="1"/>
  <c r="FS249" i="3"/>
  <c r="FS253" i="3" s="1"/>
  <c r="FS258" i="3" s="1"/>
  <c r="FS259" i="3" s="1"/>
  <c r="L249" i="3"/>
  <c r="L253" i="3" s="1"/>
  <c r="L258" i="3" s="1"/>
  <c r="L259" i="3" s="1"/>
  <c r="T145" i="2"/>
  <c r="T146" i="2" s="1"/>
  <c r="T147" i="2" s="1"/>
  <c r="CW249" i="3"/>
  <c r="CW253" i="3" s="1"/>
  <c r="CW258" i="3" s="1"/>
  <c r="CW259" i="3" s="1"/>
  <c r="O192" i="5"/>
  <c r="O144" i="5"/>
  <c r="O142" i="5"/>
  <c r="O146" i="5" s="1"/>
  <c r="O148" i="5" s="1"/>
  <c r="O337" i="5"/>
  <c r="O339" i="5" s="1"/>
  <c r="O152" i="5"/>
  <c r="O162" i="5" s="1"/>
  <c r="O154" i="5"/>
  <c r="O156" i="5"/>
  <c r="O158" i="5"/>
  <c r="BN192" i="5"/>
  <c r="BN144" i="5"/>
  <c r="BN142" i="5"/>
  <c r="BN146" i="5" s="1"/>
  <c r="BN148" i="5" s="1"/>
  <c r="BN154" i="5"/>
  <c r="BN158" i="5"/>
  <c r="BN152" i="5"/>
  <c r="BN162" i="5" s="1"/>
  <c r="BN337" i="5"/>
  <c r="BN339" i="5" s="1"/>
  <c r="BN156" i="5"/>
  <c r="AE192" i="5"/>
  <c r="AE142" i="5"/>
  <c r="AE146" i="5" s="1"/>
  <c r="AE148" i="5" s="1"/>
  <c r="AE144" i="5"/>
  <c r="AE154" i="5"/>
  <c r="AE156" i="5"/>
  <c r="AE158" i="5"/>
  <c r="AE337" i="5"/>
  <c r="AE339" i="5" s="1"/>
  <c r="FS142" i="5"/>
  <c r="FS146" i="5" s="1"/>
  <c r="FS148" i="5" s="1"/>
  <c r="FS144" i="5"/>
  <c r="FS192" i="5"/>
  <c r="FS158" i="5"/>
  <c r="FS154" i="5"/>
  <c r="FS156" i="5"/>
  <c r="FS337" i="5"/>
  <c r="FS339" i="5" s="1"/>
  <c r="EJ192" i="5"/>
  <c r="EJ142" i="5"/>
  <c r="EJ146" i="5" s="1"/>
  <c r="EJ148" i="5" s="1"/>
  <c r="EJ144" i="5"/>
  <c r="EJ337" i="5"/>
  <c r="EJ339" i="5" s="1"/>
  <c r="EJ154" i="5"/>
  <c r="EJ156" i="5"/>
  <c r="EJ158" i="5"/>
  <c r="EJ152" i="5"/>
  <c r="EJ162" i="5" s="1"/>
  <c r="DA192" i="5"/>
  <c r="DA142" i="5"/>
  <c r="DA146" i="5" s="1"/>
  <c r="DA148" i="5" s="1"/>
  <c r="DA144" i="5"/>
  <c r="DA158" i="5"/>
  <c r="DA337" i="5"/>
  <c r="DA339" i="5" s="1"/>
  <c r="DA154" i="5"/>
  <c r="DA156" i="5"/>
  <c r="BR192" i="5"/>
  <c r="BR142" i="5"/>
  <c r="BR146" i="5" s="1"/>
  <c r="BR148" i="5" s="1"/>
  <c r="BR144" i="5"/>
  <c r="BR156" i="5"/>
  <c r="BR158" i="5"/>
  <c r="BR152" i="5"/>
  <c r="BR162" i="5" s="1"/>
  <c r="BR154" i="5"/>
  <c r="BR337" i="5"/>
  <c r="BR339" i="5" s="1"/>
  <c r="AI192" i="5"/>
  <c r="AI142" i="5"/>
  <c r="AI146" i="5" s="1"/>
  <c r="AI148" i="5" s="1"/>
  <c r="AI144" i="5"/>
  <c r="AI158" i="5"/>
  <c r="AI154" i="5"/>
  <c r="AI337" i="5"/>
  <c r="AI339" i="5" s="1"/>
  <c r="AI156" i="5"/>
  <c r="FW144" i="5"/>
  <c r="FW142" i="5"/>
  <c r="FW146" i="5" s="1"/>
  <c r="FW148" i="5" s="1"/>
  <c r="FW192" i="5"/>
  <c r="FW337" i="5"/>
  <c r="FW339" i="5" s="1"/>
  <c r="FW156" i="5"/>
  <c r="FW158" i="5"/>
  <c r="FW154" i="5"/>
  <c r="EN192" i="5"/>
  <c r="EN142" i="5"/>
  <c r="EN146" i="5" s="1"/>
  <c r="EN148" i="5" s="1"/>
  <c r="EN144" i="5"/>
  <c r="EN154" i="5"/>
  <c r="EN156" i="5"/>
  <c r="EN152" i="5"/>
  <c r="EN162" i="5" s="1"/>
  <c r="EN337" i="5"/>
  <c r="EN339" i="5" s="1"/>
  <c r="EN158" i="5"/>
  <c r="DE144" i="5"/>
  <c r="DE192" i="5"/>
  <c r="DE142" i="5"/>
  <c r="DE146" i="5" s="1"/>
  <c r="DE148" i="5" s="1"/>
  <c r="DE158" i="5"/>
  <c r="DE154" i="5"/>
  <c r="DE156" i="5"/>
  <c r="DE337" i="5"/>
  <c r="DE339" i="5" s="1"/>
  <c r="CH192" i="5"/>
  <c r="CH144" i="5"/>
  <c r="CH142" i="5"/>
  <c r="CH146" i="5" s="1"/>
  <c r="CH148" i="5" s="1"/>
  <c r="CH154" i="5"/>
  <c r="CH156" i="5"/>
  <c r="CH158" i="5"/>
  <c r="CH337" i="5"/>
  <c r="CH339" i="5" s="1"/>
  <c r="EQ192" i="5"/>
  <c r="EQ144" i="5"/>
  <c r="EQ142" i="5"/>
  <c r="EQ146" i="5" s="1"/>
  <c r="EQ148" i="5" s="1"/>
  <c r="EQ158" i="5"/>
  <c r="EQ337" i="5"/>
  <c r="EQ339" i="5" s="1"/>
  <c r="EQ152" i="5"/>
  <c r="EQ162" i="5" s="1"/>
  <c r="EQ154" i="5"/>
  <c r="EQ156" i="5"/>
  <c r="DH192" i="5"/>
  <c r="DH142" i="5"/>
  <c r="DH146" i="5" s="1"/>
  <c r="DH148" i="5" s="1"/>
  <c r="DH144" i="5"/>
  <c r="DH156" i="5"/>
  <c r="DH337" i="5"/>
  <c r="DH339" i="5" s="1"/>
  <c r="DH152" i="5"/>
  <c r="DH162" i="5" s="1"/>
  <c r="DH154" i="5"/>
  <c r="DH158" i="5"/>
  <c r="BY192" i="5"/>
  <c r="BY142" i="5"/>
  <c r="BY146" i="5" s="1"/>
  <c r="BY148" i="5" s="1"/>
  <c r="BY144" i="5"/>
  <c r="BY156" i="5"/>
  <c r="BY158" i="5"/>
  <c r="BY337" i="5"/>
  <c r="BY154" i="5"/>
  <c r="DV249" i="3"/>
  <c r="DV253" i="3" s="1"/>
  <c r="DV258" i="3" s="1"/>
  <c r="DV259" i="3" s="1"/>
  <c r="AX249" i="3"/>
  <c r="AX253" i="3" s="1"/>
  <c r="AX258" i="3" s="1"/>
  <c r="AX259" i="3" s="1"/>
  <c r="FD249" i="3"/>
  <c r="FD253" i="3" s="1"/>
  <c r="FD258" i="3" s="1"/>
  <c r="FD259" i="3" s="1"/>
  <c r="FB289" i="3"/>
  <c r="FB264" i="3"/>
  <c r="FB270" i="3" s="1"/>
  <c r="FB273" i="3" s="1"/>
  <c r="FB144" i="2"/>
  <c r="BD249" i="3"/>
  <c r="BD253" i="3" s="1"/>
  <c r="BD258" i="3" s="1"/>
  <c r="BD259" i="3" s="1"/>
  <c r="FN239" i="3"/>
  <c r="FN248" i="3"/>
  <c r="FN247" i="3"/>
  <c r="FN245" i="3"/>
  <c r="FU239" i="3"/>
  <c r="FU248" i="3"/>
  <c r="FU245" i="3"/>
  <c r="FU247" i="3"/>
  <c r="AG249" i="3"/>
  <c r="AG253" i="3" s="1"/>
  <c r="AG258" i="3" s="1"/>
  <c r="AG259" i="3" s="1"/>
  <c r="CG249" i="3"/>
  <c r="CG253" i="3" s="1"/>
  <c r="CG258" i="3" s="1"/>
  <c r="CG259" i="3" s="1"/>
  <c r="FH145" i="2"/>
  <c r="FH146" i="2" s="1"/>
  <c r="FH147" i="2" s="1"/>
  <c r="AT249" i="3"/>
  <c r="AT253" i="3" s="1"/>
  <c r="AT258" i="3" s="1"/>
  <c r="AT259" i="3" s="1"/>
  <c r="BU290" i="3"/>
  <c r="BU281" i="3"/>
  <c r="BU285" i="3" s="1"/>
  <c r="BU294" i="3" s="1"/>
  <c r="EP249" i="3"/>
  <c r="EP253" i="3" s="1"/>
  <c r="EP258" i="3" s="1"/>
  <c r="EP259" i="3" s="1"/>
  <c r="AV192" i="5"/>
  <c r="AV142" i="5"/>
  <c r="AV146" i="5" s="1"/>
  <c r="AV148" i="5" s="1"/>
  <c r="AV144" i="5"/>
  <c r="AV158" i="5"/>
  <c r="AV154" i="5"/>
  <c r="AV156" i="5"/>
  <c r="AV337" i="5"/>
  <c r="AV339" i="5" s="1"/>
  <c r="H289" i="3"/>
  <c r="CY142" i="5"/>
  <c r="CY146" i="5" s="1"/>
  <c r="CY148" i="5" s="1"/>
  <c r="CY144" i="5"/>
  <c r="CY192" i="5"/>
  <c r="CY156" i="5"/>
  <c r="CY158" i="5"/>
  <c r="CY337" i="5"/>
  <c r="CY339" i="5" s="1"/>
  <c r="CY154" i="5"/>
  <c r="AN144" i="5"/>
  <c r="AN192" i="5"/>
  <c r="AN142" i="5"/>
  <c r="AN146" i="5" s="1"/>
  <c r="AN148" i="5" s="1"/>
  <c r="AN337" i="5"/>
  <c r="AN339" i="5" s="1"/>
  <c r="AN154" i="5"/>
  <c r="AN158" i="5"/>
  <c r="AN156" i="5"/>
  <c r="BN239" i="3"/>
  <c r="BN248" i="3"/>
  <c r="BN247" i="3"/>
  <c r="BN245" i="3"/>
  <c r="T290" i="3"/>
  <c r="T281" i="3"/>
  <c r="T285" i="3" s="1"/>
  <c r="T294" i="3" s="1"/>
  <c r="BW145" i="2"/>
  <c r="BW146" i="2" s="1"/>
  <c r="BW147" i="2" s="1"/>
  <c r="AA142" i="5"/>
  <c r="AA146" i="5" s="1"/>
  <c r="AA148" i="5" s="1"/>
  <c r="AA192" i="5"/>
  <c r="AA144" i="5"/>
  <c r="AA152" i="5"/>
  <c r="AA162" i="5" s="1"/>
  <c r="AA154" i="5"/>
  <c r="AA156" i="5"/>
  <c r="AA158" i="5"/>
  <c r="AA337" i="5"/>
  <c r="AA339" i="5" s="1"/>
  <c r="BZ142" i="5"/>
  <c r="BZ146" i="5" s="1"/>
  <c r="BZ148" i="5" s="1"/>
  <c r="BZ192" i="5"/>
  <c r="BZ144" i="5"/>
  <c r="BZ154" i="5"/>
  <c r="BZ156" i="5"/>
  <c r="BZ158" i="5"/>
  <c r="BZ337" i="5"/>
  <c r="BZ339" i="5" s="1"/>
  <c r="AQ144" i="5"/>
  <c r="AQ192" i="5"/>
  <c r="AQ142" i="5"/>
  <c r="AQ146" i="5" s="1"/>
  <c r="AQ148" i="5" s="1"/>
  <c r="AQ154" i="5"/>
  <c r="AQ156" i="5"/>
  <c r="AQ158" i="5"/>
  <c r="AQ337" i="5"/>
  <c r="AQ339" i="5" s="1"/>
  <c r="H192" i="5"/>
  <c r="H142" i="5"/>
  <c r="H146" i="5" s="1"/>
  <c r="H148" i="5" s="1"/>
  <c r="H144" i="5"/>
  <c r="H154" i="5"/>
  <c r="H156" i="5"/>
  <c r="H158" i="5"/>
  <c r="H152" i="5"/>
  <c r="H162" i="5" s="1"/>
  <c r="H337" i="5"/>
  <c r="H339" i="5" s="1"/>
  <c r="EV144" i="5"/>
  <c r="EV192" i="5"/>
  <c r="EV142" i="5"/>
  <c r="EV146" i="5" s="1"/>
  <c r="EV148" i="5" s="1"/>
  <c r="EV337" i="5"/>
  <c r="EV339" i="5" s="1"/>
  <c r="EV154" i="5"/>
  <c r="EV156" i="5"/>
  <c r="EV158" i="5"/>
  <c r="DM192" i="5"/>
  <c r="DM142" i="5"/>
  <c r="DM146" i="5" s="1"/>
  <c r="DM148" i="5" s="1"/>
  <c r="DM144" i="5"/>
  <c r="DM154" i="5"/>
  <c r="DM156" i="5"/>
  <c r="DM158" i="5"/>
  <c r="DM337" i="5"/>
  <c r="DM339" i="5" s="1"/>
  <c r="CD142" i="5"/>
  <c r="CD146" i="5" s="1"/>
  <c r="CD148" i="5" s="1"/>
  <c r="CD144" i="5"/>
  <c r="CD192" i="5"/>
  <c r="CD337" i="5"/>
  <c r="CD339" i="5" s="1"/>
  <c r="CD156" i="5"/>
  <c r="CD158" i="5"/>
  <c r="CD154" i="5"/>
  <c r="AU142" i="5"/>
  <c r="AU146" i="5" s="1"/>
  <c r="AU148" i="5" s="1"/>
  <c r="AU192" i="5"/>
  <c r="AU144" i="5"/>
  <c r="AU154" i="5"/>
  <c r="AU337" i="5"/>
  <c r="AU339" i="5" s="1"/>
  <c r="AU156" i="5"/>
  <c r="AU158" i="5"/>
  <c r="L192" i="5"/>
  <c r="L142" i="5"/>
  <c r="L146" i="5" s="1"/>
  <c r="L148" i="5" s="1"/>
  <c r="L144" i="5"/>
  <c r="L158" i="5"/>
  <c r="L156" i="5"/>
  <c r="L152" i="5"/>
  <c r="L162" i="5" s="1"/>
  <c r="L154" i="5"/>
  <c r="L337" i="5"/>
  <c r="L339" i="5" s="1"/>
  <c r="EZ192" i="5"/>
  <c r="EZ142" i="5"/>
  <c r="EZ146" i="5" s="1"/>
  <c r="EZ148" i="5" s="1"/>
  <c r="EZ144" i="5"/>
  <c r="EZ158" i="5"/>
  <c r="EZ154" i="5"/>
  <c r="EZ156" i="5"/>
  <c r="EZ337" i="5"/>
  <c r="EZ339" i="5" s="1"/>
  <c r="DQ192" i="5"/>
  <c r="DQ142" i="5"/>
  <c r="DQ146" i="5" s="1"/>
  <c r="DQ148" i="5" s="1"/>
  <c r="DQ144" i="5"/>
  <c r="DQ158" i="5"/>
  <c r="DQ154" i="5"/>
  <c r="DQ152" i="5"/>
  <c r="DQ162" i="5" s="1"/>
  <c r="DQ337" i="5"/>
  <c r="DQ339" i="5" s="1"/>
  <c r="DQ156" i="5"/>
  <c r="CT192" i="5"/>
  <c r="CT144" i="5"/>
  <c r="CT142" i="5"/>
  <c r="CT146" i="5" s="1"/>
  <c r="CT148" i="5" s="1"/>
  <c r="CT337" i="5"/>
  <c r="CT339" i="5" s="1"/>
  <c r="CT156" i="5"/>
  <c r="CT158" i="5"/>
  <c r="CT154" i="5"/>
  <c r="FC192" i="5"/>
  <c r="FC144" i="5"/>
  <c r="FC142" i="5"/>
  <c r="FC146" i="5" s="1"/>
  <c r="FC148" i="5" s="1"/>
  <c r="FC158" i="5"/>
  <c r="FC337" i="5"/>
  <c r="FC339" i="5" s="1"/>
  <c r="FC152" i="5"/>
  <c r="FC162" i="5" s="1"/>
  <c r="FC154" i="5"/>
  <c r="FC156" i="5"/>
  <c r="DT192" i="5"/>
  <c r="DT142" i="5"/>
  <c r="DT146" i="5" s="1"/>
  <c r="DT148" i="5" s="1"/>
  <c r="DT144" i="5"/>
  <c r="DT337" i="5"/>
  <c r="DT339" i="5" s="1"/>
  <c r="DT154" i="5"/>
  <c r="DT156" i="5"/>
  <c r="DT158" i="5"/>
  <c r="CK192" i="5"/>
  <c r="CK142" i="5"/>
  <c r="CK146" i="5" s="1"/>
  <c r="CK148" i="5" s="1"/>
  <c r="CK144" i="5"/>
  <c r="CK337" i="5"/>
  <c r="CK339" i="5" s="1"/>
  <c r="CK152" i="5"/>
  <c r="CK162" i="5" s="1"/>
  <c r="CK154" i="5"/>
  <c r="CK156" i="5"/>
  <c r="CK158" i="5"/>
  <c r="FZ113" i="3"/>
  <c r="C123" i="3"/>
  <c r="DH239" i="3"/>
  <c r="DH247" i="3"/>
  <c r="DH245" i="3"/>
  <c r="DH248" i="3"/>
  <c r="CT249" i="3"/>
  <c r="CT253" i="3" s="1"/>
  <c r="CT258" i="3" s="1"/>
  <c r="CT259" i="3" s="1"/>
  <c r="FH290" i="3"/>
  <c r="FH281" i="3"/>
  <c r="FH285" i="3" s="1"/>
  <c r="FH294" i="3" s="1"/>
  <c r="CK145" i="2"/>
  <c r="CK146" i="2" s="1"/>
  <c r="CK147" i="2" s="1"/>
  <c r="CA192" i="5"/>
  <c r="CA142" i="5"/>
  <c r="CA146" i="5" s="1"/>
  <c r="CA148" i="5" s="1"/>
  <c r="CA144" i="5"/>
  <c r="CA154" i="5"/>
  <c r="CA156" i="5"/>
  <c r="CA158" i="5"/>
  <c r="CA337" i="5"/>
  <c r="CA339" i="5" s="1"/>
  <c r="P192" i="5"/>
  <c r="P142" i="5"/>
  <c r="P146" i="5" s="1"/>
  <c r="P148" i="5" s="1"/>
  <c r="P144" i="5"/>
  <c r="P156" i="5"/>
  <c r="P158" i="5"/>
  <c r="P337" i="5"/>
  <c r="P339" i="5" s="1"/>
  <c r="P154" i="5"/>
  <c r="CJ239" i="3"/>
  <c r="CJ248" i="3"/>
  <c r="CJ245" i="3"/>
  <c r="CJ247" i="3"/>
  <c r="AL303" i="3"/>
  <c r="AL296" i="3"/>
  <c r="AL82" i="3"/>
  <c r="AM144" i="5"/>
  <c r="AM142" i="5"/>
  <c r="AM146" i="5" s="1"/>
  <c r="AM148" i="5" s="1"/>
  <c r="AM192" i="5"/>
  <c r="AM154" i="5"/>
  <c r="AM156" i="5"/>
  <c r="AM158" i="5"/>
  <c r="AM337" i="5"/>
  <c r="AM339" i="5" s="1"/>
  <c r="CL192" i="5"/>
  <c r="CL142" i="5"/>
  <c r="CL146" i="5" s="1"/>
  <c r="CL148" i="5" s="1"/>
  <c r="CL144" i="5"/>
  <c r="CL158" i="5"/>
  <c r="CL337" i="5"/>
  <c r="CL339" i="5" s="1"/>
  <c r="CL152" i="5"/>
  <c r="CL162" i="5" s="1"/>
  <c r="CL154" i="5"/>
  <c r="CL156" i="5"/>
  <c r="T192" i="5"/>
  <c r="T144" i="5"/>
  <c r="T142" i="5"/>
  <c r="T146" i="5" s="1"/>
  <c r="T148" i="5" s="1"/>
  <c r="T337" i="5"/>
  <c r="T339" i="5" s="1"/>
  <c r="T154" i="5"/>
  <c r="T158" i="5"/>
  <c r="T156" i="5"/>
  <c r="FH192" i="5"/>
  <c r="FH144" i="5"/>
  <c r="FH142" i="5"/>
  <c r="FH146" i="5" s="1"/>
  <c r="FH148" i="5" s="1"/>
  <c r="FH154" i="5"/>
  <c r="FH156" i="5"/>
  <c r="FH158" i="5"/>
  <c r="FH337" i="5"/>
  <c r="FH339" i="5" s="1"/>
  <c r="DY142" i="5"/>
  <c r="DY146" i="5" s="1"/>
  <c r="DY148" i="5" s="1"/>
  <c r="DY144" i="5"/>
  <c r="DY192" i="5"/>
  <c r="DY337" i="5"/>
  <c r="DY339" i="5" s="1"/>
  <c r="DY156" i="5"/>
  <c r="DY154" i="5"/>
  <c r="DY158" i="5"/>
  <c r="CP142" i="5"/>
  <c r="CP146" i="5" s="1"/>
  <c r="CP148" i="5" s="1"/>
  <c r="CP192" i="5"/>
  <c r="CP144" i="5"/>
  <c r="CP337" i="5"/>
  <c r="CP339" i="5" s="1"/>
  <c r="CP156" i="5"/>
  <c r="CP158" i="5"/>
  <c r="CP154" i="5"/>
  <c r="CP152" i="5"/>
  <c r="CP162" i="5" s="1"/>
  <c r="BG192" i="5"/>
  <c r="BG142" i="5"/>
  <c r="BG146" i="5" s="1"/>
  <c r="BG148" i="5" s="1"/>
  <c r="BG144" i="5"/>
  <c r="BG337" i="5"/>
  <c r="BG339" i="5" s="1"/>
  <c r="BG156" i="5"/>
  <c r="BG158" i="5"/>
  <c r="BG152" i="5"/>
  <c r="BG162" i="5" s="1"/>
  <c r="BG154" i="5"/>
  <c r="X144" i="5"/>
  <c r="X192" i="5"/>
  <c r="X142" i="5"/>
  <c r="X146" i="5" s="1"/>
  <c r="X148" i="5" s="1"/>
  <c r="X158" i="5"/>
  <c r="X156" i="5"/>
  <c r="X154" i="5"/>
  <c r="X337" i="5"/>
  <c r="X339" i="5" s="1"/>
  <c r="FL192" i="5"/>
  <c r="FL142" i="5"/>
  <c r="FL146" i="5" s="1"/>
  <c r="FL148" i="5" s="1"/>
  <c r="FL144" i="5"/>
  <c r="FL158" i="5"/>
  <c r="FL156" i="5"/>
  <c r="FL152" i="5"/>
  <c r="FL162" i="5" s="1"/>
  <c r="FL154" i="5"/>
  <c r="FL337" i="5"/>
  <c r="FL339" i="5" s="1"/>
  <c r="DF192" i="5"/>
  <c r="DF144" i="5"/>
  <c r="DF142" i="5"/>
  <c r="DF146" i="5" s="1"/>
  <c r="DF148" i="5" s="1"/>
  <c r="DF337" i="5"/>
  <c r="DF339" i="5" s="1"/>
  <c r="DF152" i="5"/>
  <c r="DF162" i="5" s="1"/>
  <c r="DF156" i="5"/>
  <c r="DF158" i="5"/>
  <c r="DF154" i="5"/>
  <c r="FO192" i="5"/>
  <c r="FO144" i="5"/>
  <c r="FO142" i="5"/>
  <c r="FO146" i="5" s="1"/>
  <c r="FO148" i="5" s="1"/>
  <c r="FO152" i="5"/>
  <c r="FO162" i="5" s="1"/>
  <c r="FO154" i="5"/>
  <c r="FO156" i="5"/>
  <c r="FO158" i="5"/>
  <c r="FO337" i="5"/>
  <c r="FO339" i="5" s="1"/>
  <c r="EF192" i="5"/>
  <c r="EF142" i="5"/>
  <c r="EF146" i="5" s="1"/>
  <c r="EF148" i="5" s="1"/>
  <c r="EF144" i="5"/>
  <c r="EF152" i="5"/>
  <c r="EF162" i="5" s="1"/>
  <c r="EF154" i="5"/>
  <c r="EF156" i="5"/>
  <c r="EF158" i="5"/>
  <c r="EF337" i="5"/>
  <c r="EF339" i="5" s="1"/>
  <c r="CW192" i="5"/>
  <c r="CW144" i="5"/>
  <c r="CW142" i="5"/>
  <c r="CW146" i="5" s="1"/>
  <c r="CW148" i="5" s="1"/>
  <c r="CW337" i="5"/>
  <c r="CW339" i="5" s="1"/>
  <c r="CW154" i="5"/>
  <c r="CW156" i="5"/>
  <c r="CW158" i="5"/>
  <c r="BA239" i="3"/>
  <c r="BA247" i="3"/>
  <c r="BA248" i="3"/>
  <c r="BA245" i="3"/>
  <c r="BE249" i="3"/>
  <c r="BE253" i="3" s="1"/>
  <c r="BE258" i="3" s="1"/>
  <c r="BE259" i="3" s="1"/>
  <c r="CE249" i="3"/>
  <c r="CE253" i="3" s="1"/>
  <c r="CE258" i="3" s="1"/>
  <c r="CE259" i="3" s="1"/>
  <c r="EO249" i="3"/>
  <c r="EO253" i="3" s="1"/>
  <c r="EO258" i="3" s="1"/>
  <c r="EO259" i="3" s="1"/>
  <c r="AP239" i="3"/>
  <c r="AP247" i="3"/>
  <c r="AP245" i="3"/>
  <c r="AP248" i="3"/>
  <c r="FO239" i="3"/>
  <c r="FO248" i="3"/>
  <c r="FO247" i="3"/>
  <c r="FO245" i="3"/>
  <c r="FH296" i="3"/>
  <c r="CY249" i="3"/>
  <c r="CY253" i="3" s="1"/>
  <c r="CY258" i="3" s="1"/>
  <c r="CY259" i="3" s="1"/>
  <c r="CP239" i="3"/>
  <c r="CP245" i="3"/>
  <c r="CP247" i="3"/>
  <c r="CP248" i="3"/>
  <c r="AG192" i="5"/>
  <c r="AG142" i="5"/>
  <c r="AG146" i="5" s="1"/>
  <c r="AG148" i="5" s="1"/>
  <c r="AG144" i="5"/>
  <c r="AG152" i="5"/>
  <c r="AG162" i="5" s="1"/>
  <c r="AG337" i="5"/>
  <c r="AG339" i="5" s="1"/>
  <c r="AG154" i="5"/>
  <c r="AG156" i="5"/>
  <c r="AG158" i="5"/>
  <c r="P303" i="3"/>
  <c r="P296" i="3"/>
  <c r="P82" i="3"/>
  <c r="BC192" i="5"/>
  <c r="BC142" i="5"/>
  <c r="BC146" i="5" s="1"/>
  <c r="BC148" i="5" s="1"/>
  <c r="BC144" i="5"/>
  <c r="BC337" i="5"/>
  <c r="BC339" i="5" s="1"/>
  <c r="BC152" i="5"/>
  <c r="BC162" i="5" s="1"/>
  <c r="BC154" i="5"/>
  <c r="BC156" i="5"/>
  <c r="BC158" i="5"/>
  <c r="EC192" i="5"/>
  <c r="EC142" i="5"/>
  <c r="EC146" i="5" s="1"/>
  <c r="EC148" i="5" s="1"/>
  <c r="EC144" i="5"/>
  <c r="EC158" i="5"/>
  <c r="EC154" i="5"/>
  <c r="EC156" i="5"/>
  <c r="EC337" i="5"/>
  <c r="EC339" i="5" s="1"/>
  <c r="EG249" i="3"/>
  <c r="EG253" i="3" s="1"/>
  <c r="EG258" i="3" s="1"/>
  <c r="EG259" i="3" s="1"/>
  <c r="AS249" i="3"/>
  <c r="AS253" i="3" s="1"/>
  <c r="AS258" i="3" s="1"/>
  <c r="AS259" i="3" s="1"/>
  <c r="AH239" i="3"/>
  <c r="AH248" i="3"/>
  <c r="AH245" i="3"/>
  <c r="AH247" i="3"/>
  <c r="CX239" i="3"/>
  <c r="CX247" i="3"/>
  <c r="CX245" i="3"/>
  <c r="CX248" i="3"/>
  <c r="BW290" i="3"/>
  <c r="BW281" i="3"/>
  <c r="BW285" i="3" s="1"/>
  <c r="BW294" i="3" s="1"/>
  <c r="AY142" i="5"/>
  <c r="AY146" i="5" s="1"/>
  <c r="AY148" i="5" s="1"/>
  <c r="AY192" i="5"/>
  <c r="AY144" i="5"/>
  <c r="AY337" i="5"/>
  <c r="AY339" i="5" s="1"/>
  <c r="AY154" i="5"/>
  <c r="AY156" i="5"/>
  <c r="AY158" i="5"/>
  <c r="CX192" i="5"/>
  <c r="CX142" i="5"/>
  <c r="CX146" i="5" s="1"/>
  <c r="CX148" i="5" s="1"/>
  <c r="CX144" i="5"/>
  <c r="CX152" i="5"/>
  <c r="CX162" i="5" s="1"/>
  <c r="CX154" i="5"/>
  <c r="CX156" i="5"/>
  <c r="CX158" i="5"/>
  <c r="CX337" i="5"/>
  <c r="CX339" i="5" s="1"/>
  <c r="BO144" i="5"/>
  <c r="BO192" i="5"/>
  <c r="BO142" i="5"/>
  <c r="BO146" i="5" s="1"/>
  <c r="BO148" i="5" s="1"/>
  <c r="BO337" i="5"/>
  <c r="BO339" i="5" s="1"/>
  <c r="BO152" i="5"/>
  <c r="BO162" i="5" s="1"/>
  <c r="BO154" i="5"/>
  <c r="BO156" i="5"/>
  <c r="BO158" i="5"/>
  <c r="AF144" i="5"/>
  <c r="AF142" i="5"/>
  <c r="AF146" i="5" s="1"/>
  <c r="AF148" i="5" s="1"/>
  <c r="AF192" i="5"/>
  <c r="AF154" i="5"/>
  <c r="AF156" i="5"/>
  <c r="AF158" i="5"/>
  <c r="AF337" i="5"/>
  <c r="AF339" i="5" s="1"/>
  <c r="EK192" i="5"/>
  <c r="EK142" i="5"/>
  <c r="EK146" i="5" s="1"/>
  <c r="EK148" i="5" s="1"/>
  <c r="EK144" i="5"/>
  <c r="EK154" i="5"/>
  <c r="EK156" i="5"/>
  <c r="EK158" i="5"/>
  <c r="EK152" i="5"/>
  <c r="EK162" i="5" s="1"/>
  <c r="EK337" i="5"/>
  <c r="EK339" i="5" s="1"/>
  <c r="DB142" i="5"/>
  <c r="DB146" i="5" s="1"/>
  <c r="DB148" i="5" s="1"/>
  <c r="DB144" i="5"/>
  <c r="DB192" i="5"/>
  <c r="DB154" i="5"/>
  <c r="DB158" i="5"/>
  <c r="DB337" i="5"/>
  <c r="DB339" i="5" s="1"/>
  <c r="DB156" i="5"/>
  <c r="BS144" i="5"/>
  <c r="BS192" i="5"/>
  <c r="BS142" i="5"/>
  <c r="BS146" i="5" s="1"/>
  <c r="BS148" i="5" s="1"/>
  <c r="BS337" i="5"/>
  <c r="BS339" i="5" s="1"/>
  <c r="BS156" i="5"/>
  <c r="BS158" i="5"/>
  <c r="BS152" i="5"/>
  <c r="BS162" i="5" s="1"/>
  <c r="BS154" i="5"/>
  <c r="AJ192" i="5"/>
  <c r="AJ142" i="5"/>
  <c r="AJ146" i="5" s="1"/>
  <c r="AJ148" i="5" s="1"/>
  <c r="AJ144" i="5"/>
  <c r="AJ337" i="5"/>
  <c r="AJ339" i="5" s="1"/>
  <c r="AJ158" i="5"/>
  <c r="AJ154" i="5"/>
  <c r="AJ156" i="5"/>
  <c r="FZ19" i="5"/>
  <c r="FX192" i="5"/>
  <c r="FX142" i="5"/>
  <c r="FX146" i="5" s="1"/>
  <c r="FX148" i="5" s="1"/>
  <c r="FX144" i="5"/>
  <c r="FX337" i="5"/>
  <c r="FX339" i="5" s="1"/>
  <c r="FX158" i="5"/>
  <c r="FX154" i="5"/>
  <c r="FX156" i="5"/>
  <c r="EO192" i="5"/>
  <c r="EO142" i="5"/>
  <c r="EO146" i="5" s="1"/>
  <c r="EO148" i="5" s="1"/>
  <c r="EO144" i="5"/>
  <c r="EO154" i="5"/>
  <c r="EO156" i="5"/>
  <c r="EO337" i="5"/>
  <c r="EO339" i="5" s="1"/>
  <c r="EO158" i="5"/>
  <c r="DR192" i="5"/>
  <c r="DR144" i="5"/>
  <c r="DR142" i="5"/>
  <c r="DR146" i="5" s="1"/>
  <c r="DR148" i="5" s="1"/>
  <c r="DR152" i="5"/>
  <c r="DR162" i="5" s="1"/>
  <c r="DR154" i="5"/>
  <c r="DR156" i="5"/>
  <c r="DR158" i="5"/>
  <c r="DR337" i="5"/>
  <c r="DR339" i="5" s="1"/>
  <c r="D192" i="5"/>
  <c r="D144" i="5"/>
  <c r="D142" i="5"/>
  <c r="D146" i="5" s="1"/>
  <c r="D148" i="5" s="1"/>
  <c r="D152" i="5"/>
  <c r="D162" i="5" s="1"/>
  <c r="D154" i="5"/>
  <c r="D158" i="5"/>
  <c r="D156" i="5"/>
  <c r="D337" i="5"/>
  <c r="D339" i="5" s="1"/>
  <c r="ER192" i="5"/>
  <c r="ER144" i="5"/>
  <c r="ER142" i="5"/>
  <c r="ER146" i="5" s="1"/>
  <c r="ER148" i="5" s="1"/>
  <c r="ER337" i="5"/>
  <c r="ER339" i="5" s="1"/>
  <c r="ER156" i="5"/>
  <c r="ER154" i="5"/>
  <c r="ER158" i="5"/>
  <c r="DI192" i="5"/>
  <c r="DI144" i="5"/>
  <c r="DI142" i="5"/>
  <c r="DI146" i="5" s="1"/>
  <c r="DI148" i="5" s="1"/>
  <c r="DI337" i="5"/>
  <c r="DI339" i="5" s="1"/>
  <c r="DI152" i="5"/>
  <c r="DI162" i="5" s="1"/>
  <c r="DI154" i="5"/>
  <c r="DI156" i="5"/>
  <c r="DI158" i="5"/>
  <c r="DK289" i="3"/>
  <c r="DK264" i="3"/>
  <c r="DK270" i="3" s="1"/>
  <c r="DK273" i="3" s="1"/>
  <c r="DK144" i="2"/>
  <c r="CU249" i="3"/>
  <c r="CU253" i="3" s="1"/>
  <c r="CU258" i="3" s="1"/>
  <c r="CU259" i="3" s="1"/>
  <c r="U249" i="3"/>
  <c r="U253" i="3" s="1"/>
  <c r="U258" i="3" s="1"/>
  <c r="U259" i="3" s="1"/>
  <c r="CC249" i="3"/>
  <c r="CC253" i="3" s="1"/>
  <c r="CC258" i="3" s="1"/>
  <c r="CC259" i="3" s="1"/>
  <c r="EJ239" i="3"/>
  <c r="EJ245" i="3"/>
  <c r="EJ248" i="3"/>
  <c r="EJ247" i="3"/>
  <c r="AL290" i="3"/>
  <c r="AL281" i="3"/>
  <c r="AL285" i="3" s="1"/>
  <c r="AL294" i="3" s="1"/>
  <c r="DL239" i="3"/>
  <c r="DL247" i="3"/>
  <c r="DL245" i="3"/>
  <c r="DL248" i="3"/>
  <c r="FT249" i="3"/>
  <c r="FT253" i="3" s="1"/>
  <c r="FT258" i="3" s="1"/>
  <c r="FT259" i="3" s="1"/>
  <c r="CM239" i="3"/>
  <c r="CM248" i="3"/>
  <c r="CM245" i="3"/>
  <c r="CM247" i="3"/>
  <c r="EI239" i="3"/>
  <c r="EI247" i="3"/>
  <c r="EI248" i="3"/>
  <c r="EI245" i="3"/>
  <c r="AU249" i="3"/>
  <c r="AU253" i="3" s="1"/>
  <c r="AU258" i="3" s="1"/>
  <c r="AU259" i="3" s="1"/>
  <c r="FT249" i="5"/>
  <c r="FT253" i="5" s="1"/>
  <c r="FT258" i="5" s="1"/>
  <c r="FT259" i="5" s="1"/>
  <c r="BU82" i="3" l="1"/>
  <c r="BU296" i="3"/>
  <c r="BU292" i="3"/>
  <c r="P290" i="3"/>
  <c r="AI162" i="2"/>
  <c r="DT144" i="2"/>
  <c r="DT289" i="3"/>
  <c r="T292" i="3"/>
  <c r="EW145" i="2"/>
  <c r="T82" i="3"/>
  <c r="T296" i="3"/>
  <c r="FJ296" i="3"/>
  <c r="FJ303" i="3"/>
  <c r="FJ292" i="3"/>
  <c r="FL144" i="2"/>
  <c r="AN281" i="3"/>
  <c r="AN285" i="3" s="1"/>
  <c r="AN294" i="3" s="1"/>
  <c r="F249" i="3"/>
  <c r="F253" i="3" s="1"/>
  <c r="F258" i="3" s="1"/>
  <c r="F259" i="3" s="1"/>
  <c r="FH82" i="3"/>
  <c r="DG82" i="3"/>
  <c r="EQ317" i="3"/>
  <c r="FH292" i="3"/>
  <c r="X296" i="3"/>
  <c r="DG292" i="3"/>
  <c r="DG298" i="3" s="1"/>
  <c r="X303" i="3"/>
  <c r="X312" i="3" s="1"/>
  <c r="AM144" i="2"/>
  <c r="AM264" i="3"/>
  <c r="AM270" i="3" s="1"/>
  <c r="AM273" i="3" s="1"/>
  <c r="AM290" i="3" s="1"/>
  <c r="AM292" i="3" s="1"/>
  <c r="EX144" i="2"/>
  <c r="AI303" i="3"/>
  <c r="AI306" i="3" s="1"/>
  <c r="AI320" i="3" s="1"/>
  <c r="AI296" i="3"/>
  <c r="AI82" i="3"/>
  <c r="BF289" i="3"/>
  <c r="BF303" i="3" s="1"/>
  <c r="BG249" i="3"/>
  <c r="BG253" i="3" s="1"/>
  <c r="BG258" i="3" s="1"/>
  <c r="BG259" i="3" s="1"/>
  <c r="AI292" i="3"/>
  <c r="AI298" i="3" s="1"/>
  <c r="BF264" i="3"/>
  <c r="BF270" i="3" s="1"/>
  <c r="BF273" i="3" s="1"/>
  <c r="BF290" i="3" s="1"/>
  <c r="FA264" i="3"/>
  <c r="FA270" i="3" s="1"/>
  <c r="FA273" i="3" s="1"/>
  <c r="FA290" i="3" s="1"/>
  <c r="EX289" i="3"/>
  <c r="EX303" i="3" s="1"/>
  <c r="FT201" i="5"/>
  <c r="FT229" i="5" s="1"/>
  <c r="FT195" i="5"/>
  <c r="BL289" i="3"/>
  <c r="BL296" i="3" s="1"/>
  <c r="BW82" i="3"/>
  <c r="FT200" i="5"/>
  <c r="BW296" i="3"/>
  <c r="FT193" i="5"/>
  <c r="Y249" i="3"/>
  <c r="Y253" i="3" s="1"/>
  <c r="Y258" i="3" s="1"/>
  <c r="Y259" i="3" s="1"/>
  <c r="K144" i="2"/>
  <c r="K289" i="3"/>
  <c r="K296" i="3" s="1"/>
  <c r="X290" i="3"/>
  <c r="X292" i="3" s="1"/>
  <c r="X298" i="3" s="1"/>
  <c r="EQ146" i="2"/>
  <c r="EQ147" i="2" s="1"/>
  <c r="EQ162" i="2" s="1"/>
  <c r="EQ174" i="2" s="1"/>
  <c r="FK249" i="3"/>
  <c r="FK253" i="3" s="1"/>
  <c r="FK258" i="3" s="1"/>
  <c r="FK259" i="3" s="1"/>
  <c r="FK289" i="3" s="1"/>
  <c r="BP144" i="2"/>
  <c r="BP145" i="2" s="1"/>
  <c r="BP146" i="2" s="1"/>
  <c r="BP147" i="2" s="1"/>
  <c r="FQ264" i="3"/>
  <c r="FQ270" i="3" s="1"/>
  <c r="FQ273" i="3" s="1"/>
  <c r="FQ290" i="3" s="1"/>
  <c r="EQ290" i="3"/>
  <c r="DM144" i="2"/>
  <c r="DM145" i="2" s="1"/>
  <c r="DM146" i="2" s="1"/>
  <c r="DM147" i="2" s="1"/>
  <c r="EZ144" i="2"/>
  <c r="EZ145" i="2" s="1"/>
  <c r="EZ146" i="2" s="1"/>
  <c r="EZ147" i="2" s="1"/>
  <c r="AB290" i="3"/>
  <c r="AB292" i="3" s="1"/>
  <c r="V144" i="2"/>
  <c r="V264" i="3"/>
  <c r="V270" i="3" s="1"/>
  <c r="V273" i="3" s="1"/>
  <c r="V281" i="3" s="1"/>
  <c r="V285" i="3" s="1"/>
  <c r="V294" i="3" s="1"/>
  <c r="FG144" i="2"/>
  <c r="FG145" i="2" s="1"/>
  <c r="FG146" i="2" s="1"/>
  <c r="FG147" i="2" s="1"/>
  <c r="FQ289" i="3"/>
  <c r="FQ303" i="3" s="1"/>
  <c r="ES144" i="2"/>
  <c r="ES145" i="2" s="1"/>
  <c r="ES146" i="2" s="1"/>
  <c r="ES147" i="2" s="1"/>
  <c r="ES264" i="3"/>
  <c r="ES270" i="3" s="1"/>
  <c r="ES273" i="3" s="1"/>
  <c r="EC144" i="2"/>
  <c r="EC145" i="2" s="1"/>
  <c r="EC146" i="2" s="1"/>
  <c r="EC147" i="2" s="1"/>
  <c r="EC264" i="3"/>
  <c r="EC270" i="3" s="1"/>
  <c r="EC273" i="3" s="1"/>
  <c r="EC290" i="3" s="1"/>
  <c r="EY249" i="3"/>
  <c r="EY253" i="3" s="1"/>
  <c r="EY258" i="3" s="1"/>
  <c r="EY259" i="3" s="1"/>
  <c r="EY289" i="3" s="1"/>
  <c r="EY296" i="3" s="1"/>
  <c r="BX144" i="2"/>
  <c r="BX145" i="2" s="1"/>
  <c r="DM264" i="3"/>
  <c r="DM270" i="3" s="1"/>
  <c r="DM273" i="3" s="1"/>
  <c r="DM281" i="3" s="1"/>
  <c r="DM285" i="3" s="1"/>
  <c r="DM294" i="3" s="1"/>
  <c r="FG289" i="3"/>
  <c r="FG303" i="3" s="1"/>
  <c r="DS249" i="3"/>
  <c r="DS253" i="3" s="1"/>
  <c r="DS258" i="3" s="1"/>
  <c r="DS259" i="3" s="1"/>
  <c r="DS289" i="3" s="1"/>
  <c r="EB249" i="3"/>
  <c r="EB253" i="3" s="1"/>
  <c r="EB258" i="3" s="1"/>
  <c r="EB259" i="3" s="1"/>
  <c r="EB289" i="3" s="1"/>
  <c r="EB82" i="3" s="1"/>
  <c r="W144" i="2"/>
  <c r="W145" i="2" s="1"/>
  <c r="W146" i="2" s="1"/>
  <c r="W147" i="2" s="1"/>
  <c r="FL289" i="3"/>
  <c r="FL303" i="3" s="1"/>
  <c r="BX289" i="3"/>
  <c r="BX303" i="3" s="1"/>
  <c r="W264" i="3"/>
  <c r="W270" i="3" s="1"/>
  <c r="W273" i="3" s="1"/>
  <c r="W290" i="3" s="1"/>
  <c r="W292" i="3" s="1"/>
  <c r="CQ144" i="2"/>
  <c r="CQ145" i="2" s="1"/>
  <c r="CQ146" i="2" s="1"/>
  <c r="CQ147" i="2" s="1"/>
  <c r="CQ289" i="3"/>
  <c r="CQ296" i="3" s="1"/>
  <c r="CK281" i="3"/>
  <c r="CK285" i="3" s="1"/>
  <c r="CK294" i="3" s="1"/>
  <c r="BO249" i="3"/>
  <c r="BO253" i="3" s="1"/>
  <c r="BO258" i="3" s="1"/>
  <c r="BO259" i="3" s="1"/>
  <c r="BO289" i="3" s="1"/>
  <c r="BO303" i="3" s="1"/>
  <c r="CS144" i="2"/>
  <c r="CS145" i="2" s="1"/>
  <c r="CS146" i="2" s="1"/>
  <c r="CS147" i="2" s="1"/>
  <c r="CS264" i="3"/>
  <c r="CS270" i="3" s="1"/>
  <c r="CS273" i="3" s="1"/>
  <c r="CS290" i="3" s="1"/>
  <c r="BL264" i="3"/>
  <c r="BL270" i="3" s="1"/>
  <c r="BL273" i="3" s="1"/>
  <c r="BL290" i="3" s="1"/>
  <c r="D249" i="3"/>
  <c r="D253" i="3" s="1"/>
  <c r="D258" i="3" s="1"/>
  <c r="D259" i="3" s="1"/>
  <c r="D289" i="3" s="1"/>
  <c r="Q249" i="3"/>
  <c r="Q253" i="3" s="1"/>
  <c r="Q258" i="3" s="1"/>
  <c r="Q259" i="3" s="1"/>
  <c r="Q289" i="3" s="1"/>
  <c r="EZ289" i="3"/>
  <c r="EZ303" i="3" s="1"/>
  <c r="FE264" i="3"/>
  <c r="FE270" i="3" s="1"/>
  <c r="FE273" i="3" s="1"/>
  <c r="FE290" i="3" s="1"/>
  <c r="FE292" i="3" s="1"/>
  <c r="FP249" i="3"/>
  <c r="FP253" i="3" s="1"/>
  <c r="FP258" i="3" s="1"/>
  <c r="FP259" i="3" s="1"/>
  <c r="BV264" i="3"/>
  <c r="BV270" i="3" s="1"/>
  <c r="BV273" i="3" s="1"/>
  <c r="BV281" i="3" s="1"/>
  <c r="BV285" i="3" s="1"/>
  <c r="BV294" i="3" s="1"/>
  <c r="DP144" i="2"/>
  <c r="DP145" i="2" s="1"/>
  <c r="DP146" i="2" s="1"/>
  <c r="DP147" i="2" s="1"/>
  <c r="DP264" i="3"/>
  <c r="DP270" i="3" s="1"/>
  <c r="DP273" i="3" s="1"/>
  <c r="DP290" i="3" s="1"/>
  <c r="DP292" i="3" s="1"/>
  <c r="G144" i="2"/>
  <c r="G145" i="2" s="1"/>
  <c r="G146" i="2" s="1"/>
  <c r="G147" i="2" s="1"/>
  <c r="CR144" i="2"/>
  <c r="CR145" i="2" s="1"/>
  <c r="CR146" i="2" s="1"/>
  <c r="CR147" i="2" s="1"/>
  <c r="G264" i="3"/>
  <c r="G270" i="3" s="1"/>
  <c r="G273" i="3" s="1"/>
  <c r="G281" i="3" s="1"/>
  <c r="G285" i="3" s="1"/>
  <c r="G294" i="3" s="1"/>
  <c r="CR264" i="3"/>
  <c r="CR270" i="3" s="1"/>
  <c r="CR273" i="3" s="1"/>
  <c r="CR290" i="3" s="1"/>
  <c r="CR292" i="3" s="1"/>
  <c r="FA289" i="3"/>
  <c r="FA296" i="3" s="1"/>
  <c r="AQ144" i="2"/>
  <c r="AQ145" i="2" s="1"/>
  <c r="AQ146" i="2" s="1"/>
  <c r="AQ147" i="2" s="1"/>
  <c r="AQ264" i="3"/>
  <c r="AQ270" i="3" s="1"/>
  <c r="AQ273" i="3" s="1"/>
  <c r="AQ290" i="3" s="1"/>
  <c r="AQ292" i="3" s="1"/>
  <c r="EW281" i="3"/>
  <c r="EW285" i="3" s="1"/>
  <c r="EW294" i="3" s="1"/>
  <c r="DN249" i="3"/>
  <c r="DN253" i="3" s="1"/>
  <c r="DN258" i="3" s="1"/>
  <c r="DN259" i="3" s="1"/>
  <c r="DN144" i="2" s="1"/>
  <c r="DN145" i="2" s="1"/>
  <c r="DN146" i="2" s="1"/>
  <c r="DN147" i="2" s="1"/>
  <c r="AY144" i="2"/>
  <c r="AY145" i="2" s="1"/>
  <c r="AY146" i="2" s="1"/>
  <c r="AY147" i="2" s="1"/>
  <c r="AY289" i="3"/>
  <c r="AY303" i="3" s="1"/>
  <c r="R144" i="2"/>
  <c r="R145" i="2" s="1"/>
  <c r="R146" i="2" s="1"/>
  <c r="R147" i="2" s="1"/>
  <c r="R264" i="3"/>
  <c r="R270" i="3" s="1"/>
  <c r="R273" i="3" s="1"/>
  <c r="R290" i="3" s="1"/>
  <c r="R292" i="3" s="1"/>
  <c r="EV144" i="2"/>
  <c r="EV145" i="2" s="1"/>
  <c r="EV146" i="2" s="1"/>
  <c r="EV147" i="2" s="1"/>
  <c r="EH144" i="2"/>
  <c r="EH145" i="2" s="1"/>
  <c r="EH146" i="2" s="1"/>
  <c r="EH147" i="2" s="1"/>
  <c r="EV264" i="3"/>
  <c r="EV270" i="3" s="1"/>
  <c r="EV273" i="3" s="1"/>
  <c r="EV281" i="3" s="1"/>
  <c r="EV285" i="3" s="1"/>
  <c r="EV294" i="3" s="1"/>
  <c r="AK144" i="2"/>
  <c r="AK145" i="2" s="1"/>
  <c r="AK146" i="2" s="1"/>
  <c r="AK147" i="2" s="1"/>
  <c r="EH264" i="3"/>
  <c r="EH270" i="3" s="1"/>
  <c r="EH273" i="3" s="1"/>
  <c r="EH281" i="3" s="1"/>
  <c r="EH285" i="3" s="1"/>
  <c r="EH294" i="3" s="1"/>
  <c r="DD144" i="2"/>
  <c r="DD145" i="2" s="1"/>
  <c r="DD146" i="2" s="1"/>
  <c r="DD147" i="2" s="1"/>
  <c r="AK264" i="3"/>
  <c r="AK270" i="3" s="1"/>
  <c r="AK273" i="3" s="1"/>
  <c r="AK281" i="3" s="1"/>
  <c r="AK285" i="3" s="1"/>
  <c r="AK294" i="3" s="1"/>
  <c r="H144" i="2"/>
  <c r="DD264" i="3"/>
  <c r="DD270" i="3" s="1"/>
  <c r="DD273" i="3" s="1"/>
  <c r="DD281" i="3" s="1"/>
  <c r="DD285" i="3" s="1"/>
  <c r="DD294" i="3" s="1"/>
  <c r="ET144" i="2"/>
  <c r="ET145" i="2" s="1"/>
  <c r="ET146" i="2" s="1"/>
  <c r="ET147" i="2" s="1"/>
  <c r="EN249" i="3"/>
  <c r="EN253" i="3" s="1"/>
  <c r="EN258" i="3" s="1"/>
  <c r="EN259" i="3" s="1"/>
  <c r="EN144" i="2" s="1"/>
  <c r="EN145" i="2" s="1"/>
  <c r="EN146" i="2" s="1"/>
  <c r="EN147" i="2" s="1"/>
  <c r="EK289" i="3"/>
  <c r="EK296" i="3" s="1"/>
  <c r="CF289" i="3"/>
  <c r="CF303" i="3" s="1"/>
  <c r="CA289" i="3"/>
  <c r="CA303" i="3" s="1"/>
  <c r="AH249" i="3"/>
  <c r="AH253" i="3" s="1"/>
  <c r="AH258" i="3" s="1"/>
  <c r="AH259" i="3" s="1"/>
  <c r="AH264" i="3" s="1"/>
  <c r="AH270" i="3" s="1"/>
  <c r="AH273" i="3" s="1"/>
  <c r="BV144" i="2"/>
  <c r="BV145" i="2" s="1"/>
  <c r="BV146" i="2" s="1"/>
  <c r="BV147" i="2" s="1"/>
  <c r="FE144" i="2"/>
  <c r="FE145" i="2" s="1"/>
  <c r="FE146" i="2" s="1"/>
  <c r="FE147" i="2" s="1"/>
  <c r="CA264" i="3"/>
  <c r="CA270" i="3" s="1"/>
  <c r="CA273" i="3" s="1"/>
  <c r="CA290" i="3" s="1"/>
  <c r="M249" i="3"/>
  <c r="M253" i="3" s="1"/>
  <c r="M258" i="3" s="1"/>
  <c r="M259" i="3" s="1"/>
  <c r="M289" i="3" s="1"/>
  <c r="BN249" i="3"/>
  <c r="BN253" i="3" s="1"/>
  <c r="BN258" i="3" s="1"/>
  <c r="BN259" i="3" s="1"/>
  <c r="BN264" i="3" s="1"/>
  <c r="BN270" i="3" s="1"/>
  <c r="BN273" i="3" s="1"/>
  <c r="CF144" i="2"/>
  <c r="CF145" i="2" s="1"/>
  <c r="CF146" i="2" s="1"/>
  <c r="CF147" i="2" s="1"/>
  <c r="EK264" i="3"/>
  <c r="EK270" i="3" s="1"/>
  <c r="EK273" i="3" s="1"/>
  <c r="EK290" i="3" s="1"/>
  <c r="BU275" i="3"/>
  <c r="DR249" i="3"/>
  <c r="DR253" i="3" s="1"/>
  <c r="DR258" i="3" s="1"/>
  <c r="DR259" i="3" s="1"/>
  <c r="DR289" i="3" s="1"/>
  <c r="FV249" i="3"/>
  <c r="FV253" i="3" s="1"/>
  <c r="FV258" i="3" s="1"/>
  <c r="FV259" i="3" s="1"/>
  <c r="FV289" i="3" s="1"/>
  <c r="FH275" i="3"/>
  <c r="DG275" i="3"/>
  <c r="BQ249" i="3"/>
  <c r="BQ253" i="3" s="1"/>
  <c r="BQ258" i="3" s="1"/>
  <c r="BQ259" i="3" s="1"/>
  <c r="BQ289" i="3" s="1"/>
  <c r="EU249" i="3"/>
  <c r="EU253" i="3" s="1"/>
  <c r="EU258" i="3" s="1"/>
  <c r="EU259" i="3" s="1"/>
  <c r="EU264" i="3" s="1"/>
  <c r="EU270" i="3" s="1"/>
  <c r="EU273" i="3" s="1"/>
  <c r="X275" i="3"/>
  <c r="AB275" i="3"/>
  <c r="FX144" i="2"/>
  <c r="FX146" i="2" s="1"/>
  <c r="FX147" i="2" s="1"/>
  <c r="FX264" i="3"/>
  <c r="FX270" i="3" s="1"/>
  <c r="FX273" i="3" s="1"/>
  <c r="FX290" i="3" s="1"/>
  <c r="FX292" i="3" s="1"/>
  <c r="BA249" i="3"/>
  <c r="BA253" i="3" s="1"/>
  <c r="BA258" i="3" s="1"/>
  <c r="BA259" i="3" s="1"/>
  <c r="BA144" i="2" s="1"/>
  <c r="FN249" i="3"/>
  <c r="FN253" i="3" s="1"/>
  <c r="FN258" i="3" s="1"/>
  <c r="FN259" i="3" s="1"/>
  <c r="FN289" i="3" s="1"/>
  <c r="EI249" i="3"/>
  <c r="EI253" i="3" s="1"/>
  <c r="EI258" i="3" s="1"/>
  <c r="EI259" i="3" s="1"/>
  <c r="EI289" i="3" s="1"/>
  <c r="BW275" i="3"/>
  <c r="FH162" i="2"/>
  <c r="FH151" i="2"/>
  <c r="FH152" i="2" s="1"/>
  <c r="AN162" i="2"/>
  <c r="AN151" i="2"/>
  <c r="AN152" i="2" s="1"/>
  <c r="T162" i="2"/>
  <c r="T151" i="2"/>
  <c r="T152" i="2" s="1"/>
  <c r="BW162" i="2"/>
  <c r="BW151" i="2"/>
  <c r="BW152" i="2" s="1"/>
  <c r="CK162" i="2"/>
  <c r="CK151" i="2"/>
  <c r="CK152" i="2" s="1"/>
  <c r="AL312" i="3"/>
  <c r="AL309" i="3"/>
  <c r="AL317" i="3"/>
  <c r="W193" i="5"/>
  <c r="W195" i="5"/>
  <c r="W200" i="5"/>
  <c r="W201" i="5"/>
  <c r="W229" i="5" s="1"/>
  <c r="W232" i="5" s="1"/>
  <c r="W237" i="5" s="1"/>
  <c r="W197" i="5"/>
  <c r="W199" i="5"/>
  <c r="EK201" i="5"/>
  <c r="EK229" i="5" s="1"/>
  <c r="EK232" i="5" s="1"/>
  <c r="EK237" i="5" s="1"/>
  <c r="EK199" i="5"/>
  <c r="EK200" i="5"/>
  <c r="EK193" i="5"/>
  <c r="EK197" i="5"/>
  <c r="EK195" i="5"/>
  <c r="AU289" i="3"/>
  <c r="AU264" i="3"/>
  <c r="AU270" i="3" s="1"/>
  <c r="AU273" i="3" s="1"/>
  <c r="AU144" i="2"/>
  <c r="AE290" i="3"/>
  <c r="AE281" i="3"/>
  <c r="AE285" i="3" s="1"/>
  <c r="AE294" i="3" s="1"/>
  <c r="EC303" i="3"/>
  <c r="EC296" i="3"/>
  <c r="EC82" i="3"/>
  <c r="AL275" i="3"/>
  <c r="DK303" i="3"/>
  <c r="DK296" i="3"/>
  <c r="DK82" i="3"/>
  <c r="D197" i="5"/>
  <c r="D201" i="5"/>
  <c r="D229" i="5" s="1"/>
  <c r="D232" i="5" s="1"/>
  <c r="D237" i="5" s="1"/>
  <c r="D199" i="5"/>
  <c r="D195" i="5"/>
  <c r="D193" i="5"/>
  <c r="D200" i="5"/>
  <c r="EG289" i="3"/>
  <c r="EG264" i="3"/>
  <c r="EG270" i="3" s="1"/>
  <c r="EG273" i="3" s="1"/>
  <c r="EG144" i="2"/>
  <c r="AY290" i="3"/>
  <c r="AY281" i="3"/>
  <c r="AY285" i="3" s="1"/>
  <c r="AY294" i="3" s="1"/>
  <c r="FH317" i="3"/>
  <c r="FH309" i="3"/>
  <c r="FH312" i="3"/>
  <c r="FA145" i="2"/>
  <c r="FA146" i="2" s="1"/>
  <c r="FA147" i="2" s="1"/>
  <c r="DH249" i="3"/>
  <c r="DH253" i="3" s="1"/>
  <c r="DH258" i="3" s="1"/>
  <c r="DH259" i="3" s="1"/>
  <c r="L197" i="5"/>
  <c r="L199" i="5"/>
  <c r="L195" i="5"/>
  <c r="L200" i="5"/>
  <c r="L193" i="5"/>
  <c r="L201" i="5"/>
  <c r="L229" i="5" s="1"/>
  <c r="L232" i="5" s="1"/>
  <c r="L237" i="5" s="1"/>
  <c r="CD195" i="5"/>
  <c r="CD197" i="5"/>
  <c r="CD201" i="5"/>
  <c r="CD229" i="5" s="1"/>
  <c r="CD232" i="5" s="1"/>
  <c r="CD237" i="5" s="1"/>
  <c r="CD193" i="5"/>
  <c r="CD199" i="5"/>
  <c r="CD200" i="5"/>
  <c r="H195" i="5"/>
  <c r="H197" i="5"/>
  <c r="H200" i="5"/>
  <c r="H201" i="5"/>
  <c r="H229" i="5" s="1"/>
  <c r="H232" i="5" s="1"/>
  <c r="H237" i="5" s="1"/>
  <c r="H193" i="5"/>
  <c r="H199" i="5"/>
  <c r="CG289" i="3"/>
  <c r="CG264" i="3"/>
  <c r="CG270" i="3" s="1"/>
  <c r="CG273" i="3" s="1"/>
  <c r="CG144" i="2"/>
  <c r="FB290" i="3"/>
  <c r="FB292" i="3" s="1"/>
  <c r="FB281" i="3"/>
  <c r="FB285" i="3" s="1"/>
  <c r="FB294" i="3" s="1"/>
  <c r="CH193" i="5"/>
  <c r="CH197" i="5"/>
  <c r="CH199" i="5"/>
  <c r="CH200" i="5"/>
  <c r="CH201" i="5"/>
  <c r="CH229" i="5" s="1"/>
  <c r="CH232" i="5" s="1"/>
  <c r="CH237" i="5" s="1"/>
  <c r="CH195" i="5"/>
  <c r="ES303" i="3"/>
  <c r="ES296" i="3"/>
  <c r="ES82" i="3"/>
  <c r="EU201" i="5"/>
  <c r="EU229" i="5" s="1"/>
  <c r="EU232" i="5" s="1"/>
  <c r="EU237" i="5" s="1"/>
  <c r="EU193" i="5"/>
  <c r="EU199" i="5"/>
  <c r="EU195" i="5"/>
  <c r="EU197" i="5"/>
  <c r="EU200" i="5"/>
  <c r="CD264" i="3"/>
  <c r="CD270" i="3" s="1"/>
  <c r="CD273" i="3" s="1"/>
  <c r="CD289" i="3"/>
  <c r="CD144" i="2"/>
  <c r="FI249" i="3"/>
  <c r="FI253" i="3" s="1"/>
  <c r="FI258" i="3" s="1"/>
  <c r="FI259" i="3" s="1"/>
  <c r="EE200" i="5"/>
  <c r="EE201" i="5"/>
  <c r="EE229" i="5" s="1"/>
  <c r="EE232" i="5" s="1"/>
  <c r="EE237" i="5" s="1"/>
  <c r="EE199" i="5"/>
  <c r="EE197" i="5"/>
  <c r="EE195" i="5"/>
  <c r="EE193" i="5"/>
  <c r="BK249" i="3"/>
  <c r="BK253" i="3" s="1"/>
  <c r="BK258" i="3" s="1"/>
  <c r="BK259" i="3" s="1"/>
  <c r="AD303" i="3"/>
  <c r="AD296" i="3"/>
  <c r="AD82" i="3"/>
  <c r="EY195" i="5"/>
  <c r="EY197" i="5"/>
  <c r="EY199" i="5"/>
  <c r="EY200" i="5"/>
  <c r="EY201" i="5"/>
  <c r="EY229" i="5" s="1"/>
  <c r="EY232" i="5" s="1"/>
  <c r="EY237" i="5" s="1"/>
  <c r="EY193" i="5"/>
  <c r="EM195" i="5"/>
  <c r="EM197" i="5"/>
  <c r="EM199" i="5"/>
  <c r="EM201" i="5"/>
  <c r="EM229" i="5" s="1"/>
  <c r="EM232" i="5" s="1"/>
  <c r="EM237" i="5" s="1"/>
  <c r="EM200" i="5"/>
  <c r="EM193" i="5"/>
  <c r="BQ199" i="5"/>
  <c r="BQ193" i="5"/>
  <c r="BQ201" i="5"/>
  <c r="BQ229" i="5" s="1"/>
  <c r="BQ232" i="5" s="1"/>
  <c r="BQ237" i="5" s="1"/>
  <c r="BQ197" i="5"/>
  <c r="BQ200" i="5"/>
  <c r="BQ195" i="5"/>
  <c r="EW317" i="3"/>
  <c r="EW312" i="3"/>
  <c r="EW309" i="3"/>
  <c r="FJ304" i="3"/>
  <c r="FJ318" i="3" s="1"/>
  <c r="FJ298" i="3"/>
  <c r="N197" i="5"/>
  <c r="N199" i="5"/>
  <c r="N193" i="5"/>
  <c r="N200" i="5"/>
  <c r="N195" i="5"/>
  <c r="N201" i="5"/>
  <c r="N229" i="5" s="1"/>
  <c r="N232" i="5" s="1"/>
  <c r="N237" i="5" s="1"/>
  <c r="DM303" i="3"/>
  <c r="DM296" i="3"/>
  <c r="DM82" i="3"/>
  <c r="Q195" i="5"/>
  <c r="Q200" i="5"/>
  <c r="Q201" i="5"/>
  <c r="Q229" i="5" s="1"/>
  <c r="Q232" i="5" s="1"/>
  <c r="Q237" i="5" s="1"/>
  <c r="Q193" i="5"/>
  <c r="Q197" i="5"/>
  <c r="Q199" i="5"/>
  <c r="J249" i="3"/>
  <c r="J253" i="3" s="1"/>
  <c r="J258" i="3" s="1"/>
  <c r="J259" i="3" s="1"/>
  <c r="DU289" i="3"/>
  <c r="DU264" i="3"/>
  <c r="DU270" i="3" s="1"/>
  <c r="DU273" i="3" s="1"/>
  <c r="DU144" i="2"/>
  <c r="ED289" i="3"/>
  <c r="ED264" i="3"/>
  <c r="ED270" i="3" s="1"/>
  <c r="ED273" i="3" s="1"/>
  <c r="ED144" i="2"/>
  <c r="U195" i="5"/>
  <c r="U197" i="5"/>
  <c r="U201" i="5"/>
  <c r="U229" i="5" s="1"/>
  <c r="U232" i="5" s="1"/>
  <c r="U237" i="5" s="1"/>
  <c r="U199" i="5"/>
  <c r="U200" i="5"/>
  <c r="U193" i="5"/>
  <c r="CK304" i="3"/>
  <c r="CK318" i="3" s="1"/>
  <c r="CK298" i="3"/>
  <c r="BC249" i="3"/>
  <c r="BC253" i="3" s="1"/>
  <c r="BC258" i="3" s="1"/>
  <c r="BC259" i="3" s="1"/>
  <c r="AL304" i="3"/>
  <c r="AL318" i="3" s="1"/>
  <c r="BW304" i="3"/>
  <c r="BW318" i="3" s="1"/>
  <c r="AP201" i="5"/>
  <c r="AP229" i="5" s="1"/>
  <c r="AP232" i="5" s="1"/>
  <c r="AP237" i="5" s="1"/>
  <c r="AP195" i="5"/>
  <c r="AP197" i="5"/>
  <c r="AP193" i="5"/>
  <c r="AP199" i="5"/>
  <c r="AP200" i="5"/>
  <c r="DG312" i="3"/>
  <c r="DG309" i="3"/>
  <c r="DG317" i="3"/>
  <c r="FJ193" i="5"/>
  <c r="FJ195" i="5"/>
  <c r="FJ197" i="5"/>
  <c r="FJ201" i="5"/>
  <c r="FJ229" i="5" s="1"/>
  <c r="FJ232" i="5" s="1"/>
  <c r="FJ237" i="5" s="1"/>
  <c r="FJ199" i="5"/>
  <c r="FJ200" i="5"/>
  <c r="DC289" i="3"/>
  <c r="DC264" i="3"/>
  <c r="DC270" i="3" s="1"/>
  <c r="DC273" i="3" s="1"/>
  <c r="DC144" i="2"/>
  <c r="AM145" i="2"/>
  <c r="AM146" i="2" s="1"/>
  <c r="AM147" i="2" s="1"/>
  <c r="AY193" i="5"/>
  <c r="AY199" i="5"/>
  <c r="AY201" i="5"/>
  <c r="AY229" i="5" s="1"/>
  <c r="AY232" i="5" s="1"/>
  <c r="AY237" i="5" s="1"/>
  <c r="AY200" i="5"/>
  <c r="AY197" i="5"/>
  <c r="AY195" i="5"/>
  <c r="AN200" i="5"/>
  <c r="AN201" i="5"/>
  <c r="AN229" i="5" s="1"/>
  <c r="AN232" i="5" s="1"/>
  <c r="AN237" i="5" s="1"/>
  <c r="AN195" i="5"/>
  <c r="AN197" i="5"/>
  <c r="AN199" i="5"/>
  <c r="AN193" i="5"/>
  <c r="BM200" i="5"/>
  <c r="BM201" i="5"/>
  <c r="BM229" i="5" s="1"/>
  <c r="BM232" i="5" s="1"/>
  <c r="BM237" i="5" s="1"/>
  <c r="BM197" i="5"/>
  <c r="BM199" i="5"/>
  <c r="BM193" i="5"/>
  <c r="BM195" i="5"/>
  <c r="BG264" i="3"/>
  <c r="BG270" i="3" s="1"/>
  <c r="BG273" i="3" s="1"/>
  <c r="BG289" i="3"/>
  <c r="BG144" i="2"/>
  <c r="BS195" i="5"/>
  <c r="BS197" i="5"/>
  <c r="BS199" i="5"/>
  <c r="BS193" i="5"/>
  <c r="BS200" i="5"/>
  <c r="BS201" i="5"/>
  <c r="BS229" i="5" s="1"/>
  <c r="BS232" i="5" s="1"/>
  <c r="BS237" i="5" s="1"/>
  <c r="FO249" i="3"/>
  <c r="FO253" i="3" s="1"/>
  <c r="FO258" i="3" s="1"/>
  <c r="FO259" i="3" s="1"/>
  <c r="FO199" i="5"/>
  <c r="FO200" i="5"/>
  <c r="FO195" i="5"/>
  <c r="FO201" i="5"/>
  <c r="FO229" i="5" s="1"/>
  <c r="FO232" i="5" s="1"/>
  <c r="FO237" i="5" s="1"/>
  <c r="FO193" i="5"/>
  <c r="FO197" i="5"/>
  <c r="T197" i="5"/>
  <c r="T201" i="5"/>
  <c r="T229" i="5" s="1"/>
  <c r="T232" i="5" s="1"/>
  <c r="T237" i="5" s="1"/>
  <c r="T199" i="5"/>
  <c r="T193" i="5"/>
  <c r="T200" i="5"/>
  <c r="T195" i="5"/>
  <c r="CT200" i="5"/>
  <c r="CT201" i="5"/>
  <c r="CT229" i="5" s="1"/>
  <c r="CT232" i="5" s="1"/>
  <c r="CT237" i="5" s="1"/>
  <c r="CT195" i="5"/>
  <c r="CT193" i="5"/>
  <c r="CT199" i="5"/>
  <c r="CT197" i="5"/>
  <c r="BZ201" i="5"/>
  <c r="BZ229" i="5" s="1"/>
  <c r="BZ232" i="5" s="1"/>
  <c r="BZ237" i="5" s="1"/>
  <c r="BZ200" i="5"/>
  <c r="BZ197" i="5"/>
  <c r="BZ193" i="5"/>
  <c r="BZ199" i="5"/>
  <c r="BZ195" i="5"/>
  <c r="AG264" i="3"/>
  <c r="AG270" i="3" s="1"/>
  <c r="AG273" i="3" s="1"/>
  <c r="AG289" i="3"/>
  <c r="AG144" i="2"/>
  <c r="FB296" i="3"/>
  <c r="FB303" i="3"/>
  <c r="FB82" i="3"/>
  <c r="BY197" i="5"/>
  <c r="BY195" i="5"/>
  <c r="BY199" i="5"/>
  <c r="BY200" i="5"/>
  <c r="BY201" i="5"/>
  <c r="BY229" i="5" s="1"/>
  <c r="BY232" i="5" s="1"/>
  <c r="BY237" i="5" s="1"/>
  <c r="BY193" i="5"/>
  <c r="BR195" i="5"/>
  <c r="BR199" i="5"/>
  <c r="BR197" i="5"/>
  <c r="BR193" i="5"/>
  <c r="BR200" i="5"/>
  <c r="BR201" i="5"/>
  <c r="BR229" i="5" s="1"/>
  <c r="BR232" i="5" s="1"/>
  <c r="BR237" i="5" s="1"/>
  <c r="P162" i="2"/>
  <c r="P151" i="2"/>
  <c r="P152" i="2" s="1"/>
  <c r="FC145" i="2"/>
  <c r="FC146" i="2" s="1"/>
  <c r="FC147" i="2" s="1"/>
  <c r="DY289" i="3"/>
  <c r="DY264" i="3"/>
  <c r="DY270" i="3" s="1"/>
  <c r="DY273" i="3" s="1"/>
  <c r="DY144" i="2"/>
  <c r="V303" i="3"/>
  <c r="V296" i="3"/>
  <c r="V82" i="3"/>
  <c r="K290" i="3"/>
  <c r="K281" i="3"/>
  <c r="K285" i="3" s="1"/>
  <c r="K294" i="3" s="1"/>
  <c r="G201" i="5"/>
  <c r="G229" i="5" s="1"/>
  <c r="G232" i="5" s="1"/>
  <c r="G237" i="5" s="1"/>
  <c r="G199" i="5"/>
  <c r="G197" i="5"/>
  <c r="G200" i="5"/>
  <c r="G193" i="5"/>
  <c r="G195" i="5"/>
  <c r="E200" i="5"/>
  <c r="E201" i="5"/>
  <c r="E229" i="5" s="1"/>
  <c r="E232" i="5" s="1"/>
  <c r="E237" i="5" s="1"/>
  <c r="E197" i="5"/>
  <c r="E199" i="5"/>
  <c r="E195" i="5"/>
  <c r="E193" i="5"/>
  <c r="DO249" i="3"/>
  <c r="DO253" i="3" s="1"/>
  <c r="DO258" i="3" s="1"/>
  <c r="DO259" i="3" s="1"/>
  <c r="BX197" i="5"/>
  <c r="BX199" i="5"/>
  <c r="BX195" i="5"/>
  <c r="BX193" i="5"/>
  <c r="BX201" i="5"/>
  <c r="BX229" i="5" s="1"/>
  <c r="BX232" i="5" s="1"/>
  <c r="BX237" i="5" s="1"/>
  <c r="BX200" i="5"/>
  <c r="BM289" i="3"/>
  <c r="BM264" i="3"/>
  <c r="BM270" i="3" s="1"/>
  <c r="BM273" i="3" s="1"/>
  <c r="BM144" i="2"/>
  <c r="EF249" i="3"/>
  <c r="EF253" i="3" s="1"/>
  <c r="EF258" i="3" s="1"/>
  <c r="EF259" i="3" s="1"/>
  <c r="FJ275" i="3"/>
  <c r="CU199" i="5"/>
  <c r="CU200" i="5"/>
  <c r="CU201" i="5"/>
  <c r="CU229" i="5" s="1"/>
  <c r="CU232" i="5" s="1"/>
  <c r="CU237" i="5" s="1"/>
  <c r="CU195" i="5"/>
  <c r="CU197" i="5"/>
  <c r="CU193" i="5"/>
  <c r="CN193" i="5"/>
  <c r="CN195" i="5"/>
  <c r="CN199" i="5"/>
  <c r="CN200" i="5"/>
  <c r="CN197" i="5"/>
  <c r="CN201" i="5"/>
  <c r="CN229" i="5" s="1"/>
  <c r="CN232" i="5" s="1"/>
  <c r="CN237" i="5" s="1"/>
  <c r="DQ289" i="3"/>
  <c r="DQ264" i="3"/>
  <c r="DQ270" i="3" s="1"/>
  <c r="DQ273" i="3" s="1"/>
  <c r="DQ144" i="2"/>
  <c r="EV290" i="3"/>
  <c r="CF195" i="5"/>
  <c r="CF197" i="5"/>
  <c r="CF199" i="5"/>
  <c r="CF201" i="5"/>
  <c r="CF229" i="5" s="1"/>
  <c r="CF232" i="5" s="1"/>
  <c r="CF237" i="5" s="1"/>
  <c r="CF193" i="5"/>
  <c r="CF200" i="5"/>
  <c r="DN195" i="5"/>
  <c r="DN197" i="5"/>
  <c r="DN200" i="5"/>
  <c r="DN193" i="5"/>
  <c r="DN199" i="5"/>
  <c r="DN201" i="5"/>
  <c r="DN229" i="5" s="1"/>
  <c r="DN232" i="5" s="1"/>
  <c r="DN237" i="5" s="1"/>
  <c r="BT289" i="3"/>
  <c r="BT264" i="3"/>
  <c r="BT270" i="3" s="1"/>
  <c r="BT273" i="3" s="1"/>
  <c r="BT144" i="2"/>
  <c r="DF249" i="3"/>
  <c r="DF253" i="3" s="1"/>
  <c r="DF258" i="3" s="1"/>
  <c r="DF259" i="3" s="1"/>
  <c r="BU312" i="3"/>
  <c r="BU309" i="3"/>
  <c r="BU317" i="3"/>
  <c r="FA197" i="5"/>
  <c r="FA199" i="5"/>
  <c r="FA200" i="5"/>
  <c r="FA201" i="5"/>
  <c r="FA229" i="5" s="1"/>
  <c r="FA232" i="5" s="1"/>
  <c r="FA237" i="5" s="1"/>
  <c r="FA193" i="5"/>
  <c r="FA195" i="5"/>
  <c r="CB197" i="5"/>
  <c r="CB201" i="5"/>
  <c r="CB229" i="5" s="1"/>
  <c r="CB232" i="5" s="1"/>
  <c r="CB237" i="5" s="1"/>
  <c r="CB195" i="5"/>
  <c r="CB199" i="5"/>
  <c r="CB200" i="5"/>
  <c r="CB193" i="5"/>
  <c r="FM197" i="5"/>
  <c r="FM199" i="5"/>
  <c r="FM200" i="5"/>
  <c r="FM193" i="5"/>
  <c r="FM195" i="5"/>
  <c r="FM201" i="5"/>
  <c r="FM229" i="5" s="1"/>
  <c r="FM232" i="5" s="1"/>
  <c r="FM237" i="5" s="1"/>
  <c r="EO289" i="3"/>
  <c r="EO264" i="3"/>
  <c r="EO270" i="3" s="1"/>
  <c r="EO273" i="3" s="1"/>
  <c r="EO144" i="2"/>
  <c r="CP199" i="5"/>
  <c r="CP195" i="5"/>
  <c r="CP197" i="5"/>
  <c r="CP200" i="5"/>
  <c r="CP193" i="5"/>
  <c r="CP201" i="5"/>
  <c r="CP229" i="5" s="1"/>
  <c r="CP232" i="5" s="1"/>
  <c r="CP237" i="5" s="1"/>
  <c r="CK200" i="5"/>
  <c r="CK201" i="5"/>
  <c r="CK229" i="5" s="1"/>
  <c r="CK232" i="5" s="1"/>
  <c r="CK237" i="5" s="1"/>
  <c r="CK199" i="5"/>
  <c r="CK195" i="5"/>
  <c r="CK193" i="5"/>
  <c r="CK197" i="5"/>
  <c r="FP289" i="3"/>
  <c r="FP264" i="3"/>
  <c r="FP270" i="3" s="1"/>
  <c r="FP273" i="3" s="1"/>
  <c r="FP144" i="2"/>
  <c r="EL199" i="5"/>
  <c r="EL200" i="5"/>
  <c r="EL201" i="5"/>
  <c r="EL229" i="5" s="1"/>
  <c r="EL232" i="5" s="1"/>
  <c r="EL237" i="5" s="1"/>
  <c r="EL193" i="5"/>
  <c r="EL195" i="5"/>
  <c r="EL197" i="5"/>
  <c r="AX197" i="5"/>
  <c r="AX193" i="5"/>
  <c r="AX199" i="5"/>
  <c r="AX200" i="5"/>
  <c r="AX201" i="5"/>
  <c r="AX229" i="5" s="1"/>
  <c r="AX232" i="5" s="1"/>
  <c r="AX237" i="5" s="1"/>
  <c r="AX195" i="5"/>
  <c r="AH193" i="5"/>
  <c r="AH197" i="5"/>
  <c r="AH200" i="5"/>
  <c r="AH195" i="5"/>
  <c r="AH199" i="5"/>
  <c r="AH201" i="5"/>
  <c r="AH229" i="5" s="1"/>
  <c r="AH232" i="5" s="1"/>
  <c r="AH237" i="5" s="1"/>
  <c r="FF193" i="5"/>
  <c r="FF195" i="5"/>
  <c r="FF197" i="5"/>
  <c r="FF199" i="5"/>
  <c r="FF200" i="5"/>
  <c r="FF201" i="5"/>
  <c r="FF229" i="5" s="1"/>
  <c r="FF232" i="5" s="1"/>
  <c r="FF237" i="5" s="1"/>
  <c r="FG290" i="3"/>
  <c r="FG281" i="3"/>
  <c r="FG285" i="3" s="1"/>
  <c r="FG294" i="3" s="1"/>
  <c r="BH289" i="3"/>
  <c r="BH264" i="3"/>
  <c r="BH270" i="3" s="1"/>
  <c r="BH273" i="3" s="1"/>
  <c r="BH144" i="2"/>
  <c r="FN197" i="5"/>
  <c r="FN199" i="5"/>
  <c r="FN200" i="5"/>
  <c r="FN201" i="5"/>
  <c r="FN229" i="5" s="1"/>
  <c r="FN232" i="5" s="1"/>
  <c r="FN237" i="5" s="1"/>
  <c r="FN195" i="5"/>
  <c r="FN193" i="5"/>
  <c r="F201" i="5"/>
  <c r="F229" i="5" s="1"/>
  <c r="F232" i="5" s="1"/>
  <c r="F237" i="5" s="1"/>
  <c r="F199" i="5"/>
  <c r="F200" i="5"/>
  <c r="F193" i="5"/>
  <c r="F197" i="5"/>
  <c r="F195" i="5"/>
  <c r="FP200" i="5"/>
  <c r="FP201" i="5"/>
  <c r="FP229" i="5" s="1"/>
  <c r="FP232" i="5" s="1"/>
  <c r="FP237" i="5" s="1"/>
  <c r="FP199" i="5"/>
  <c r="FP197" i="5"/>
  <c r="FP193" i="5"/>
  <c r="FP195" i="5"/>
  <c r="CF290" i="3"/>
  <c r="CF281" i="3"/>
  <c r="CF285" i="3" s="1"/>
  <c r="CF294" i="3" s="1"/>
  <c r="CM249" i="3"/>
  <c r="CM253" i="3" s="1"/>
  <c r="CM258" i="3" s="1"/>
  <c r="CM259" i="3" s="1"/>
  <c r="ER200" i="5"/>
  <c r="ER201" i="5"/>
  <c r="ER229" i="5" s="1"/>
  <c r="ER232" i="5" s="1"/>
  <c r="ER237" i="5" s="1"/>
  <c r="ER197" i="5"/>
  <c r="ER193" i="5"/>
  <c r="ER199" i="5"/>
  <c r="ER195" i="5"/>
  <c r="CX201" i="5"/>
  <c r="CX229" i="5" s="1"/>
  <c r="CX232" i="5" s="1"/>
  <c r="CX237" i="5" s="1"/>
  <c r="CX197" i="5"/>
  <c r="CX193" i="5"/>
  <c r="CX195" i="5"/>
  <c r="CX199" i="5"/>
  <c r="CX200" i="5"/>
  <c r="CX249" i="3"/>
  <c r="CX253" i="3" s="1"/>
  <c r="CX258" i="3" s="1"/>
  <c r="CX259" i="3" s="1"/>
  <c r="CE264" i="3"/>
  <c r="CE270" i="3" s="1"/>
  <c r="CE273" i="3" s="1"/>
  <c r="CE289" i="3"/>
  <c r="CE144" i="2"/>
  <c r="EZ200" i="5"/>
  <c r="EZ201" i="5"/>
  <c r="EZ229" i="5" s="1"/>
  <c r="EZ232" i="5" s="1"/>
  <c r="EZ237" i="5" s="1"/>
  <c r="EZ193" i="5"/>
  <c r="EZ195" i="5"/>
  <c r="EZ197" i="5"/>
  <c r="EZ199" i="5"/>
  <c r="P275" i="3"/>
  <c r="R303" i="3"/>
  <c r="R296" i="3"/>
  <c r="R82" i="3"/>
  <c r="CY201" i="5"/>
  <c r="CY229" i="5" s="1"/>
  <c r="CY232" i="5" s="1"/>
  <c r="CY237" i="5" s="1"/>
  <c r="CY197" i="5"/>
  <c r="CY195" i="5"/>
  <c r="CY199" i="5"/>
  <c r="CY193" i="5"/>
  <c r="CY200" i="5"/>
  <c r="AV197" i="5"/>
  <c r="AV199" i="5"/>
  <c r="AV195" i="5"/>
  <c r="AV193" i="5"/>
  <c r="AV200" i="5"/>
  <c r="AV201" i="5"/>
  <c r="AV229" i="5" s="1"/>
  <c r="AV232" i="5" s="1"/>
  <c r="AV237" i="5" s="1"/>
  <c r="AX289" i="3"/>
  <c r="AX264" i="3"/>
  <c r="AX270" i="3" s="1"/>
  <c r="AX273" i="3" s="1"/>
  <c r="AX144" i="2"/>
  <c r="EJ200" i="5"/>
  <c r="EJ197" i="5"/>
  <c r="EJ195" i="5"/>
  <c r="EJ199" i="5"/>
  <c r="EJ201" i="5"/>
  <c r="EJ229" i="5" s="1"/>
  <c r="EJ232" i="5" s="1"/>
  <c r="EJ237" i="5" s="1"/>
  <c r="EJ193" i="5"/>
  <c r="L289" i="3"/>
  <c r="L264" i="3"/>
  <c r="L270" i="3" s="1"/>
  <c r="L273" i="3" s="1"/>
  <c r="L144" i="2"/>
  <c r="EM264" i="3"/>
  <c r="EM270" i="3" s="1"/>
  <c r="EM273" i="3" s="1"/>
  <c r="EM289" i="3"/>
  <c r="EM144" i="2"/>
  <c r="CV200" i="5"/>
  <c r="CV201" i="5"/>
  <c r="CV229" i="5" s="1"/>
  <c r="CV232" i="5" s="1"/>
  <c r="CV237" i="5" s="1"/>
  <c r="CV197" i="5"/>
  <c r="CV195" i="5"/>
  <c r="CV199" i="5"/>
  <c r="CV193" i="5"/>
  <c r="S200" i="5"/>
  <c r="S201" i="5"/>
  <c r="S229" i="5" s="1"/>
  <c r="S232" i="5" s="1"/>
  <c r="S237" i="5" s="1"/>
  <c r="S197" i="5"/>
  <c r="S195" i="5"/>
  <c r="S199" i="5"/>
  <c r="S193" i="5"/>
  <c r="AM303" i="3"/>
  <c r="AM296" i="3"/>
  <c r="AM82" i="3"/>
  <c r="AK303" i="3"/>
  <c r="AK296" i="3"/>
  <c r="AK82" i="3"/>
  <c r="EL249" i="3"/>
  <c r="EL253" i="3" s="1"/>
  <c r="EL258" i="3" s="1"/>
  <c r="EL259" i="3" s="1"/>
  <c r="EH201" i="5"/>
  <c r="EH229" i="5" s="1"/>
  <c r="EH232" i="5" s="1"/>
  <c r="EH237" i="5" s="1"/>
  <c r="EH200" i="5"/>
  <c r="EH193" i="5"/>
  <c r="EH199" i="5"/>
  <c r="EH197" i="5"/>
  <c r="EH195" i="5"/>
  <c r="I249" i="3"/>
  <c r="I253" i="3" s="1"/>
  <c r="I258" i="3" s="1"/>
  <c r="I259" i="3" s="1"/>
  <c r="EA275" i="3"/>
  <c r="AO195" i="5"/>
  <c r="AO200" i="5"/>
  <c r="AO201" i="5"/>
  <c r="AO229" i="5" s="1"/>
  <c r="AO232" i="5" s="1"/>
  <c r="AO237" i="5" s="1"/>
  <c r="AO197" i="5"/>
  <c r="AO193" i="5"/>
  <c r="AO199" i="5"/>
  <c r="DD195" i="5"/>
  <c r="DD197" i="5"/>
  <c r="DD199" i="5"/>
  <c r="DD193" i="5"/>
  <c r="DD200" i="5"/>
  <c r="DD201" i="5"/>
  <c r="DD229" i="5" s="1"/>
  <c r="DD232" i="5" s="1"/>
  <c r="DD237" i="5" s="1"/>
  <c r="EI201" i="5"/>
  <c r="EI229" i="5" s="1"/>
  <c r="EI232" i="5" s="1"/>
  <c r="EI237" i="5" s="1"/>
  <c r="EI193" i="5"/>
  <c r="EI200" i="5"/>
  <c r="EI197" i="5"/>
  <c r="EI195" i="5"/>
  <c r="EI199" i="5"/>
  <c r="AC145" i="2"/>
  <c r="AC146" i="2" s="1"/>
  <c r="AC147" i="2" s="1"/>
  <c r="CV289" i="3"/>
  <c r="CV264" i="3"/>
  <c r="CV270" i="3" s="1"/>
  <c r="CV273" i="3" s="1"/>
  <c r="CV144" i="2"/>
  <c r="FZ123" i="5"/>
  <c r="C124" i="5"/>
  <c r="DT145" i="2"/>
  <c r="DT146" i="2" s="1"/>
  <c r="DT147" i="2" s="1"/>
  <c r="FE200" i="5"/>
  <c r="FE201" i="5"/>
  <c r="FE229" i="5" s="1"/>
  <c r="FE232" i="5" s="1"/>
  <c r="FE237" i="5" s="1"/>
  <c r="FE193" i="5"/>
  <c r="FE199" i="5"/>
  <c r="FE195" i="5"/>
  <c r="FE197" i="5"/>
  <c r="BH199" i="5"/>
  <c r="BH193" i="5"/>
  <c r="BH201" i="5"/>
  <c r="BH229" i="5" s="1"/>
  <c r="BH232" i="5" s="1"/>
  <c r="BH237" i="5" s="1"/>
  <c r="BH200" i="5"/>
  <c r="BH197" i="5"/>
  <c r="BH195" i="5"/>
  <c r="DX289" i="3"/>
  <c r="DX264" i="3"/>
  <c r="DX270" i="3" s="1"/>
  <c r="DX273" i="3" s="1"/>
  <c r="DX144" i="2"/>
  <c r="CY289" i="3"/>
  <c r="CY264" i="3"/>
  <c r="CY270" i="3" s="1"/>
  <c r="CY273" i="3" s="1"/>
  <c r="CY144" i="2"/>
  <c r="BF145" i="2"/>
  <c r="BF146" i="2" s="1"/>
  <c r="BF147" i="2" s="1"/>
  <c r="EF201" i="5"/>
  <c r="EF229" i="5" s="1"/>
  <c r="EF232" i="5" s="1"/>
  <c r="EF237" i="5" s="1"/>
  <c r="EF197" i="5"/>
  <c r="EF200" i="5"/>
  <c r="EF195" i="5"/>
  <c r="EF199" i="5"/>
  <c r="EF193" i="5"/>
  <c r="FL195" i="5"/>
  <c r="FL197" i="5"/>
  <c r="FL199" i="5"/>
  <c r="FL193" i="5"/>
  <c r="FL200" i="5"/>
  <c r="FL201" i="5"/>
  <c r="FL229" i="5" s="1"/>
  <c r="FL232" i="5" s="1"/>
  <c r="FL237" i="5" s="1"/>
  <c r="CJ249" i="3"/>
  <c r="CJ253" i="3" s="1"/>
  <c r="CJ258" i="3" s="1"/>
  <c r="CJ259" i="3" s="1"/>
  <c r="EP289" i="3"/>
  <c r="EP264" i="3"/>
  <c r="EP270" i="3" s="1"/>
  <c r="EP273" i="3" s="1"/>
  <c r="EP144" i="2"/>
  <c r="Y289" i="3"/>
  <c r="Y264" i="3"/>
  <c r="Y270" i="3" s="1"/>
  <c r="Y273" i="3" s="1"/>
  <c r="Y144" i="2"/>
  <c r="EQ199" i="5"/>
  <c r="EQ200" i="5"/>
  <c r="EQ201" i="5"/>
  <c r="EQ229" i="5" s="1"/>
  <c r="EQ232" i="5" s="1"/>
  <c r="EQ237" i="5" s="1"/>
  <c r="EQ195" i="5"/>
  <c r="EQ197" i="5"/>
  <c r="EQ193" i="5"/>
  <c r="AI193" i="5"/>
  <c r="AI201" i="5"/>
  <c r="AI229" i="5" s="1"/>
  <c r="AI232" i="5" s="1"/>
  <c r="AI237" i="5" s="1"/>
  <c r="AI195" i="5"/>
  <c r="AI200" i="5"/>
  <c r="AI197" i="5"/>
  <c r="AI199" i="5"/>
  <c r="FZ337" i="5"/>
  <c r="GA337" i="5" s="1"/>
  <c r="C38" i="5" s="1"/>
  <c r="C339" i="5"/>
  <c r="DD303" i="3"/>
  <c r="DD296" i="3"/>
  <c r="DD82" i="3"/>
  <c r="CI193" i="5"/>
  <c r="CI200" i="5"/>
  <c r="CI199" i="5"/>
  <c r="CI197" i="5"/>
  <c r="CI201" i="5"/>
  <c r="CI229" i="5" s="1"/>
  <c r="CI232" i="5" s="1"/>
  <c r="CI237" i="5" s="1"/>
  <c r="CI195" i="5"/>
  <c r="FQ145" i="2"/>
  <c r="FQ146" i="2" s="1"/>
  <c r="FQ147" i="2" s="1"/>
  <c r="EA309" i="3"/>
  <c r="EA317" i="3"/>
  <c r="EA312" i="3"/>
  <c r="DP303" i="3"/>
  <c r="DP296" i="3"/>
  <c r="DP82" i="3"/>
  <c r="EA298" i="3"/>
  <c r="EA304" i="3"/>
  <c r="EA318" i="3" s="1"/>
  <c r="AC290" i="3"/>
  <c r="AC292" i="3" s="1"/>
  <c r="AC281" i="3"/>
  <c r="AC285" i="3" s="1"/>
  <c r="AC294" i="3" s="1"/>
  <c r="EA162" i="2"/>
  <c r="EA151" i="2"/>
  <c r="EA152" i="2" s="1"/>
  <c r="BL200" i="5"/>
  <c r="BL201" i="5"/>
  <c r="BL229" i="5" s="1"/>
  <c r="BL232" i="5" s="1"/>
  <c r="BL237" i="5" s="1"/>
  <c r="BL197" i="5"/>
  <c r="BL195" i="5"/>
  <c r="BL193" i="5"/>
  <c r="BL199" i="5"/>
  <c r="BE193" i="5"/>
  <c r="BE199" i="5"/>
  <c r="BE201" i="5"/>
  <c r="BE229" i="5" s="1"/>
  <c r="BE232" i="5" s="1"/>
  <c r="BE237" i="5" s="1"/>
  <c r="BE197" i="5"/>
  <c r="BE195" i="5"/>
  <c r="BE200" i="5"/>
  <c r="FW289" i="3"/>
  <c r="FW264" i="3"/>
  <c r="FW270" i="3" s="1"/>
  <c r="FW273" i="3" s="1"/>
  <c r="FW144" i="2"/>
  <c r="DT290" i="3"/>
  <c r="DT292" i="3" s="1"/>
  <c r="DT281" i="3"/>
  <c r="DT285" i="3" s="1"/>
  <c r="DT294" i="3" s="1"/>
  <c r="X162" i="2"/>
  <c r="X151" i="2"/>
  <c r="X152" i="2" s="1"/>
  <c r="M197" i="5"/>
  <c r="M199" i="5"/>
  <c r="M201" i="5"/>
  <c r="M229" i="5" s="1"/>
  <c r="M232" i="5" s="1"/>
  <c r="M237" i="5" s="1"/>
  <c r="M200" i="5"/>
  <c r="M193" i="5"/>
  <c r="M195" i="5"/>
  <c r="EP197" i="5"/>
  <c r="EP199" i="5"/>
  <c r="EP200" i="5"/>
  <c r="EP193" i="5"/>
  <c r="EP195" i="5"/>
  <c r="EP201" i="5"/>
  <c r="EP229" i="5" s="1"/>
  <c r="EP232" i="5" s="1"/>
  <c r="EP237" i="5" s="1"/>
  <c r="CM201" i="5"/>
  <c r="CM229" i="5" s="1"/>
  <c r="CM232" i="5" s="1"/>
  <c r="CM237" i="5" s="1"/>
  <c r="CM199" i="5"/>
  <c r="CM195" i="5"/>
  <c r="CM197" i="5"/>
  <c r="CM200" i="5"/>
  <c r="CM193" i="5"/>
  <c r="DB289" i="3"/>
  <c r="DB264" i="3"/>
  <c r="DB270" i="3" s="1"/>
  <c r="DB273" i="3" s="1"/>
  <c r="DB144" i="2"/>
  <c r="FA303" i="3"/>
  <c r="FD289" i="3"/>
  <c r="FD264" i="3"/>
  <c r="FD270" i="3" s="1"/>
  <c r="FD273" i="3" s="1"/>
  <c r="FD144" i="2"/>
  <c r="BN201" i="5"/>
  <c r="BN229" i="5" s="1"/>
  <c r="BN232" i="5" s="1"/>
  <c r="BN237" i="5" s="1"/>
  <c r="BN199" i="5"/>
  <c r="BN193" i="5"/>
  <c r="BN200" i="5"/>
  <c r="BN197" i="5"/>
  <c r="BN195" i="5"/>
  <c r="DC195" i="5"/>
  <c r="DC197" i="5"/>
  <c r="DC199" i="5"/>
  <c r="DC193" i="5"/>
  <c r="DC201" i="5"/>
  <c r="DC229" i="5" s="1"/>
  <c r="DC232" i="5" s="1"/>
  <c r="DC237" i="5" s="1"/>
  <c r="DC200" i="5"/>
  <c r="ET290" i="3"/>
  <c r="ET292" i="3" s="1"/>
  <c r="ET281" i="3"/>
  <c r="ET285" i="3" s="1"/>
  <c r="ET294" i="3" s="1"/>
  <c r="EX193" i="5"/>
  <c r="EX195" i="5"/>
  <c r="EX197" i="5"/>
  <c r="EX200" i="5"/>
  <c r="EX201" i="5"/>
  <c r="EX229" i="5" s="1"/>
  <c r="EX232" i="5" s="1"/>
  <c r="EX237" i="5" s="1"/>
  <c r="EX199" i="5"/>
  <c r="BC201" i="5"/>
  <c r="BC229" i="5" s="1"/>
  <c r="BC232" i="5" s="1"/>
  <c r="BC237" i="5" s="1"/>
  <c r="BC195" i="5"/>
  <c r="BC200" i="5"/>
  <c r="BC199" i="5"/>
  <c r="BC193" i="5"/>
  <c r="BC197" i="5"/>
  <c r="DZ289" i="3"/>
  <c r="DZ264" i="3"/>
  <c r="DZ270" i="3" s="1"/>
  <c r="DZ273" i="3" s="1"/>
  <c r="DZ144" i="2"/>
  <c r="CS195" i="5"/>
  <c r="CS197" i="5"/>
  <c r="CS199" i="5"/>
  <c r="CS201" i="5"/>
  <c r="CS229" i="5" s="1"/>
  <c r="CS232" i="5" s="1"/>
  <c r="CS237" i="5" s="1"/>
  <c r="CS200" i="5"/>
  <c r="CS193" i="5"/>
  <c r="EJ249" i="3"/>
  <c r="EJ253" i="3" s="1"/>
  <c r="EJ258" i="3" s="1"/>
  <c r="EJ259" i="3" s="1"/>
  <c r="AJ199" i="5"/>
  <c r="AJ193" i="5"/>
  <c r="AJ201" i="5"/>
  <c r="AJ229" i="5" s="1"/>
  <c r="AJ232" i="5" s="1"/>
  <c r="AJ237" i="5" s="1"/>
  <c r="AJ200" i="5"/>
  <c r="AJ195" i="5"/>
  <c r="AJ197" i="5"/>
  <c r="FC197" i="5"/>
  <c r="FC195" i="5"/>
  <c r="FC199" i="5"/>
  <c r="FC200" i="5"/>
  <c r="FC201" i="5"/>
  <c r="FC229" i="5" s="1"/>
  <c r="FC232" i="5" s="1"/>
  <c r="FC237" i="5" s="1"/>
  <c r="FC193" i="5"/>
  <c r="AU195" i="5"/>
  <c r="AU193" i="5"/>
  <c r="AU200" i="5"/>
  <c r="AU201" i="5"/>
  <c r="AU229" i="5" s="1"/>
  <c r="AU232" i="5" s="1"/>
  <c r="AU237" i="5" s="1"/>
  <c r="AU197" i="5"/>
  <c r="AU199" i="5"/>
  <c r="AQ201" i="5"/>
  <c r="AQ229" i="5" s="1"/>
  <c r="AQ232" i="5" s="1"/>
  <c r="AQ237" i="5" s="1"/>
  <c r="AQ197" i="5"/>
  <c r="AQ199" i="5"/>
  <c r="AQ200" i="5"/>
  <c r="AQ193" i="5"/>
  <c r="AQ195" i="5"/>
  <c r="DV289" i="3"/>
  <c r="DV264" i="3"/>
  <c r="DV270" i="3" s="1"/>
  <c r="DV273" i="3" s="1"/>
  <c r="DV144" i="2"/>
  <c r="AE201" i="5"/>
  <c r="AE229" i="5" s="1"/>
  <c r="AE232" i="5" s="1"/>
  <c r="AE237" i="5" s="1"/>
  <c r="AE200" i="5"/>
  <c r="AE197" i="5"/>
  <c r="AE195" i="5"/>
  <c r="AE199" i="5"/>
  <c r="AE193" i="5"/>
  <c r="BU162" i="2"/>
  <c r="BU151" i="2"/>
  <c r="BU152" i="2" s="1"/>
  <c r="FF145" i="2"/>
  <c r="FF146" i="2" s="1"/>
  <c r="FF147" i="2" s="1"/>
  <c r="FK195" i="5"/>
  <c r="FK197" i="5"/>
  <c r="FK199" i="5"/>
  <c r="FK201" i="5"/>
  <c r="FK229" i="5" s="1"/>
  <c r="FK232" i="5" s="1"/>
  <c r="FK237" i="5" s="1"/>
  <c r="FK200" i="5"/>
  <c r="FK193" i="5"/>
  <c r="CO195" i="5"/>
  <c r="CO200" i="5"/>
  <c r="CO193" i="5"/>
  <c r="CO201" i="5"/>
  <c r="CO229" i="5" s="1"/>
  <c r="CO232" i="5" s="1"/>
  <c r="CO237" i="5" s="1"/>
  <c r="CO197" i="5"/>
  <c r="CO199" i="5"/>
  <c r="EH303" i="3"/>
  <c r="EH296" i="3"/>
  <c r="EH82" i="3"/>
  <c r="CE201" i="5"/>
  <c r="CE229" i="5" s="1"/>
  <c r="CE232" i="5" s="1"/>
  <c r="CE237" i="5" s="1"/>
  <c r="CE193" i="5"/>
  <c r="CE200" i="5"/>
  <c r="CE199" i="5"/>
  <c r="CE195" i="5"/>
  <c r="CE197" i="5"/>
  <c r="DG197" i="5"/>
  <c r="DG193" i="5"/>
  <c r="DG195" i="5"/>
  <c r="DG199" i="5"/>
  <c r="DG200" i="5"/>
  <c r="DG201" i="5"/>
  <c r="DG229" i="5" s="1"/>
  <c r="DG232" i="5" s="1"/>
  <c r="DG237" i="5" s="1"/>
  <c r="AC303" i="3"/>
  <c r="AC296" i="3"/>
  <c r="AC82" i="3"/>
  <c r="Z289" i="3"/>
  <c r="Z264" i="3"/>
  <c r="Z270" i="3" s="1"/>
  <c r="Z273" i="3" s="1"/>
  <c r="Z144" i="2"/>
  <c r="EA195" i="5"/>
  <c r="EA197" i="5"/>
  <c r="EA199" i="5"/>
  <c r="EA193" i="5"/>
  <c r="EA200" i="5"/>
  <c r="EA201" i="5"/>
  <c r="EA229" i="5" s="1"/>
  <c r="EA232" i="5" s="1"/>
  <c r="EA237" i="5" s="1"/>
  <c r="DT303" i="3"/>
  <c r="DT296" i="3"/>
  <c r="DT82" i="3"/>
  <c r="AZ199" i="5"/>
  <c r="AZ195" i="5"/>
  <c r="AZ197" i="5"/>
  <c r="AZ193" i="5"/>
  <c r="AZ201" i="5"/>
  <c r="AZ229" i="5" s="1"/>
  <c r="AZ232" i="5" s="1"/>
  <c r="AZ237" i="5" s="1"/>
  <c r="AZ200" i="5"/>
  <c r="AW197" i="5"/>
  <c r="AW199" i="5"/>
  <c r="AW200" i="5"/>
  <c r="AW193" i="5"/>
  <c r="AW195" i="5"/>
  <c r="AW201" i="5"/>
  <c r="AW229" i="5" s="1"/>
  <c r="AW232" i="5" s="1"/>
  <c r="AW237" i="5" s="1"/>
  <c r="BY289" i="3"/>
  <c r="BY264" i="3"/>
  <c r="BY270" i="3" s="1"/>
  <c r="BY273" i="3" s="1"/>
  <c r="BY144" i="2"/>
  <c r="BT193" i="5"/>
  <c r="BT201" i="5"/>
  <c r="BT229" i="5" s="1"/>
  <c r="BT232" i="5" s="1"/>
  <c r="BT237" i="5" s="1"/>
  <c r="BT200" i="5"/>
  <c r="BT199" i="5"/>
  <c r="BT195" i="5"/>
  <c r="BT197" i="5"/>
  <c r="FI195" i="5"/>
  <c r="FI197" i="5"/>
  <c r="FI201" i="5"/>
  <c r="FI229" i="5" s="1"/>
  <c r="FI232" i="5" s="1"/>
  <c r="FI237" i="5" s="1"/>
  <c r="FI199" i="5"/>
  <c r="FI200" i="5"/>
  <c r="FI193" i="5"/>
  <c r="BI145" i="2"/>
  <c r="BI146" i="2" s="1"/>
  <c r="BI147" i="2" s="1"/>
  <c r="E249" i="3"/>
  <c r="E253" i="3" s="1"/>
  <c r="E258" i="3" s="1"/>
  <c r="E259" i="3" s="1"/>
  <c r="CI249" i="3"/>
  <c r="CI253" i="3" s="1"/>
  <c r="CI258" i="3" s="1"/>
  <c r="CI259" i="3" s="1"/>
  <c r="AM195" i="5"/>
  <c r="AM197" i="5"/>
  <c r="AM193" i="5"/>
  <c r="AM199" i="5"/>
  <c r="AM200" i="5"/>
  <c r="AM201" i="5"/>
  <c r="AM229" i="5" s="1"/>
  <c r="AM232" i="5" s="1"/>
  <c r="AM237" i="5" s="1"/>
  <c r="CR296" i="3"/>
  <c r="CR303" i="3"/>
  <c r="CR82" i="3"/>
  <c r="EV303" i="3"/>
  <c r="EV296" i="3"/>
  <c r="EV82" i="3"/>
  <c r="EW304" i="3"/>
  <c r="EW318" i="3" s="1"/>
  <c r="AQ303" i="3"/>
  <c r="AQ296" i="3"/>
  <c r="AQ82" i="3"/>
  <c r="DE197" i="5"/>
  <c r="DE199" i="5"/>
  <c r="DE200" i="5"/>
  <c r="DE193" i="5"/>
  <c r="DE195" i="5"/>
  <c r="DE201" i="5"/>
  <c r="DE229" i="5" s="1"/>
  <c r="DE232" i="5" s="1"/>
  <c r="DE237" i="5" s="1"/>
  <c r="DL199" i="5"/>
  <c r="DL197" i="5"/>
  <c r="DL193" i="5"/>
  <c r="DL200" i="5"/>
  <c r="DL201" i="5"/>
  <c r="DL229" i="5" s="1"/>
  <c r="DL232" i="5" s="1"/>
  <c r="DL237" i="5" s="1"/>
  <c r="DL195" i="5"/>
  <c r="FT289" i="3"/>
  <c r="FT264" i="3"/>
  <c r="FT270" i="3" s="1"/>
  <c r="FT144" i="2"/>
  <c r="CC264" i="3"/>
  <c r="CC270" i="3" s="1"/>
  <c r="CC273" i="3" s="1"/>
  <c r="CC289" i="3"/>
  <c r="CC144" i="2"/>
  <c r="DB195" i="5"/>
  <c r="DB197" i="5"/>
  <c r="DB201" i="5"/>
  <c r="DB229" i="5" s="1"/>
  <c r="DB232" i="5" s="1"/>
  <c r="DB237" i="5" s="1"/>
  <c r="DB199" i="5"/>
  <c r="DB193" i="5"/>
  <c r="DB200" i="5"/>
  <c r="BO199" i="5"/>
  <c r="BO195" i="5"/>
  <c r="BO200" i="5"/>
  <c r="BO201" i="5"/>
  <c r="BO229" i="5" s="1"/>
  <c r="BO232" i="5" s="1"/>
  <c r="BO237" i="5" s="1"/>
  <c r="BO197" i="5"/>
  <c r="BO193" i="5"/>
  <c r="EC201" i="5"/>
  <c r="EC229" i="5" s="1"/>
  <c r="EC232" i="5" s="1"/>
  <c r="EC237" i="5" s="1"/>
  <c r="EC195" i="5"/>
  <c r="EC193" i="5"/>
  <c r="EC197" i="5"/>
  <c r="EC199" i="5"/>
  <c r="EC200" i="5"/>
  <c r="BW292" i="3"/>
  <c r="BW298" i="3" s="1"/>
  <c r="AG195" i="5"/>
  <c r="AG200" i="5"/>
  <c r="AG193" i="5"/>
  <c r="AG201" i="5"/>
  <c r="AG229" i="5" s="1"/>
  <c r="AG232" i="5" s="1"/>
  <c r="AG237" i="5" s="1"/>
  <c r="AG199" i="5"/>
  <c r="AG197" i="5"/>
  <c r="BE264" i="3"/>
  <c r="BE270" i="3" s="1"/>
  <c r="BE273" i="3" s="1"/>
  <c r="BE289" i="3"/>
  <c r="BE144" i="2"/>
  <c r="T275" i="3"/>
  <c r="H145" i="2"/>
  <c r="H146" i="2" s="1"/>
  <c r="H147" i="2" s="1"/>
  <c r="DS199" i="5"/>
  <c r="DS200" i="5"/>
  <c r="DS201" i="5"/>
  <c r="DS229" i="5" s="1"/>
  <c r="DS232" i="5" s="1"/>
  <c r="DS237" i="5" s="1"/>
  <c r="DS197" i="5"/>
  <c r="DS195" i="5"/>
  <c r="DS193" i="5"/>
  <c r="FF290" i="3"/>
  <c r="FF292" i="3" s="1"/>
  <c r="FF281" i="3"/>
  <c r="FF285" i="3" s="1"/>
  <c r="FF294" i="3" s="1"/>
  <c r="BV201" i="5"/>
  <c r="BV229" i="5" s="1"/>
  <c r="BV232" i="5" s="1"/>
  <c r="BV237" i="5" s="1"/>
  <c r="BV193" i="5"/>
  <c r="BV197" i="5"/>
  <c r="BV199" i="5"/>
  <c r="BV195" i="5"/>
  <c r="BV200" i="5"/>
  <c r="CG197" i="5"/>
  <c r="CG199" i="5"/>
  <c r="CG200" i="5"/>
  <c r="CG193" i="5"/>
  <c r="CG195" i="5"/>
  <c r="CG201" i="5"/>
  <c r="CG229" i="5" s="1"/>
  <c r="CG232" i="5" s="1"/>
  <c r="CG237" i="5" s="1"/>
  <c r="AK193" i="5"/>
  <c r="AK201" i="5"/>
  <c r="AK229" i="5" s="1"/>
  <c r="AK232" i="5" s="1"/>
  <c r="AK237" i="5" s="1"/>
  <c r="AK195" i="5"/>
  <c r="AK200" i="5"/>
  <c r="AK197" i="5"/>
  <c r="AK199" i="5"/>
  <c r="BR249" i="3"/>
  <c r="BR253" i="3" s="1"/>
  <c r="BR258" i="3" s="1"/>
  <c r="BR259" i="3" s="1"/>
  <c r="CC200" i="5"/>
  <c r="CC199" i="5"/>
  <c r="CC195" i="5"/>
  <c r="CC197" i="5"/>
  <c r="CC201" i="5"/>
  <c r="CC229" i="5" s="1"/>
  <c r="CC232" i="5" s="1"/>
  <c r="CC237" i="5" s="1"/>
  <c r="CC193" i="5"/>
  <c r="CZ193" i="5"/>
  <c r="CZ197" i="5"/>
  <c r="CZ201" i="5"/>
  <c r="CZ229" i="5" s="1"/>
  <c r="CZ232" i="5" s="1"/>
  <c r="CZ237" i="5" s="1"/>
  <c r="CZ195" i="5"/>
  <c r="CZ199" i="5"/>
  <c r="CZ200" i="5"/>
  <c r="AD201" i="5"/>
  <c r="AD229" i="5" s="1"/>
  <c r="AD232" i="5" s="1"/>
  <c r="AD237" i="5" s="1"/>
  <c r="AD199" i="5"/>
  <c r="AD193" i="5"/>
  <c r="AD197" i="5"/>
  <c r="AD200" i="5"/>
  <c r="AD195" i="5"/>
  <c r="CQ290" i="3"/>
  <c r="CQ281" i="3"/>
  <c r="CQ285" i="3" s="1"/>
  <c r="CQ294" i="3" s="1"/>
  <c r="BL146" i="2"/>
  <c r="BL147" i="2" s="1"/>
  <c r="BL145" i="2"/>
  <c r="CB264" i="3"/>
  <c r="CB270" i="3" s="1"/>
  <c r="CB273" i="3" s="1"/>
  <c r="CB289" i="3"/>
  <c r="CB144" i="2"/>
  <c r="FJ317" i="3"/>
  <c r="FJ312" i="3"/>
  <c r="FJ309" i="3"/>
  <c r="AS195" i="5"/>
  <c r="AS201" i="5"/>
  <c r="AS229" i="5" s="1"/>
  <c r="AS232" i="5" s="1"/>
  <c r="AS237" i="5" s="1"/>
  <c r="AS199" i="5"/>
  <c r="AS193" i="5"/>
  <c r="AS200" i="5"/>
  <c r="AS197" i="5"/>
  <c r="ET201" i="5"/>
  <c r="ET229" i="5" s="1"/>
  <c r="ET232" i="5" s="1"/>
  <c r="ET237" i="5" s="1"/>
  <c r="ET199" i="5"/>
  <c r="ET200" i="5"/>
  <c r="ET195" i="5"/>
  <c r="ET193" i="5"/>
  <c r="ET197" i="5"/>
  <c r="BZ289" i="3"/>
  <c r="BZ264" i="3"/>
  <c r="BZ270" i="3" s="1"/>
  <c r="BZ273" i="3" s="1"/>
  <c r="BZ144" i="2"/>
  <c r="EG200" i="5"/>
  <c r="EG201" i="5"/>
  <c r="EG229" i="5" s="1"/>
  <c r="EG232" i="5" s="1"/>
  <c r="EG237" i="5" s="1"/>
  <c r="EG193" i="5"/>
  <c r="EG197" i="5"/>
  <c r="EG195" i="5"/>
  <c r="EG199" i="5"/>
  <c r="BI290" i="3"/>
  <c r="BI281" i="3"/>
  <c r="BI285" i="3" s="1"/>
  <c r="BI294" i="3" s="1"/>
  <c r="FX303" i="3"/>
  <c r="FX296" i="3"/>
  <c r="FX82" i="3"/>
  <c r="DJ201" i="5"/>
  <c r="DJ229" i="5" s="1"/>
  <c r="DJ232" i="5" s="1"/>
  <c r="DJ237" i="5" s="1"/>
  <c r="DJ200" i="5"/>
  <c r="DJ197" i="5"/>
  <c r="DJ193" i="5"/>
  <c r="DJ199" i="5"/>
  <c r="DJ195" i="5"/>
  <c r="FQ200" i="5"/>
  <c r="FQ201" i="5"/>
  <c r="FQ229" i="5" s="1"/>
  <c r="FQ232" i="5" s="1"/>
  <c r="FQ237" i="5" s="1"/>
  <c r="FQ199" i="5"/>
  <c r="FQ193" i="5"/>
  <c r="FQ197" i="5"/>
  <c r="FQ195" i="5"/>
  <c r="BI195" i="5"/>
  <c r="BI197" i="5"/>
  <c r="BI199" i="5"/>
  <c r="BI200" i="5"/>
  <c r="BI193" i="5"/>
  <c r="BI201" i="5"/>
  <c r="BI229" i="5" s="1"/>
  <c r="BI232" i="5" s="1"/>
  <c r="BI237" i="5" s="1"/>
  <c r="AB312" i="3"/>
  <c r="AB309" i="3"/>
  <c r="AB317" i="3"/>
  <c r="EO200" i="5"/>
  <c r="EO201" i="5"/>
  <c r="EO229" i="5" s="1"/>
  <c r="EO232" i="5" s="1"/>
  <c r="EO237" i="5" s="1"/>
  <c r="EO195" i="5"/>
  <c r="EO193" i="5"/>
  <c r="EO199" i="5"/>
  <c r="EO197" i="5"/>
  <c r="FZ123" i="3"/>
  <c r="C124" i="3"/>
  <c r="DP201" i="5"/>
  <c r="DP229" i="5" s="1"/>
  <c r="DP232" i="5" s="1"/>
  <c r="DP237" i="5" s="1"/>
  <c r="DP200" i="5"/>
  <c r="DP193" i="5"/>
  <c r="DP195" i="5"/>
  <c r="DP197" i="5"/>
  <c r="DP199" i="5"/>
  <c r="AJ289" i="3"/>
  <c r="AJ264" i="3"/>
  <c r="AJ270" i="3" s="1"/>
  <c r="AJ273" i="3" s="1"/>
  <c r="AJ144" i="2"/>
  <c r="FH193" i="5"/>
  <c r="FH195" i="5"/>
  <c r="FH199" i="5"/>
  <c r="FH200" i="5"/>
  <c r="FH197" i="5"/>
  <c r="FH201" i="5"/>
  <c r="FH229" i="5" s="1"/>
  <c r="FH232" i="5" s="1"/>
  <c r="FH237" i="5" s="1"/>
  <c r="U289" i="3"/>
  <c r="U264" i="3"/>
  <c r="U270" i="3" s="1"/>
  <c r="U273" i="3" s="1"/>
  <c r="U144" i="2"/>
  <c r="DR199" i="5"/>
  <c r="DR200" i="5"/>
  <c r="DR201" i="5"/>
  <c r="DR229" i="5" s="1"/>
  <c r="DR232" i="5" s="1"/>
  <c r="DR237" i="5" s="1"/>
  <c r="DR193" i="5"/>
  <c r="DR195" i="5"/>
  <c r="DR197" i="5"/>
  <c r="W296" i="3"/>
  <c r="W303" i="3"/>
  <c r="W82" i="3"/>
  <c r="FL145" i="2"/>
  <c r="FL146" i="2" s="1"/>
  <c r="FL147" i="2" s="1"/>
  <c r="BG200" i="5"/>
  <c r="BG195" i="5"/>
  <c r="BG197" i="5"/>
  <c r="BG199" i="5"/>
  <c r="BG193" i="5"/>
  <c r="BG201" i="5"/>
  <c r="BG229" i="5" s="1"/>
  <c r="BG232" i="5" s="1"/>
  <c r="BG237" i="5" s="1"/>
  <c r="T317" i="3"/>
  <c r="T309" i="3"/>
  <c r="T312" i="3"/>
  <c r="H290" i="3"/>
  <c r="H292" i="3" s="1"/>
  <c r="H281" i="3"/>
  <c r="H285" i="3" s="1"/>
  <c r="H294" i="3" s="1"/>
  <c r="BU304" i="3"/>
  <c r="BU318" i="3" s="1"/>
  <c r="BU298" i="3"/>
  <c r="BY342" i="5"/>
  <c r="BY339" i="5"/>
  <c r="FW195" i="5"/>
  <c r="FW197" i="5"/>
  <c r="FW199" i="5"/>
  <c r="FW200" i="5"/>
  <c r="FW201" i="5"/>
  <c r="FW229" i="5" s="1"/>
  <c r="FW232" i="5" s="1"/>
  <c r="FW237" i="5" s="1"/>
  <c r="FW193" i="5"/>
  <c r="DA195" i="5"/>
  <c r="DA201" i="5"/>
  <c r="DA229" i="5" s="1"/>
  <c r="DA232" i="5" s="1"/>
  <c r="DA237" i="5" s="1"/>
  <c r="DA199" i="5"/>
  <c r="DA193" i="5"/>
  <c r="DA200" i="5"/>
  <c r="DA197" i="5"/>
  <c r="AA264" i="3"/>
  <c r="AA270" i="3" s="1"/>
  <c r="AA273" i="3" s="1"/>
  <c r="AA289" i="3"/>
  <c r="AA144" i="2"/>
  <c r="FF303" i="3"/>
  <c r="FF296" i="3"/>
  <c r="FF82" i="3"/>
  <c r="FG199" i="5"/>
  <c r="FG200" i="5"/>
  <c r="FG201" i="5"/>
  <c r="FG229" i="5" s="1"/>
  <c r="FG232" i="5" s="1"/>
  <c r="FG237" i="5" s="1"/>
  <c r="FG193" i="5"/>
  <c r="FG195" i="5"/>
  <c r="FG197" i="5"/>
  <c r="C200" i="5"/>
  <c r="C201" i="5"/>
  <c r="C197" i="5"/>
  <c r="C199" i="5"/>
  <c r="C195" i="5"/>
  <c r="C193" i="5"/>
  <c r="EX145" i="2"/>
  <c r="EX146" i="2" s="1"/>
  <c r="EX147" i="2" s="1"/>
  <c r="BP290" i="3"/>
  <c r="BP281" i="3"/>
  <c r="BP285" i="3" s="1"/>
  <c r="BP294" i="3" s="1"/>
  <c r="BA200" i="5"/>
  <c r="BA201" i="5"/>
  <c r="BA229" i="5" s="1"/>
  <c r="BA232" i="5" s="1"/>
  <c r="BA237" i="5" s="1"/>
  <c r="BA195" i="5"/>
  <c r="BA197" i="5"/>
  <c r="BA193" i="5"/>
  <c r="BA199" i="5"/>
  <c r="AN312" i="3"/>
  <c r="AN309" i="3"/>
  <c r="AN317" i="3"/>
  <c r="FV193" i="5"/>
  <c r="FV195" i="5"/>
  <c r="FV197" i="5"/>
  <c r="FV200" i="5"/>
  <c r="FV199" i="5"/>
  <c r="FV201" i="5"/>
  <c r="FV229" i="5" s="1"/>
  <c r="FV232" i="5" s="1"/>
  <c r="FV237" i="5" s="1"/>
  <c r="CN145" i="2"/>
  <c r="CN146" i="2" s="1"/>
  <c r="CN147" i="2" s="1"/>
  <c r="ES197" i="5"/>
  <c r="ES195" i="5"/>
  <c r="ES193" i="5"/>
  <c r="ES200" i="5"/>
  <c r="ES201" i="5"/>
  <c r="ES229" i="5" s="1"/>
  <c r="ES232" i="5" s="1"/>
  <c r="ES237" i="5" s="1"/>
  <c r="ES199" i="5"/>
  <c r="AL199" i="5"/>
  <c r="AL200" i="5"/>
  <c r="AL201" i="5"/>
  <c r="AL229" i="5" s="1"/>
  <c r="AL232" i="5" s="1"/>
  <c r="AL237" i="5" s="1"/>
  <c r="AL197" i="5"/>
  <c r="AL195" i="5"/>
  <c r="AL193" i="5"/>
  <c r="V193" i="5"/>
  <c r="V197" i="5"/>
  <c r="V201" i="5"/>
  <c r="V229" i="5" s="1"/>
  <c r="V232" i="5" s="1"/>
  <c r="V237" i="5" s="1"/>
  <c r="V199" i="5"/>
  <c r="V200" i="5"/>
  <c r="V195" i="5"/>
  <c r="DW195" i="5"/>
  <c r="DW199" i="5"/>
  <c r="DW201" i="5"/>
  <c r="DW229" i="5" s="1"/>
  <c r="DW232" i="5" s="1"/>
  <c r="DW237" i="5" s="1"/>
  <c r="DW200" i="5"/>
  <c r="DW193" i="5"/>
  <c r="DW197" i="5"/>
  <c r="DI249" i="3"/>
  <c r="DI253" i="3" s="1"/>
  <c r="DI258" i="3" s="1"/>
  <c r="DI259" i="3" s="1"/>
  <c r="EK145" i="2"/>
  <c r="EK146" i="2" s="1"/>
  <c r="EK147" i="2" s="1"/>
  <c r="I199" i="5"/>
  <c r="I195" i="5"/>
  <c r="I200" i="5"/>
  <c r="I193" i="5"/>
  <c r="I197" i="5"/>
  <c r="I201" i="5"/>
  <c r="I229" i="5" s="1"/>
  <c r="I232" i="5" s="1"/>
  <c r="I237" i="5" s="1"/>
  <c r="AW289" i="3"/>
  <c r="AW264" i="3"/>
  <c r="AW270" i="3" s="1"/>
  <c r="AW273" i="3" s="1"/>
  <c r="AW144" i="2"/>
  <c r="DO195" i="5"/>
  <c r="DO197" i="5"/>
  <c r="DO199" i="5"/>
  <c r="DO193" i="5"/>
  <c r="DO201" i="5"/>
  <c r="DO229" i="5" s="1"/>
  <c r="DO232" i="5" s="1"/>
  <c r="DO237" i="5" s="1"/>
  <c r="DO200" i="5"/>
  <c r="FJ162" i="2"/>
  <c r="FJ151" i="2"/>
  <c r="FJ152" i="2" s="1"/>
  <c r="ER145" i="2"/>
  <c r="ER146" i="2" s="1"/>
  <c r="ER147" i="2" s="1"/>
  <c r="BW197" i="5"/>
  <c r="BW193" i="5"/>
  <c r="BW200" i="5"/>
  <c r="BW199" i="5"/>
  <c r="BW201" i="5"/>
  <c r="BW229" i="5" s="1"/>
  <c r="BW232" i="5" s="1"/>
  <c r="BW237" i="5" s="1"/>
  <c r="BW195" i="5"/>
  <c r="BI303" i="3"/>
  <c r="BI296" i="3"/>
  <c r="BI82" i="3"/>
  <c r="EW193" i="5"/>
  <c r="EW201" i="5"/>
  <c r="EW229" i="5" s="1"/>
  <c r="EW232" i="5" s="1"/>
  <c r="EW237" i="5" s="1"/>
  <c r="EW199" i="5"/>
  <c r="EW197" i="5"/>
  <c r="EW195" i="5"/>
  <c r="EW200" i="5"/>
  <c r="S249" i="3"/>
  <c r="S253" i="3" s="1"/>
  <c r="S258" i="3" s="1"/>
  <c r="S259" i="3" s="1"/>
  <c r="BJ197" i="5"/>
  <c r="BJ199" i="5"/>
  <c r="BJ200" i="5"/>
  <c r="BJ201" i="5"/>
  <c r="BJ229" i="5" s="1"/>
  <c r="BJ232" i="5" s="1"/>
  <c r="BJ237" i="5" s="1"/>
  <c r="BJ195" i="5"/>
  <c r="BJ193" i="5"/>
  <c r="CQ193" i="5"/>
  <c r="CQ201" i="5"/>
  <c r="CQ229" i="5" s="1"/>
  <c r="CQ232" i="5" s="1"/>
  <c r="CQ237" i="5" s="1"/>
  <c r="CQ195" i="5"/>
  <c r="CQ197" i="5"/>
  <c r="CQ200" i="5"/>
  <c r="CQ199" i="5"/>
  <c r="EV199" i="5"/>
  <c r="EV195" i="5"/>
  <c r="EV197" i="5"/>
  <c r="EV193" i="5"/>
  <c r="EV200" i="5"/>
  <c r="EV201" i="5"/>
  <c r="EV229" i="5" s="1"/>
  <c r="EV232" i="5" s="1"/>
  <c r="EV237" i="5" s="1"/>
  <c r="FU249" i="3"/>
  <c r="FU253" i="3" s="1"/>
  <c r="FU258" i="3" s="1"/>
  <c r="FU259" i="3" s="1"/>
  <c r="EN195" i="5"/>
  <c r="EN197" i="5"/>
  <c r="EN199" i="5"/>
  <c r="EN201" i="5"/>
  <c r="EN229" i="5" s="1"/>
  <c r="EN232" i="5" s="1"/>
  <c r="EN237" i="5" s="1"/>
  <c r="EN193" i="5"/>
  <c r="EN200" i="5"/>
  <c r="BW312" i="3"/>
  <c r="BW309" i="3"/>
  <c r="BW317" i="3"/>
  <c r="AL162" i="2"/>
  <c r="AL151" i="2"/>
  <c r="AL152" i="2" s="1"/>
  <c r="BX290" i="3"/>
  <c r="BX281" i="3"/>
  <c r="BX285" i="3" s="1"/>
  <c r="BX294" i="3" s="1"/>
  <c r="P304" i="3"/>
  <c r="P318" i="3" s="1"/>
  <c r="FT289" i="5"/>
  <c r="FT264" i="5"/>
  <c r="FT270" i="5" s="1"/>
  <c r="DL249" i="3"/>
  <c r="DL253" i="3" s="1"/>
  <c r="DL258" i="3" s="1"/>
  <c r="DL259" i="3" s="1"/>
  <c r="CU264" i="3"/>
  <c r="CU270" i="3" s="1"/>
  <c r="CU273" i="3" s="1"/>
  <c r="CU289" i="3"/>
  <c r="CU144" i="2"/>
  <c r="DI200" i="5"/>
  <c r="DI201" i="5"/>
  <c r="DI229" i="5" s="1"/>
  <c r="DI232" i="5" s="1"/>
  <c r="DI237" i="5" s="1"/>
  <c r="DI199" i="5"/>
  <c r="DI197" i="5"/>
  <c r="DI193" i="5"/>
  <c r="DI195" i="5"/>
  <c r="EW162" i="2"/>
  <c r="EW151" i="2"/>
  <c r="EW152" i="2" s="1"/>
  <c r="AP249" i="3"/>
  <c r="AP253" i="3" s="1"/>
  <c r="AP258" i="3" s="1"/>
  <c r="AP259" i="3" s="1"/>
  <c r="FL290" i="3"/>
  <c r="FL281" i="3"/>
  <c r="FL285" i="3" s="1"/>
  <c r="FL294" i="3" s="1"/>
  <c r="CW197" i="5"/>
  <c r="CW199" i="5"/>
  <c r="CW193" i="5"/>
  <c r="CW201" i="5"/>
  <c r="CW229" i="5" s="1"/>
  <c r="CW232" i="5" s="1"/>
  <c r="CW237" i="5" s="1"/>
  <c r="CW195" i="5"/>
  <c r="CW200" i="5"/>
  <c r="DF201" i="5"/>
  <c r="DF229" i="5" s="1"/>
  <c r="DF232" i="5" s="1"/>
  <c r="DF237" i="5" s="1"/>
  <c r="DF193" i="5"/>
  <c r="DF195" i="5"/>
  <c r="DF197" i="5"/>
  <c r="DF199" i="5"/>
  <c r="DF200" i="5"/>
  <c r="DY195" i="5"/>
  <c r="DY199" i="5"/>
  <c r="DY193" i="5"/>
  <c r="DY197" i="5"/>
  <c r="DY200" i="5"/>
  <c r="DY201" i="5"/>
  <c r="DY229" i="5" s="1"/>
  <c r="DY232" i="5" s="1"/>
  <c r="DY237" i="5" s="1"/>
  <c r="CL200" i="5"/>
  <c r="CL197" i="5"/>
  <c r="CL201" i="5"/>
  <c r="CL229" i="5" s="1"/>
  <c r="CL232" i="5" s="1"/>
  <c r="CL237" i="5" s="1"/>
  <c r="CL199" i="5"/>
  <c r="CL195" i="5"/>
  <c r="CL193" i="5"/>
  <c r="CA201" i="5"/>
  <c r="CA229" i="5" s="1"/>
  <c r="CA232" i="5" s="1"/>
  <c r="CA237" i="5" s="1"/>
  <c r="CA200" i="5"/>
  <c r="CA197" i="5"/>
  <c r="CA199" i="5"/>
  <c r="CA195" i="5"/>
  <c r="CA193" i="5"/>
  <c r="FH304" i="3"/>
  <c r="FH318" i="3" s="1"/>
  <c r="FH298" i="3"/>
  <c r="DQ197" i="5"/>
  <c r="DQ199" i="5"/>
  <c r="DQ200" i="5"/>
  <c r="DQ193" i="5"/>
  <c r="DQ201" i="5"/>
  <c r="DQ229" i="5" s="1"/>
  <c r="DQ232" i="5" s="1"/>
  <c r="DQ237" i="5" s="1"/>
  <c r="DQ195" i="5"/>
  <c r="DM201" i="5"/>
  <c r="DM229" i="5" s="1"/>
  <c r="DM232" i="5" s="1"/>
  <c r="DM237" i="5" s="1"/>
  <c r="DM195" i="5"/>
  <c r="DM200" i="5"/>
  <c r="DM197" i="5"/>
  <c r="DM199" i="5"/>
  <c r="DM193" i="5"/>
  <c r="AA195" i="5"/>
  <c r="AA197" i="5"/>
  <c r="AA193" i="5"/>
  <c r="AA199" i="5"/>
  <c r="AA200" i="5"/>
  <c r="AA201" i="5"/>
  <c r="AA229" i="5" s="1"/>
  <c r="AA232" i="5" s="1"/>
  <c r="AA237" i="5" s="1"/>
  <c r="T304" i="3"/>
  <c r="T318" i="3" s="1"/>
  <c r="T298" i="3"/>
  <c r="H303" i="3"/>
  <c r="H296" i="3"/>
  <c r="H82" i="3"/>
  <c r="AT289" i="3"/>
  <c r="AT264" i="3"/>
  <c r="AT270" i="3" s="1"/>
  <c r="AT273" i="3" s="1"/>
  <c r="AT144" i="2"/>
  <c r="DH200" i="5"/>
  <c r="DH201" i="5"/>
  <c r="DH229" i="5" s="1"/>
  <c r="DH232" i="5" s="1"/>
  <c r="DH237" i="5" s="1"/>
  <c r="DH199" i="5"/>
  <c r="DH197" i="5"/>
  <c r="DH193" i="5"/>
  <c r="DH195" i="5"/>
  <c r="FS193" i="5"/>
  <c r="FS200" i="5"/>
  <c r="FS195" i="5"/>
  <c r="FS197" i="5"/>
  <c r="FS199" i="5"/>
  <c r="FS201" i="5"/>
  <c r="FS229" i="5" s="1"/>
  <c r="FS232" i="5" s="1"/>
  <c r="FS237" i="5" s="1"/>
  <c r="FS289" i="3"/>
  <c r="FS264" i="3"/>
  <c r="FS270" i="3" s="1"/>
  <c r="FS273" i="3" s="1"/>
  <c r="FS144" i="2"/>
  <c r="BK195" i="5"/>
  <c r="BK193" i="5"/>
  <c r="BK200" i="5"/>
  <c r="BK197" i="5"/>
  <c r="BK199" i="5"/>
  <c r="BK201" i="5"/>
  <c r="BK229" i="5" s="1"/>
  <c r="BK232" i="5" s="1"/>
  <c r="BK237" i="5" s="1"/>
  <c r="AE145" i="2"/>
  <c r="AE146" i="2" s="1"/>
  <c r="AE147" i="2" s="1"/>
  <c r="CH289" i="3"/>
  <c r="CH264" i="3"/>
  <c r="CH270" i="3" s="1"/>
  <c r="CH273" i="3" s="1"/>
  <c r="CH144" i="2"/>
  <c r="EB199" i="5"/>
  <c r="EB193" i="5"/>
  <c r="EB197" i="5"/>
  <c r="EB200" i="5"/>
  <c r="EB201" i="5"/>
  <c r="EB229" i="5" s="1"/>
  <c r="EB232" i="5" s="1"/>
  <c r="EB237" i="5" s="1"/>
  <c r="EB195" i="5"/>
  <c r="FM289" i="3"/>
  <c r="FM264" i="3"/>
  <c r="FM270" i="3" s="1"/>
  <c r="FM273" i="3" s="1"/>
  <c r="FM144" i="2"/>
  <c r="K201" i="5"/>
  <c r="K229" i="5" s="1"/>
  <c r="K232" i="5" s="1"/>
  <c r="K237" i="5" s="1"/>
  <c r="K197" i="5"/>
  <c r="K199" i="5"/>
  <c r="K200" i="5"/>
  <c r="K195" i="5"/>
  <c r="K193" i="5"/>
  <c r="CK312" i="3"/>
  <c r="CK309" i="3"/>
  <c r="CK317" i="3"/>
  <c r="EX290" i="3"/>
  <c r="EX281" i="3"/>
  <c r="EX285" i="3" s="1"/>
  <c r="EX294" i="3" s="1"/>
  <c r="BP303" i="3"/>
  <c r="BP296" i="3"/>
  <c r="BP82" i="3"/>
  <c r="FU195" i="5"/>
  <c r="FU193" i="5"/>
  <c r="FU200" i="5"/>
  <c r="FU201" i="5"/>
  <c r="FU229" i="5" s="1"/>
  <c r="FU232" i="5" s="1"/>
  <c r="FU237" i="5" s="1"/>
  <c r="FU199" i="5"/>
  <c r="FU197" i="5"/>
  <c r="DU200" i="5"/>
  <c r="DU201" i="5"/>
  <c r="DU229" i="5" s="1"/>
  <c r="DU232" i="5" s="1"/>
  <c r="DU237" i="5" s="1"/>
  <c r="DU197" i="5"/>
  <c r="DU195" i="5"/>
  <c r="DU193" i="5"/>
  <c r="DU199" i="5"/>
  <c r="CN290" i="3"/>
  <c r="CN281" i="3"/>
  <c r="CN285" i="3" s="1"/>
  <c r="CN294" i="3" s="1"/>
  <c r="AN304" i="3"/>
  <c r="AN318" i="3" s="1"/>
  <c r="AN298" i="3"/>
  <c r="R201" i="5"/>
  <c r="R229" i="5" s="1"/>
  <c r="R232" i="5" s="1"/>
  <c r="R237" i="5" s="1"/>
  <c r="R200" i="5"/>
  <c r="R197" i="5"/>
  <c r="R198" i="5" s="1"/>
  <c r="R199" i="5"/>
  <c r="R193" i="5"/>
  <c r="R195" i="5"/>
  <c r="AV289" i="3"/>
  <c r="AV264" i="3"/>
  <c r="AV270" i="3" s="1"/>
  <c r="AV273" i="3" s="1"/>
  <c r="AV144" i="2"/>
  <c r="EZ290" i="3"/>
  <c r="EZ281" i="3"/>
  <c r="EZ285" i="3" s="1"/>
  <c r="EZ294" i="3" s="1"/>
  <c r="ED199" i="5"/>
  <c r="ED200" i="5"/>
  <c r="ED193" i="5"/>
  <c r="ED195" i="5"/>
  <c r="ED201" i="5"/>
  <c r="ED229" i="5" s="1"/>
  <c r="ED232" i="5" s="1"/>
  <c r="ED237" i="5" s="1"/>
  <c r="ED197" i="5"/>
  <c r="AR201" i="5"/>
  <c r="AR229" i="5" s="1"/>
  <c r="AR232" i="5" s="1"/>
  <c r="AR237" i="5" s="1"/>
  <c r="AR199" i="5"/>
  <c r="AR200" i="5"/>
  <c r="AR193" i="5"/>
  <c r="AR197" i="5"/>
  <c r="AR195" i="5"/>
  <c r="ER290" i="3"/>
  <c r="ER292" i="3" s="1"/>
  <c r="ER281" i="3"/>
  <c r="ER285" i="3" s="1"/>
  <c r="ER294" i="3" s="1"/>
  <c r="BD195" i="5"/>
  <c r="BD200" i="5"/>
  <c r="BD197" i="5"/>
  <c r="BD199" i="5"/>
  <c r="BD193" i="5"/>
  <c r="BD201" i="5"/>
  <c r="BD229" i="5" s="1"/>
  <c r="BD232" i="5" s="1"/>
  <c r="BD237" i="5" s="1"/>
  <c r="F289" i="3"/>
  <c r="F264" i="3"/>
  <c r="F270" i="3" s="1"/>
  <c r="F273" i="3" s="1"/>
  <c r="F144" i="2"/>
  <c r="BB249" i="3"/>
  <c r="BB253" i="3" s="1"/>
  <c r="BB258" i="3" s="1"/>
  <c r="BB259" i="3" s="1"/>
  <c r="P201" i="5"/>
  <c r="P229" i="5" s="1"/>
  <c r="P232" i="5" s="1"/>
  <c r="P237" i="5" s="1"/>
  <c r="P199" i="5"/>
  <c r="P193" i="5"/>
  <c r="P197" i="5"/>
  <c r="P200" i="5"/>
  <c r="P195" i="5"/>
  <c r="BV296" i="3"/>
  <c r="BV303" i="3"/>
  <c r="BV82" i="3"/>
  <c r="AL292" i="3"/>
  <c r="AL298" i="3" s="1"/>
  <c r="FC303" i="3"/>
  <c r="FC296" i="3"/>
  <c r="FC82" i="3"/>
  <c r="DK145" i="2"/>
  <c r="DK146" i="2" s="1"/>
  <c r="DK147" i="2" s="1"/>
  <c r="FX200" i="5"/>
  <c r="FX193" i="5"/>
  <c r="FX201" i="5"/>
  <c r="FX229" i="5" s="1"/>
  <c r="FX232" i="5" s="1"/>
  <c r="FX237" i="5" s="1"/>
  <c r="FX195" i="5"/>
  <c r="FX197" i="5"/>
  <c r="FX199" i="5"/>
  <c r="AF201" i="5"/>
  <c r="AF229" i="5" s="1"/>
  <c r="AF232" i="5" s="1"/>
  <c r="AF237" i="5" s="1"/>
  <c r="AF195" i="5"/>
  <c r="AF193" i="5"/>
  <c r="AF199" i="5"/>
  <c r="AF197" i="5"/>
  <c r="AF200" i="5"/>
  <c r="P312" i="3"/>
  <c r="P309" i="3"/>
  <c r="P317" i="3"/>
  <c r="CT289" i="3"/>
  <c r="CT264" i="3"/>
  <c r="CT270" i="3" s="1"/>
  <c r="CT273" i="3" s="1"/>
  <c r="CT144" i="2"/>
  <c r="DT200" i="5"/>
  <c r="DT201" i="5"/>
  <c r="DT229" i="5" s="1"/>
  <c r="DT232" i="5" s="1"/>
  <c r="DT237" i="5" s="1"/>
  <c r="DT197" i="5"/>
  <c r="DT195" i="5"/>
  <c r="DT193" i="5"/>
  <c r="DT199" i="5"/>
  <c r="D264" i="3"/>
  <c r="D270" i="3" s="1"/>
  <c r="D273" i="3" s="1"/>
  <c r="AF289" i="3"/>
  <c r="AF264" i="3"/>
  <c r="AF270" i="3" s="1"/>
  <c r="AF273" i="3" s="1"/>
  <c r="AF144" i="2"/>
  <c r="FB200" i="5"/>
  <c r="FB201" i="5"/>
  <c r="FB229" i="5" s="1"/>
  <c r="FB232" i="5" s="1"/>
  <c r="FB237" i="5" s="1"/>
  <c r="FB193" i="5"/>
  <c r="FB195" i="5"/>
  <c r="FB199" i="5"/>
  <c r="FB197" i="5"/>
  <c r="BP197" i="5"/>
  <c r="BP201" i="5"/>
  <c r="BP229" i="5" s="1"/>
  <c r="BP232" i="5" s="1"/>
  <c r="BP237" i="5" s="1"/>
  <c r="BP200" i="5"/>
  <c r="BP193" i="5"/>
  <c r="BP195" i="5"/>
  <c r="BP199" i="5"/>
  <c r="AD145" i="2"/>
  <c r="AD146" i="2" s="1"/>
  <c r="AD147" i="2" s="1"/>
  <c r="EE289" i="3"/>
  <c r="EE264" i="3"/>
  <c r="EE270" i="3" s="1"/>
  <c r="EE273" i="3" s="1"/>
  <c r="EE144" i="2"/>
  <c r="DG304" i="3"/>
  <c r="DG318" i="3" s="1"/>
  <c r="AO289" i="3"/>
  <c r="AO264" i="3"/>
  <c r="AO270" i="3" s="1"/>
  <c r="AO273" i="3" s="1"/>
  <c r="AO144" i="2"/>
  <c r="BU197" i="5"/>
  <c r="BU199" i="5"/>
  <c r="BU200" i="5"/>
  <c r="BU193" i="5"/>
  <c r="BU195" i="5"/>
  <c r="BU201" i="5"/>
  <c r="BU229" i="5" s="1"/>
  <c r="BU232" i="5" s="1"/>
  <c r="BU237" i="5" s="1"/>
  <c r="CN303" i="3"/>
  <c r="CN296" i="3"/>
  <c r="CN82" i="3"/>
  <c r="EW292" i="3"/>
  <c r="EW298" i="3" s="1"/>
  <c r="CZ289" i="3"/>
  <c r="CZ264" i="3"/>
  <c r="CZ270" i="3" s="1"/>
  <c r="CZ273" i="3" s="1"/>
  <c r="CZ144" i="2"/>
  <c r="DG162" i="2"/>
  <c r="DG151" i="2"/>
  <c r="DG152" i="2" s="1"/>
  <c r="AC200" i="5"/>
  <c r="AC201" i="5"/>
  <c r="AC229" i="5" s="1"/>
  <c r="AC232" i="5" s="1"/>
  <c r="AC237" i="5" s="1"/>
  <c r="AC199" i="5"/>
  <c r="AC193" i="5"/>
  <c r="AC197" i="5"/>
  <c r="AC195" i="5"/>
  <c r="CR195" i="5"/>
  <c r="CR197" i="5"/>
  <c r="CR199" i="5"/>
  <c r="CR200" i="5"/>
  <c r="CR193" i="5"/>
  <c r="CR201" i="5"/>
  <c r="CR229" i="5" s="1"/>
  <c r="CR232" i="5" s="1"/>
  <c r="CR237" i="5" s="1"/>
  <c r="N289" i="3"/>
  <c r="N264" i="3"/>
  <c r="N270" i="3" s="1"/>
  <c r="N273" i="3" s="1"/>
  <c r="N144" i="2"/>
  <c r="G303" i="3"/>
  <c r="G296" i="3"/>
  <c r="G82" i="3"/>
  <c r="DK199" i="5"/>
  <c r="DK193" i="5"/>
  <c r="DK201" i="5"/>
  <c r="DK229" i="5" s="1"/>
  <c r="DK232" i="5" s="1"/>
  <c r="DK237" i="5" s="1"/>
  <c r="DK200" i="5"/>
  <c r="DK195" i="5"/>
  <c r="DK197" i="5"/>
  <c r="FK296" i="3"/>
  <c r="FK303" i="3"/>
  <c r="FK82" i="3"/>
  <c r="O264" i="3"/>
  <c r="O270" i="3" s="1"/>
  <c r="O273" i="3" s="1"/>
  <c r="O289" i="3"/>
  <c r="O144" i="2"/>
  <c r="ER303" i="3"/>
  <c r="ER296" i="3"/>
  <c r="ER82" i="3"/>
  <c r="Y200" i="5"/>
  <c r="Y193" i="5"/>
  <c r="Y195" i="5"/>
  <c r="Y201" i="5"/>
  <c r="Y229" i="5" s="1"/>
  <c r="Y232" i="5" s="1"/>
  <c r="Y237" i="5" s="1"/>
  <c r="Y199" i="5"/>
  <c r="Y197" i="5"/>
  <c r="DZ201" i="5"/>
  <c r="DZ229" i="5" s="1"/>
  <c r="DZ232" i="5" s="1"/>
  <c r="DZ237" i="5" s="1"/>
  <c r="DZ193" i="5"/>
  <c r="DZ195" i="5"/>
  <c r="DZ200" i="5"/>
  <c r="DZ197" i="5"/>
  <c r="DZ199" i="5"/>
  <c r="DW289" i="3"/>
  <c r="DW264" i="3"/>
  <c r="DW270" i="3" s="1"/>
  <c r="DW273" i="3" s="1"/>
  <c r="DW144" i="2"/>
  <c r="FE303" i="3"/>
  <c r="FE296" i="3"/>
  <c r="FE82" i="3"/>
  <c r="AI164" i="2"/>
  <c r="AI158" i="2"/>
  <c r="AI169" i="2" s="1"/>
  <c r="AI184" i="2" s="1"/>
  <c r="FC290" i="3"/>
  <c r="FC292" i="3" s="1"/>
  <c r="FC281" i="3"/>
  <c r="FC285" i="3" s="1"/>
  <c r="FC294" i="3" s="1"/>
  <c r="AB151" i="2"/>
  <c r="AB152" i="2" s="1"/>
  <c r="AB162" i="2"/>
  <c r="CL289" i="3"/>
  <c r="CL264" i="3"/>
  <c r="CL270" i="3" s="1"/>
  <c r="CL273" i="3" s="1"/>
  <c r="CL144" i="2"/>
  <c r="CP249" i="3"/>
  <c r="CP253" i="3" s="1"/>
  <c r="CP258" i="3" s="1"/>
  <c r="CP259" i="3" s="1"/>
  <c r="AT199" i="5"/>
  <c r="AT193" i="5"/>
  <c r="AT197" i="5"/>
  <c r="AT195" i="5"/>
  <c r="AT201" i="5"/>
  <c r="AT229" i="5" s="1"/>
  <c r="AT232" i="5" s="1"/>
  <c r="AT237" i="5" s="1"/>
  <c r="AT200" i="5"/>
  <c r="ET303" i="3"/>
  <c r="ET296" i="3"/>
  <c r="ET82" i="3"/>
  <c r="BD264" i="3"/>
  <c r="BD270" i="3" s="1"/>
  <c r="BD273" i="3" s="1"/>
  <c r="BD289" i="3"/>
  <c r="BD144" i="2"/>
  <c r="O197" i="5"/>
  <c r="O195" i="5"/>
  <c r="O200" i="5"/>
  <c r="O199" i="5"/>
  <c r="O201" i="5"/>
  <c r="O229" i="5" s="1"/>
  <c r="O232" i="5" s="1"/>
  <c r="O237" i="5" s="1"/>
  <c r="O193" i="5"/>
  <c r="BF197" i="5"/>
  <c r="BF193" i="5"/>
  <c r="BF201" i="5"/>
  <c r="BF229" i="5" s="1"/>
  <c r="BF232" i="5" s="1"/>
  <c r="BF237" i="5" s="1"/>
  <c r="BF199" i="5"/>
  <c r="BF200" i="5"/>
  <c r="BF195" i="5"/>
  <c r="DK290" i="3"/>
  <c r="DK292" i="3" s="1"/>
  <c r="DK281" i="3"/>
  <c r="DK285" i="3" s="1"/>
  <c r="DK294" i="3" s="1"/>
  <c r="AS289" i="3"/>
  <c r="AS264" i="3"/>
  <c r="AS270" i="3" s="1"/>
  <c r="AS273" i="3" s="1"/>
  <c r="AS144" i="2"/>
  <c r="P292" i="3"/>
  <c r="P298" i="3" s="1"/>
  <c r="X199" i="5"/>
  <c r="X195" i="5"/>
  <c r="X197" i="5"/>
  <c r="X201" i="5"/>
  <c r="X229" i="5" s="1"/>
  <c r="X232" i="5" s="1"/>
  <c r="X237" i="5" s="1"/>
  <c r="X193" i="5"/>
  <c r="X200" i="5"/>
  <c r="FB145" i="2"/>
  <c r="FB146" i="2" s="1"/>
  <c r="FB147" i="2" s="1"/>
  <c r="CW289" i="3"/>
  <c r="CW264" i="3"/>
  <c r="CW270" i="3" s="1"/>
  <c r="CW273" i="3" s="1"/>
  <c r="CW144" i="2"/>
  <c r="ES290" i="3"/>
  <c r="ES281" i="3"/>
  <c r="ES285" i="3" s="1"/>
  <c r="ES294" i="3" s="1"/>
  <c r="AE303" i="3"/>
  <c r="AE296" i="3"/>
  <c r="AE292" i="3"/>
  <c r="AE82" i="3"/>
  <c r="DX201" i="5"/>
  <c r="DX229" i="5" s="1"/>
  <c r="DX232" i="5" s="1"/>
  <c r="DX237" i="5" s="1"/>
  <c r="DX199" i="5"/>
  <c r="DX200" i="5"/>
  <c r="DX193" i="5"/>
  <c r="DX197" i="5"/>
  <c r="DX195" i="5"/>
  <c r="BB195" i="5"/>
  <c r="BB200" i="5"/>
  <c r="BB193" i="5"/>
  <c r="BB197" i="5"/>
  <c r="BB201" i="5"/>
  <c r="BB229" i="5" s="1"/>
  <c r="BB232" i="5" s="1"/>
  <c r="BB237" i="5" s="1"/>
  <c r="BB199" i="5"/>
  <c r="DJ289" i="3"/>
  <c r="DJ264" i="3"/>
  <c r="DJ270" i="3" s="1"/>
  <c r="DJ273" i="3" s="1"/>
  <c r="DJ144" i="2"/>
  <c r="CJ193" i="5"/>
  <c r="CJ197" i="5"/>
  <c r="CJ195" i="5"/>
  <c r="CJ200" i="5"/>
  <c r="CJ201" i="5"/>
  <c r="CJ229" i="5" s="1"/>
  <c r="CJ232" i="5" s="1"/>
  <c r="CJ237" i="5" s="1"/>
  <c r="CJ199" i="5"/>
  <c r="V145" i="2"/>
  <c r="V146" i="2" s="1"/>
  <c r="V147" i="2" s="1"/>
  <c r="K145" i="2"/>
  <c r="K146" i="2" s="1"/>
  <c r="K147" i="2" s="1"/>
  <c r="CS303" i="3"/>
  <c r="CS296" i="3"/>
  <c r="CS82" i="3"/>
  <c r="AD290" i="3"/>
  <c r="AD292" i="3" s="1"/>
  <c r="AD281" i="3"/>
  <c r="AD285" i="3" s="1"/>
  <c r="AD294" i="3" s="1"/>
  <c r="CO289" i="3"/>
  <c r="CO264" i="3"/>
  <c r="CO270" i="3" s="1"/>
  <c r="CO273" i="3" s="1"/>
  <c r="CO144" i="2"/>
  <c r="FR201" i="5"/>
  <c r="FR229" i="5" s="1"/>
  <c r="FR232" i="5" s="1"/>
  <c r="FR237" i="5" s="1"/>
  <c r="FR199" i="5"/>
  <c r="FR193" i="5"/>
  <c r="FR197" i="5"/>
  <c r="FR195" i="5"/>
  <c r="FR200" i="5"/>
  <c r="BS289" i="3"/>
  <c r="BS264" i="3"/>
  <c r="BS270" i="3" s="1"/>
  <c r="BS273" i="3" s="1"/>
  <c r="BS144" i="2"/>
  <c r="DA289" i="3"/>
  <c r="DA264" i="3"/>
  <c r="DA270" i="3" s="1"/>
  <c r="DA273" i="3" s="1"/>
  <c r="DA144" i="2"/>
  <c r="FR289" i="3"/>
  <c r="FR264" i="3"/>
  <c r="FR270" i="3" s="1"/>
  <c r="FR273" i="3" s="1"/>
  <c r="FR144" i="2"/>
  <c r="AR289" i="3"/>
  <c r="AR264" i="3"/>
  <c r="AR270" i="3" s="1"/>
  <c r="AR273" i="3" s="1"/>
  <c r="AR144" i="2"/>
  <c r="Z197" i="5"/>
  <c r="Z199" i="5"/>
  <c r="Z200" i="5"/>
  <c r="Z195" i="5"/>
  <c r="Z201" i="5"/>
  <c r="Z229" i="5" s="1"/>
  <c r="Z232" i="5" s="1"/>
  <c r="Z237" i="5" s="1"/>
  <c r="Z193" i="5"/>
  <c r="J200" i="5"/>
  <c r="J195" i="5"/>
  <c r="J193" i="5"/>
  <c r="J197" i="5"/>
  <c r="J201" i="5"/>
  <c r="J229" i="5" s="1"/>
  <c r="J232" i="5" s="1"/>
  <c r="J237" i="5" s="1"/>
  <c r="J199" i="5"/>
  <c r="DE289" i="3"/>
  <c r="DE264" i="3"/>
  <c r="DE270" i="3" s="1"/>
  <c r="DE273" i="3" s="1"/>
  <c r="DE144" i="2"/>
  <c r="FD200" i="5"/>
  <c r="FD201" i="5"/>
  <c r="FD229" i="5" s="1"/>
  <c r="FD232" i="5" s="1"/>
  <c r="FD237" i="5" s="1"/>
  <c r="FD193" i="5"/>
  <c r="FD195" i="5"/>
  <c r="FD199" i="5"/>
  <c r="FD197" i="5"/>
  <c r="BJ289" i="3"/>
  <c r="BJ264" i="3"/>
  <c r="BJ270" i="3" s="1"/>
  <c r="BJ273" i="3" s="1"/>
  <c r="BJ144" i="2"/>
  <c r="AZ289" i="3"/>
  <c r="AZ264" i="3"/>
  <c r="AZ270" i="3" s="1"/>
  <c r="AZ273" i="3" s="1"/>
  <c r="AZ144" i="2"/>
  <c r="AB200" i="5"/>
  <c r="AB201" i="5"/>
  <c r="AB229" i="5" s="1"/>
  <c r="AB232" i="5" s="1"/>
  <c r="AB237" i="5" s="1"/>
  <c r="AB195" i="5"/>
  <c r="AB199" i="5"/>
  <c r="AB193" i="5"/>
  <c r="AB197" i="5"/>
  <c r="DV201" i="5"/>
  <c r="DV229" i="5" s="1"/>
  <c r="DV232" i="5" s="1"/>
  <c r="DV237" i="5" s="1"/>
  <c r="DV197" i="5"/>
  <c r="DV195" i="5"/>
  <c r="DV199" i="5"/>
  <c r="DV193" i="5"/>
  <c r="DV200" i="5"/>
  <c r="CA145" i="2"/>
  <c r="CA146" i="2" s="1"/>
  <c r="CA147" i="2" s="1"/>
  <c r="AI170" i="2"/>
  <c r="AI179" i="2"/>
  <c r="AI174" i="2"/>
  <c r="AI50" i="2"/>
  <c r="D144" i="2" l="1"/>
  <c r="BQ144" i="2"/>
  <c r="X317" i="3"/>
  <c r="M144" i="2"/>
  <c r="X309" i="3"/>
  <c r="M264" i="3"/>
  <c r="M270" i="3" s="1"/>
  <c r="M273" i="3" s="1"/>
  <c r="AN275" i="3"/>
  <c r="FV144" i="2"/>
  <c r="FV264" i="3"/>
  <c r="FV270" i="3" s="1"/>
  <c r="FV273" i="3" s="1"/>
  <c r="FV290" i="3" s="1"/>
  <c r="FV292" i="3" s="1"/>
  <c r="CS281" i="3"/>
  <c r="CS285" i="3" s="1"/>
  <c r="CS294" i="3" s="1"/>
  <c r="BF82" i="3"/>
  <c r="BF296" i="3"/>
  <c r="DM290" i="3"/>
  <c r="DM292" i="3" s="1"/>
  <c r="BF292" i="3"/>
  <c r="BF298" i="3" s="1"/>
  <c r="EY303" i="3"/>
  <c r="EY82" i="3"/>
  <c r="AM281" i="3"/>
  <c r="AM285" i="3" s="1"/>
  <c r="AM294" i="3" s="1"/>
  <c r="EU289" i="3"/>
  <c r="EU303" i="3" s="1"/>
  <c r="BF281" i="3"/>
  <c r="BF285" i="3" s="1"/>
  <c r="BF294" i="3" s="1"/>
  <c r="K303" i="3"/>
  <c r="FL82" i="3"/>
  <c r="EZ82" i="3"/>
  <c r="FQ82" i="3"/>
  <c r="EZ292" i="3"/>
  <c r="FA82" i="3"/>
  <c r="FQ296" i="3"/>
  <c r="FL292" i="3"/>
  <c r="FL298" i="3" s="1"/>
  <c r="FL296" i="3"/>
  <c r="FK264" i="3"/>
  <c r="FK270" i="3" s="1"/>
  <c r="FK273" i="3" s="1"/>
  <c r="FK290" i="3" s="1"/>
  <c r="FK292" i="3" s="1"/>
  <c r="AQ281" i="3"/>
  <c r="AQ285" i="3" s="1"/>
  <c r="AQ294" i="3" s="1"/>
  <c r="EZ296" i="3"/>
  <c r="X304" i="3"/>
  <c r="X318" i="3" s="1"/>
  <c r="FA281" i="3"/>
  <c r="FA285" i="3" s="1"/>
  <c r="FA294" i="3" s="1"/>
  <c r="EU144" i="2"/>
  <c r="EX82" i="3"/>
  <c r="BX82" i="3"/>
  <c r="EX296" i="3"/>
  <c r="BX292" i="3"/>
  <c r="BX298" i="3" s="1"/>
  <c r="BX296" i="3"/>
  <c r="EQ50" i="2"/>
  <c r="EQ170" i="2"/>
  <c r="EQ179" i="2"/>
  <c r="FE281" i="3"/>
  <c r="FE285" i="3" s="1"/>
  <c r="FE294" i="3" s="1"/>
  <c r="FQ292" i="3"/>
  <c r="FQ298" i="3" s="1"/>
  <c r="DD290" i="3"/>
  <c r="DD292" i="3" s="1"/>
  <c r="CQ292" i="3"/>
  <c r="AY296" i="3"/>
  <c r="CQ303" i="3"/>
  <c r="CQ309" i="3" s="1"/>
  <c r="AY82" i="3"/>
  <c r="BL82" i="3"/>
  <c r="BL303" i="3"/>
  <c r="BL292" i="3"/>
  <c r="FQ281" i="3"/>
  <c r="FQ285" i="3" s="1"/>
  <c r="FQ294" i="3" s="1"/>
  <c r="AI309" i="3"/>
  <c r="AI317" i="3"/>
  <c r="AI312" i="3"/>
  <c r="DP281" i="3"/>
  <c r="DP285" i="3" s="1"/>
  <c r="DP294" i="3" s="1"/>
  <c r="AB298" i="3"/>
  <c r="K82" i="3"/>
  <c r="AB304" i="3"/>
  <c r="AB318" i="3" s="1"/>
  <c r="FG82" i="3"/>
  <c r="EC281" i="3"/>
  <c r="EC285" i="3" s="1"/>
  <c r="EC294" i="3" s="1"/>
  <c r="FG296" i="3"/>
  <c r="BX146" i="2"/>
  <c r="BX147" i="2" s="1"/>
  <c r="FK144" i="2"/>
  <c r="FK145" i="2" s="1"/>
  <c r="FK146" i="2" s="1"/>
  <c r="FK147" i="2" s="1"/>
  <c r="FK162" i="2" s="1"/>
  <c r="EQ151" i="2"/>
  <c r="EQ152" i="2" s="1"/>
  <c r="EQ158" i="2" s="1"/>
  <c r="EQ169" i="2" s="1"/>
  <c r="EQ184" i="2" s="1"/>
  <c r="FN144" i="2"/>
  <c r="FN145" i="2" s="1"/>
  <c r="FN146" i="2" s="1"/>
  <c r="FN147" i="2" s="1"/>
  <c r="DS144" i="2"/>
  <c r="DS145" i="2" s="1"/>
  <c r="DS146" i="2" s="1"/>
  <c r="DS147" i="2" s="1"/>
  <c r="V290" i="3"/>
  <c r="V292" i="3" s="1"/>
  <c r="FN264" i="3"/>
  <c r="FN270" i="3" s="1"/>
  <c r="FN273" i="3" s="1"/>
  <c r="FN290" i="3" s="1"/>
  <c r="FN292" i="3" s="1"/>
  <c r="DS264" i="3"/>
  <c r="DS270" i="3" s="1"/>
  <c r="DS273" i="3" s="1"/>
  <c r="CF82" i="3"/>
  <c r="CF292" i="3"/>
  <c r="CF298" i="3" s="1"/>
  <c r="EB296" i="3"/>
  <c r="EB144" i="2"/>
  <c r="EB145" i="2" s="1"/>
  <c r="EB146" i="2" s="1"/>
  <c r="EB147" i="2" s="1"/>
  <c r="EB162" i="2" s="1"/>
  <c r="CF296" i="3"/>
  <c r="EB303" i="3"/>
  <c r="EB317" i="3" s="1"/>
  <c r="EY144" i="2"/>
  <c r="EY145" i="2" s="1"/>
  <c r="EY146" i="2" s="1"/>
  <c r="EY147" i="2" s="1"/>
  <c r="EY162" i="2" s="1"/>
  <c r="W281" i="3"/>
  <c r="W285" i="3" s="1"/>
  <c r="W294" i="3" s="1"/>
  <c r="EQ292" i="3"/>
  <c r="EQ298" i="3" s="1"/>
  <c r="EQ304" i="3"/>
  <c r="CK275" i="3"/>
  <c r="EY264" i="3"/>
  <c r="EY270" i="3" s="1"/>
  <c r="EY273" i="3" s="1"/>
  <c r="EY290" i="3" s="1"/>
  <c r="EY292" i="3" s="1"/>
  <c r="CR281" i="3"/>
  <c r="CR285" i="3" s="1"/>
  <c r="CR294" i="3" s="1"/>
  <c r="AY292" i="3"/>
  <c r="AY298" i="3" s="1"/>
  <c r="CQ82" i="3"/>
  <c r="EB264" i="3"/>
  <c r="EB270" i="3" s="1"/>
  <c r="EB273" i="3" s="1"/>
  <c r="EB290" i="3" s="1"/>
  <c r="EB292" i="3" s="1"/>
  <c r="BV290" i="3"/>
  <c r="BV292" i="3" s="1"/>
  <c r="BQ264" i="3"/>
  <c r="BQ270" i="3" s="1"/>
  <c r="BQ273" i="3" s="1"/>
  <c r="BQ290" i="3" s="1"/>
  <c r="BQ292" i="3" s="1"/>
  <c r="CA281" i="3"/>
  <c r="CA285" i="3" s="1"/>
  <c r="CA294" i="3" s="1"/>
  <c r="BO264" i="3"/>
  <c r="BO270" i="3" s="1"/>
  <c r="BO273" i="3" s="1"/>
  <c r="BO144" i="2"/>
  <c r="BO145" i="2" s="1"/>
  <c r="BO146" i="2" s="1"/>
  <c r="BO147" i="2" s="1"/>
  <c r="BO162" i="2" s="1"/>
  <c r="BO82" i="3"/>
  <c r="BO296" i="3"/>
  <c r="G290" i="3"/>
  <c r="G292" i="3" s="1"/>
  <c r="BL281" i="3"/>
  <c r="BL285" i="3" s="1"/>
  <c r="BL294" i="3" s="1"/>
  <c r="BW306" i="3"/>
  <c r="BW320" i="3" s="1"/>
  <c r="Q303" i="3"/>
  <c r="Q312" i="3" s="1"/>
  <c r="Q296" i="3"/>
  <c r="Q82" i="3"/>
  <c r="Q144" i="2"/>
  <c r="Q145" i="2" s="1"/>
  <c r="Q146" i="2" s="1"/>
  <c r="Q147" i="2" s="1"/>
  <c r="Q162" i="2" s="1"/>
  <c r="Q264" i="3"/>
  <c r="Q270" i="3" s="1"/>
  <c r="Q273" i="3" s="1"/>
  <c r="EW275" i="3"/>
  <c r="FA292" i="3"/>
  <c r="FA298" i="3" s="1"/>
  <c r="EH290" i="3"/>
  <c r="EH292" i="3" s="1"/>
  <c r="DR264" i="3"/>
  <c r="DR270" i="3" s="1"/>
  <c r="DR273" i="3" s="1"/>
  <c r="CA296" i="3"/>
  <c r="EK82" i="3"/>
  <c r="EK303" i="3"/>
  <c r="EK309" i="3" s="1"/>
  <c r="DR144" i="2"/>
  <c r="DR145" i="2" s="1"/>
  <c r="DR146" i="2" s="1"/>
  <c r="DR147" i="2" s="1"/>
  <c r="AK290" i="3"/>
  <c r="AK292" i="3" s="1"/>
  <c r="DN264" i="3"/>
  <c r="DN270" i="3" s="1"/>
  <c r="DN273" i="3" s="1"/>
  <c r="R281" i="3"/>
  <c r="R285" i="3" s="1"/>
  <c r="R294" i="3" s="1"/>
  <c r="EN264" i="3"/>
  <c r="EN270" i="3" s="1"/>
  <c r="EN273" i="3" s="1"/>
  <c r="EN290" i="3" s="1"/>
  <c r="EN304" i="3" s="1"/>
  <c r="EN318" i="3" s="1"/>
  <c r="BN144" i="2"/>
  <c r="BN145" i="2" s="1"/>
  <c r="BN146" i="2" s="1"/>
  <c r="BN147" i="2" s="1"/>
  <c r="BN289" i="3"/>
  <c r="BN303" i="3" s="1"/>
  <c r="CA82" i="3"/>
  <c r="DN289" i="3"/>
  <c r="EK292" i="3"/>
  <c r="EK298" i="3" s="1"/>
  <c r="EN289" i="3"/>
  <c r="EK281" i="3"/>
  <c r="EK285" i="3" s="1"/>
  <c r="EK294" i="3" s="1"/>
  <c r="FX145" i="2"/>
  <c r="AH144" i="2"/>
  <c r="AH145" i="2" s="1"/>
  <c r="AH146" i="2" s="1"/>
  <c r="AH147" i="2" s="1"/>
  <c r="FJ306" i="3"/>
  <c r="FJ320" i="3" s="1"/>
  <c r="AH289" i="3"/>
  <c r="AH82" i="3" s="1"/>
  <c r="EI264" i="3"/>
  <c r="EI270" i="3" s="1"/>
  <c r="EI273" i="3" s="1"/>
  <c r="EI281" i="3" s="1"/>
  <c r="EI285" i="3" s="1"/>
  <c r="EI294" i="3" s="1"/>
  <c r="CK306" i="3"/>
  <c r="CK320" i="3" s="1"/>
  <c r="DM275" i="3"/>
  <c r="ES275" i="3"/>
  <c r="EI144" i="2"/>
  <c r="EI145" i="2" s="1"/>
  <c r="EI146" i="2" s="1"/>
  <c r="EI147" i="2" s="1"/>
  <c r="EZ275" i="3"/>
  <c r="CN275" i="3"/>
  <c r="BI275" i="3"/>
  <c r="FG275" i="3"/>
  <c r="BA264" i="3"/>
  <c r="BA270" i="3" s="1"/>
  <c r="BA273" i="3" s="1"/>
  <c r="BA290" i="3" s="1"/>
  <c r="AD275" i="3"/>
  <c r="BA289" i="3"/>
  <c r="BA303" i="3" s="1"/>
  <c r="AY275" i="3"/>
  <c r="BX275" i="3"/>
  <c r="AC275" i="3"/>
  <c r="FC275" i="3"/>
  <c r="CQ275" i="3"/>
  <c r="FX281" i="3"/>
  <c r="FX285" i="3" s="1"/>
  <c r="FX294" i="3" s="1"/>
  <c r="G275" i="3"/>
  <c r="FB275" i="3"/>
  <c r="AK275" i="3"/>
  <c r="FF275" i="3"/>
  <c r="CF275" i="3"/>
  <c r="CS162" i="2"/>
  <c r="CS151" i="2"/>
  <c r="CS152" i="2" s="1"/>
  <c r="EK162" i="2"/>
  <c r="EK151" i="2"/>
  <c r="EK152" i="2" s="1"/>
  <c r="BI162" i="2"/>
  <c r="BI151" i="2"/>
  <c r="BI152" i="2" s="1"/>
  <c r="FF162" i="2"/>
  <c r="FF151" i="2"/>
  <c r="FF152" i="2" s="1"/>
  <c r="AM162" i="2"/>
  <c r="AM151" i="2"/>
  <c r="AM152" i="2" s="1"/>
  <c r="FA162" i="2"/>
  <c r="FA151" i="2"/>
  <c r="FA152" i="2" s="1"/>
  <c r="EX162" i="2"/>
  <c r="EX151" i="2"/>
  <c r="EX152" i="2" s="1"/>
  <c r="CQ162" i="2"/>
  <c r="CQ151" i="2"/>
  <c r="CQ152" i="2" s="1"/>
  <c r="DT162" i="2"/>
  <c r="DT151" i="2"/>
  <c r="DT152" i="2" s="1"/>
  <c r="FG162" i="2"/>
  <c r="FG151" i="2"/>
  <c r="FG152" i="2" s="1"/>
  <c r="CA162" i="2"/>
  <c r="CA151" i="2"/>
  <c r="CA152" i="2" s="1"/>
  <c r="BF162" i="2"/>
  <c r="BF151" i="2"/>
  <c r="BF152" i="2" s="1"/>
  <c r="AK162" i="2"/>
  <c r="AK151" i="2"/>
  <c r="AK152" i="2" s="1"/>
  <c r="EZ162" i="2"/>
  <c r="EZ151" i="2"/>
  <c r="EZ152" i="2" s="1"/>
  <c r="H151" i="2"/>
  <c r="H152" i="2" s="1"/>
  <c r="H162" i="2"/>
  <c r="EH162" i="2"/>
  <c r="EH151" i="2"/>
  <c r="EH152" i="2" s="1"/>
  <c r="EN162" i="2"/>
  <c r="EN151" i="2"/>
  <c r="EN152" i="2" s="1"/>
  <c r="DK162" i="2"/>
  <c r="DK151" i="2"/>
  <c r="DK152" i="2" s="1"/>
  <c r="K162" i="2"/>
  <c r="K151" i="2"/>
  <c r="K152" i="2" s="1"/>
  <c r="CR162" i="2"/>
  <c r="CR151" i="2"/>
  <c r="CR152" i="2" s="1"/>
  <c r="DD162" i="2"/>
  <c r="DD151" i="2"/>
  <c r="DD152" i="2" s="1"/>
  <c r="DM162" i="2"/>
  <c r="DM151" i="2"/>
  <c r="DM152" i="2" s="1"/>
  <c r="BP162" i="2"/>
  <c r="BP151" i="2"/>
  <c r="BP152" i="2" s="1"/>
  <c r="DX239" i="5"/>
  <c r="DX247" i="5"/>
  <c r="DX248" i="5"/>
  <c r="DX245" i="5"/>
  <c r="ET317" i="3"/>
  <c r="ET309" i="3"/>
  <c r="ET312" i="3"/>
  <c r="CT290" i="3"/>
  <c r="CT292" i="3" s="1"/>
  <c r="CT281" i="3"/>
  <c r="CT285" i="3" s="1"/>
  <c r="CT294" i="3" s="1"/>
  <c r="EX304" i="3"/>
  <c r="EX318" i="3" s="1"/>
  <c r="AE162" i="2"/>
  <c r="AE151" i="2"/>
  <c r="AE152" i="2" s="1"/>
  <c r="EW239" i="5"/>
  <c r="EW247" i="5"/>
  <c r="EW248" i="5"/>
  <c r="EW245" i="5"/>
  <c r="AR290" i="3"/>
  <c r="AR292" i="3" s="1"/>
  <c r="AR281" i="3"/>
  <c r="AR285" i="3" s="1"/>
  <c r="AR294" i="3" s="1"/>
  <c r="DA296" i="3"/>
  <c r="DA303" i="3"/>
  <c r="DA82" i="3"/>
  <c r="AS290" i="3"/>
  <c r="AS292" i="3" s="1"/>
  <c r="AS281" i="3"/>
  <c r="AS285" i="3" s="1"/>
  <c r="AS294" i="3" s="1"/>
  <c r="O239" i="5"/>
  <c r="O248" i="5"/>
  <c r="O245" i="5"/>
  <c r="O247" i="5"/>
  <c r="AB174" i="2"/>
  <c r="AB170" i="2"/>
  <c r="AB179" i="2"/>
  <c r="AB50" i="2"/>
  <c r="DW145" i="2"/>
  <c r="DW146" i="2" s="1"/>
  <c r="DW147" i="2" s="1"/>
  <c r="CZ145" i="2"/>
  <c r="CZ146" i="2" s="1"/>
  <c r="CZ147" i="2" s="1"/>
  <c r="FV303" i="3"/>
  <c r="FV296" i="3"/>
  <c r="FV82" i="3"/>
  <c r="AF303" i="3"/>
  <c r="AF296" i="3"/>
  <c r="AF82" i="3"/>
  <c r="BK239" i="5"/>
  <c r="BK245" i="5"/>
  <c r="BK247" i="5"/>
  <c r="BK248" i="5"/>
  <c r="FF317" i="3"/>
  <c r="FF312" i="3"/>
  <c r="FF309" i="3"/>
  <c r="C167" i="3"/>
  <c r="C168" i="3" s="1"/>
  <c r="C169" i="3" s="1"/>
  <c r="FZ124" i="3"/>
  <c r="FZ125" i="3" s="1"/>
  <c r="C156" i="3"/>
  <c r="C158" i="3" s="1"/>
  <c r="C128" i="3"/>
  <c r="FZ128" i="3" s="1"/>
  <c r="GB128" i="3" s="1"/>
  <c r="C193" i="3"/>
  <c r="C197" i="3" s="1"/>
  <c r="C199" i="3" s="1"/>
  <c r="BI239" i="5"/>
  <c r="BI245" i="5"/>
  <c r="BI248" i="5"/>
  <c r="BI247" i="5"/>
  <c r="BX312" i="3"/>
  <c r="BX309" i="3"/>
  <c r="BX317" i="3"/>
  <c r="CC145" i="2"/>
  <c r="CC146" i="2" s="1"/>
  <c r="CC147" i="2" s="1"/>
  <c r="AM239" i="5"/>
  <c r="AM247" i="5"/>
  <c r="AM248" i="5"/>
  <c r="AM245" i="5"/>
  <c r="Z296" i="3"/>
  <c r="Z303" i="3"/>
  <c r="Z82" i="3"/>
  <c r="DV145" i="2"/>
  <c r="DV146" i="2" s="1"/>
  <c r="DV147" i="2" s="1"/>
  <c r="EX239" i="5"/>
  <c r="EX248" i="5"/>
  <c r="EX247" i="5"/>
  <c r="EX245" i="5"/>
  <c r="EA164" i="2"/>
  <c r="EA158" i="2"/>
  <c r="EA169" i="2" s="1"/>
  <c r="EA184" i="2" s="1"/>
  <c r="DX290" i="3"/>
  <c r="DX292" i="3" s="1"/>
  <c r="DX281" i="3"/>
  <c r="DX285" i="3" s="1"/>
  <c r="DX294" i="3" s="1"/>
  <c r="FE239" i="5"/>
  <c r="FE247" i="5"/>
  <c r="FE248" i="5"/>
  <c r="FE245" i="5"/>
  <c r="CV303" i="3"/>
  <c r="CV296" i="3"/>
  <c r="CV82" i="3"/>
  <c r="EM290" i="3"/>
  <c r="EM292" i="3" s="1"/>
  <c r="EM281" i="3"/>
  <c r="EM285" i="3" s="1"/>
  <c r="EM294" i="3" s="1"/>
  <c r="AX145" i="2"/>
  <c r="AX146" i="2" s="1"/>
  <c r="AX147" i="2" s="1"/>
  <c r="EZ239" i="5"/>
  <c r="EZ248" i="5"/>
  <c r="EZ245" i="5"/>
  <c r="EZ247" i="5"/>
  <c r="EL239" i="5"/>
  <c r="EL248" i="5"/>
  <c r="EL247" i="5"/>
  <c r="EL245" i="5"/>
  <c r="CP239" i="5"/>
  <c r="CP248" i="5"/>
  <c r="CP247" i="5"/>
  <c r="CP245" i="5"/>
  <c r="CR304" i="3"/>
  <c r="CR318" i="3" s="1"/>
  <c r="CR298" i="3"/>
  <c r="AG145" i="2"/>
  <c r="AG146" i="2" s="1"/>
  <c r="AG147" i="2" s="1"/>
  <c r="AN239" i="5"/>
  <c r="AN247" i="5"/>
  <c r="AN248" i="5"/>
  <c r="AN245" i="5"/>
  <c r="AP239" i="5"/>
  <c r="AP245" i="5"/>
  <c r="AP247" i="5"/>
  <c r="AP248" i="5"/>
  <c r="CA317" i="3"/>
  <c r="CA312" i="3"/>
  <c r="CA309" i="3"/>
  <c r="H239" i="5"/>
  <c r="H245" i="5"/>
  <c r="H247" i="5"/>
  <c r="H248" i="5"/>
  <c r="AU290" i="3"/>
  <c r="AU292" i="3" s="1"/>
  <c r="AU281" i="3"/>
  <c r="AU285" i="3" s="1"/>
  <c r="AU294" i="3" s="1"/>
  <c r="CT296" i="3"/>
  <c r="CT303" i="3"/>
  <c r="CT82" i="3"/>
  <c r="BD239" i="5"/>
  <c r="BD248" i="5"/>
  <c r="BD247" i="5"/>
  <c r="BD245" i="5"/>
  <c r="FM303" i="3"/>
  <c r="FM296" i="3"/>
  <c r="FM82" i="3"/>
  <c r="FL304" i="3"/>
  <c r="FL318" i="3" s="1"/>
  <c r="CU290" i="3"/>
  <c r="CU292" i="3" s="1"/>
  <c r="CU281" i="3"/>
  <c r="CU285" i="3" s="1"/>
  <c r="CU294" i="3" s="1"/>
  <c r="DA239" i="5"/>
  <c r="DA245" i="5"/>
  <c r="DA247" i="5"/>
  <c r="DA248" i="5"/>
  <c r="AB239" i="5"/>
  <c r="AB245" i="5"/>
  <c r="AB247" i="5"/>
  <c r="AB248" i="5"/>
  <c r="FD239" i="5"/>
  <c r="FD245" i="5"/>
  <c r="FD247" i="5"/>
  <c r="FD248" i="5"/>
  <c r="AR303" i="3"/>
  <c r="AR296" i="3"/>
  <c r="AR82" i="3"/>
  <c r="BS145" i="2"/>
  <c r="BS146" i="2" s="1"/>
  <c r="BS147" i="2" s="1"/>
  <c r="CO145" i="2"/>
  <c r="CO146" i="2" s="1"/>
  <c r="CO147" i="2" s="1"/>
  <c r="BB239" i="5"/>
  <c r="BB245" i="5"/>
  <c r="BB247" i="5"/>
  <c r="BB248" i="5"/>
  <c r="AS303" i="3"/>
  <c r="AS296" i="3"/>
  <c r="AS82" i="3"/>
  <c r="AB164" i="2"/>
  <c r="AB158" i="2"/>
  <c r="AB169" i="2" s="1"/>
  <c r="AB184" i="2" s="1"/>
  <c r="DW281" i="3"/>
  <c r="DW285" i="3" s="1"/>
  <c r="DW294" i="3" s="1"/>
  <c r="DW290" i="3"/>
  <c r="DW292" i="3" s="1"/>
  <c r="CZ290" i="3"/>
  <c r="CZ292" i="3" s="1"/>
  <c r="CZ281" i="3"/>
  <c r="CZ285" i="3" s="1"/>
  <c r="CZ294" i="3" s="1"/>
  <c r="D145" i="2"/>
  <c r="D146" i="2" s="1"/>
  <c r="D147" i="2" s="1"/>
  <c r="FC312" i="3"/>
  <c r="FC309" i="3"/>
  <c r="FC317" i="3"/>
  <c r="EZ304" i="3"/>
  <c r="EZ318" i="3" s="1"/>
  <c r="EZ298" i="3"/>
  <c r="CL239" i="5"/>
  <c r="CL247" i="5"/>
  <c r="CL248" i="5"/>
  <c r="CL245" i="5"/>
  <c r="AP289" i="3"/>
  <c r="AP264" i="3"/>
  <c r="AP270" i="3" s="1"/>
  <c r="AP273" i="3" s="1"/>
  <c r="AP144" i="2"/>
  <c r="DL289" i="3"/>
  <c r="DL264" i="3"/>
  <c r="DL270" i="3" s="1"/>
  <c r="DL273" i="3" s="1"/>
  <c r="DL144" i="2"/>
  <c r="AW145" i="2"/>
  <c r="AW146" i="2" s="1"/>
  <c r="AW147" i="2" s="1"/>
  <c r="ES239" i="5"/>
  <c r="ES245" i="5"/>
  <c r="ES248" i="5"/>
  <c r="ES247" i="5"/>
  <c r="BP275" i="3"/>
  <c r="C229" i="5"/>
  <c r="FZ201" i="5"/>
  <c r="AA145" i="2"/>
  <c r="AA146" i="2" s="1"/>
  <c r="AA147" i="2" s="1"/>
  <c r="H275" i="3"/>
  <c r="DR239" i="5"/>
  <c r="DR245" i="5"/>
  <c r="DR248" i="5"/>
  <c r="DR247" i="5"/>
  <c r="BO317" i="3"/>
  <c r="BO312" i="3"/>
  <c r="BO309" i="3"/>
  <c r="CZ239" i="5"/>
  <c r="CZ247" i="5"/>
  <c r="CZ248" i="5"/>
  <c r="CZ245" i="5"/>
  <c r="AK239" i="5"/>
  <c r="AK245" i="5"/>
  <c r="AK248" i="5"/>
  <c r="AK247" i="5"/>
  <c r="AG239" i="5"/>
  <c r="AG247" i="5"/>
  <c r="AG248" i="5"/>
  <c r="AG245" i="5"/>
  <c r="CC296" i="3"/>
  <c r="CC303" i="3"/>
  <c r="CC82" i="3"/>
  <c r="AQ317" i="3"/>
  <c r="AQ312" i="3"/>
  <c r="AQ309" i="3"/>
  <c r="BY145" i="2"/>
  <c r="BY146" i="2" s="1"/>
  <c r="BY147" i="2" s="1"/>
  <c r="AZ239" i="5"/>
  <c r="AZ245" i="5"/>
  <c r="AZ247" i="5"/>
  <c r="AZ248" i="5"/>
  <c r="FQ304" i="3"/>
  <c r="FQ318" i="3" s="1"/>
  <c r="DV290" i="3"/>
  <c r="DV292" i="3" s="1"/>
  <c r="DV281" i="3"/>
  <c r="DV285" i="3" s="1"/>
  <c r="DV294" i="3" s="1"/>
  <c r="FA312" i="3"/>
  <c r="FA309" i="3"/>
  <c r="FA317" i="3"/>
  <c r="CM239" i="5"/>
  <c r="CM245" i="5"/>
  <c r="CM247" i="5"/>
  <c r="CM248" i="5"/>
  <c r="EA170" i="2"/>
  <c r="EA179" i="2"/>
  <c r="EA174" i="2"/>
  <c r="EA50" i="2"/>
  <c r="EA306" i="3"/>
  <c r="EA320" i="3" s="1"/>
  <c r="CJ289" i="3"/>
  <c r="CJ264" i="3"/>
  <c r="CJ270" i="3" s="1"/>
  <c r="CJ273" i="3" s="1"/>
  <c r="CJ144" i="2"/>
  <c r="EF239" i="5"/>
  <c r="EF247" i="5"/>
  <c r="EF248" i="5"/>
  <c r="EF245" i="5"/>
  <c r="DX303" i="3"/>
  <c r="DX296" i="3"/>
  <c r="DX82" i="3"/>
  <c r="DP304" i="3"/>
  <c r="DP318" i="3" s="1"/>
  <c r="DP298" i="3"/>
  <c r="AK312" i="3"/>
  <c r="AK309" i="3"/>
  <c r="AK317" i="3"/>
  <c r="AX290" i="3"/>
  <c r="AX292" i="3" s="1"/>
  <c r="AX281" i="3"/>
  <c r="AX285" i="3" s="1"/>
  <c r="AX294" i="3" s="1"/>
  <c r="CX239" i="5"/>
  <c r="CX248" i="5"/>
  <c r="CX247" i="5"/>
  <c r="CX245" i="5"/>
  <c r="EV275" i="3"/>
  <c r="CN239" i="5"/>
  <c r="CN247" i="5"/>
  <c r="CN245" i="5"/>
  <c r="CN248" i="5"/>
  <c r="DY145" i="2"/>
  <c r="DY146" i="2" s="1"/>
  <c r="DY147" i="2" s="1"/>
  <c r="AG303" i="3"/>
  <c r="AG296" i="3"/>
  <c r="AG82" i="3"/>
  <c r="FO239" i="5"/>
  <c r="FO248" i="5"/>
  <c r="FO245" i="5"/>
  <c r="FO247" i="5"/>
  <c r="AY239" i="5"/>
  <c r="AY245" i="5"/>
  <c r="AY247" i="5"/>
  <c r="AY248" i="5"/>
  <c r="ED146" i="2"/>
  <c r="ED147" i="2" s="1"/>
  <c r="ED145" i="2"/>
  <c r="AY304" i="3"/>
  <c r="AY318" i="3" s="1"/>
  <c r="AU303" i="3"/>
  <c r="AU296" i="3"/>
  <c r="AU82" i="3"/>
  <c r="DJ303" i="3"/>
  <c r="DJ296" i="3"/>
  <c r="DJ82" i="3"/>
  <c r="DG174" i="2"/>
  <c r="DG179" i="2"/>
  <c r="DG170" i="2"/>
  <c r="DG50" i="2"/>
  <c r="X239" i="5"/>
  <c r="X248" i="5"/>
  <c r="X245" i="5"/>
  <c r="X247" i="5"/>
  <c r="DW303" i="3"/>
  <c r="DW296" i="3"/>
  <c r="DW82" i="3"/>
  <c r="AD162" i="2"/>
  <c r="AD151" i="2"/>
  <c r="AD152" i="2" s="1"/>
  <c r="BP304" i="3"/>
  <c r="BP318" i="3" s="1"/>
  <c r="H304" i="3"/>
  <c r="H318" i="3" s="1"/>
  <c r="H298" i="3"/>
  <c r="BF317" i="3"/>
  <c r="BF312" i="3"/>
  <c r="BF309" i="3"/>
  <c r="BE145" i="2"/>
  <c r="BE146" i="2" s="1"/>
  <c r="BE147" i="2" s="1"/>
  <c r="BO239" i="5"/>
  <c r="BO245" i="5"/>
  <c r="BO248" i="5"/>
  <c r="BO247" i="5"/>
  <c r="EP239" i="5"/>
  <c r="EP248" i="5"/>
  <c r="EP247" i="5"/>
  <c r="EP245" i="5"/>
  <c r="FL239" i="5"/>
  <c r="FL245" i="5"/>
  <c r="FL247" i="5"/>
  <c r="FL248" i="5"/>
  <c r="S239" i="5"/>
  <c r="S248" i="5"/>
  <c r="S247" i="5"/>
  <c r="S245" i="5"/>
  <c r="AX303" i="3"/>
  <c r="AX296" i="3"/>
  <c r="AX82" i="3"/>
  <c r="CY239" i="5"/>
  <c r="CY245" i="5"/>
  <c r="CY247" i="5"/>
  <c r="CY248" i="5"/>
  <c r="FG304" i="3"/>
  <c r="FG318" i="3" s="1"/>
  <c r="EV304" i="3"/>
  <c r="EV318" i="3" s="1"/>
  <c r="DO264" i="3"/>
  <c r="DO270" i="3" s="1"/>
  <c r="DO273" i="3" s="1"/>
  <c r="DO289" i="3"/>
  <c r="DO144" i="2"/>
  <c r="ED290" i="3"/>
  <c r="ED281" i="3"/>
  <c r="ED285" i="3" s="1"/>
  <c r="ED294" i="3" s="1"/>
  <c r="EM239" i="5"/>
  <c r="EM245" i="5"/>
  <c r="EM248" i="5"/>
  <c r="EM247" i="5"/>
  <c r="CK164" i="2"/>
  <c r="CK168" i="2" s="1"/>
  <c r="CK158" i="2"/>
  <c r="CK169" i="2" s="1"/>
  <c r="CK184" i="2" s="1"/>
  <c r="AZ145" i="2"/>
  <c r="AZ146" i="2" s="1"/>
  <c r="AZ147" i="2" s="1"/>
  <c r="BS296" i="3"/>
  <c r="BS303" i="3"/>
  <c r="BS82" i="3"/>
  <c r="AE317" i="3"/>
  <c r="AE312" i="3"/>
  <c r="AE309" i="3"/>
  <c r="DK275" i="3"/>
  <c r="AT239" i="5"/>
  <c r="AT247" i="5"/>
  <c r="AT245" i="5"/>
  <c r="AT248" i="5"/>
  <c r="G317" i="3"/>
  <c r="G312" i="3"/>
  <c r="G309" i="3"/>
  <c r="AO290" i="3"/>
  <c r="AO292" i="3" s="1"/>
  <c r="AO281" i="3"/>
  <c r="AO285" i="3" s="1"/>
  <c r="AO294" i="3" s="1"/>
  <c r="AV290" i="3"/>
  <c r="AV292" i="3" s="1"/>
  <c r="AV281" i="3"/>
  <c r="AV285" i="3" s="1"/>
  <c r="AV294" i="3" s="1"/>
  <c r="H317" i="3"/>
  <c r="H312" i="3"/>
  <c r="H309" i="3"/>
  <c r="DF239" i="5"/>
  <c r="DF248" i="5"/>
  <c r="DF247" i="5"/>
  <c r="DF245" i="5"/>
  <c r="EW179" i="2"/>
  <c r="EW174" i="2"/>
  <c r="EW170" i="2"/>
  <c r="EW50" i="2"/>
  <c r="FT303" i="5"/>
  <c r="FT296" i="5"/>
  <c r="FT82" i="5"/>
  <c r="FJ164" i="2"/>
  <c r="FJ168" i="2" s="1"/>
  <c r="FJ158" i="2"/>
  <c r="FJ169" i="2" s="1"/>
  <c r="FJ184" i="2" s="1"/>
  <c r="AW303" i="3"/>
  <c r="AW296" i="3"/>
  <c r="AW82" i="3"/>
  <c r="V239" i="5"/>
  <c r="V248" i="5"/>
  <c r="V247" i="5"/>
  <c r="V245" i="5"/>
  <c r="AN306" i="3"/>
  <c r="AN320" i="3" s="1"/>
  <c r="AA290" i="3"/>
  <c r="AA292" i="3" s="1"/>
  <c r="AA281" i="3"/>
  <c r="AA285" i="3" s="1"/>
  <c r="AA294" i="3" s="1"/>
  <c r="FW239" i="5"/>
  <c r="FW245" i="5"/>
  <c r="FW248" i="5"/>
  <c r="FW247" i="5"/>
  <c r="FN281" i="3"/>
  <c r="FN285" i="3" s="1"/>
  <c r="FN294" i="3" s="1"/>
  <c r="AJ145" i="2"/>
  <c r="AJ146" i="2" s="1"/>
  <c r="AJ147" i="2" s="1"/>
  <c r="CG239" i="5"/>
  <c r="CG245" i="5"/>
  <c r="CG248" i="5"/>
  <c r="CG247" i="5"/>
  <c r="DS239" i="5"/>
  <c r="DS245" i="5"/>
  <c r="DS247" i="5"/>
  <c r="DS248" i="5"/>
  <c r="BE303" i="3"/>
  <c r="BE296" i="3"/>
  <c r="BE82" i="3"/>
  <c r="FT145" i="2"/>
  <c r="FT146" i="2" s="1"/>
  <c r="FT147" i="2" s="1"/>
  <c r="BY303" i="3"/>
  <c r="BY296" i="3"/>
  <c r="BY82" i="3"/>
  <c r="AC312" i="3"/>
  <c r="AC309" i="3"/>
  <c r="AC317" i="3"/>
  <c r="DZ290" i="3"/>
  <c r="DZ292" i="3" s="1"/>
  <c r="DZ281" i="3"/>
  <c r="DZ285" i="3" s="1"/>
  <c r="DZ294" i="3" s="1"/>
  <c r="X170" i="2"/>
  <c r="X174" i="2"/>
  <c r="X179" i="2"/>
  <c r="X50" i="2"/>
  <c r="BE239" i="5"/>
  <c r="BE247" i="5"/>
  <c r="BE248" i="5"/>
  <c r="BE245" i="5"/>
  <c r="EH275" i="3"/>
  <c r="Y290" i="3"/>
  <c r="Y292" i="3" s="1"/>
  <c r="Y281" i="3"/>
  <c r="Y285" i="3" s="1"/>
  <c r="Y294" i="3" s="1"/>
  <c r="DD275" i="3"/>
  <c r="L145" i="2"/>
  <c r="L146" i="2" s="1"/>
  <c r="L147" i="2" s="1"/>
  <c r="AV239" i="5"/>
  <c r="AV248" i="5"/>
  <c r="AV247" i="5"/>
  <c r="AV245" i="5"/>
  <c r="FF239" i="5"/>
  <c r="FF247" i="5"/>
  <c r="FF248" i="5"/>
  <c r="FF245" i="5"/>
  <c r="FP145" i="2"/>
  <c r="FP146" i="2" s="1"/>
  <c r="FP147" i="2" s="1"/>
  <c r="FA239" i="5"/>
  <c r="FA245" i="5"/>
  <c r="FA248" i="5"/>
  <c r="FA247" i="5"/>
  <c r="K275" i="3"/>
  <c r="DY303" i="3"/>
  <c r="DY296" i="3"/>
  <c r="DY82" i="3"/>
  <c r="BY239" i="5"/>
  <c r="BY245" i="5"/>
  <c r="BY247" i="5"/>
  <c r="BY248" i="5"/>
  <c r="CT239" i="5"/>
  <c r="CT245" i="5"/>
  <c r="CT247" i="5"/>
  <c r="CT248" i="5"/>
  <c r="BG145" i="2"/>
  <c r="BG146" i="2" s="1"/>
  <c r="BG147" i="2" s="1"/>
  <c r="BN290" i="3"/>
  <c r="BN281" i="3"/>
  <c r="BN285" i="3" s="1"/>
  <c r="BN294" i="3" s="1"/>
  <c r="DR303" i="3"/>
  <c r="DR296" i="3"/>
  <c r="DR82" i="3"/>
  <c r="ED296" i="3"/>
  <c r="ED303" i="3"/>
  <c r="ED82" i="3"/>
  <c r="AD317" i="3"/>
  <c r="AD309" i="3"/>
  <c r="AD312" i="3"/>
  <c r="EG290" i="3"/>
  <c r="EG292" i="3" s="1"/>
  <c r="EG281" i="3"/>
  <c r="EG285" i="3" s="1"/>
  <c r="EG294" i="3" s="1"/>
  <c r="R304" i="3"/>
  <c r="R318" i="3" s="1"/>
  <c r="R298" i="3"/>
  <c r="CK179" i="2"/>
  <c r="CK174" i="2"/>
  <c r="CK170" i="2"/>
  <c r="CK50" i="2"/>
  <c r="CO290" i="3"/>
  <c r="CO292" i="3" s="1"/>
  <c r="CO281" i="3"/>
  <c r="CO285" i="3" s="1"/>
  <c r="CO294" i="3" s="1"/>
  <c r="AR239" i="5"/>
  <c r="AR245" i="5"/>
  <c r="AR248" i="5"/>
  <c r="AR247" i="5"/>
  <c r="EW164" i="2"/>
  <c r="EW158" i="2"/>
  <c r="EW169" i="2" s="1"/>
  <c r="EW184" i="2" s="1"/>
  <c r="AW290" i="3"/>
  <c r="AW292" i="3" s="1"/>
  <c r="AW281" i="3"/>
  <c r="AW285" i="3" s="1"/>
  <c r="AW294" i="3" s="1"/>
  <c r="BV239" i="5"/>
  <c r="BV245" i="5"/>
  <c r="BV248" i="5"/>
  <c r="BV247" i="5"/>
  <c r="DE239" i="5"/>
  <c r="DE245" i="5"/>
  <c r="DE248" i="5"/>
  <c r="DE247" i="5"/>
  <c r="BY290" i="3"/>
  <c r="BY281" i="3"/>
  <c r="BY285" i="3" s="1"/>
  <c r="BY294" i="3" s="1"/>
  <c r="DV303" i="3"/>
  <c r="DV296" i="3"/>
  <c r="DV82" i="3"/>
  <c r="Y145" i="2"/>
  <c r="Y146" i="2" s="1"/>
  <c r="Y147" i="2" s="1"/>
  <c r="AC162" i="2"/>
  <c r="AC151" i="2"/>
  <c r="AC152" i="2" s="1"/>
  <c r="F239" i="5"/>
  <c r="F245" i="5"/>
  <c r="F247" i="5"/>
  <c r="F248" i="5"/>
  <c r="CA304" i="3"/>
  <c r="CA318" i="3" s="1"/>
  <c r="EF289" i="3"/>
  <c r="EF264" i="3"/>
  <c r="EF270" i="3" s="1"/>
  <c r="EF273" i="3" s="1"/>
  <c r="EF144" i="2"/>
  <c r="G239" i="5"/>
  <c r="G245" i="5"/>
  <c r="G247" i="5"/>
  <c r="G248" i="5"/>
  <c r="DY290" i="3"/>
  <c r="DY281" i="3"/>
  <c r="DY285" i="3" s="1"/>
  <c r="DY294" i="3" s="1"/>
  <c r="AG290" i="3"/>
  <c r="AG292" i="3" s="1"/>
  <c r="AG281" i="3"/>
  <c r="AG285" i="3" s="1"/>
  <c r="AG294" i="3" s="1"/>
  <c r="DR290" i="3"/>
  <c r="DR281" i="3"/>
  <c r="DR285" i="3" s="1"/>
  <c r="DR294" i="3" s="1"/>
  <c r="EW306" i="3"/>
  <c r="EW320" i="3" s="1"/>
  <c r="EG145" i="2"/>
  <c r="EG146" i="2" s="1"/>
  <c r="EG147" i="2" s="1"/>
  <c r="DK317" i="3"/>
  <c r="DK312" i="3"/>
  <c r="DK309" i="3"/>
  <c r="CO296" i="3"/>
  <c r="CO303" i="3"/>
  <c r="CO82" i="3"/>
  <c r="D303" i="3"/>
  <c r="D296" i="3"/>
  <c r="D82" i="3"/>
  <c r="AZ290" i="3"/>
  <c r="AZ292" i="3" s="1"/>
  <c r="AZ281" i="3"/>
  <c r="AZ285" i="3" s="1"/>
  <c r="AZ294" i="3" s="1"/>
  <c r="Z239" i="5"/>
  <c r="Z245" i="5"/>
  <c r="Z247" i="5"/>
  <c r="Z248" i="5"/>
  <c r="CJ239" i="5"/>
  <c r="CJ245" i="5"/>
  <c r="CJ247" i="5"/>
  <c r="CJ248" i="5"/>
  <c r="DK304" i="3"/>
  <c r="DK318" i="3" s="1"/>
  <c r="DK298" i="3"/>
  <c r="FC304" i="3"/>
  <c r="FC318" i="3" s="1"/>
  <c r="FC298" i="3"/>
  <c r="N145" i="2"/>
  <c r="N146" i="2" s="1"/>
  <c r="N147" i="2" s="1"/>
  <c r="AO303" i="3"/>
  <c r="AO296" i="3"/>
  <c r="AO82" i="3"/>
  <c r="CS275" i="3"/>
  <c r="FL312" i="3"/>
  <c r="FL309" i="3"/>
  <c r="FL317" i="3"/>
  <c r="P239" i="5"/>
  <c r="P247" i="5"/>
  <c r="P248" i="5"/>
  <c r="P245" i="5"/>
  <c r="ED239" i="5"/>
  <c r="ED245" i="5"/>
  <c r="ED248" i="5"/>
  <c r="ED247" i="5"/>
  <c r="AV303" i="3"/>
  <c r="AV296" i="3"/>
  <c r="AV82" i="3"/>
  <c r="BP292" i="3"/>
  <c r="BP298" i="3" s="1"/>
  <c r="DY239" i="5"/>
  <c r="DY248" i="5"/>
  <c r="DY245" i="5"/>
  <c r="DY247" i="5"/>
  <c r="FJ170" i="2"/>
  <c r="FJ174" i="2"/>
  <c r="FJ179" i="2"/>
  <c r="FJ50" i="2"/>
  <c r="W309" i="3"/>
  <c r="W317" i="3"/>
  <c r="W312" i="3"/>
  <c r="U145" i="2"/>
  <c r="U146" i="2" s="1"/>
  <c r="U147" i="2" s="1"/>
  <c r="FN303" i="3"/>
  <c r="FN296" i="3"/>
  <c r="FN82" i="3"/>
  <c r="AJ290" i="3"/>
  <c r="AJ281" i="3"/>
  <c r="AJ285" i="3" s="1"/>
  <c r="AJ294" i="3" s="1"/>
  <c r="CB145" i="2"/>
  <c r="CB146" i="2" s="1"/>
  <c r="CB147" i="2" s="1"/>
  <c r="FF304" i="3"/>
  <c r="FF318" i="3" s="1"/>
  <c r="FF298" i="3"/>
  <c r="BE290" i="3"/>
  <c r="BE281" i="3"/>
  <c r="BE285" i="3" s="1"/>
  <c r="BE294" i="3" s="1"/>
  <c r="FP280" i="3"/>
  <c r="FT273" i="3"/>
  <c r="FI239" i="5"/>
  <c r="FI247" i="5"/>
  <c r="FI248" i="5"/>
  <c r="FI245" i="5"/>
  <c r="EA239" i="5"/>
  <c r="EA245" i="5"/>
  <c r="EA248" i="5"/>
  <c r="EA247" i="5"/>
  <c r="CE239" i="5"/>
  <c r="CE245" i="5"/>
  <c r="CE247" i="5"/>
  <c r="CE248" i="5"/>
  <c r="CO239" i="5"/>
  <c r="CO248" i="5"/>
  <c r="CO247" i="5"/>
  <c r="CO245" i="5"/>
  <c r="BU164" i="2"/>
  <c r="BU158" i="2"/>
  <c r="BU169" i="2" s="1"/>
  <c r="BU184" i="2" s="1"/>
  <c r="FC239" i="5"/>
  <c r="FC245" i="5"/>
  <c r="FC247" i="5"/>
  <c r="FC248" i="5"/>
  <c r="AJ239" i="5"/>
  <c r="AJ247" i="5"/>
  <c r="AJ248" i="5"/>
  <c r="AJ245" i="5"/>
  <c r="DZ303" i="3"/>
  <c r="DZ296" i="3"/>
  <c r="DZ82" i="3"/>
  <c r="FX162" i="2"/>
  <c r="FX151" i="2"/>
  <c r="FX152" i="2" s="1"/>
  <c r="DT275" i="3"/>
  <c r="AC304" i="3"/>
  <c r="AC318" i="3" s="1"/>
  <c r="AC298" i="3"/>
  <c r="EH304" i="3"/>
  <c r="EH318" i="3" s="1"/>
  <c r="EH298" i="3"/>
  <c r="Y303" i="3"/>
  <c r="Y296" i="3"/>
  <c r="Y82" i="3"/>
  <c r="CY145" i="2"/>
  <c r="CY146" i="2" s="1"/>
  <c r="CY147" i="2" s="1"/>
  <c r="L290" i="3"/>
  <c r="L292" i="3" s="1"/>
  <c r="L281" i="3"/>
  <c r="L285" i="3" s="1"/>
  <c r="L294" i="3" s="1"/>
  <c r="CE145" i="2"/>
  <c r="CE146" i="2" s="1"/>
  <c r="CE147" i="2" s="1"/>
  <c r="FP239" i="5"/>
  <c r="FP247" i="5"/>
  <c r="FP245" i="5"/>
  <c r="FP248" i="5"/>
  <c r="AX239" i="5"/>
  <c r="AX248" i="5"/>
  <c r="AX247" i="5"/>
  <c r="AX245" i="5"/>
  <c r="FP290" i="3"/>
  <c r="FP292" i="3" s="1"/>
  <c r="FP281" i="3"/>
  <c r="FP285" i="3" s="1"/>
  <c r="FP294" i="3" s="1"/>
  <c r="ET162" i="2"/>
  <c r="ET151" i="2"/>
  <c r="ET152" i="2" s="1"/>
  <c r="AQ162" i="2"/>
  <c r="AQ151" i="2"/>
  <c r="AQ152" i="2" s="1"/>
  <c r="BG303" i="3"/>
  <c r="BG296" i="3"/>
  <c r="BG82" i="3"/>
  <c r="BM239" i="5"/>
  <c r="BM245" i="5"/>
  <c r="BM247" i="5"/>
  <c r="BM248" i="5"/>
  <c r="DG306" i="3"/>
  <c r="DG320" i="3" s="1"/>
  <c r="DU145" i="2"/>
  <c r="DU146" i="2" s="1"/>
  <c r="DU147" i="2" s="1"/>
  <c r="DM317" i="3"/>
  <c r="DM312" i="3"/>
  <c r="DM309" i="3"/>
  <c r="BK264" i="3"/>
  <c r="BK270" i="3" s="1"/>
  <c r="BK273" i="3" s="1"/>
  <c r="BK289" i="3"/>
  <c r="BK144" i="2"/>
  <c r="DH289" i="3"/>
  <c r="DH264" i="3"/>
  <c r="DH270" i="3" s="1"/>
  <c r="DH273" i="3" s="1"/>
  <c r="DH144" i="2"/>
  <c r="EG303" i="3"/>
  <c r="EG296" i="3"/>
  <c r="EG82" i="3"/>
  <c r="BW164" i="2"/>
  <c r="BW158" i="2"/>
  <c r="BW169" i="2" s="1"/>
  <c r="BW184" i="2" s="1"/>
  <c r="EU290" i="3"/>
  <c r="EU281" i="3"/>
  <c r="EU285" i="3" s="1"/>
  <c r="EU294" i="3" s="1"/>
  <c r="D290" i="3"/>
  <c r="D292" i="3" s="1"/>
  <c r="D281" i="3"/>
  <c r="D285" i="3" s="1"/>
  <c r="D294" i="3" s="1"/>
  <c r="ER151" i="2"/>
  <c r="ER152" i="2" s="1"/>
  <c r="ER162" i="2"/>
  <c r="DZ145" i="2"/>
  <c r="DZ146" i="2" s="1"/>
  <c r="DZ147" i="2" s="1"/>
  <c r="AZ303" i="3"/>
  <c r="AZ296" i="3"/>
  <c r="AZ82" i="3"/>
  <c r="CS304" i="3"/>
  <c r="CS318" i="3" s="1"/>
  <c r="BB289" i="3"/>
  <c r="BB264" i="3"/>
  <c r="BB270" i="3" s="1"/>
  <c r="BB273" i="3" s="1"/>
  <c r="BB144" i="2"/>
  <c r="EN239" i="5"/>
  <c r="EN245" i="5"/>
  <c r="EN247" i="5"/>
  <c r="EN248" i="5"/>
  <c r="CF162" i="2"/>
  <c r="CF151" i="2"/>
  <c r="CF152" i="2" s="1"/>
  <c r="DI289" i="3"/>
  <c r="DI264" i="3"/>
  <c r="DI270" i="3" s="1"/>
  <c r="DI273" i="3" s="1"/>
  <c r="DI144" i="2"/>
  <c r="FH239" i="5"/>
  <c r="FH247" i="5"/>
  <c r="FH245" i="5"/>
  <c r="FH248" i="5"/>
  <c r="CB303" i="3"/>
  <c r="CB296" i="3"/>
  <c r="CB82" i="3"/>
  <c r="DG239" i="5"/>
  <c r="DG245" i="5"/>
  <c r="DG247" i="5"/>
  <c r="DG248" i="5"/>
  <c r="DB145" i="2"/>
  <c r="DB146" i="2" s="1"/>
  <c r="DB147" i="2" s="1"/>
  <c r="DD312" i="3"/>
  <c r="DD309" i="3"/>
  <c r="DD317" i="3"/>
  <c r="EP145" i="2"/>
  <c r="EP146" i="2" s="1"/>
  <c r="EP147" i="2" s="1"/>
  <c r="CY290" i="3"/>
  <c r="CY292" i="3" s="1"/>
  <c r="CY281" i="3"/>
  <c r="CY285" i="3" s="1"/>
  <c r="CY294" i="3" s="1"/>
  <c r="BH239" i="5"/>
  <c r="BH245" i="5"/>
  <c r="BH247" i="5"/>
  <c r="BH248" i="5"/>
  <c r="FG292" i="3"/>
  <c r="FG298" i="3" s="1"/>
  <c r="DD304" i="3"/>
  <c r="DD318" i="3" s="1"/>
  <c r="DD298" i="3"/>
  <c r="L303" i="3"/>
  <c r="L296" i="3"/>
  <c r="L82" i="3"/>
  <c r="CE296" i="3"/>
  <c r="CE303" i="3"/>
  <c r="CE82" i="3"/>
  <c r="FN239" i="5"/>
  <c r="FN245" i="5"/>
  <c r="FN247" i="5"/>
  <c r="FN248" i="5"/>
  <c r="FP303" i="3"/>
  <c r="FP296" i="3"/>
  <c r="FP82" i="3"/>
  <c r="CF239" i="5"/>
  <c r="CF248" i="5"/>
  <c r="CF247" i="5"/>
  <c r="CF245" i="5"/>
  <c r="BM145" i="2"/>
  <c r="BM146" i="2" s="1"/>
  <c r="BM147" i="2" s="1"/>
  <c r="K304" i="3"/>
  <c r="K318" i="3" s="1"/>
  <c r="FC162" i="2"/>
  <c r="FC151" i="2"/>
  <c r="FC152" i="2" s="1"/>
  <c r="BG290" i="3"/>
  <c r="BG292" i="3" s="1"/>
  <c r="BG281" i="3"/>
  <c r="BG285" i="3" s="1"/>
  <c r="BG294" i="3" s="1"/>
  <c r="DU290" i="3"/>
  <c r="DU292" i="3" s="1"/>
  <c r="DU281" i="3"/>
  <c r="DU285" i="3" s="1"/>
  <c r="DU294" i="3" s="1"/>
  <c r="EU239" i="5"/>
  <c r="EU245" i="5"/>
  <c r="EU247" i="5"/>
  <c r="EU248" i="5"/>
  <c r="BW174" i="2"/>
  <c r="BW179" i="2"/>
  <c r="BW170" i="2"/>
  <c r="BW50" i="2"/>
  <c r="AR145" i="2"/>
  <c r="AR146" i="2" s="1"/>
  <c r="AR147" i="2" s="1"/>
  <c r="BP239" i="5"/>
  <c r="BP247" i="5"/>
  <c r="BP248" i="5"/>
  <c r="BP245" i="5"/>
  <c r="CN304" i="3"/>
  <c r="CN318" i="3" s="1"/>
  <c r="FL162" i="2"/>
  <c r="FL151" i="2"/>
  <c r="FL152" i="2" s="1"/>
  <c r="BI304" i="3"/>
  <c r="BI318" i="3" s="1"/>
  <c r="N290" i="3"/>
  <c r="N292" i="3" s="1"/>
  <c r="N281" i="3"/>
  <c r="N285" i="3" s="1"/>
  <c r="CN292" i="3"/>
  <c r="CN298" i="3" s="1"/>
  <c r="BV312" i="3"/>
  <c r="BV309" i="3"/>
  <c r="BV317" i="3"/>
  <c r="DM239" i="5"/>
  <c r="DM248" i="5"/>
  <c r="DM247" i="5"/>
  <c r="DM245" i="5"/>
  <c r="BI312" i="3"/>
  <c r="BI309" i="3"/>
  <c r="BI317" i="3"/>
  <c r="G162" i="2"/>
  <c r="G151" i="2"/>
  <c r="G152" i="2" s="1"/>
  <c r="U290" i="3"/>
  <c r="U281" i="3"/>
  <c r="U285" i="3" s="1"/>
  <c r="U294" i="3" s="1"/>
  <c r="AJ303" i="3"/>
  <c r="AJ296" i="3"/>
  <c r="AJ82" i="3"/>
  <c r="DJ239" i="5"/>
  <c r="DJ245" i="5"/>
  <c r="DJ247" i="5"/>
  <c r="DJ248" i="5"/>
  <c r="ET239" i="5"/>
  <c r="ET248" i="5"/>
  <c r="ET245" i="5"/>
  <c r="ET247" i="5"/>
  <c r="FT303" i="3"/>
  <c r="FT296" i="3"/>
  <c r="FT82" i="3"/>
  <c r="EV292" i="3"/>
  <c r="EV298" i="3" s="1"/>
  <c r="BU170" i="2"/>
  <c r="BU174" i="2"/>
  <c r="BU179" i="2"/>
  <c r="BU50" i="2"/>
  <c r="BJ145" i="2"/>
  <c r="BJ146" i="2" s="1"/>
  <c r="BJ147" i="2" s="1"/>
  <c r="DE145" i="2"/>
  <c r="DE146" i="2" s="1"/>
  <c r="DE147" i="2" s="1"/>
  <c r="AD304" i="3"/>
  <c r="AD318" i="3" s="1"/>
  <c r="AD298" i="3"/>
  <c r="ES304" i="3"/>
  <c r="ES318" i="3" s="1"/>
  <c r="BD303" i="3"/>
  <c r="BD296" i="3"/>
  <c r="BD82" i="3"/>
  <c r="AI153" i="2"/>
  <c r="N303" i="3"/>
  <c r="N296" i="3"/>
  <c r="N82" i="3"/>
  <c r="P306" i="3"/>
  <c r="P320" i="3" s="1"/>
  <c r="FX239" i="5"/>
  <c r="FX248" i="5"/>
  <c r="FX245" i="5"/>
  <c r="FX247" i="5"/>
  <c r="ER275" i="3"/>
  <c r="BP317" i="3"/>
  <c r="BP309" i="3"/>
  <c r="BP312" i="3"/>
  <c r="FS145" i="2"/>
  <c r="FS146" i="2" s="1"/>
  <c r="FS147" i="2" s="1"/>
  <c r="AA239" i="5"/>
  <c r="AA247" i="5"/>
  <c r="AA248" i="5"/>
  <c r="AA245" i="5"/>
  <c r="CW239" i="5"/>
  <c r="CW245" i="5"/>
  <c r="CW247" i="5"/>
  <c r="CW248" i="5"/>
  <c r="S289" i="3"/>
  <c r="S264" i="3"/>
  <c r="S270" i="3" s="1"/>
  <c r="S273" i="3" s="1"/>
  <c r="S144" i="2"/>
  <c r="BI292" i="3"/>
  <c r="BI298" i="3" s="1"/>
  <c r="EY312" i="3"/>
  <c r="EY309" i="3"/>
  <c r="EY317" i="3"/>
  <c r="FG239" i="5"/>
  <c r="FG247" i="5"/>
  <c r="FG245" i="5"/>
  <c r="FG248" i="5"/>
  <c r="T306" i="3"/>
  <c r="T320" i="3" s="1"/>
  <c r="U296" i="3"/>
  <c r="U303" i="3"/>
  <c r="U82" i="3"/>
  <c r="EO239" i="5"/>
  <c r="EO245" i="5"/>
  <c r="EO248" i="5"/>
  <c r="EO247" i="5"/>
  <c r="CB290" i="3"/>
  <c r="CB281" i="3"/>
  <c r="CB285" i="3" s="1"/>
  <c r="CB294" i="3" s="1"/>
  <c r="CC239" i="5"/>
  <c r="CC247" i="5"/>
  <c r="CC245" i="5"/>
  <c r="CC248" i="5"/>
  <c r="CI264" i="3"/>
  <c r="CI270" i="3" s="1"/>
  <c r="CI273" i="3" s="1"/>
  <c r="CI289" i="3"/>
  <c r="CI144" i="2"/>
  <c r="AW239" i="5"/>
  <c r="AW248" i="5"/>
  <c r="AW245" i="5"/>
  <c r="AW247" i="5"/>
  <c r="ET275" i="3"/>
  <c r="DB290" i="3"/>
  <c r="DB281" i="3"/>
  <c r="DB285" i="3" s="1"/>
  <c r="DB294" i="3" s="1"/>
  <c r="DT304" i="3"/>
  <c r="DT318" i="3" s="1"/>
  <c r="DT298" i="3"/>
  <c r="AI239" i="5"/>
  <c r="AI248" i="5"/>
  <c r="AI247" i="5"/>
  <c r="AI245" i="5"/>
  <c r="EP290" i="3"/>
  <c r="EP292" i="3" s="1"/>
  <c r="EP281" i="3"/>
  <c r="EP285" i="3" s="1"/>
  <c r="EP294" i="3" s="1"/>
  <c r="CY303" i="3"/>
  <c r="CY296" i="3"/>
  <c r="CY82" i="3"/>
  <c r="AO239" i="5"/>
  <c r="AO247" i="5"/>
  <c r="AO245" i="5"/>
  <c r="AO248" i="5"/>
  <c r="R317" i="3"/>
  <c r="R312" i="3"/>
  <c r="R309" i="3"/>
  <c r="CE290" i="3"/>
  <c r="CE281" i="3"/>
  <c r="CE285" i="3" s="1"/>
  <c r="CE294" i="3" s="1"/>
  <c r="ER239" i="5"/>
  <c r="ER245" i="5"/>
  <c r="ER247" i="5"/>
  <c r="ER248" i="5"/>
  <c r="BQ145" i="2"/>
  <c r="BQ146" i="2" s="1"/>
  <c r="BQ147" i="2" s="1"/>
  <c r="EO145" i="2"/>
  <c r="EO146" i="2" s="1"/>
  <c r="EO147" i="2" s="1"/>
  <c r="BT145" i="2"/>
  <c r="BT146" i="2" s="1"/>
  <c r="BT147" i="2" s="1"/>
  <c r="BM290" i="3"/>
  <c r="BM281" i="3"/>
  <c r="BM285" i="3" s="1"/>
  <c r="BM294" i="3" s="1"/>
  <c r="P164" i="2"/>
  <c r="P168" i="2" s="1"/>
  <c r="P158" i="2"/>
  <c r="P169" i="2" s="1"/>
  <c r="P184" i="2" s="1"/>
  <c r="FA275" i="3"/>
  <c r="BA145" i="2"/>
  <c r="BA146" i="2" s="1"/>
  <c r="BA147" i="2" s="1"/>
  <c r="DC145" i="2"/>
  <c r="DC146" i="2" s="1"/>
  <c r="DC147" i="2" s="1"/>
  <c r="DU303" i="3"/>
  <c r="DU296" i="3"/>
  <c r="DU82" i="3"/>
  <c r="EE239" i="5"/>
  <c r="EE245" i="5"/>
  <c r="EE247" i="5"/>
  <c r="EE248" i="5"/>
  <c r="FB298" i="3"/>
  <c r="FB304" i="3"/>
  <c r="FB318" i="3" s="1"/>
  <c r="EC312" i="3"/>
  <c r="EC309" i="3"/>
  <c r="EC317" i="3"/>
  <c r="W239" i="5"/>
  <c r="W248" i="5"/>
  <c r="W247" i="5"/>
  <c r="W245" i="5"/>
  <c r="T164" i="2"/>
  <c r="T168" i="2" s="1"/>
  <c r="T158" i="2"/>
  <c r="T169" i="2" s="1"/>
  <c r="T184" i="2" s="1"/>
  <c r="FB162" i="2"/>
  <c r="FB151" i="2"/>
  <c r="FB152" i="2" s="1"/>
  <c r="V162" i="2"/>
  <c r="V151" i="2"/>
  <c r="V152" i="2" s="1"/>
  <c r="BJ239" i="5"/>
  <c r="BJ245" i="5"/>
  <c r="BJ247" i="5"/>
  <c r="BJ248" i="5"/>
  <c r="EX292" i="3"/>
  <c r="EX298" i="3" s="1"/>
  <c r="CH145" i="2"/>
  <c r="CH146" i="2" s="1"/>
  <c r="CH147" i="2" s="1"/>
  <c r="DH239" i="5"/>
  <c r="DH245" i="5"/>
  <c r="DH247" i="5"/>
  <c r="DH248" i="5"/>
  <c r="CA239" i="5"/>
  <c r="CA245" i="5"/>
  <c r="CA247" i="5"/>
  <c r="CA248" i="5"/>
  <c r="EJ289" i="3"/>
  <c r="EJ264" i="3"/>
  <c r="EJ270" i="3" s="1"/>
  <c r="EJ273" i="3" s="1"/>
  <c r="EJ144" i="2"/>
  <c r="ET304" i="3"/>
  <c r="ET318" i="3" s="1"/>
  <c r="ET298" i="3"/>
  <c r="BN239" i="5"/>
  <c r="BN245" i="5"/>
  <c r="BN247" i="5"/>
  <c r="BN248" i="5"/>
  <c r="DB303" i="3"/>
  <c r="DB296" i="3"/>
  <c r="DB82" i="3"/>
  <c r="FQ162" i="2"/>
  <c r="FQ151" i="2"/>
  <c r="FQ152" i="2" s="1"/>
  <c r="EP303" i="3"/>
  <c r="EP296" i="3"/>
  <c r="EP82" i="3"/>
  <c r="FG317" i="3"/>
  <c r="FG312" i="3"/>
  <c r="FG309" i="3"/>
  <c r="EH239" i="5"/>
  <c r="EH245" i="5"/>
  <c r="EH247" i="5"/>
  <c r="EH248" i="5"/>
  <c r="EJ239" i="5"/>
  <c r="EJ247" i="5"/>
  <c r="EJ245" i="5"/>
  <c r="EJ248" i="5"/>
  <c r="CX289" i="3"/>
  <c r="CX264" i="3"/>
  <c r="CX270" i="3" s="1"/>
  <c r="CX273" i="3" s="1"/>
  <c r="CX144" i="2"/>
  <c r="EO290" i="3"/>
  <c r="EO292" i="3" s="1"/>
  <c r="EO281" i="3"/>
  <c r="EO285" i="3" s="1"/>
  <c r="EO294" i="3" s="1"/>
  <c r="CB239" i="5"/>
  <c r="CB245" i="5"/>
  <c r="CB247" i="5"/>
  <c r="CB248" i="5"/>
  <c r="BT290" i="3"/>
  <c r="BT292" i="3" s="1"/>
  <c r="BT281" i="3"/>
  <c r="BT285" i="3" s="1"/>
  <c r="BT294" i="3" s="1"/>
  <c r="DQ145" i="2"/>
  <c r="DQ146" i="2" s="1"/>
  <c r="DQ147" i="2" s="1"/>
  <c r="BM303" i="3"/>
  <c r="BM296" i="3"/>
  <c r="BM82" i="3"/>
  <c r="E239" i="5"/>
  <c r="E247" i="5"/>
  <c r="E248" i="5"/>
  <c r="E245" i="5"/>
  <c r="P174" i="2"/>
  <c r="P170" i="2"/>
  <c r="P179" i="2"/>
  <c r="P50" i="2"/>
  <c r="FA304" i="3"/>
  <c r="FA318" i="3" s="1"/>
  <c r="ES162" i="2"/>
  <c r="ES151" i="2"/>
  <c r="ES152" i="2" s="1"/>
  <c r="EC304" i="3"/>
  <c r="EC318" i="3" s="1"/>
  <c r="DC290" i="3"/>
  <c r="DC292" i="3" s="1"/>
  <c r="DC281" i="3"/>
  <c r="DC285" i="3" s="1"/>
  <c r="DC294" i="3" s="1"/>
  <c r="J289" i="3"/>
  <c r="J264" i="3"/>
  <c r="J270" i="3" s="1"/>
  <c r="J273" i="3" s="1"/>
  <c r="J144" i="2"/>
  <c r="EV162" i="2"/>
  <c r="EV151" i="2"/>
  <c r="EV152" i="2" s="1"/>
  <c r="EY239" i="5"/>
  <c r="EY245" i="5"/>
  <c r="EY248" i="5"/>
  <c r="EY247" i="5"/>
  <c r="K292" i="3"/>
  <c r="K298" i="3" s="1"/>
  <c r="CG145" i="2"/>
  <c r="CG146" i="2" s="1"/>
  <c r="CG147" i="2" s="1"/>
  <c r="CD239" i="5"/>
  <c r="CD248" i="5"/>
  <c r="CD247" i="5"/>
  <c r="CD245" i="5"/>
  <c r="EC292" i="3"/>
  <c r="EC298" i="3" s="1"/>
  <c r="EK239" i="5"/>
  <c r="EK247" i="5"/>
  <c r="EK248" i="5"/>
  <c r="EK245" i="5"/>
  <c r="T179" i="2"/>
  <c r="T170" i="2"/>
  <c r="T174" i="2"/>
  <c r="T50" i="2"/>
  <c r="DA290" i="3"/>
  <c r="DA292" i="3" s="1"/>
  <c r="DA281" i="3"/>
  <c r="DA285" i="3" s="1"/>
  <c r="DA294" i="3" s="1"/>
  <c r="AS145" i="2"/>
  <c r="AS146" i="2" s="1"/>
  <c r="AS147" i="2" s="1"/>
  <c r="CZ303" i="3"/>
  <c r="CZ296" i="3"/>
  <c r="CZ82" i="3"/>
  <c r="AF239" i="5"/>
  <c r="AF247" i="5"/>
  <c r="AF248" i="5"/>
  <c r="AF245" i="5"/>
  <c r="FP280" i="5"/>
  <c r="FT273" i="5"/>
  <c r="AA303" i="3"/>
  <c r="AA296" i="3"/>
  <c r="AA82" i="3"/>
  <c r="BJ290" i="3"/>
  <c r="BJ292" i="3" s="1"/>
  <c r="BJ281" i="3"/>
  <c r="BJ285" i="3" s="1"/>
  <c r="BJ294" i="3" s="1"/>
  <c r="AI166" i="2"/>
  <c r="AI180" i="2"/>
  <c r="AI182" i="2" s="1"/>
  <c r="CN317" i="3"/>
  <c r="CN309" i="3"/>
  <c r="CN312" i="3"/>
  <c r="EE145" i="2"/>
  <c r="EE146" i="2" s="1"/>
  <c r="EE147" i="2" s="1"/>
  <c r="DU239" i="5"/>
  <c r="DU245" i="5"/>
  <c r="DU247" i="5"/>
  <c r="DU248" i="5"/>
  <c r="FS290" i="3"/>
  <c r="FS292" i="3" s="1"/>
  <c r="FS281" i="3"/>
  <c r="FS285" i="3" s="1"/>
  <c r="FS294" i="3" s="1"/>
  <c r="DQ239" i="5"/>
  <c r="DQ247" i="5"/>
  <c r="DQ245" i="5"/>
  <c r="DQ248" i="5"/>
  <c r="CN151" i="2"/>
  <c r="CN152" i="2" s="1"/>
  <c r="CN162" i="2"/>
  <c r="BG239" i="5"/>
  <c r="BG248" i="5"/>
  <c r="BG247" i="5"/>
  <c r="BG245" i="5"/>
  <c r="M145" i="2"/>
  <c r="M146" i="2" s="1"/>
  <c r="M147" i="2" s="1"/>
  <c r="R162" i="2"/>
  <c r="R151" i="2"/>
  <c r="R152" i="2" s="1"/>
  <c r="EG239" i="5"/>
  <c r="EG245" i="5"/>
  <c r="EG247" i="5"/>
  <c r="EG248" i="5"/>
  <c r="FQ312" i="3"/>
  <c r="FQ309" i="3"/>
  <c r="FQ317" i="3"/>
  <c r="DS290" i="3"/>
  <c r="DS281" i="3"/>
  <c r="DS285" i="3" s="1"/>
  <c r="DS294" i="3" s="1"/>
  <c r="BF304" i="3"/>
  <c r="BF318" i="3" s="1"/>
  <c r="DL239" i="5"/>
  <c r="DL245" i="5"/>
  <c r="DL247" i="5"/>
  <c r="DL248" i="5"/>
  <c r="EV317" i="3"/>
  <c r="EV312" i="3"/>
  <c r="EV309" i="3"/>
  <c r="E289" i="3"/>
  <c r="E264" i="3"/>
  <c r="E270" i="3" s="1"/>
  <c r="E273" i="3" s="1"/>
  <c r="E144" i="2"/>
  <c r="DV239" i="5"/>
  <c r="DV247" i="5"/>
  <c r="DV245" i="5"/>
  <c r="DV248" i="5"/>
  <c r="BJ296" i="3"/>
  <c r="BJ303" i="3"/>
  <c r="BJ82" i="3"/>
  <c r="DE303" i="3"/>
  <c r="DE296" i="3"/>
  <c r="DE82" i="3"/>
  <c r="FR290" i="3"/>
  <c r="FR292" i="3" s="1"/>
  <c r="FR281" i="3"/>
  <c r="FR285" i="3" s="1"/>
  <c r="FR294" i="3" s="1"/>
  <c r="CW290" i="3"/>
  <c r="CW281" i="3"/>
  <c r="CW285" i="3" s="1"/>
  <c r="CW294" i="3" s="1"/>
  <c r="AY312" i="3"/>
  <c r="AY309" i="3"/>
  <c r="AY306" i="3"/>
  <c r="AY320" i="3" s="1"/>
  <c r="AY317" i="3"/>
  <c r="BF239" i="5"/>
  <c r="BF248" i="5"/>
  <c r="BF247" i="5"/>
  <c r="BF245" i="5"/>
  <c r="CP264" i="3"/>
  <c r="CP270" i="3" s="1"/>
  <c r="CP273" i="3" s="1"/>
  <c r="CP289" i="3"/>
  <c r="CP144" i="2"/>
  <c r="DZ239" i="5"/>
  <c r="DZ245" i="5"/>
  <c r="DZ248" i="5"/>
  <c r="DZ247" i="5"/>
  <c r="O303" i="3"/>
  <c r="O296" i="3"/>
  <c r="O82" i="3"/>
  <c r="AC239" i="5"/>
  <c r="AC245" i="5"/>
  <c r="AC247" i="5"/>
  <c r="AC248" i="5"/>
  <c r="BU239" i="5"/>
  <c r="BU245" i="5"/>
  <c r="BU248" i="5"/>
  <c r="BU247" i="5"/>
  <c r="EE290" i="3"/>
  <c r="EE292" i="3" s="1"/>
  <c r="EE281" i="3"/>
  <c r="EE285" i="3" s="1"/>
  <c r="EE294" i="3" s="1"/>
  <c r="FB239" i="5"/>
  <c r="FB247" i="5"/>
  <c r="FB245" i="5"/>
  <c r="FB248" i="5"/>
  <c r="DT239" i="5"/>
  <c r="DT248" i="5"/>
  <c r="DT245" i="5"/>
  <c r="DT247" i="5"/>
  <c r="FE304" i="3"/>
  <c r="FE318" i="3" s="1"/>
  <c r="FE298" i="3"/>
  <c r="ER304" i="3"/>
  <c r="ER318" i="3" s="1"/>
  <c r="ER298" i="3"/>
  <c r="CH290" i="3"/>
  <c r="CH292" i="3" s="1"/>
  <c r="CH281" i="3"/>
  <c r="CH285" i="3" s="1"/>
  <c r="CH294" i="3" s="1"/>
  <c r="FS303" i="3"/>
  <c r="FS296" i="3"/>
  <c r="FS82" i="3"/>
  <c r="DI239" i="5"/>
  <c r="DI245" i="5"/>
  <c r="DI247" i="5"/>
  <c r="DI248" i="5"/>
  <c r="BX304" i="3"/>
  <c r="BX318" i="3" s="1"/>
  <c r="BW239" i="5"/>
  <c r="BW245" i="5"/>
  <c r="BW247" i="5"/>
  <c r="BW248" i="5"/>
  <c r="DO239" i="5"/>
  <c r="DO248" i="5"/>
  <c r="DO247" i="5"/>
  <c r="DO245" i="5"/>
  <c r="BL304" i="3"/>
  <c r="BL318" i="3" s="1"/>
  <c r="BL298" i="3"/>
  <c r="FV239" i="5"/>
  <c r="FV248" i="5"/>
  <c r="FV247" i="5"/>
  <c r="FV245" i="5"/>
  <c r="M290" i="3"/>
  <c r="M292" i="3" s="1"/>
  <c r="M281" i="3"/>
  <c r="M285" i="3" s="1"/>
  <c r="M294" i="3" s="1"/>
  <c r="BL151" i="2"/>
  <c r="BL152" i="2" s="1"/>
  <c r="BL162" i="2"/>
  <c r="DS303" i="3"/>
  <c r="DS296" i="3"/>
  <c r="DS82" i="3"/>
  <c r="EH317" i="3"/>
  <c r="EH309" i="3"/>
  <c r="EH312" i="3"/>
  <c r="AQ239" i="5"/>
  <c r="AQ245" i="5"/>
  <c r="AQ247" i="5"/>
  <c r="AQ248" i="5"/>
  <c r="FD145" i="2"/>
  <c r="FD146" i="2" s="1"/>
  <c r="FD147" i="2" s="1"/>
  <c r="AM304" i="3"/>
  <c r="AM318" i="3" s="1"/>
  <c r="AM298" i="3"/>
  <c r="C167" i="5"/>
  <c r="C168" i="5" s="1"/>
  <c r="C169" i="5" s="1"/>
  <c r="FZ124" i="5"/>
  <c r="FZ125" i="5" s="1"/>
  <c r="C128" i="5"/>
  <c r="FZ128" i="5" s="1"/>
  <c r="GB128" i="5" s="1"/>
  <c r="EI239" i="5"/>
  <c r="EI248" i="5"/>
  <c r="EI247" i="5"/>
  <c r="EI245" i="5"/>
  <c r="EL264" i="3"/>
  <c r="EL270" i="3" s="1"/>
  <c r="EL273" i="3" s="1"/>
  <c r="EL289" i="3"/>
  <c r="EL144" i="2"/>
  <c r="AM312" i="3"/>
  <c r="AM309" i="3"/>
  <c r="AM317" i="3"/>
  <c r="CV239" i="5"/>
  <c r="CV245" i="5"/>
  <c r="CV247" i="5"/>
  <c r="CV248" i="5"/>
  <c r="CM289" i="3"/>
  <c r="CM264" i="3"/>
  <c r="CM270" i="3" s="1"/>
  <c r="CM273" i="3" s="1"/>
  <c r="CM144" i="2"/>
  <c r="BQ296" i="3"/>
  <c r="BQ303" i="3"/>
  <c r="BQ82" i="3"/>
  <c r="EO303" i="3"/>
  <c r="EO296" i="3"/>
  <c r="EO82" i="3"/>
  <c r="BU306" i="3"/>
  <c r="BU320" i="3" s="1"/>
  <c r="BT296" i="3"/>
  <c r="BT303" i="3"/>
  <c r="BT82" i="3"/>
  <c r="DQ290" i="3"/>
  <c r="DQ292" i="3" s="1"/>
  <c r="DQ281" i="3"/>
  <c r="DQ285" i="3" s="1"/>
  <c r="DQ294" i="3" s="1"/>
  <c r="BR239" i="5"/>
  <c r="BR248" i="5"/>
  <c r="BR247" i="5"/>
  <c r="BR245" i="5"/>
  <c r="FO289" i="3"/>
  <c r="FO264" i="3"/>
  <c r="FO270" i="3" s="1"/>
  <c r="FO273" i="3" s="1"/>
  <c r="FO144" i="2"/>
  <c r="DC296" i="3"/>
  <c r="DC303" i="3"/>
  <c r="DC82" i="3"/>
  <c r="BC264" i="3"/>
  <c r="BC270" i="3" s="1"/>
  <c r="BC273" i="3" s="1"/>
  <c r="BC289" i="3"/>
  <c r="BC144" i="2"/>
  <c r="K312" i="3"/>
  <c r="K309" i="3"/>
  <c r="K317" i="3"/>
  <c r="FI264" i="3"/>
  <c r="FI270" i="3" s="1"/>
  <c r="FI273" i="3" s="1"/>
  <c r="FI289" i="3"/>
  <c r="FI144" i="2"/>
  <c r="ES312" i="3"/>
  <c r="ES309" i="3"/>
  <c r="ES317" i="3"/>
  <c r="CG290" i="3"/>
  <c r="CG281" i="3"/>
  <c r="CG285" i="3" s="1"/>
  <c r="CG294" i="3" s="1"/>
  <c r="AE275" i="3"/>
  <c r="AN164" i="2"/>
  <c r="AN168" i="2" s="1"/>
  <c r="AN158" i="2"/>
  <c r="AN169" i="2" s="1"/>
  <c r="AN184" i="2" s="1"/>
  <c r="FK309" i="3"/>
  <c r="FK317" i="3"/>
  <c r="FK312" i="3"/>
  <c r="AO145" i="2"/>
  <c r="AO146" i="2" s="1"/>
  <c r="AO147" i="2" s="1"/>
  <c r="EB239" i="5"/>
  <c r="EB248" i="5"/>
  <c r="EB245" i="5"/>
  <c r="EB247" i="5"/>
  <c r="FE162" i="2"/>
  <c r="FE151" i="2"/>
  <c r="FE152" i="2" s="1"/>
  <c r="X164" i="2"/>
  <c r="X158" i="2"/>
  <c r="X169" i="2" s="1"/>
  <c r="X184" i="2" s="1"/>
  <c r="ER312" i="3"/>
  <c r="ER309" i="3"/>
  <c r="ER317" i="3"/>
  <c r="FR303" i="3"/>
  <c r="FR296" i="3"/>
  <c r="FR82" i="3"/>
  <c r="FR239" i="5"/>
  <c r="FR245" i="5"/>
  <c r="FR247" i="5"/>
  <c r="FR248" i="5"/>
  <c r="CS312" i="3"/>
  <c r="CS309" i="3"/>
  <c r="CS317" i="3"/>
  <c r="DJ145" i="2"/>
  <c r="DJ146" i="2" s="1"/>
  <c r="DJ147" i="2" s="1"/>
  <c r="CL145" i="2"/>
  <c r="CL146" i="2" s="1"/>
  <c r="CL147" i="2" s="1"/>
  <c r="O290" i="3"/>
  <c r="O281" i="3"/>
  <c r="O285" i="3" s="1"/>
  <c r="O294" i="3" s="1"/>
  <c r="DK239" i="5"/>
  <c r="DK240" i="5"/>
  <c r="DK245" i="5"/>
  <c r="DK247" i="5"/>
  <c r="DK248" i="5"/>
  <c r="EK304" i="3"/>
  <c r="EK318" i="3" s="1"/>
  <c r="EE303" i="3"/>
  <c r="EE296" i="3"/>
  <c r="EE82" i="3"/>
  <c r="EX317" i="3"/>
  <c r="EX312" i="3"/>
  <c r="EX309" i="3"/>
  <c r="F145" i="2"/>
  <c r="F146" i="2" s="1"/>
  <c r="F147" i="2" s="1"/>
  <c r="R239" i="5"/>
  <c r="R245" i="5"/>
  <c r="R247" i="5"/>
  <c r="R248" i="5"/>
  <c r="K239" i="5"/>
  <c r="K248" i="5"/>
  <c r="K247" i="5"/>
  <c r="K245" i="5"/>
  <c r="CH303" i="3"/>
  <c r="CH296" i="3"/>
  <c r="CH82" i="3"/>
  <c r="FS239" i="5"/>
  <c r="FS248" i="5"/>
  <c r="FS245" i="5"/>
  <c r="FS247" i="5"/>
  <c r="AT145" i="2"/>
  <c r="AT146" i="2" s="1"/>
  <c r="AT147" i="2" s="1"/>
  <c r="EC162" i="2"/>
  <c r="EC151" i="2"/>
  <c r="EC152" i="2" s="1"/>
  <c r="AL164" i="2"/>
  <c r="AL158" i="2"/>
  <c r="AL169" i="2" s="1"/>
  <c r="AL184" i="2" s="1"/>
  <c r="FU289" i="3"/>
  <c r="FU264" i="3"/>
  <c r="FU270" i="3" s="1"/>
  <c r="FU273" i="3" s="1"/>
  <c r="FU144" i="2"/>
  <c r="I239" i="5"/>
  <c r="I247" i="5"/>
  <c r="I248" i="5"/>
  <c r="I245" i="5"/>
  <c r="DW239" i="5"/>
  <c r="DW248" i="5"/>
  <c r="DW247" i="5"/>
  <c r="DW245" i="5"/>
  <c r="AL239" i="5"/>
  <c r="AL248" i="5"/>
  <c r="AL245" i="5"/>
  <c r="AL247" i="5"/>
  <c r="AH290" i="3"/>
  <c r="AH281" i="3"/>
  <c r="AH285" i="3" s="1"/>
  <c r="AH294" i="3" s="1"/>
  <c r="M303" i="3"/>
  <c r="M296" i="3"/>
  <c r="M82" i="3"/>
  <c r="BZ145" i="2"/>
  <c r="BZ146" i="2" s="1"/>
  <c r="BZ147" i="2" s="1"/>
  <c r="AD239" i="5"/>
  <c r="AD245" i="5"/>
  <c r="AD248" i="5"/>
  <c r="AD247" i="5"/>
  <c r="DB239" i="5"/>
  <c r="DB245" i="5"/>
  <c r="DB247" i="5"/>
  <c r="DB248" i="5"/>
  <c r="W162" i="2"/>
  <c r="W151" i="2"/>
  <c r="W152" i="2" s="1"/>
  <c r="DC239" i="5"/>
  <c r="DC248" i="5"/>
  <c r="DC247" i="5"/>
  <c r="DC245" i="5"/>
  <c r="FD290" i="3"/>
  <c r="FD292" i="3" s="1"/>
  <c r="FD281" i="3"/>
  <c r="FD285" i="3" s="1"/>
  <c r="FD294" i="3" s="1"/>
  <c r="FW145" i="2"/>
  <c r="FW146" i="2" s="1"/>
  <c r="FW147" i="2" s="1"/>
  <c r="CI239" i="5"/>
  <c r="CI245" i="5"/>
  <c r="CI247" i="5"/>
  <c r="CI248" i="5"/>
  <c r="BX151" i="2"/>
  <c r="BX152" i="2" s="1"/>
  <c r="BX162" i="2"/>
  <c r="DD239" i="5"/>
  <c r="DD248" i="5"/>
  <c r="DD245" i="5"/>
  <c r="DD247" i="5"/>
  <c r="BH145" i="2"/>
  <c r="BH146" i="2" s="1"/>
  <c r="BH147" i="2" s="1"/>
  <c r="AH239" i="5"/>
  <c r="AH247" i="5"/>
  <c r="AH245" i="5"/>
  <c r="AH248" i="5"/>
  <c r="FM239" i="5"/>
  <c r="FM245" i="5"/>
  <c r="FM248" i="5"/>
  <c r="FM247" i="5"/>
  <c r="DN239" i="5"/>
  <c r="DN248" i="5"/>
  <c r="DN247" i="5"/>
  <c r="DN245" i="5"/>
  <c r="DQ303" i="3"/>
  <c r="DQ296" i="3"/>
  <c r="DQ82" i="3"/>
  <c r="BX239" i="5"/>
  <c r="BX245" i="5"/>
  <c r="BX247" i="5"/>
  <c r="BX248" i="5"/>
  <c r="V317" i="3"/>
  <c r="V312" i="3"/>
  <c r="V309" i="3"/>
  <c r="FB312" i="3"/>
  <c r="FB309" i="3"/>
  <c r="FB317" i="3"/>
  <c r="T239" i="5"/>
  <c r="T247" i="5"/>
  <c r="T248" i="5"/>
  <c r="T245" i="5"/>
  <c r="BS239" i="5"/>
  <c r="BS248" i="5"/>
  <c r="BS247" i="5"/>
  <c r="BS245" i="5"/>
  <c r="AY162" i="2"/>
  <c r="AY151" i="2"/>
  <c r="AY152" i="2" s="1"/>
  <c r="BQ239" i="5"/>
  <c r="BQ248" i="5"/>
  <c r="BQ247" i="5"/>
  <c r="BQ245" i="5"/>
  <c r="CD145" i="2"/>
  <c r="CD146" i="2" s="1"/>
  <c r="CD147" i="2" s="1"/>
  <c r="ES292" i="3"/>
  <c r="ES298" i="3" s="1"/>
  <c r="CG303" i="3"/>
  <c r="CG296" i="3"/>
  <c r="CG82" i="3"/>
  <c r="D239" i="5"/>
  <c r="D247" i="5"/>
  <c r="D245" i="5"/>
  <c r="D248" i="5"/>
  <c r="DP162" i="2"/>
  <c r="DP151" i="2"/>
  <c r="DP152" i="2" s="1"/>
  <c r="AN174" i="2"/>
  <c r="AN170" i="2"/>
  <c r="AN179" i="2"/>
  <c r="AN50" i="2"/>
  <c r="CL303" i="3"/>
  <c r="CL296" i="3"/>
  <c r="CL82" i="3"/>
  <c r="DN162" i="2"/>
  <c r="DN151" i="2"/>
  <c r="DN152" i="2" s="1"/>
  <c r="BS290" i="3"/>
  <c r="BS292" i="3" s="1"/>
  <c r="BS281" i="3"/>
  <c r="BS285" i="3" s="1"/>
  <c r="BS294" i="3" s="1"/>
  <c r="AV145" i="2"/>
  <c r="AV146" i="2" s="1"/>
  <c r="AV147" i="2" s="1"/>
  <c r="CC290" i="3"/>
  <c r="CC281" i="3"/>
  <c r="CC285" i="3" s="1"/>
  <c r="CC294" i="3" s="1"/>
  <c r="BD145" i="2"/>
  <c r="BD146" i="2" s="1"/>
  <c r="BD147" i="2" s="1"/>
  <c r="EZ312" i="3"/>
  <c r="EZ309" i="3"/>
  <c r="EZ317" i="3"/>
  <c r="DE290" i="3"/>
  <c r="DE281" i="3"/>
  <c r="DE285" i="3" s="1"/>
  <c r="DE294" i="3" s="1"/>
  <c r="FR145" i="2"/>
  <c r="FR146" i="2" s="1"/>
  <c r="FR147" i="2" s="1"/>
  <c r="CW145" i="2"/>
  <c r="CW146" i="2" s="1"/>
  <c r="CW147" i="2" s="1"/>
  <c r="BD290" i="3"/>
  <c r="BD292" i="3" s="1"/>
  <c r="BD281" i="3"/>
  <c r="BD285" i="3" s="1"/>
  <c r="BD294" i="3" s="1"/>
  <c r="O145" i="2"/>
  <c r="O146" i="2" s="1"/>
  <c r="O147" i="2" s="1"/>
  <c r="AI168" i="2"/>
  <c r="AI172" i="2" s="1"/>
  <c r="CW303" i="3"/>
  <c r="CW296" i="3"/>
  <c r="CW82" i="3"/>
  <c r="J239" i="5"/>
  <c r="J248" i="5"/>
  <c r="J247" i="5"/>
  <c r="J245" i="5"/>
  <c r="DA145" i="2"/>
  <c r="DA146" i="2" s="1"/>
  <c r="DA147" i="2" s="1"/>
  <c r="EU145" i="2"/>
  <c r="EU146" i="2" s="1"/>
  <c r="EU147" i="2" s="1"/>
  <c r="CS292" i="3"/>
  <c r="CS298" i="3" s="1"/>
  <c r="DJ290" i="3"/>
  <c r="DJ292" i="3" s="1"/>
  <c r="DJ281" i="3"/>
  <c r="DJ285" i="3" s="1"/>
  <c r="DJ294" i="3" s="1"/>
  <c r="CL290" i="3"/>
  <c r="CL281" i="3"/>
  <c r="CL285" i="3" s="1"/>
  <c r="CL294" i="3" s="1"/>
  <c r="FE312" i="3"/>
  <c r="FE309" i="3"/>
  <c r="FE317" i="3"/>
  <c r="CR239" i="5"/>
  <c r="CR245" i="5"/>
  <c r="CR248" i="5"/>
  <c r="CR247" i="5"/>
  <c r="DG164" i="2"/>
  <c r="DG158" i="2"/>
  <c r="DG169" i="2" s="1"/>
  <c r="DG184" i="2" s="1"/>
  <c r="FV145" i="2"/>
  <c r="FV146" i="2" s="1"/>
  <c r="FV147" i="2" s="1"/>
  <c r="AF145" i="2"/>
  <c r="AF146" i="2" s="1"/>
  <c r="AF147" i="2" s="1"/>
  <c r="CT145" i="2"/>
  <c r="CT146" i="2" s="1"/>
  <c r="CT147" i="2" s="1"/>
  <c r="AQ304" i="3"/>
  <c r="AQ318" i="3" s="1"/>
  <c r="AQ298" i="3"/>
  <c r="F290" i="3"/>
  <c r="F292" i="3" s="1"/>
  <c r="F281" i="3"/>
  <c r="F285" i="3" s="1"/>
  <c r="F294" i="3" s="1"/>
  <c r="BL312" i="3"/>
  <c r="BL309" i="3"/>
  <c r="BL317" i="3"/>
  <c r="EX275" i="3"/>
  <c r="FM145" i="2"/>
  <c r="FM146" i="2" s="1"/>
  <c r="FM147" i="2" s="1"/>
  <c r="AT290" i="3"/>
  <c r="AT281" i="3"/>
  <c r="AT285" i="3" s="1"/>
  <c r="AT294" i="3" s="1"/>
  <c r="FL275" i="3"/>
  <c r="CU145" i="2"/>
  <c r="CU146" i="2" s="1"/>
  <c r="CU147" i="2" s="1"/>
  <c r="AL170" i="2"/>
  <c r="AL174" i="2"/>
  <c r="AL179" i="2"/>
  <c r="AL50" i="2"/>
  <c r="EV239" i="5"/>
  <c r="EV245" i="5"/>
  <c r="EV247" i="5"/>
  <c r="EV248" i="5"/>
  <c r="CQ239" i="5"/>
  <c r="CQ248" i="5"/>
  <c r="CQ247" i="5"/>
  <c r="CQ245" i="5"/>
  <c r="BA239" i="5"/>
  <c r="BA247" i="5"/>
  <c r="BA245" i="5"/>
  <c r="BA248" i="5"/>
  <c r="FQ239" i="5"/>
  <c r="FQ245" i="5"/>
  <c r="FQ247" i="5"/>
  <c r="FQ248" i="5"/>
  <c r="BZ290" i="3"/>
  <c r="BZ292" i="3" s="1"/>
  <c r="BZ281" i="3"/>
  <c r="BZ285" i="3" s="1"/>
  <c r="BZ294" i="3" s="1"/>
  <c r="AS239" i="5"/>
  <c r="AS245" i="5"/>
  <c r="AS248" i="5"/>
  <c r="AS247" i="5"/>
  <c r="W304" i="3"/>
  <c r="W318" i="3" s="1"/>
  <c r="W298" i="3"/>
  <c r="CR312" i="3"/>
  <c r="CR309" i="3"/>
  <c r="CR317" i="3"/>
  <c r="FX304" i="3"/>
  <c r="FX318" i="3" s="1"/>
  <c r="FX298" i="3"/>
  <c r="DT312" i="3"/>
  <c r="DT309" i="3"/>
  <c r="DT317" i="3"/>
  <c r="Z145" i="2"/>
  <c r="Z146" i="2" s="1"/>
  <c r="Z147" i="2" s="1"/>
  <c r="FK239" i="5"/>
  <c r="FK247" i="5"/>
  <c r="FK248" i="5"/>
  <c r="FK245" i="5"/>
  <c r="CS239" i="5"/>
  <c r="CS245" i="5"/>
  <c r="CS248" i="5"/>
  <c r="CS247" i="5"/>
  <c r="BC239" i="5"/>
  <c r="BC245" i="5"/>
  <c r="BC247" i="5"/>
  <c r="BC248" i="5"/>
  <c r="FD303" i="3"/>
  <c r="FD296" i="3"/>
  <c r="FD82" i="3"/>
  <c r="FW290" i="3"/>
  <c r="FW281" i="3"/>
  <c r="FW285" i="3" s="1"/>
  <c r="FW294" i="3" s="1"/>
  <c r="BL239" i="5"/>
  <c r="BL245" i="5"/>
  <c r="BL247" i="5"/>
  <c r="BL248" i="5"/>
  <c r="DP312" i="3"/>
  <c r="DP309" i="3"/>
  <c r="DP317" i="3"/>
  <c r="CF312" i="3"/>
  <c r="CF309" i="3"/>
  <c r="CF317" i="3"/>
  <c r="CV145" i="2"/>
  <c r="CV146" i="2" s="1"/>
  <c r="CV147" i="2" s="1"/>
  <c r="I289" i="3"/>
  <c r="I264" i="3"/>
  <c r="I270" i="3" s="1"/>
  <c r="I273" i="3" s="1"/>
  <c r="I144" i="2"/>
  <c r="EM145" i="2"/>
  <c r="EM146" i="2" s="1"/>
  <c r="EM147" i="2" s="1"/>
  <c r="BH290" i="3"/>
  <c r="BH281" i="3"/>
  <c r="BH285" i="3" s="1"/>
  <c r="BH294" i="3" s="1"/>
  <c r="CK239" i="5"/>
  <c r="CK245" i="5"/>
  <c r="CK247" i="5"/>
  <c r="CK248" i="5"/>
  <c r="BV275" i="3"/>
  <c r="CU239" i="5"/>
  <c r="CU245" i="5"/>
  <c r="CU247" i="5"/>
  <c r="CU248" i="5"/>
  <c r="BZ239" i="5"/>
  <c r="BZ247" i="5"/>
  <c r="BZ248" i="5"/>
  <c r="BZ245" i="5"/>
  <c r="CA292" i="3"/>
  <c r="CA298" i="3" s="1"/>
  <c r="U239" i="5"/>
  <c r="U248" i="5"/>
  <c r="U247" i="5"/>
  <c r="U245" i="5"/>
  <c r="V275" i="3"/>
  <c r="CD303" i="3"/>
  <c r="CD296" i="3"/>
  <c r="CD82" i="3"/>
  <c r="L239" i="5"/>
  <c r="L248" i="5"/>
  <c r="L245" i="5"/>
  <c r="L247" i="5"/>
  <c r="FH306" i="3"/>
  <c r="FH320" i="3" s="1"/>
  <c r="AE304" i="3"/>
  <c r="AE318" i="3" s="1"/>
  <c r="AE298" i="3"/>
  <c r="AL306" i="3"/>
  <c r="AL320" i="3" s="1"/>
  <c r="FH164" i="2"/>
  <c r="FH158" i="2"/>
  <c r="FH169" i="2" s="1"/>
  <c r="FH184" i="2" s="1"/>
  <c r="Y239" i="5"/>
  <c r="Y248" i="5"/>
  <c r="Y245" i="5"/>
  <c r="Y247" i="5"/>
  <c r="AF290" i="3"/>
  <c r="AF281" i="3"/>
  <c r="AF285" i="3" s="1"/>
  <c r="AF294" i="3" s="1"/>
  <c r="F303" i="3"/>
  <c r="F296" i="3"/>
  <c r="F82" i="3"/>
  <c r="FU239" i="5"/>
  <c r="FU247" i="5"/>
  <c r="FU248" i="5"/>
  <c r="FU245" i="5"/>
  <c r="FM290" i="3"/>
  <c r="FM281" i="3"/>
  <c r="FM285" i="3" s="1"/>
  <c r="FM294" i="3" s="1"/>
  <c r="AT303" i="3"/>
  <c r="AT296" i="3"/>
  <c r="AT82" i="3"/>
  <c r="CU303" i="3"/>
  <c r="CU296" i="3"/>
  <c r="CU82" i="3"/>
  <c r="DP239" i="5"/>
  <c r="DP248" i="5"/>
  <c r="DP245" i="5"/>
  <c r="DP247" i="5"/>
  <c r="FX312" i="3"/>
  <c r="FX309" i="3"/>
  <c r="FX317" i="3"/>
  <c r="BZ303" i="3"/>
  <c r="BZ296" i="3"/>
  <c r="BZ82" i="3"/>
  <c r="CQ304" i="3"/>
  <c r="CQ318" i="3" s="1"/>
  <c r="CQ298" i="3"/>
  <c r="BR289" i="3"/>
  <c r="BR264" i="3"/>
  <c r="BR270" i="3" s="1"/>
  <c r="BR273" i="3" s="1"/>
  <c r="BR144" i="2"/>
  <c r="EC239" i="5"/>
  <c r="EC245" i="5"/>
  <c r="EC248" i="5"/>
  <c r="EC247" i="5"/>
  <c r="BT239" i="5"/>
  <c r="BT248" i="5"/>
  <c r="BT247" i="5"/>
  <c r="BT245" i="5"/>
  <c r="Z290" i="3"/>
  <c r="Z281" i="3"/>
  <c r="Z285" i="3" s="1"/>
  <c r="Z294" i="3" s="1"/>
  <c r="AE239" i="5"/>
  <c r="AE245" i="5"/>
  <c r="AE248" i="5"/>
  <c r="AE247" i="5"/>
  <c r="AU239" i="5"/>
  <c r="AU248" i="5"/>
  <c r="AU247" i="5"/>
  <c r="AU245" i="5"/>
  <c r="M239" i="5"/>
  <c r="M248" i="5"/>
  <c r="M245" i="5"/>
  <c r="M247" i="5"/>
  <c r="FW303" i="3"/>
  <c r="FW296" i="3"/>
  <c r="FW82" i="3"/>
  <c r="EQ239" i="5"/>
  <c r="EQ245" i="5"/>
  <c r="EQ247" i="5"/>
  <c r="EQ248" i="5"/>
  <c r="DX145" i="2"/>
  <c r="DX146" i="2" s="1"/>
  <c r="DX147" i="2" s="1"/>
  <c r="CV290" i="3"/>
  <c r="CV292" i="3" s="1"/>
  <c r="CV281" i="3"/>
  <c r="CV285" i="3" s="1"/>
  <c r="CV294" i="3" s="1"/>
  <c r="EM303" i="3"/>
  <c r="EM296" i="3"/>
  <c r="EM82" i="3"/>
  <c r="CF304" i="3"/>
  <c r="CF318" i="3" s="1"/>
  <c r="BH303" i="3"/>
  <c r="BH296" i="3"/>
  <c r="BH82" i="3"/>
  <c r="DF289" i="3"/>
  <c r="DF264" i="3"/>
  <c r="DF270" i="3" s="1"/>
  <c r="DF273" i="3" s="1"/>
  <c r="DF144" i="2"/>
  <c r="DM304" i="3"/>
  <c r="DM318" i="3" s="1"/>
  <c r="DM298" i="3"/>
  <c r="EI303" i="3"/>
  <c r="EI296" i="3"/>
  <c r="EI82" i="3"/>
  <c r="FJ239" i="5"/>
  <c r="FJ248" i="5"/>
  <c r="FJ247" i="5"/>
  <c r="FJ245" i="5"/>
  <c r="Q239" i="5"/>
  <c r="Q247" i="5"/>
  <c r="Q248" i="5"/>
  <c r="Q245" i="5"/>
  <c r="N239" i="5"/>
  <c r="N245" i="5"/>
  <c r="N248" i="5"/>
  <c r="N247" i="5"/>
  <c r="BV162" i="2"/>
  <c r="BV151" i="2"/>
  <c r="BV152" i="2" s="1"/>
  <c r="V304" i="3"/>
  <c r="V318" i="3" s="1"/>
  <c r="V298" i="3"/>
  <c r="CD290" i="3"/>
  <c r="CD292" i="3" s="1"/>
  <c r="CD281" i="3"/>
  <c r="CD285" i="3" s="1"/>
  <c r="CD294" i="3" s="1"/>
  <c r="CH239" i="5"/>
  <c r="CH245" i="5"/>
  <c r="CH247" i="5"/>
  <c r="CH248" i="5"/>
  <c r="AU145" i="2"/>
  <c r="AU146" i="2" s="1"/>
  <c r="AU147" i="2" s="1"/>
  <c r="FH179" i="2"/>
  <c r="FH170" i="2"/>
  <c r="FH174" i="2"/>
  <c r="FH50" i="2"/>
  <c r="BA82" i="3" l="1"/>
  <c r="BA296" i="3"/>
  <c r="FK298" i="3"/>
  <c r="EI290" i="3"/>
  <c r="EI292" i="3" s="1"/>
  <c r="FK304" i="3"/>
  <c r="FK318" i="3" s="1"/>
  <c r="AQ275" i="3"/>
  <c r="EU82" i="3"/>
  <c r="EU296" i="3"/>
  <c r="FV281" i="3"/>
  <c r="FV285" i="3" s="1"/>
  <c r="FV294" i="3" s="1"/>
  <c r="FE275" i="3"/>
  <c r="BF275" i="3"/>
  <c r="AM275" i="3"/>
  <c r="FQ306" i="3"/>
  <c r="FQ320" i="3" s="1"/>
  <c r="W275" i="3"/>
  <c r="FK281" i="3"/>
  <c r="FK285" i="3" s="1"/>
  <c r="FK294" i="3" s="1"/>
  <c r="X306" i="3"/>
  <c r="X320" i="3" s="1"/>
  <c r="FK151" i="2"/>
  <c r="FK152" i="2" s="1"/>
  <c r="FQ275" i="3"/>
  <c r="G298" i="3"/>
  <c r="G304" i="3"/>
  <c r="G318" i="3" s="1"/>
  <c r="EN292" i="3"/>
  <c r="EN298" i="3" s="1"/>
  <c r="EY304" i="3"/>
  <c r="EY318" i="3" s="1"/>
  <c r="EY298" i="3"/>
  <c r="AB306" i="3"/>
  <c r="AB320" i="3" s="1"/>
  <c r="CR275" i="3"/>
  <c r="AH296" i="3"/>
  <c r="CQ312" i="3"/>
  <c r="EQ153" i="2"/>
  <c r="CQ317" i="3"/>
  <c r="EC275" i="3"/>
  <c r="FG306" i="3"/>
  <c r="FG320" i="3" s="1"/>
  <c r="AH292" i="3"/>
  <c r="AH298" i="3" s="1"/>
  <c r="DP275" i="3"/>
  <c r="BO151" i="2"/>
  <c r="BO152" i="2" s="1"/>
  <c r="BO158" i="2" s="1"/>
  <c r="BO169" i="2" s="1"/>
  <c r="BO184" i="2" s="1"/>
  <c r="CR306" i="3"/>
  <c r="CR320" i="3" s="1"/>
  <c r="EQ164" i="2"/>
  <c r="EK275" i="3"/>
  <c r="EB312" i="3"/>
  <c r="EB304" i="3"/>
  <c r="EB318" i="3" s="1"/>
  <c r="EB298" i="3"/>
  <c r="EY151" i="2"/>
  <c r="EY152" i="2" s="1"/>
  <c r="EY164" i="2" s="1"/>
  <c r="EY168" i="2" s="1"/>
  <c r="Q317" i="3"/>
  <c r="EB151" i="2"/>
  <c r="EB152" i="2" s="1"/>
  <c r="EB164" i="2" s="1"/>
  <c r="EB168" i="2" s="1"/>
  <c r="EB309" i="3"/>
  <c r="Q309" i="3"/>
  <c r="EY281" i="3"/>
  <c r="EY285" i="3" s="1"/>
  <c r="EY294" i="3" s="1"/>
  <c r="BQ281" i="3"/>
  <c r="BQ285" i="3" s="1"/>
  <c r="BQ294" i="3" s="1"/>
  <c r="BV298" i="3"/>
  <c r="EQ318" i="3"/>
  <c r="EQ306" i="3"/>
  <c r="EQ320" i="3" s="1"/>
  <c r="EZ306" i="3"/>
  <c r="EZ320" i="3" s="1"/>
  <c r="BN82" i="3"/>
  <c r="BN292" i="3"/>
  <c r="Q151" i="2"/>
  <c r="Q152" i="2" s="1"/>
  <c r="Q158" i="2" s="1"/>
  <c r="Q169" i="2" s="1"/>
  <c r="Q184" i="2" s="1"/>
  <c r="BN296" i="3"/>
  <c r="BL275" i="3"/>
  <c r="EK312" i="3"/>
  <c r="BV304" i="3"/>
  <c r="CA275" i="3"/>
  <c r="EB281" i="3"/>
  <c r="EB285" i="3" s="1"/>
  <c r="EB294" i="3" s="1"/>
  <c r="AH303" i="3"/>
  <c r="AH317" i="3" s="1"/>
  <c r="R275" i="3"/>
  <c r="AK298" i="3"/>
  <c r="BO290" i="3"/>
  <c r="BO281" i="3"/>
  <c r="AK304" i="3"/>
  <c r="AK318" i="3" s="1"/>
  <c r="Q290" i="3"/>
  <c r="Q281" i="3"/>
  <c r="Q285" i="3" s="1"/>
  <c r="Q294" i="3" s="1"/>
  <c r="EH306" i="3"/>
  <c r="EH320" i="3" s="1"/>
  <c r="EV306" i="3"/>
  <c r="EV320" i="3" s="1"/>
  <c r="EK317" i="3"/>
  <c r="EX306" i="3"/>
  <c r="EX320" i="3" s="1"/>
  <c r="ER306" i="3"/>
  <c r="ER320" i="3" s="1"/>
  <c r="EN281" i="3"/>
  <c r="BA281" i="3"/>
  <c r="BA285" i="3" s="1"/>
  <c r="BA294" i="3" s="1"/>
  <c r="BL306" i="3"/>
  <c r="BL320" i="3" s="1"/>
  <c r="BJ275" i="3"/>
  <c r="BA292" i="3"/>
  <c r="BA298" i="3" s="1"/>
  <c r="DN281" i="3"/>
  <c r="DN290" i="3"/>
  <c r="DN292" i="3" s="1"/>
  <c r="DN296" i="3"/>
  <c r="DN82" i="3"/>
  <c r="DN303" i="3"/>
  <c r="AL153" i="2"/>
  <c r="BU249" i="5"/>
  <c r="BU253" i="5" s="1"/>
  <c r="BU258" i="5" s="1"/>
  <c r="BU259" i="5" s="1"/>
  <c r="BU289" i="5" s="1"/>
  <c r="L275" i="3"/>
  <c r="FB306" i="3"/>
  <c r="FB320" i="3" s="1"/>
  <c r="EN82" i="3"/>
  <c r="EN303" i="3"/>
  <c r="EN306" i="3" s="1"/>
  <c r="EN320" i="3" s="1"/>
  <c r="EN296" i="3"/>
  <c r="K249" i="5"/>
  <c r="K253" i="5" s="1"/>
  <c r="K258" i="5" s="1"/>
  <c r="K259" i="5" s="1"/>
  <c r="K289" i="5" s="1"/>
  <c r="DE275" i="3"/>
  <c r="T249" i="5"/>
  <c r="T253" i="5" s="1"/>
  <c r="T258" i="5" s="1"/>
  <c r="T259" i="5" s="1"/>
  <c r="T289" i="5" s="1"/>
  <c r="BZ275" i="3"/>
  <c r="BR249" i="5"/>
  <c r="BR253" i="5" s="1"/>
  <c r="BR258" i="5" s="1"/>
  <c r="BR259" i="5" s="1"/>
  <c r="BR289" i="5" s="1"/>
  <c r="Y249" i="5"/>
  <c r="Y253" i="5" s="1"/>
  <c r="Y258" i="5" s="1"/>
  <c r="Y259" i="5" s="1"/>
  <c r="Y264" i="5" s="1"/>
  <c r="Y270" i="5" s="1"/>
  <c r="Y273" i="5" s="1"/>
  <c r="AG275" i="3"/>
  <c r="BY275" i="3"/>
  <c r="ES306" i="3"/>
  <c r="ES320" i="3" s="1"/>
  <c r="U249" i="5"/>
  <c r="U253" i="5" s="1"/>
  <c r="U258" i="5" s="1"/>
  <c r="U259" i="5" s="1"/>
  <c r="U264" i="5" s="1"/>
  <c r="U270" i="5" s="1"/>
  <c r="U273" i="5" s="1"/>
  <c r="CW275" i="3"/>
  <c r="FS275" i="3"/>
  <c r="DC275" i="3"/>
  <c r="DX249" i="5"/>
  <c r="DX253" i="5" s="1"/>
  <c r="DX258" i="5" s="1"/>
  <c r="DX259" i="5" s="1"/>
  <c r="DX289" i="5" s="1"/>
  <c r="O275" i="3"/>
  <c r="H306" i="3"/>
  <c r="H320" i="3" s="1"/>
  <c r="FO249" i="5"/>
  <c r="FO253" i="5" s="1"/>
  <c r="FO258" i="5" s="1"/>
  <c r="FO259" i="5" s="1"/>
  <c r="FO264" i="5" s="1"/>
  <c r="FO270" i="5" s="1"/>
  <c r="FO273" i="5" s="1"/>
  <c r="U275" i="3"/>
  <c r="EG275" i="3"/>
  <c r="DT249" i="5"/>
  <c r="DT253" i="5" s="1"/>
  <c r="DT258" i="5" s="1"/>
  <c r="DT259" i="5" s="1"/>
  <c r="DT289" i="5" s="1"/>
  <c r="BM249" i="5"/>
  <c r="BM253" i="5" s="1"/>
  <c r="BM258" i="5" s="1"/>
  <c r="BM259" i="5" s="1"/>
  <c r="BM289" i="5" s="1"/>
  <c r="FP275" i="3"/>
  <c r="EM275" i="3"/>
  <c r="K306" i="3"/>
  <c r="K320" i="3" s="1"/>
  <c r="DK306" i="3"/>
  <c r="DK320" i="3" s="1"/>
  <c r="DC249" i="5"/>
  <c r="DC253" i="5" s="1"/>
  <c r="DC258" i="5" s="1"/>
  <c r="DC259" i="5" s="1"/>
  <c r="DC264" i="5" s="1"/>
  <c r="DC270" i="5" s="1"/>
  <c r="DC273" i="5" s="1"/>
  <c r="Z275" i="3"/>
  <c r="FB249" i="5"/>
  <c r="FB253" i="5" s="1"/>
  <c r="FB258" i="5" s="1"/>
  <c r="FB259" i="5" s="1"/>
  <c r="FB264" i="5" s="1"/>
  <c r="FB270" i="5" s="1"/>
  <c r="FB273" i="5" s="1"/>
  <c r="FR275" i="3"/>
  <c r="DU275" i="3"/>
  <c r="AV275" i="3"/>
  <c r="M249" i="5"/>
  <c r="M253" i="5" s="1"/>
  <c r="M258" i="5" s="1"/>
  <c r="M259" i="5" s="1"/>
  <c r="M289" i="5" s="1"/>
  <c r="T153" i="2"/>
  <c r="CC249" i="5"/>
  <c r="CC253" i="5" s="1"/>
  <c r="CC258" i="5" s="1"/>
  <c r="CC259" i="5" s="1"/>
  <c r="CC264" i="5" s="1"/>
  <c r="CC270" i="5" s="1"/>
  <c r="CC273" i="5" s="1"/>
  <c r="AT275" i="3"/>
  <c r="BQ249" i="5"/>
  <c r="BQ253" i="5" s="1"/>
  <c r="BQ258" i="5" s="1"/>
  <c r="BQ259" i="5" s="1"/>
  <c r="BQ289" i="5" s="1"/>
  <c r="W249" i="5"/>
  <c r="W253" i="5" s="1"/>
  <c r="W258" i="5" s="1"/>
  <c r="W259" i="5" s="1"/>
  <c r="W264" i="5" s="1"/>
  <c r="W270" i="5" s="1"/>
  <c r="W273" i="5" s="1"/>
  <c r="EP275" i="3"/>
  <c r="AJ249" i="5"/>
  <c r="AJ253" i="5" s="1"/>
  <c r="AJ258" i="5" s="1"/>
  <c r="AJ259" i="5" s="1"/>
  <c r="AJ289" i="5" s="1"/>
  <c r="FS249" i="5"/>
  <c r="FS253" i="5" s="1"/>
  <c r="FS258" i="5" s="1"/>
  <c r="FS259" i="5" s="1"/>
  <c r="FS289" i="5" s="1"/>
  <c r="DM249" i="5"/>
  <c r="DM253" i="5" s="1"/>
  <c r="DM258" i="5" s="1"/>
  <c r="DM259" i="5" s="1"/>
  <c r="DM264" i="5" s="1"/>
  <c r="DM270" i="5" s="1"/>
  <c r="DM273" i="5" s="1"/>
  <c r="Y275" i="3"/>
  <c r="EF249" i="5"/>
  <c r="EF253" i="5" s="1"/>
  <c r="EF258" i="5" s="1"/>
  <c r="EF259" i="5" s="1"/>
  <c r="EF289" i="5" s="1"/>
  <c r="BZ249" i="5"/>
  <c r="BZ253" i="5" s="1"/>
  <c r="BZ258" i="5" s="1"/>
  <c r="BZ259" i="5" s="1"/>
  <c r="BZ289" i="5" s="1"/>
  <c r="AN153" i="2"/>
  <c r="AW249" i="5"/>
  <c r="AW253" i="5" s="1"/>
  <c r="AW258" i="5" s="1"/>
  <c r="AW259" i="5" s="1"/>
  <c r="AW289" i="5" s="1"/>
  <c r="ET249" i="5"/>
  <c r="ET253" i="5" s="1"/>
  <c r="ET258" i="5" s="1"/>
  <c r="ET259" i="5" s="1"/>
  <c r="ET264" i="5" s="1"/>
  <c r="ET270" i="5" s="1"/>
  <c r="ET273" i="5" s="1"/>
  <c r="BP249" i="5"/>
  <c r="BP253" i="5" s="1"/>
  <c r="BP258" i="5" s="1"/>
  <c r="BP259" i="5" s="1"/>
  <c r="BP264" i="5" s="1"/>
  <c r="BP270" i="5" s="1"/>
  <c r="BP273" i="5" s="1"/>
  <c r="ED275" i="3"/>
  <c r="CY249" i="5"/>
  <c r="CY253" i="5" s="1"/>
  <c r="CY258" i="5" s="1"/>
  <c r="CY259" i="5" s="1"/>
  <c r="CY264" i="5" s="1"/>
  <c r="CY270" i="5" s="1"/>
  <c r="CY273" i="5" s="1"/>
  <c r="FL249" i="5"/>
  <c r="FL253" i="5" s="1"/>
  <c r="FL258" i="5" s="1"/>
  <c r="FL259" i="5" s="1"/>
  <c r="FL289" i="5" s="1"/>
  <c r="AZ249" i="5"/>
  <c r="AZ253" i="5" s="1"/>
  <c r="AZ258" i="5" s="1"/>
  <c r="AZ259" i="5" s="1"/>
  <c r="AZ289" i="5" s="1"/>
  <c r="FD249" i="5"/>
  <c r="FD253" i="5" s="1"/>
  <c r="FD258" i="5" s="1"/>
  <c r="FD259" i="5" s="1"/>
  <c r="FD264" i="5" s="1"/>
  <c r="FD270" i="5" s="1"/>
  <c r="FD273" i="5" s="1"/>
  <c r="FJ153" i="2"/>
  <c r="EP249" i="5"/>
  <c r="EP253" i="5" s="1"/>
  <c r="EP258" i="5" s="1"/>
  <c r="EP259" i="5" s="1"/>
  <c r="EP289" i="5" s="1"/>
  <c r="CZ275" i="3"/>
  <c r="BB249" i="5"/>
  <c r="BB253" i="5" s="1"/>
  <c r="BB258" i="5" s="1"/>
  <c r="BB259" i="5" s="1"/>
  <c r="BB289" i="5" s="1"/>
  <c r="DP306" i="3"/>
  <c r="DP320" i="3" s="1"/>
  <c r="I249" i="5"/>
  <c r="I253" i="5" s="1"/>
  <c r="I258" i="5" s="1"/>
  <c r="I259" i="5" s="1"/>
  <c r="I289" i="5" s="1"/>
  <c r="FE306" i="3"/>
  <c r="FE320" i="3" s="1"/>
  <c r="DO249" i="5"/>
  <c r="DO253" i="5" s="1"/>
  <c r="DO258" i="5" s="1"/>
  <c r="DO259" i="5" s="1"/>
  <c r="DO264" i="5" s="1"/>
  <c r="DO270" i="5" s="1"/>
  <c r="DO273" i="5" s="1"/>
  <c r="BN249" i="5"/>
  <c r="BN253" i="5" s="1"/>
  <c r="BN258" i="5" s="1"/>
  <c r="BN259" i="5" s="1"/>
  <c r="BN264" i="5" s="1"/>
  <c r="BN270" i="5" s="1"/>
  <c r="BN273" i="5" s="1"/>
  <c r="BP306" i="3"/>
  <c r="BP320" i="3" s="1"/>
  <c r="AS275" i="3"/>
  <c r="AO249" i="5"/>
  <c r="AO253" i="5" s="1"/>
  <c r="AO258" i="5" s="1"/>
  <c r="AO259" i="5" s="1"/>
  <c r="AO289" i="5" s="1"/>
  <c r="BI306" i="3"/>
  <c r="BI320" i="3" s="1"/>
  <c r="AU275" i="3"/>
  <c r="DX275" i="3"/>
  <c r="BC249" i="5"/>
  <c r="BC253" i="5" s="1"/>
  <c r="BC258" i="5" s="1"/>
  <c r="BC259" i="5" s="1"/>
  <c r="BC264" i="5" s="1"/>
  <c r="BC270" i="5" s="1"/>
  <c r="BC273" i="5" s="1"/>
  <c r="FD275" i="3"/>
  <c r="EG249" i="5"/>
  <c r="EG253" i="5" s="1"/>
  <c r="EG258" i="5" s="1"/>
  <c r="EG259" i="5" s="1"/>
  <c r="EG289" i="5" s="1"/>
  <c r="EK249" i="5"/>
  <c r="EK253" i="5" s="1"/>
  <c r="EK258" i="5" s="1"/>
  <c r="EK259" i="5" s="1"/>
  <c r="EK289" i="5" s="1"/>
  <c r="AA249" i="5"/>
  <c r="AA253" i="5" s="1"/>
  <c r="AA258" i="5" s="1"/>
  <c r="AA259" i="5" s="1"/>
  <c r="AA289" i="5" s="1"/>
  <c r="BE275" i="3"/>
  <c r="CK153" i="2"/>
  <c r="CU249" i="5"/>
  <c r="CU253" i="5" s="1"/>
  <c r="CU258" i="5" s="1"/>
  <c r="CU259" i="5" s="1"/>
  <c r="CU289" i="5" s="1"/>
  <c r="CS306" i="3"/>
  <c r="CS320" i="3" s="1"/>
  <c r="DY275" i="3"/>
  <c r="F249" i="5"/>
  <c r="F253" i="5" s="1"/>
  <c r="F258" i="5" s="1"/>
  <c r="F259" i="5" s="1"/>
  <c r="F264" i="5" s="1"/>
  <c r="F270" i="5" s="1"/>
  <c r="F273" i="5" s="1"/>
  <c r="EA153" i="2"/>
  <c r="Q249" i="5"/>
  <c r="Q253" i="5" s="1"/>
  <c r="Q258" i="5" s="1"/>
  <c r="Q259" i="5" s="1"/>
  <c r="Q289" i="5" s="1"/>
  <c r="DT306" i="3"/>
  <c r="DT320" i="3" s="1"/>
  <c r="FX275" i="3"/>
  <c r="AC249" i="5"/>
  <c r="AC253" i="5" s="1"/>
  <c r="AC258" i="5" s="1"/>
  <c r="AC259" i="5" s="1"/>
  <c r="AC289" i="5" s="1"/>
  <c r="BM275" i="3"/>
  <c r="FH249" i="5"/>
  <c r="FH253" i="5" s="1"/>
  <c r="FH258" i="5" s="1"/>
  <c r="FH259" i="5" s="1"/>
  <c r="FH289" i="5" s="1"/>
  <c r="DZ275" i="3"/>
  <c r="FC306" i="3"/>
  <c r="FC320" i="3" s="1"/>
  <c r="H249" i="5"/>
  <c r="H253" i="5" s="1"/>
  <c r="H258" i="5" s="1"/>
  <c r="H259" i="5" s="1"/>
  <c r="H264" i="5" s="1"/>
  <c r="H270" i="5" s="1"/>
  <c r="H273" i="5" s="1"/>
  <c r="FF249" i="5"/>
  <c r="FF253" i="5" s="1"/>
  <c r="FF258" i="5" s="1"/>
  <c r="FF259" i="5" s="1"/>
  <c r="FF289" i="5" s="1"/>
  <c r="AG249" i="5"/>
  <c r="AG253" i="5" s="1"/>
  <c r="AG258" i="5" s="1"/>
  <c r="AG259" i="5" s="1"/>
  <c r="AG264" i="5" s="1"/>
  <c r="AG270" i="5" s="1"/>
  <c r="AG273" i="5" s="1"/>
  <c r="EX249" i="5"/>
  <c r="EX253" i="5" s="1"/>
  <c r="EX258" i="5" s="1"/>
  <c r="EX259" i="5" s="1"/>
  <c r="EX264" i="5" s="1"/>
  <c r="EX270" i="5" s="1"/>
  <c r="EX273" i="5" s="1"/>
  <c r="CT275" i="3"/>
  <c r="CD275" i="3"/>
  <c r="FU249" i="5"/>
  <c r="FU253" i="5" s="1"/>
  <c r="FU258" i="5" s="1"/>
  <c r="FU259" i="5" s="1"/>
  <c r="FU289" i="5" s="1"/>
  <c r="FW275" i="3"/>
  <c r="X153" i="2"/>
  <c r="FK306" i="3"/>
  <c r="FK320" i="3" s="1"/>
  <c r="DA275" i="3"/>
  <c r="BJ249" i="5"/>
  <c r="BJ253" i="5" s="1"/>
  <c r="BJ258" i="5" s="1"/>
  <c r="BJ259" i="5" s="1"/>
  <c r="BJ289" i="5" s="1"/>
  <c r="AO275" i="3"/>
  <c r="FE249" i="5"/>
  <c r="FE253" i="5" s="1"/>
  <c r="FE258" i="5" s="1"/>
  <c r="FE259" i="5" s="1"/>
  <c r="FE264" i="5" s="1"/>
  <c r="FE270" i="5" s="1"/>
  <c r="FE273" i="5" s="1"/>
  <c r="DY162" i="2"/>
  <c r="DY151" i="2"/>
  <c r="DY152" i="2" s="1"/>
  <c r="AU162" i="2"/>
  <c r="AU151" i="2"/>
  <c r="AU152" i="2" s="1"/>
  <c r="EM162" i="2"/>
  <c r="EM151" i="2"/>
  <c r="EM152" i="2" s="1"/>
  <c r="CO162" i="2"/>
  <c r="CO151" i="2"/>
  <c r="CO152" i="2" s="1"/>
  <c r="CZ162" i="2"/>
  <c r="CZ151" i="2"/>
  <c r="CZ152" i="2" s="1"/>
  <c r="DJ162" i="2"/>
  <c r="DJ151" i="2"/>
  <c r="DJ152" i="2" s="1"/>
  <c r="BQ162" i="2"/>
  <c r="BQ151" i="2"/>
  <c r="BQ152" i="2" s="1"/>
  <c r="BS162" i="2"/>
  <c r="BS151" i="2"/>
  <c r="BS152" i="2" s="1"/>
  <c r="DV162" i="2"/>
  <c r="DV151" i="2"/>
  <c r="DV152" i="2" s="1"/>
  <c r="CH162" i="2"/>
  <c r="CH151" i="2"/>
  <c r="CH152" i="2" s="1"/>
  <c r="N162" i="2"/>
  <c r="N151" i="2"/>
  <c r="N152" i="2" s="1"/>
  <c r="AA162" i="2"/>
  <c r="AA151" i="2"/>
  <c r="AA152" i="2" s="1"/>
  <c r="AV162" i="2"/>
  <c r="AV151" i="2"/>
  <c r="AV152" i="2" s="1"/>
  <c r="AO162" i="2"/>
  <c r="AO151" i="2"/>
  <c r="AO152" i="2" s="1"/>
  <c r="DS162" i="2"/>
  <c r="DS151" i="2"/>
  <c r="DS152" i="2" s="1"/>
  <c r="DR162" i="2"/>
  <c r="DR151" i="2"/>
  <c r="DR152" i="2" s="1"/>
  <c r="AS162" i="2"/>
  <c r="AS151" i="2"/>
  <c r="AS152" i="2" s="1"/>
  <c r="AG162" i="2"/>
  <c r="AG151" i="2"/>
  <c r="AG152" i="2" s="1"/>
  <c r="CU162" i="2"/>
  <c r="CU151" i="2"/>
  <c r="CU152" i="2" s="1"/>
  <c r="BE162" i="2"/>
  <c r="BE151" i="2"/>
  <c r="BE152" i="2" s="1"/>
  <c r="O162" i="2"/>
  <c r="O151" i="2"/>
  <c r="O152" i="2" s="1"/>
  <c r="FD162" i="2"/>
  <c r="FD151" i="2"/>
  <c r="FD152" i="2" s="1"/>
  <c r="AH162" i="2"/>
  <c r="AH151" i="2"/>
  <c r="AH152" i="2" s="1"/>
  <c r="CB151" i="2"/>
  <c r="CB152" i="2" s="1"/>
  <c r="CB162" i="2"/>
  <c r="CV162" i="2"/>
  <c r="CV151" i="2"/>
  <c r="CV152" i="2" s="1"/>
  <c r="DX162" i="2"/>
  <c r="DX151" i="2"/>
  <c r="DX152" i="2" s="1"/>
  <c r="Y162" i="2"/>
  <c r="Y151" i="2"/>
  <c r="Y152" i="2" s="1"/>
  <c r="EE162" i="2"/>
  <c r="EE151" i="2"/>
  <c r="EE152" i="2" s="1"/>
  <c r="CW162" i="2"/>
  <c r="CW151" i="2"/>
  <c r="CW152" i="2" s="1"/>
  <c r="AT162" i="2"/>
  <c r="AT151" i="2"/>
  <c r="AT152" i="2" s="1"/>
  <c r="BY162" i="2"/>
  <c r="BY151" i="2"/>
  <c r="BY152" i="2" s="1"/>
  <c r="AX162" i="2"/>
  <c r="AX151" i="2"/>
  <c r="AX152" i="2" s="1"/>
  <c r="CG162" i="2"/>
  <c r="CG151" i="2"/>
  <c r="CG152" i="2" s="1"/>
  <c r="BR290" i="3"/>
  <c r="BR292" i="3" s="1"/>
  <c r="BR281" i="3"/>
  <c r="BR285" i="3" s="1"/>
  <c r="BR294" i="3" s="1"/>
  <c r="BH304" i="3"/>
  <c r="BH318" i="3" s="1"/>
  <c r="CL304" i="3"/>
  <c r="CL318" i="3" s="1"/>
  <c r="DN170" i="2"/>
  <c r="DN174" i="2"/>
  <c r="DN179" i="2"/>
  <c r="DN50" i="2"/>
  <c r="R249" i="5"/>
  <c r="R253" i="5" s="1"/>
  <c r="R258" i="5" s="1"/>
  <c r="R259" i="5" s="1"/>
  <c r="DU312" i="3"/>
  <c r="DU309" i="3"/>
  <c r="DU317" i="3"/>
  <c r="BR303" i="3"/>
  <c r="BR296" i="3"/>
  <c r="BR82" i="3"/>
  <c r="DP249" i="5"/>
  <c r="DP253" i="5" s="1"/>
  <c r="DP258" i="5" s="1"/>
  <c r="DP259" i="5" s="1"/>
  <c r="AF304" i="3"/>
  <c r="AF318" i="3" s="1"/>
  <c r="FK249" i="5"/>
  <c r="FK253" i="5" s="1"/>
  <c r="FK258" i="5" s="1"/>
  <c r="FK259" i="5" s="1"/>
  <c r="BZ304" i="3"/>
  <c r="BZ318" i="3" s="1"/>
  <c r="BZ298" i="3"/>
  <c r="F275" i="3"/>
  <c r="DG180" i="2"/>
  <c r="DG166" i="2"/>
  <c r="D249" i="5"/>
  <c r="D253" i="5" s="1"/>
  <c r="D258" i="5" s="1"/>
  <c r="D259" i="5" s="1"/>
  <c r="BX249" i="5"/>
  <c r="BX253" i="5" s="1"/>
  <c r="BX258" i="5" s="1"/>
  <c r="BX259" i="5" s="1"/>
  <c r="FM249" i="5"/>
  <c r="FM253" i="5" s="1"/>
  <c r="FM258" i="5" s="1"/>
  <c r="FM259" i="5" s="1"/>
  <c r="BX174" i="2"/>
  <c r="BX170" i="2"/>
  <c r="BX179" i="2"/>
  <c r="BX50" i="2"/>
  <c r="AL249" i="5"/>
  <c r="AL253" i="5" s="1"/>
  <c r="AL258" i="5" s="1"/>
  <c r="AL259" i="5" s="1"/>
  <c r="FU290" i="3"/>
  <c r="FU292" i="3" s="1"/>
  <c r="FU281" i="3"/>
  <c r="FU285" i="3" s="1"/>
  <c r="FU294" i="3" s="1"/>
  <c r="FR317" i="3"/>
  <c r="FR309" i="3"/>
  <c r="FR312" i="3"/>
  <c r="CG275" i="3"/>
  <c r="BA312" i="3"/>
  <c r="BA309" i="3"/>
  <c r="BA317" i="3"/>
  <c r="EL145" i="2"/>
  <c r="EL146" i="2" s="1"/>
  <c r="EL147" i="2" s="1"/>
  <c r="FS317" i="3"/>
  <c r="FS312" i="3"/>
  <c r="FS309" i="3"/>
  <c r="AA312" i="3"/>
  <c r="AA309" i="3"/>
  <c r="AA317" i="3"/>
  <c r="EY249" i="5"/>
  <c r="EY253" i="5" s="1"/>
  <c r="EY258" i="5" s="1"/>
  <c r="EY259" i="5" s="1"/>
  <c r="ES164" i="2"/>
  <c r="ES168" i="2" s="1"/>
  <c r="ES158" i="2"/>
  <c r="ES169" i="2" s="1"/>
  <c r="ES184" i="2" s="1"/>
  <c r="E249" i="5"/>
  <c r="E253" i="5" s="1"/>
  <c r="E258" i="5" s="1"/>
  <c r="E259" i="5" s="1"/>
  <c r="BT304" i="3"/>
  <c r="BT318" i="3" s="1"/>
  <c r="BT298" i="3"/>
  <c r="CX290" i="3"/>
  <c r="CX292" i="3" s="1"/>
  <c r="CX281" i="3"/>
  <c r="CX285" i="3" s="1"/>
  <c r="CX294" i="3" s="1"/>
  <c r="V164" i="2"/>
  <c r="V168" i="2" s="1"/>
  <c r="V158" i="2"/>
  <c r="V169" i="2" s="1"/>
  <c r="V184" i="2" s="1"/>
  <c r="EC306" i="3"/>
  <c r="EC320" i="3" s="1"/>
  <c r="ER249" i="5"/>
  <c r="ER253" i="5" s="1"/>
  <c r="ER258" i="5" s="1"/>
  <c r="ER259" i="5" s="1"/>
  <c r="CI290" i="3"/>
  <c r="CI292" i="3" s="1"/>
  <c r="CI281" i="3"/>
  <c r="CI285" i="3" s="1"/>
  <c r="CI294" i="3" s="1"/>
  <c r="S303" i="3"/>
  <c r="S296" i="3"/>
  <c r="S82" i="3"/>
  <c r="N312" i="3"/>
  <c r="N309" i="3"/>
  <c r="N317" i="3"/>
  <c r="DE162" i="2"/>
  <c r="DE151" i="2"/>
  <c r="DE152" i="2" s="1"/>
  <c r="FT317" i="3"/>
  <c r="FT309" i="3"/>
  <c r="FT312" i="3"/>
  <c r="AJ312" i="3"/>
  <c r="AJ309" i="3"/>
  <c r="AJ317" i="3"/>
  <c r="FL164" i="2"/>
  <c r="FL168" i="2" s="1"/>
  <c r="FL158" i="2"/>
  <c r="FL169" i="2" s="1"/>
  <c r="FL184" i="2" s="1"/>
  <c r="BG298" i="3"/>
  <c r="BG304" i="3"/>
  <c r="BG318" i="3" s="1"/>
  <c r="CY304" i="3"/>
  <c r="CY318" i="3" s="1"/>
  <c r="CY298" i="3"/>
  <c r="CF164" i="2"/>
  <c r="CF168" i="2" s="1"/>
  <c r="CF158" i="2"/>
  <c r="CF169" i="2" s="1"/>
  <c r="CF184" i="2" s="1"/>
  <c r="DH303" i="3"/>
  <c r="DH296" i="3"/>
  <c r="DH82" i="3"/>
  <c r="AX249" i="5"/>
  <c r="AX253" i="5" s="1"/>
  <c r="AX258" i="5" s="1"/>
  <c r="AX259" i="5" s="1"/>
  <c r="L304" i="3"/>
  <c r="L318" i="3" s="1"/>
  <c r="L298" i="3"/>
  <c r="FX158" i="2"/>
  <c r="FX169" i="2" s="1"/>
  <c r="FX184" i="2" s="1"/>
  <c r="FX164" i="2"/>
  <c r="FX168" i="2" s="1"/>
  <c r="FC249" i="5"/>
  <c r="FC253" i="5" s="1"/>
  <c r="FC258" i="5" s="1"/>
  <c r="FC259" i="5" s="1"/>
  <c r="CJ249" i="5"/>
  <c r="CJ253" i="5" s="1"/>
  <c r="CJ258" i="5" s="1"/>
  <c r="CJ259" i="5" s="1"/>
  <c r="EG162" i="2"/>
  <c r="EG151" i="2"/>
  <c r="EG152" i="2" s="1"/>
  <c r="BY304" i="3"/>
  <c r="BY318" i="3" s="1"/>
  <c r="BG162" i="2"/>
  <c r="BG151" i="2"/>
  <c r="BG152" i="2" s="1"/>
  <c r="DY317" i="3"/>
  <c r="DY312" i="3"/>
  <c r="DY309" i="3"/>
  <c r="BE249" i="5"/>
  <c r="BE253" i="5" s="1"/>
  <c r="BE258" i="5" s="1"/>
  <c r="BE259" i="5" s="1"/>
  <c r="BE317" i="3"/>
  <c r="BE312" i="3"/>
  <c r="BE309" i="3"/>
  <c r="AJ162" i="2"/>
  <c r="AJ151" i="2"/>
  <c r="AJ152" i="2" s="1"/>
  <c r="V249" i="5"/>
  <c r="V253" i="5" s="1"/>
  <c r="V258" i="5" s="1"/>
  <c r="V259" i="5" s="1"/>
  <c r="BS309" i="3"/>
  <c r="BS317" i="3"/>
  <c r="BS312" i="3"/>
  <c r="FA306" i="3"/>
  <c r="FA320" i="3" s="1"/>
  <c r="CC317" i="3"/>
  <c r="CC312" i="3"/>
  <c r="CC309" i="3"/>
  <c r="DL290" i="3"/>
  <c r="DL292" i="3" s="1"/>
  <c r="DL281" i="3"/>
  <c r="DL285" i="3" s="1"/>
  <c r="DL294" i="3" s="1"/>
  <c r="DW275" i="3"/>
  <c r="CU304" i="3"/>
  <c r="CU318" i="3" s="1"/>
  <c r="CU298" i="3"/>
  <c r="CT312" i="3"/>
  <c r="CT309" i="3"/>
  <c r="CT317" i="3"/>
  <c r="C225" i="3"/>
  <c r="FZ169" i="3"/>
  <c r="GB169" i="3" s="1"/>
  <c r="AF317" i="3"/>
  <c r="AF309" i="3"/>
  <c r="AF312" i="3"/>
  <c r="EU317" i="3"/>
  <c r="EU312" i="3"/>
  <c r="EU309" i="3"/>
  <c r="AE158" i="2"/>
  <c r="AE169" i="2" s="1"/>
  <c r="AE184" i="2" s="1"/>
  <c r="AE164" i="2"/>
  <c r="AE168" i="2" s="1"/>
  <c r="CR164" i="2"/>
  <c r="CR168" i="2" s="1"/>
  <c r="CR158" i="2"/>
  <c r="CR169" i="2" s="1"/>
  <c r="CR184" i="2" s="1"/>
  <c r="FA164" i="2"/>
  <c r="FA168" i="2" s="1"/>
  <c r="FA158" i="2"/>
  <c r="FA169" i="2" s="1"/>
  <c r="FA184" i="2" s="1"/>
  <c r="DS304" i="3"/>
  <c r="DS318" i="3" s="1"/>
  <c r="BQ298" i="3"/>
  <c r="BQ304" i="3"/>
  <c r="BQ318" i="3" s="1"/>
  <c r="CB304" i="3"/>
  <c r="CB318" i="3" s="1"/>
  <c r="S145" i="2"/>
  <c r="S146" i="2" s="1"/>
  <c r="S147" i="2" s="1"/>
  <c r="FS162" i="2"/>
  <c r="FS151" i="2"/>
  <c r="FS152" i="2" s="1"/>
  <c r="DI290" i="3"/>
  <c r="DI292" i="3" s="1"/>
  <c r="DI281" i="3"/>
  <c r="DI285" i="3" s="1"/>
  <c r="DI294" i="3" s="1"/>
  <c r="DH145" i="2"/>
  <c r="DH146" i="2" s="1"/>
  <c r="DH147" i="2" s="1"/>
  <c r="DY304" i="3"/>
  <c r="DY318" i="3" s="1"/>
  <c r="BV164" i="2"/>
  <c r="BV168" i="2" s="1"/>
  <c r="BV153" i="2"/>
  <c r="Z304" i="3"/>
  <c r="Z318" i="3" s="1"/>
  <c r="AF275" i="3"/>
  <c r="DG153" i="2"/>
  <c r="AD249" i="5"/>
  <c r="AD253" i="5" s="1"/>
  <c r="AD258" i="5" s="1"/>
  <c r="AD259" i="5" s="1"/>
  <c r="FU145" i="2"/>
  <c r="FU146" i="2" s="1"/>
  <c r="FU147" i="2" s="1"/>
  <c r="EB249" i="5"/>
  <c r="EB253" i="5" s="1"/>
  <c r="EB258" i="5" s="1"/>
  <c r="EB259" i="5" s="1"/>
  <c r="DQ304" i="3"/>
  <c r="DQ318" i="3" s="1"/>
  <c r="DQ298" i="3"/>
  <c r="DZ249" i="5"/>
  <c r="DZ253" i="5" s="1"/>
  <c r="DZ258" i="5" s="1"/>
  <c r="DZ259" i="5" s="1"/>
  <c r="BJ312" i="3"/>
  <c r="BJ309" i="3"/>
  <c r="BJ317" i="3"/>
  <c r="CZ317" i="3"/>
  <c r="CZ312" i="3"/>
  <c r="CZ309" i="3"/>
  <c r="BT275" i="3"/>
  <c r="CX145" i="2"/>
  <c r="CX146" i="2" s="1"/>
  <c r="CX147" i="2" s="1"/>
  <c r="DB317" i="3"/>
  <c r="DB312" i="3"/>
  <c r="DB309" i="3"/>
  <c r="CA249" i="5"/>
  <c r="CA253" i="5" s="1"/>
  <c r="CA258" i="5" s="1"/>
  <c r="CA259" i="5" s="1"/>
  <c r="BM304" i="3"/>
  <c r="BM318" i="3" s="1"/>
  <c r="BV170" i="2"/>
  <c r="BV174" i="2"/>
  <c r="BV179" i="2"/>
  <c r="BV50" i="2"/>
  <c r="BH312" i="3"/>
  <c r="BH309" i="3"/>
  <c r="BH317" i="3"/>
  <c r="BT249" i="5"/>
  <c r="BT253" i="5" s="1"/>
  <c r="BT258" i="5" s="1"/>
  <c r="BT259" i="5" s="1"/>
  <c r="FM275" i="3"/>
  <c r="BH292" i="3"/>
  <c r="BH298" i="3" s="1"/>
  <c r="AU249" i="5"/>
  <c r="AU253" i="5" s="1"/>
  <c r="AU258" i="5" s="1"/>
  <c r="AU259" i="5" s="1"/>
  <c r="FM304" i="3"/>
  <c r="FM318" i="3" s="1"/>
  <c r="L249" i="5"/>
  <c r="L253" i="5" s="1"/>
  <c r="L258" i="5" s="1"/>
  <c r="L259" i="5" s="1"/>
  <c r="FD312" i="3"/>
  <c r="FD309" i="3"/>
  <c r="FD317" i="3"/>
  <c r="F304" i="3"/>
  <c r="F318" i="3" s="1"/>
  <c r="F298" i="3"/>
  <c r="DJ275" i="3"/>
  <c r="FR162" i="2"/>
  <c r="FR151" i="2"/>
  <c r="FR152" i="2" s="1"/>
  <c r="CL292" i="3"/>
  <c r="CL298" i="3" s="1"/>
  <c r="BX164" i="2"/>
  <c r="BX158" i="2"/>
  <c r="BX169" i="2" s="1"/>
  <c r="BX184" i="2" s="1"/>
  <c r="FU303" i="3"/>
  <c r="FU296" i="3"/>
  <c r="FU82" i="3"/>
  <c r="CM145" i="2"/>
  <c r="CM146" i="2" s="1"/>
  <c r="CM147" i="2" s="1"/>
  <c r="EL303" i="3"/>
  <c r="EL296" i="3"/>
  <c r="EL82" i="3"/>
  <c r="FV249" i="5"/>
  <c r="FV253" i="5" s="1"/>
  <c r="FV258" i="5" s="1"/>
  <c r="FV259" i="5" s="1"/>
  <c r="BW249" i="5"/>
  <c r="BW253" i="5" s="1"/>
  <c r="BW258" i="5" s="1"/>
  <c r="BW259" i="5" s="1"/>
  <c r="CH275" i="3"/>
  <c r="CP145" i="2"/>
  <c r="CP146" i="2" s="1"/>
  <c r="CP147" i="2" s="1"/>
  <c r="BG249" i="5"/>
  <c r="BG253" i="5" s="1"/>
  <c r="BG258" i="5" s="1"/>
  <c r="BG259" i="5" s="1"/>
  <c r="FS304" i="3"/>
  <c r="FS318" i="3" s="1"/>
  <c r="FS298" i="3"/>
  <c r="CN306" i="3"/>
  <c r="CN320" i="3" s="1"/>
  <c r="ES179" i="2"/>
  <c r="ES174" i="2"/>
  <c r="ES170" i="2"/>
  <c r="ES50" i="2"/>
  <c r="CX303" i="3"/>
  <c r="CX296" i="3"/>
  <c r="CX82" i="3"/>
  <c r="V170" i="2"/>
  <c r="V174" i="2"/>
  <c r="V179" i="2"/>
  <c r="V50" i="2"/>
  <c r="EO249" i="5"/>
  <c r="EO253" i="5" s="1"/>
  <c r="EO258" i="5" s="1"/>
  <c r="EO259" i="5" s="1"/>
  <c r="FG249" i="5"/>
  <c r="FG253" i="5" s="1"/>
  <c r="FG258" i="5" s="1"/>
  <c r="FG259" i="5" s="1"/>
  <c r="FL170" i="2"/>
  <c r="FL174" i="2"/>
  <c r="FL179" i="2"/>
  <c r="FL50" i="2"/>
  <c r="FC158" i="2"/>
  <c r="FC169" i="2" s="1"/>
  <c r="FC184" i="2" s="1"/>
  <c r="FC164" i="2"/>
  <c r="FC168" i="2" s="1"/>
  <c r="FP312" i="3"/>
  <c r="FP309" i="3"/>
  <c r="FP317" i="3"/>
  <c r="CF170" i="2"/>
  <c r="CF174" i="2"/>
  <c r="CF179" i="2"/>
  <c r="CF50" i="2"/>
  <c r="AZ312" i="3"/>
  <c r="AZ309" i="3"/>
  <c r="AZ317" i="3"/>
  <c r="EU275" i="3"/>
  <c r="BK145" i="2"/>
  <c r="BK146" i="2" s="1"/>
  <c r="BK147" i="2" s="1"/>
  <c r="BG312" i="3"/>
  <c r="BG309" i="3"/>
  <c r="BG317" i="3"/>
  <c r="FX170" i="2"/>
  <c r="FX174" i="2"/>
  <c r="FX179" i="2"/>
  <c r="FX50" i="2"/>
  <c r="BE304" i="3"/>
  <c r="BE318" i="3" s="1"/>
  <c r="FN312" i="3"/>
  <c r="FN309" i="3"/>
  <c r="FN317" i="3"/>
  <c r="ED249" i="5"/>
  <c r="ED253" i="5" s="1"/>
  <c r="ED258" i="5" s="1"/>
  <c r="ED259" i="5" s="1"/>
  <c r="D312" i="3"/>
  <c r="D309" i="3"/>
  <c r="D317" i="3"/>
  <c r="G249" i="5"/>
  <c r="G253" i="5" s="1"/>
  <c r="G258" i="5" s="1"/>
  <c r="G259" i="5" s="1"/>
  <c r="BO179" i="2"/>
  <c r="BO170" i="2"/>
  <c r="BO174" i="2"/>
  <c r="BO50" i="2"/>
  <c r="EW153" i="2"/>
  <c r="ED312" i="3"/>
  <c r="ED309" i="3"/>
  <c r="ED317" i="3"/>
  <c r="AV249" i="5"/>
  <c r="AV253" i="5" s="1"/>
  <c r="AV258" i="5" s="1"/>
  <c r="AV259" i="5" s="1"/>
  <c r="AC306" i="3"/>
  <c r="AC320" i="3" s="1"/>
  <c r="BE292" i="3"/>
  <c r="BE298" i="3" s="1"/>
  <c r="FN275" i="3"/>
  <c r="ED162" i="2"/>
  <c r="ED151" i="2"/>
  <c r="ED152" i="2" s="1"/>
  <c r="DL303" i="3"/>
  <c r="DL296" i="3"/>
  <c r="DL82" i="3"/>
  <c r="DW304" i="3"/>
  <c r="DW318" i="3" s="1"/>
  <c r="DW298" i="3"/>
  <c r="BX306" i="3"/>
  <c r="BX320" i="3" s="1"/>
  <c r="AE179" i="2"/>
  <c r="AE170" i="2"/>
  <c r="AE174" i="2"/>
  <c r="AE50" i="2"/>
  <c r="ET306" i="3"/>
  <c r="ET320" i="3" s="1"/>
  <c r="CR170" i="2"/>
  <c r="CR174" i="2"/>
  <c r="CR179" i="2"/>
  <c r="CR50" i="2"/>
  <c r="Q179" i="2"/>
  <c r="Q174" i="2"/>
  <c r="Q170" i="2"/>
  <c r="Q50" i="2"/>
  <c r="EB170" i="2"/>
  <c r="EB174" i="2"/>
  <c r="EB179" i="2"/>
  <c r="EB50" i="2"/>
  <c r="FA170" i="2"/>
  <c r="FA174" i="2"/>
  <c r="FA179" i="2"/>
  <c r="FA50" i="2"/>
  <c r="FW304" i="3"/>
  <c r="FW318" i="3" s="1"/>
  <c r="DN164" i="2"/>
  <c r="DN168" i="2" s="1"/>
  <c r="DN158" i="2"/>
  <c r="DN169" i="2" s="1"/>
  <c r="DN184" i="2" s="1"/>
  <c r="FO145" i="2"/>
  <c r="FO146" i="2" s="1"/>
  <c r="FO147" i="2" s="1"/>
  <c r="CW304" i="3"/>
  <c r="CW318" i="3" s="1"/>
  <c r="EV164" i="2"/>
  <c r="EV168" i="2" s="1"/>
  <c r="EV158" i="2"/>
  <c r="EV169" i="2" s="1"/>
  <c r="EV184" i="2" s="1"/>
  <c r="FB164" i="2"/>
  <c r="FB168" i="2" s="1"/>
  <c r="FB158" i="2"/>
  <c r="FB169" i="2" s="1"/>
  <c r="FB184" i="2" s="1"/>
  <c r="DC162" i="2"/>
  <c r="DC151" i="2"/>
  <c r="DC152" i="2" s="1"/>
  <c r="BJ162" i="2"/>
  <c r="BJ151" i="2"/>
  <c r="BJ152" i="2" s="1"/>
  <c r="FC174" i="2"/>
  <c r="FC179" i="2"/>
  <c r="FC170" i="2"/>
  <c r="FC50" i="2"/>
  <c r="L312" i="3"/>
  <c r="L309" i="3"/>
  <c r="L317" i="3"/>
  <c r="EP162" i="2"/>
  <c r="EP151" i="2"/>
  <c r="EP152" i="2" s="1"/>
  <c r="CB292" i="3"/>
  <c r="CB298" i="3" s="1"/>
  <c r="EU304" i="3"/>
  <c r="EU318" i="3" s="1"/>
  <c r="BK303" i="3"/>
  <c r="BK296" i="3"/>
  <c r="BK82" i="3"/>
  <c r="CY162" i="2"/>
  <c r="CY151" i="2"/>
  <c r="CY152" i="2" s="1"/>
  <c r="AO312" i="3"/>
  <c r="AO309" i="3"/>
  <c r="AO317" i="3"/>
  <c r="AC164" i="2"/>
  <c r="AC168" i="2" s="1"/>
  <c r="AC158" i="2"/>
  <c r="AC169" i="2" s="1"/>
  <c r="AC184" i="2" s="1"/>
  <c r="EW180" i="2"/>
  <c r="EW182" i="2" s="1"/>
  <c r="EW166" i="2"/>
  <c r="FT312" i="5"/>
  <c r="FT309" i="5"/>
  <c r="FT317" i="5"/>
  <c r="ED304" i="3"/>
  <c r="ED318" i="3" s="1"/>
  <c r="BF306" i="3"/>
  <c r="BF320" i="3" s="1"/>
  <c r="AP145" i="2"/>
  <c r="CV312" i="3"/>
  <c r="CV309" i="3"/>
  <c r="CV317" i="3"/>
  <c r="K164" i="2"/>
  <c r="K168" i="2" s="1"/>
  <c r="K158" i="2"/>
  <c r="K169" i="2" s="1"/>
  <c r="K184" i="2" s="1"/>
  <c r="H179" i="2"/>
  <c r="H170" i="2"/>
  <c r="H174" i="2"/>
  <c r="H50" i="2"/>
  <c r="CA164" i="2"/>
  <c r="CA168" i="2" s="1"/>
  <c r="CA158" i="2"/>
  <c r="CA169" i="2" s="1"/>
  <c r="CA184" i="2" s="1"/>
  <c r="AM164" i="2"/>
  <c r="AM168" i="2" s="1"/>
  <c r="AM158" i="2"/>
  <c r="AM169" i="2" s="1"/>
  <c r="AM184" i="2" s="1"/>
  <c r="CL162" i="2"/>
  <c r="CL151" i="2"/>
  <c r="CL152" i="2" s="1"/>
  <c r="CW312" i="3"/>
  <c r="CW309" i="3"/>
  <c r="CW317" i="3"/>
  <c r="AY164" i="2"/>
  <c r="AY168" i="2" s="1"/>
  <c r="AY158" i="2"/>
  <c r="AY169" i="2" s="1"/>
  <c r="AY184" i="2" s="1"/>
  <c r="BZ162" i="2"/>
  <c r="BZ151" i="2"/>
  <c r="BZ152" i="2" s="1"/>
  <c r="CM290" i="3"/>
  <c r="CM292" i="3" s="1"/>
  <c r="CM281" i="3"/>
  <c r="CM285" i="3" s="1"/>
  <c r="CM294" i="3" s="1"/>
  <c r="EL290" i="3"/>
  <c r="EL292" i="3" s="1"/>
  <c r="EL281" i="3"/>
  <c r="EL285" i="3" s="1"/>
  <c r="EL294" i="3" s="1"/>
  <c r="DS312" i="3"/>
  <c r="DS309" i="3"/>
  <c r="DS317" i="3"/>
  <c r="FT290" i="5"/>
  <c r="FT281" i="5"/>
  <c r="FT285" i="5" s="1"/>
  <c r="FT294" i="5" s="1"/>
  <c r="N249" i="5"/>
  <c r="N253" i="5" s="1"/>
  <c r="N258" i="5" s="1"/>
  <c r="N259" i="5" s="1"/>
  <c r="EQ249" i="5"/>
  <c r="EQ253" i="5" s="1"/>
  <c r="EQ258" i="5" s="1"/>
  <c r="EQ259" i="5" s="1"/>
  <c r="I290" i="3"/>
  <c r="I292" i="3" s="1"/>
  <c r="I281" i="3"/>
  <c r="I285" i="3" s="1"/>
  <c r="I294" i="3" s="1"/>
  <c r="FQ249" i="5"/>
  <c r="FQ253" i="5" s="1"/>
  <c r="FQ258" i="5" s="1"/>
  <c r="FQ259" i="5" s="1"/>
  <c r="EV249" i="5"/>
  <c r="EV253" i="5" s="1"/>
  <c r="EV258" i="5" s="1"/>
  <c r="EV259" i="5" s="1"/>
  <c r="AT304" i="3"/>
  <c r="AT318" i="3" s="1"/>
  <c r="CR249" i="5"/>
  <c r="CR253" i="5" s="1"/>
  <c r="CR258" i="5" s="1"/>
  <c r="CR259" i="5" s="1"/>
  <c r="CW292" i="3"/>
  <c r="CW298" i="3" s="1"/>
  <c r="CC275" i="3"/>
  <c r="CL317" i="3"/>
  <c r="CL309" i="3"/>
  <c r="CL312" i="3"/>
  <c r="AY174" i="2"/>
  <c r="AY179" i="2"/>
  <c r="AY170" i="2"/>
  <c r="AY50" i="2"/>
  <c r="AH249" i="5"/>
  <c r="AH253" i="5" s="1"/>
  <c r="AH258" i="5" s="1"/>
  <c r="AH259" i="5" s="1"/>
  <c r="W164" i="2"/>
  <c r="W158" i="2"/>
  <c r="W169" i="2" s="1"/>
  <c r="W184" i="2" s="1"/>
  <c r="DW249" i="5"/>
  <c r="DW253" i="5" s="1"/>
  <c r="DW258" i="5" s="1"/>
  <c r="DW259" i="5" s="1"/>
  <c r="CH312" i="3"/>
  <c r="CH309" i="3"/>
  <c r="CH317" i="3"/>
  <c r="DK249" i="5"/>
  <c r="DK253" i="5" s="1"/>
  <c r="DK258" i="5" s="1"/>
  <c r="DK259" i="5" s="1"/>
  <c r="BC145" i="2"/>
  <c r="BC146" i="2" s="1"/>
  <c r="BC147" i="2" s="1"/>
  <c r="FO290" i="3"/>
  <c r="FO292" i="3" s="1"/>
  <c r="FO281" i="3"/>
  <c r="FO285" i="3" s="1"/>
  <c r="FO294" i="3" s="1"/>
  <c r="CM303" i="3"/>
  <c r="CM296" i="3"/>
  <c r="CM82" i="3"/>
  <c r="EI249" i="5"/>
  <c r="EI253" i="5" s="1"/>
  <c r="EI258" i="5" s="1"/>
  <c r="EI259" i="5" s="1"/>
  <c r="DS292" i="3"/>
  <c r="DS298" i="3" s="1"/>
  <c r="CH304" i="3"/>
  <c r="CH318" i="3" s="1"/>
  <c r="CH298" i="3"/>
  <c r="CP290" i="3"/>
  <c r="CP292" i="3" s="1"/>
  <c r="CP281" i="3"/>
  <c r="CP285" i="3" s="1"/>
  <c r="CP294" i="3" s="1"/>
  <c r="DV249" i="5"/>
  <c r="DV253" i="5" s="1"/>
  <c r="DV258" i="5" s="1"/>
  <c r="DV259" i="5" s="1"/>
  <c r="CD249" i="5"/>
  <c r="CD253" i="5" s="1"/>
  <c r="CD258" i="5" s="1"/>
  <c r="CD259" i="5" s="1"/>
  <c r="EV179" i="2"/>
  <c r="EV170" i="2"/>
  <c r="EV174" i="2"/>
  <c r="EV50" i="2"/>
  <c r="CB249" i="5"/>
  <c r="CB253" i="5" s="1"/>
  <c r="CB258" i="5" s="1"/>
  <c r="CB259" i="5" s="1"/>
  <c r="EJ249" i="5"/>
  <c r="EJ253" i="5" s="1"/>
  <c r="EJ258" i="5" s="1"/>
  <c r="EJ259" i="5" s="1"/>
  <c r="DH249" i="5"/>
  <c r="DH253" i="5" s="1"/>
  <c r="DH258" i="5" s="1"/>
  <c r="DH259" i="5" s="1"/>
  <c r="FB170" i="2"/>
  <c r="FB174" i="2"/>
  <c r="FB179" i="2"/>
  <c r="FB50" i="2"/>
  <c r="CE275" i="3"/>
  <c r="DB275" i="3"/>
  <c r="CW249" i="5"/>
  <c r="CW253" i="5" s="1"/>
  <c r="CW258" i="5" s="1"/>
  <c r="CW259" i="5" s="1"/>
  <c r="U304" i="3"/>
  <c r="U318" i="3" s="1"/>
  <c r="BW153" i="2"/>
  <c r="BK290" i="3"/>
  <c r="BK281" i="3"/>
  <c r="BK285" i="3" s="1"/>
  <c r="BK294" i="3" s="1"/>
  <c r="AQ158" i="2"/>
  <c r="AQ169" i="2" s="1"/>
  <c r="AQ184" i="2" s="1"/>
  <c r="AQ164" i="2"/>
  <c r="AQ168" i="2" s="1"/>
  <c r="BU153" i="2"/>
  <c r="EA249" i="5"/>
  <c r="EA253" i="5" s="1"/>
  <c r="EA258" i="5" s="1"/>
  <c r="EA259" i="5" s="1"/>
  <c r="DY249" i="5"/>
  <c r="DY253" i="5" s="1"/>
  <c r="DY258" i="5" s="1"/>
  <c r="DY259" i="5" s="1"/>
  <c r="P249" i="5"/>
  <c r="P253" i="5" s="1"/>
  <c r="P258" i="5" s="1"/>
  <c r="P259" i="5" s="1"/>
  <c r="DR275" i="3"/>
  <c r="EF145" i="2"/>
  <c r="EF146" i="2" s="1"/>
  <c r="EF147" i="2" s="1"/>
  <c r="AC179" i="2"/>
  <c r="AC174" i="2"/>
  <c r="AC170" i="2"/>
  <c r="AC50" i="2"/>
  <c r="DE249" i="5"/>
  <c r="DE253" i="5" s="1"/>
  <c r="DE258" i="5" s="1"/>
  <c r="DE259" i="5" s="1"/>
  <c r="ED292" i="3"/>
  <c r="ED298" i="3" s="1"/>
  <c r="CT249" i="5"/>
  <c r="CT253" i="5" s="1"/>
  <c r="CT258" i="5" s="1"/>
  <c r="CT259" i="5" s="1"/>
  <c r="FN304" i="3"/>
  <c r="FN318" i="3" s="1"/>
  <c r="FN298" i="3"/>
  <c r="AT249" i="5"/>
  <c r="AT253" i="5" s="1"/>
  <c r="AT258" i="5" s="1"/>
  <c r="AT259" i="5" s="1"/>
  <c r="DW317" i="3"/>
  <c r="DW312" i="3"/>
  <c r="DW309" i="3"/>
  <c r="AG317" i="3"/>
  <c r="AG312" i="3"/>
  <c r="AG309" i="3"/>
  <c r="AX275" i="3"/>
  <c r="DX317" i="3"/>
  <c r="DX309" i="3"/>
  <c r="DX312" i="3"/>
  <c r="DV275" i="3"/>
  <c r="AP290" i="3"/>
  <c r="AP281" i="3"/>
  <c r="AP285" i="3" s="1"/>
  <c r="AP294" i="3" s="1"/>
  <c r="AB153" i="2"/>
  <c r="CA306" i="3"/>
  <c r="CA320" i="3" s="1"/>
  <c r="EZ249" i="5"/>
  <c r="EZ253" i="5" s="1"/>
  <c r="EZ258" i="5" s="1"/>
  <c r="EZ259" i="5" s="1"/>
  <c r="EA166" i="2"/>
  <c r="EA180" i="2"/>
  <c r="EA182" i="2" s="1"/>
  <c r="Z312" i="3"/>
  <c r="Z309" i="3"/>
  <c r="Z317" i="3"/>
  <c r="O249" i="5"/>
  <c r="O253" i="5" s="1"/>
  <c r="O258" i="5" s="1"/>
  <c r="O259" i="5" s="1"/>
  <c r="DA317" i="3"/>
  <c r="DA312" i="3"/>
  <c r="DA309" i="3"/>
  <c r="K170" i="2"/>
  <c r="K179" i="2"/>
  <c r="K174" i="2"/>
  <c r="K50" i="2"/>
  <c r="H164" i="2"/>
  <c r="H168" i="2" s="1"/>
  <c r="H158" i="2"/>
  <c r="H169" i="2" s="1"/>
  <c r="H184" i="2" s="1"/>
  <c r="CA179" i="2"/>
  <c r="CA170" i="2"/>
  <c r="CA174" i="2"/>
  <c r="CA50" i="2"/>
  <c r="AM174" i="2"/>
  <c r="AM179" i="2"/>
  <c r="AM170" i="2"/>
  <c r="AM50" i="2"/>
  <c r="BD162" i="2"/>
  <c r="BD151" i="2"/>
  <c r="BD152" i="2" s="1"/>
  <c r="DJ304" i="3"/>
  <c r="DJ318" i="3" s="1"/>
  <c r="DJ298" i="3"/>
  <c r="F162" i="2"/>
  <c r="F151" i="2"/>
  <c r="F152" i="2" s="1"/>
  <c r="CG304" i="3"/>
  <c r="CG318" i="3" s="1"/>
  <c r="BT312" i="3"/>
  <c r="BT309" i="3"/>
  <c r="BT317" i="3"/>
  <c r="CP303" i="3"/>
  <c r="CP296" i="3"/>
  <c r="CP82" i="3"/>
  <c r="CH249" i="5"/>
  <c r="CH253" i="5" s="1"/>
  <c r="CH258" i="5" s="1"/>
  <c r="CH259" i="5" s="1"/>
  <c r="EI317" i="3"/>
  <c r="EI312" i="3"/>
  <c r="EI309" i="3"/>
  <c r="EI275" i="3"/>
  <c r="I303" i="3"/>
  <c r="I296" i="3"/>
  <c r="I82" i="3"/>
  <c r="DE304" i="3"/>
  <c r="DE318" i="3" s="1"/>
  <c r="CC304" i="3"/>
  <c r="CC318" i="3" s="1"/>
  <c r="DQ312" i="3"/>
  <c r="DQ309" i="3"/>
  <c r="DQ317" i="3"/>
  <c r="CI249" i="5"/>
  <c r="CI253" i="5" s="1"/>
  <c r="CI258" i="5" s="1"/>
  <c r="CI259" i="5" s="1"/>
  <c r="W170" i="2"/>
  <c r="W179" i="2"/>
  <c r="W174" i="2"/>
  <c r="W50" i="2"/>
  <c r="AL180" i="2"/>
  <c r="AL182" i="2" s="1"/>
  <c r="AL166" i="2"/>
  <c r="BC303" i="3"/>
  <c r="BC296" i="3"/>
  <c r="BC82" i="3"/>
  <c r="FO303" i="3"/>
  <c r="FO296" i="3"/>
  <c r="FO82" i="3"/>
  <c r="AQ249" i="5"/>
  <c r="AQ253" i="5" s="1"/>
  <c r="AQ258" i="5" s="1"/>
  <c r="AQ259" i="5" s="1"/>
  <c r="BL174" i="2"/>
  <c r="BL170" i="2"/>
  <c r="BL179" i="2"/>
  <c r="BL50" i="2"/>
  <c r="BF249" i="5"/>
  <c r="BF253" i="5" s="1"/>
  <c r="BF258" i="5" s="1"/>
  <c r="BF259" i="5" s="1"/>
  <c r="DL249" i="5"/>
  <c r="DL253" i="5" s="1"/>
  <c r="DL258" i="5" s="1"/>
  <c r="DL259" i="5" s="1"/>
  <c r="DU249" i="5"/>
  <c r="DU253" i="5" s="1"/>
  <c r="DU258" i="5" s="1"/>
  <c r="DU259" i="5" s="1"/>
  <c r="AF249" i="5"/>
  <c r="AF253" i="5" s="1"/>
  <c r="AF258" i="5" s="1"/>
  <c r="AF259" i="5" s="1"/>
  <c r="DA298" i="3"/>
  <c r="DA304" i="3"/>
  <c r="DA318" i="3" s="1"/>
  <c r="J145" i="2"/>
  <c r="J146" i="2" s="1"/>
  <c r="J147" i="2" s="1"/>
  <c r="BA304" i="3"/>
  <c r="BA318" i="3" s="1"/>
  <c r="EP312" i="3"/>
  <c r="EP309" i="3"/>
  <c r="EP317" i="3"/>
  <c r="BA162" i="2"/>
  <c r="BA151" i="2"/>
  <c r="BA152" i="2" s="1"/>
  <c r="CE304" i="3"/>
  <c r="CE318" i="3" s="1"/>
  <c r="CY317" i="3"/>
  <c r="CY312" i="3"/>
  <c r="CY309" i="3"/>
  <c r="DB304" i="3"/>
  <c r="DB318" i="3" s="1"/>
  <c r="U317" i="3"/>
  <c r="U312" i="3"/>
  <c r="U309" i="3"/>
  <c r="G158" i="2"/>
  <c r="G169" i="2" s="1"/>
  <c r="G184" i="2" s="1"/>
  <c r="G164" i="2"/>
  <c r="G168" i="2" s="1"/>
  <c r="DD306" i="3"/>
  <c r="DD320" i="3" s="1"/>
  <c r="CB317" i="3"/>
  <c r="CB309" i="3"/>
  <c r="CB312" i="3"/>
  <c r="EN249" i="5"/>
  <c r="EN253" i="5" s="1"/>
  <c r="EN258" i="5" s="1"/>
  <c r="EN259" i="5" s="1"/>
  <c r="DZ162" i="2"/>
  <c r="DZ151" i="2"/>
  <c r="DZ152" i="2" s="1"/>
  <c r="DM306" i="3"/>
  <c r="DM320" i="3" s="1"/>
  <c r="AQ179" i="2"/>
  <c r="AQ170" i="2"/>
  <c r="AQ174" i="2"/>
  <c r="AQ50" i="2"/>
  <c r="BU166" i="2"/>
  <c r="BU180" i="2"/>
  <c r="BU182" i="2" s="1"/>
  <c r="U162" i="2"/>
  <c r="U151" i="2"/>
  <c r="U152" i="2" s="1"/>
  <c r="CO317" i="3"/>
  <c r="CO312" i="3"/>
  <c r="CO309" i="3"/>
  <c r="DR304" i="3"/>
  <c r="DR318" i="3" s="1"/>
  <c r="EF290" i="3"/>
  <c r="EF292" i="3" s="1"/>
  <c r="EF281" i="3"/>
  <c r="EF285" i="3" s="1"/>
  <c r="EF294" i="3" s="1"/>
  <c r="DS249" i="5"/>
  <c r="DS253" i="5" s="1"/>
  <c r="DS258" i="5" s="1"/>
  <c r="DS259" i="5" s="1"/>
  <c r="AZ162" i="2"/>
  <c r="AZ151" i="2"/>
  <c r="AZ152" i="2" s="1"/>
  <c r="BN162" i="2"/>
  <c r="BN151" i="2"/>
  <c r="BN152" i="2" s="1"/>
  <c r="DJ317" i="3"/>
  <c r="DJ312" i="3"/>
  <c r="DJ309" i="3"/>
  <c r="AP303" i="3"/>
  <c r="AP296" i="3"/>
  <c r="AP82" i="3"/>
  <c r="AB249" i="5"/>
  <c r="AB253" i="5" s="1"/>
  <c r="AB258" i="5" s="1"/>
  <c r="AB259" i="5" s="1"/>
  <c r="FE289" i="5"/>
  <c r="FF306" i="3"/>
  <c r="FF320" i="3" s="1"/>
  <c r="FV317" i="3"/>
  <c r="FV312" i="3"/>
  <c r="FV309" i="3"/>
  <c r="DK164" i="2"/>
  <c r="DK158" i="2"/>
  <c r="DK169" i="2" s="1"/>
  <c r="DK184" i="2" s="1"/>
  <c r="EZ164" i="2"/>
  <c r="EZ158" i="2"/>
  <c r="EZ169" i="2" s="1"/>
  <c r="EZ184" i="2" s="1"/>
  <c r="FG164" i="2"/>
  <c r="FG168" i="2" s="1"/>
  <c r="FG158" i="2"/>
  <c r="FG169" i="2" s="1"/>
  <c r="FG184" i="2" s="1"/>
  <c r="FF164" i="2"/>
  <c r="FF168" i="2" s="1"/>
  <c r="FF158" i="2"/>
  <c r="FF169" i="2" s="1"/>
  <c r="FF184" i="2" s="1"/>
  <c r="G179" i="2"/>
  <c r="G170" i="2"/>
  <c r="G174" i="2"/>
  <c r="G50" i="2"/>
  <c r="EU249" i="5"/>
  <c r="EU253" i="5" s="1"/>
  <c r="EU258" i="5" s="1"/>
  <c r="EU259" i="5" s="1"/>
  <c r="FN249" i="5"/>
  <c r="FN253" i="5" s="1"/>
  <c r="FN258" i="5" s="1"/>
  <c r="FN259" i="5" s="1"/>
  <c r="BW180" i="2"/>
  <c r="BW182" i="2" s="1"/>
  <c r="BW166" i="2"/>
  <c r="ET164" i="2"/>
  <c r="ET168" i="2" s="1"/>
  <c r="ET158" i="2"/>
  <c r="ET169" i="2" s="1"/>
  <c r="ET184" i="2" s="1"/>
  <c r="FP249" i="5"/>
  <c r="FP253" i="5" s="1"/>
  <c r="FP258" i="5" s="1"/>
  <c r="FP259" i="5" s="1"/>
  <c r="Y312" i="3"/>
  <c r="Y309" i="3"/>
  <c r="Y317" i="3"/>
  <c r="DZ317" i="3"/>
  <c r="DZ312" i="3"/>
  <c r="DZ309" i="3"/>
  <c r="CO249" i="5"/>
  <c r="CO253" i="5" s="1"/>
  <c r="CO258" i="5" s="1"/>
  <c r="CO259" i="5" s="1"/>
  <c r="FI249" i="5"/>
  <c r="FI253" i="5" s="1"/>
  <c r="FI258" i="5" s="1"/>
  <c r="FI259" i="5" s="1"/>
  <c r="Z249" i="5"/>
  <c r="Z253" i="5" s="1"/>
  <c r="Z258" i="5" s="1"/>
  <c r="Z259" i="5" s="1"/>
  <c r="EF303" i="3"/>
  <c r="EF296" i="3"/>
  <c r="EF82" i="3"/>
  <c r="AR249" i="5"/>
  <c r="AR253" i="5" s="1"/>
  <c r="AR258" i="5" s="1"/>
  <c r="AR259" i="5" s="1"/>
  <c r="FA249" i="5"/>
  <c r="FA253" i="5" s="1"/>
  <c r="FA258" i="5" s="1"/>
  <c r="FA259" i="5" s="1"/>
  <c r="EW168" i="2"/>
  <c r="EW172" i="2" s="1"/>
  <c r="DO145" i="2"/>
  <c r="DO146" i="2" s="1"/>
  <c r="DO147" i="2" s="1"/>
  <c r="X249" i="5"/>
  <c r="X253" i="5" s="1"/>
  <c r="X258" i="5" s="1"/>
  <c r="X259" i="5" s="1"/>
  <c r="AX298" i="3"/>
  <c r="AX304" i="3"/>
  <c r="AX318" i="3" s="1"/>
  <c r="EA168" i="2"/>
  <c r="EA172" i="2" s="1"/>
  <c r="DV304" i="3"/>
  <c r="DV318" i="3" s="1"/>
  <c r="DV298" i="3"/>
  <c r="CL249" i="5"/>
  <c r="CL253" i="5" s="1"/>
  <c r="CL258" i="5" s="1"/>
  <c r="CL259" i="5" s="1"/>
  <c r="AB180" i="2"/>
  <c r="AB182" i="2" s="1"/>
  <c r="AB166" i="2"/>
  <c r="FM312" i="3"/>
  <c r="FM309" i="3"/>
  <c r="FM317" i="3"/>
  <c r="Z292" i="3"/>
  <c r="Z298" i="3" s="1"/>
  <c r="DK179" i="2"/>
  <c r="DK170" i="2"/>
  <c r="DK174" i="2"/>
  <c r="DK50" i="2"/>
  <c r="EZ170" i="2"/>
  <c r="EZ174" i="2"/>
  <c r="EZ179" i="2"/>
  <c r="EZ50" i="2"/>
  <c r="FG179" i="2"/>
  <c r="FG170" i="2"/>
  <c r="FG50" i="2"/>
  <c r="FG174" i="2"/>
  <c r="FF179" i="2"/>
  <c r="FF170" i="2"/>
  <c r="FF174" i="2"/>
  <c r="FF50" i="2"/>
  <c r="CV304" i="3"/>
  <c r="CV318" i="3" s="1"/>
  <c r="CV298" i="3"/>
  <c r="AT317" i="3"/>
  <c r="AT312" i="3"/>
  <c r="AT309" i="3"/>
  <c r="DP170" i="2"/>
  <c r="DP174" i="2"/>
  <c r="DP179" i="2"/>
  <c r="DP50" i="2"/>
  <c r="Z162" i="2"/>
  <c r="Z151" i="2"/>
  <c r="Z152" i="2" s="1"/>
  <c r="FM162" i="2"/>
  <c r="FM151" i="2"/>
  <c r="FM152" i="2" s="1"/>
  <c r="EI162" i="2"/>
  <c r="EI151" i="2"/>
  <c r="EI152" i="2" s="1"/>
  <c r="BL164" i="2"/>
  <c r="BL168" i="2" s="1"/>
  <c r="BL158" i="2"/>
  <c r="BL169" i="2" s="1"/>
  <c r="BL184" i="2" s="1"/>
  <c r="FR304" i="3"/>
  <c r="FR318" i="3" s="1"/>
  <c r="FR298" i="3"/>
  <c r="CN179" i="2"/>
  <c r="CN170" i="2"/>
  <c r="CN174" i="2"/>
  <c r="CN50" i="2"/>
  <c r="J290" i="3"/>
  <c r="J292" i="3" s="1"/>
  <c r="J281" i="3"/>
  <c r="J285" i="3" s="1"/>
  <c r="J294" i="3" s="1"/>
  <c r="BT162" i="2"/>
  <c r="BT151" i="2"/>
  <c r="BT152" i="2" s="1"/>
  <c r="EM309" i="3"/>
  <c r="EM317" i="3"/>
  <c r="EM312" i="3"/>
  <c r="EC249" i="5"/>
  <c r="EC253" i="5" s="1"/>
  <c r="EC258" i="5" s="1"/>
  <c r="EC259" i="5" s="1"/>
  <c r="BZ317" i="3"/>
  <c r="BZ309" i="3"/>
  <c r="BZ312" i="3"/>
  <c r="FH153" i="2"/>
  <c r="EI304" i="3"/>
  <c r="EI318" i="3" s="1"/>
  <c r="EI298" i="3"/>
  <c r="BL249" i="5"/>
  <c r="BL253" i="5" s="1"/>
  <c r="BL258" i="5" s="1"/>
  <c r="BL259" i="5" s="1"/>
  <c r="BA249" i="5"/>
  <c r="BA253" i="5" s="1"/>
  <c r="BA258" i="5" s="1"/>
  <c r="BA259" i="5" s="1"/>
  <c r="CG292" i="3"/>
  <c r="CG298" i="3" s="1"/>
  <c r="BS249" i="5"/>
  <c r="BS253" i="5" s="1"/>
  <c r="BS258" i="5" s="1"/>
  <c r="BS259" i="5" s="1"/>
  <c r="V306" i="3"/>
  <c r="V320" i="3" s="1"/>
  <c r="DN249" i="5"/>
  <c r="DN253" i="5" s="1"/>
  <c r="DN258" i="5" s="1"/>
  <c r="DN259" i="5" s="1"/>
  <c r="M312" i="3"/>
  <c r="M309" i="3"/>
  <c r="M317" i="3"/>
  <c r="EC170" i="2"/>
  <c r="EC174" i="2"/>
  <c r="EC179" i="2"/>
  <c r="EC50" i="2"/>
  <c r="CV249" i="5"/>
  <c r="CV253" i="5" s="1"/>
  <c r="CV258" i="5" s="1"/>
  <c r="CV259" i="5" s="1"/>
  <c r="M275" i="3"/>
  <c r="EE275" i="3"/>
  <c r="CN158" i="2"/>
  <c r="CN169" i="2" s="1"/>
  <c r="CN184" i="2" s="1"/>
  <c r="CN164" i="2"/>
  <c r="CN168" i="2" s="1"/>
  <c r="J303" i="3"/>
  <c r="J296" i="3"/>
  <c r="J82" i="3"/>
  <c r="BM312" i="3"/>
  <c r="BM309" i="3"/>
  <c r="BM317" i="3"/>
  <c r="EO275" i="3"/>
  <c r="FQ164" i="2"/>
  <c r="FQ168" i="2" s="1"/>
  <c r="FQ158" i="2"/>
  <c r="FQ169" i="2" s="1"/>
  <c r="FQ184" i="2" s="1"/>
  <c r="EJ145" i="2"/>
  <c r="EJ146" i="2" s="1"/>
  <c r="EJ147" i="2" s="1"/>
  <c r="T180" i="2"/>
  <c r="T182" i="2" s="1"/>
  <c r="T172" i="2"/>
  <c r="T166" i="2"/>
  <c r="P153" i="2"/>
  <c r="U292" i="3"/>
  <c r="U298" i="3" s="1"/>
  <c r="FX249" i="5"/>
  <c r="FX253" i="5" s="1"/>
  <c r="FX258" i="5" s="1"/>
  <c r="FX259" i="5" s="1"/>
  <c r="BD317" i="3"/>
  <c r="BD312" i="3"/>
  <c r="BD309" i="3"/>
  <c r="BU168" i="2"/>
  <c r="BU172" i="2" s="1"/>
  <c r="BM162" i="2"/>
  <c r="BM151" i="2"/>
  <c r="BM152" i="2" s="1"/>
  <c r="BB145" i="2"/>
  <c r="BB146" i="2" s="1"/>
  <c r="BB147" i="2" s="1"/>
  <c r="FN162" i="2"/>
  <c r="FN151" i="2"/>
  <c r="FN152" i="2" s="1"/>
  <c r="BN317" i="3"/>
  <c r="BN312" i="3"/>
  <c r="BN309" i="3"/>
  <c r="ET179" i="2"/>
  <c r="ET170" i="2"/>
  <c r="ET174" i="2"/>
  <c r="ET50" i="2"/>
  <c r="DR312" i="3"/>
  <c r="DR309" i="3"/>
  <c r="DR317" i="3"/>
  <c r="L162" i="2"/>
  <c r="L151" i="2"/>
  <c r="L152" i="2" s="1"/>
  <c r="BY312" i="3"/>
  <c r="BY309" i="3"/>
  <c r="BY317" i="3"/>
  <c r="FW249" i="5"/>
  <c r="FW253" i="5" s="1"/>
  <c r="FW258" i="5" s="1"/>
  <c r="FW259" i="5" s="1"/>
  <c r="AW312" i="3"/>
  <c r="AW309" i="3"/>
  <c r="AW317" i="3"/>
  <c r="AV304" i="3"/>
  <c r="AV318" i="3" s="1"/>
  <c r="AV298" i="3"/>
  <c r="DO303" i="3"/>
  <c r="DO296" i="3"/>
  <c r="DO82" i="3"/>
  <c r="AX312" i="3"/>
  <c r="AX309" i="3"/>
  <c r="AX317" i="3"/>
  <c r="AY249" i="5"/>
  <c r="AY253" i="5" s="1"/>
  <c r="AY258" i="5" s="1"/>
  <c r="AY259" i="5" s="1"/>
  <c r="FM292" i="3"/>
  <c r="FM298" i="3" s="1"/>
  <c r="AP249" i="5"/>
  <c r="AP253" i="5" s="1"/>
  <c r="AP258" i="5" s="1"/>
  <c r="AP259" i="5" s="1"/>
  <c r="CP249" i="5"/>
  <c r="CP253" i="5" s="1"/>
  <c r="CP258" i="5" s="1"/>
  <c r="CP259" i="5" s="1"/>
  <c r="AM249" i="5"/>
  <c r="AM253" i="5" s="1"/>
  <c r="AM258" i="5" s="1"/>
  <c r="AM259" i="5" s="1"/>
  <c r="BI249" i="5"/>
  <c r="BI253" i="5" s="1"/>
  <c r="BI258" i="5" s="1"/>
  <c r="BI259" i="5" s="1"/>
  <c r="AR275" i="3"/>
  <c r="CT298" i="3"/>
  <c r="CT304" i="3"/>
  <c r="CT318" i="3" s="1"/>
  <c r="BP164" i="2"/>
  <c r="BP168" i="2" s="1"/>
  <c r="BP158" i="2"/>
  <c r="BP169" i="2" s="1"/>
  <c r="BP184" i="2" s="1"/>
  <c r="EN164" i="2"/>
  <c r="EN168" i="2" s="1"/>
  <c r="EN158" i="2"/>
  <c r="EN169" i="2" s="1"/>
  <c r="EN184" i="2" s="1"/>
  <c r="FK164" i="2"/>
  <c r="FK158" i="2"/>
  <c r="FK169" i="2" s="1"/>
  <c r="FK184" i="2" s="1"/>
  <c r="DT164" i="2"/>
  <c r="DT168" i="2" s="1"/>
  <c r="DT158" i="2"/>
  <c r="DT169" i="2" s="1"/>
  <c r="DT184" i="2" s="1"/>
  <c r="BI164" i="2"/>
  <c r="BI168" i="2" s="1"/>
  <c r="BI158" i="2"/>
  <c r="BI169" i="2" s="1"/>
  <c r="BI184" i="2" s="1"/>
  <c r="FH180" i="2"/>
  <c r="FH182" i="2" s="1"/>
  <c r="FH166" i="2"/>
  <c r="CD317" i="3"/>
  <c r="CD312" i="3"/>
  <c r="CD309" i="3"/>
  <c r="CK249" i="5"/>
  <c r="CK253" i="5" s="1"/>
  <c r="CK258" i="5" s="1"/>
  <c r="CK259" i="5" s="1"/>
  <c r="DA162" i="2"/>
  <c r="DA151" i="2"/>
  <c r="DA152" i="2" s="1"/>
  <c r="FW162" i="2"/>
  <c r="FW151" i="2"/>
  <c r="FW152" i="2" s="1"/>
  <c r="DB249" i="5"/>
  <c r="DB253" i="5" s="1"/>
  <c r="DB258" i="5" s="1"/>
  <c r="DB259" i="5" s="1"/>
  <c r="FR249" i="5"/>
  <c r="FR253" i="5" s="1"/>
  <c r="FR258" i="5" s="1"/>
  <c r="FR259" i="5" s="1"/>
  <c r="X166" i="2"/>
  <c r="X180" i="2"/>
  <c r="X182" i="2" s="1"/>
  <c r="FI145" i="2"/>
  <c r="FI146" i="2" s="1"/>
  <c r="FI147" i="2" s="1"/>
  <c r="EO312" i="3"/>
  <c r="EO309" i="3"/>
  <c r="EO317" i="3"/>
  <c r="DI249" i="5"/>
  <c r="DI253" i="5" s="1"/>
  <c r="DI258" i="5" s="1"/>
  <c r="DI259" i="5" s="1"/>
  <c r="EE304" i="3"/>
  <c r="EE318" i="3" s="1"/>
  <c r="EE298" i="3"/>
  <c r="O312" i="3"/>
  <c r="O309" i="3"/>
  <c r="O317" i="3"/>
  <c r="E145" i="2"/>
  <c r="E146" i="2" s="1"/>
  <c r="E147" i="2" s="1"/>
  <c r="R164" i="2"/>
  <c r="R168" i="2" s="1"/>
  <c r="R158" i="2"/>
  <c r="R169" i="2" s="1"/>
  <c r="R184" i="2" s="1"/>
  <c r="BJ298" i="3"/>
  <c r="BJ304" i="3"/>
  <c r="BJ318" i="3" s="1"/>
  <c r="BM292" i="3"/>
  <c r="BM298" i="3" s="1"/>
  <c r="EO304" i="3"/>
  <c r="EO318" i="3" s="1"/>
  <c r="EO298" i="3"/>
  <c r="FQ179" i="2"/>
  <c r="FQ174" i="2"/>
  <c r="FQ170" i="2"/>
  <c r="FQ50" i="2"/>
  <c r="EJ290" i="3"/>
  <c r="EJ292" i="3" s="1"/>
  <c r="EJ281" i="3"/>
  <c r="EJ285" i="3" s="1"/>
  <c r="EJ294" i="3" s="1"/>
  <c r="EE249" i="5"/>
  <c r="EE253" i="5" s="1"/>
  <c r="EE258" i="5" s="1"/>
  <c r="EE259" i="5" s="1"/>
  <c r="EO162" i="2"/>
  <c r="EO151" i="2"/>
  <c r="EO152" i="2" s="1"/>
  <c r="EP298" i="3"/>
  <c r="EP304" i="3"/>
  <c r="EP318" i="3" s="1"/>
  <c r="DJ249" i="5"/>
  <c r="DJ253" i="5" s="1"/>
  <c r="DJ258" i="5" s="1"/>
  <c r="DJ259" i="5" s="1"/>
  <c r="CF249" i="5"/>
  <c r="CF253" i="5" s="1"/>
  <c r="CF258" i="5" s="1"/>
  <c r="CF259" i="5" s="1"/>
  <c r="BB290" i="3"/>
  <c r="BB281" i="3"/>
  <c r="BB285" i="3" s="1"/>
  <c r="BB294" i="3" s="1"/>
  <c r="ER174" i="2"/>
  <c r="ER170" i="2"/>
  <c r="ER179" i="2"/>
  <c r="ER50" i="2"/>
  <c r="W306" i="3"/>
  <c r="W320" i="3" s="1"/>
  <c r="AG304" i="3"/>
  <c r="AG318" i="3" s="1"/>
  <c r="AG298" i="3"/>
  <c r="BV249" i="5"/>
  <c r="BV253" i="5" s="1"/>
  <c r="BV258" i="5" s="1"/>
  <c r="BV259" i="5" s="1"/>
  <c r="CO275" i="3"/>
  <c r="EG304" i="3"/>
  <c r="EG318" i="3" s="1"/>
  <c r="EG298" i="3"/>
  <c r="DR292" i="3"/>
  <c r="DR298" i="3" s="1"/>
  <c r="BY249" i="5"/>
  <c r="BY253" i="5" s="1"/>
  <c r="BY258" i="5" s="1"/>
  <c r="BY259" i="5" s="1"/>
  <c r="X168" i="2"/>
  <c r="X172" i="2" s="1"/>
  <c r="BY292" i="3"/>
  <c r="BY298" i="3" s="1"/>
  <c r="CK180" i="2"/>
  <c r="CK182" i="2" s="1"/>
  <c r="CK166" i="2"/>
  <c r="CK172" i="2"/>
  <c r="DO290" i="3"/>
  <c r="DO292" i="3" s="1"/>
  <c r="DO281" i="3"/>
  <c r="DO285" i="3" s="1"/>
  <c r="DO294" i="3" s="1"/>
  <c r="CN249" i="5"/>
  <c r="CN253" i="5" s="1"/>
  <c r="CN258" i="5" s="1"/>
  <c r="CN259" i="5" s="1"/>
  <c r="ES249" i="5"/>
  <c r="ES253" i="5" s="1"/>
  <c r="ES258" i="5" s="1"/>
  <c r="ES259" i="5" s="1"/>
  <c r="BD249" i="5"/>
  <c r="BD253" i="5" s="1"/>
  <c r="BD258" i="5" s="1"/>
  <c r="BD259" i="5" s="1"/>
  <c r="AU304" i="3"/>
  <c r="AU318" i="3" s="1"/>
  <c r="AU298" i="3"/>
  <c r="BK249" i="5"/>
  <c r="BK253" i="5" s="1"/>
  <c r="BK258" i="5" s="1"/>
  <c r="BK259" i="5" s="1"/>
  <c r="AR304" i="3"/>
  <c r="AR318" i="3" s="1"/>
  <c r="AR298" i="3"/>
  <c r="BP179" i="2"/>
  <c r="BP170" i="2"/>
  <c r="BP174" i="2"/>
  <c r="BP50" i="2"/>
  <c r="EN170" i="2"/>
  <c r="EN174" i="2"/>
  <c r="EN179" i="2"/>
  <c r="EN50" i="2"/>
  <c r="FK170" i="2"/>
  <c r="FK179" i="2"/>
  <c r="FK174" i="2"/>
  <c r="FK50" i="2"/>
  <c r="DT174" i="2"/>
  <c r="DT170" i="2"/>
  <c r="DT179" i="2"/>
  <c r="DT50" i="2"/>
  <c r="BI170" i="2"/>
  <c r="BI174" i="2"/>
  <c r="BI179" i="2"/>
  <c r="BI50" i="2"/>
  <c r="M162" i="2"/>
  <c r="M151" i="2"/>
  <c r="M152" i="2" s="1"/>
  <c r="CU312" i="3"/>
  <c r="CU309" i="3"/>
  <c r="CU317" i="3"/>
  <c r="CT162" i="2"/>
  <c r="CT151" i="2"/>
  <c r="CT152" i="2" s="1"/>
  <c r="EU162" i="2"/>
  <c r="EU151" i="2"/>
  <c r="EU152" i="2" s="1"/>
  <c r="CG312" i="3"/>
  <c r="CG309" i="3"/>
  <c r="CG317" i="3"/>
  <c r="EC164" i="2"/>
  <c r="EC168" i="2" s="1"/>
  <c r="EC158" i="2"/>
  <c r="EC169" i="2" s="1"/>
  <c r="EC184" i="2" s="1"/>
  <c r="DF145" i="2"/>
  <c r="DF146" i="2" s="1"/>
  <c r="DF147" i="2" s="1"/>
  <c r="FW292" i="3"/>
  <c r="FW298" i="3" s="1"/>
  <c r="AF151" i="2"/>
  <c r="AF152" i="2" s="1"/>
  <c r="AF162" i="2"/>
  <c r="BH162" i="2"/>
  <c r="BH151" i="2"/>
  <c r="BH152" i="2" s="1"/>
  <c r="CD304" i="3"/>
  <c r="CD318" i="3" s="1"/>
  <c r="CD298" i="3"/>
  <c r="DF290" i="3"/>
  <c r="DF292" i="3" s="1"/>
  <c r="DF281" i="3"/>
  <c r="DF285" i="3" s="1"/>
  <c r="DF294" i="3" s="1"/>
  <c r="CV275" i="3"/>
  <c r="FW309" i="3"/>
  <c r="FW317" i="3"/>
  <c r="FW312" i="3"/>
  <c r="FX306" i="3"/>
  <c r="FX320" i="3" s="1"/>
  <c r="AT292" i="3"/>
  <c r="AT298" i="3" s="1"/>
  <c r="CF306" i="3"/>
  <c r="CF320" i="3" s="1"/>
  <c r="AS249" i="5"/>
  <c r="AS253" i="5" s="1"/>
  <c r="AS258" i="5" s="1"/>
  <c r="AS259" i="5" s="1"/>
  <c r="AL168" i="2"/>
  <c r="AL172" i="2" s="1"/>
  <c r="J249" i="5"/>
  <c r="J253" i="5" s="1"/>
  <c r="J258" i="5" s="1"/>
  <c r="J259" i="5" s="1"/>
  <c r="BD275" i="3"/>
  <c r="BS275" i="3"/>
  <c r="O304" i="3"/>
  <c r="O318" i="3" s="1"/>
  <c r="FE164" i="2"/>
  <c r="FE168" i="2" s="1"/>
  <c r="FE158" i="2"/>
  <c r="FE169" i="2" s="1"/>
  <c r="FE184" i="2" s="1"/>
  <c r="FI296" i="3"/>
  <c r="FI303" i="3"/>
  <c r="FI82" i="3"/>
  <c r="DC312" i="3"/>
  <c r="DC309" i="3"/>
  <c r="DC317" i="3"/>
  <c r="M304" i="3"/>
  <c r="M318" i="3" s="1"/>
  <c r="M298" i="3"/>
  <c r="O292" i="3"/>
  <c r="O298" i="3" s="1"/>
  <c r="DE312" i="3"/>
  <c r="DE309" i="3"/>
  <c r="DE317" i="3"/>
  <c r="E290" i="3"/>
  <c r="E292" i="3" s="1"/>
  <c r="E281" i="3"/>
  <c r="E285" i="3" s="1"/>
  <c r="E294" i="3" s="1"/>
  <c r="R179" i="2"/>
  <c r="R170" i="2"/>
  <c r="R174" i="2"/>
  <c r="R50" i="2"/>
  <c r="DQ249" i="5"/>
  <c r="DQ253" i="5" s="1"/>
  <c r="DQ258" i="5" s="1"/>
  <c r="DQ259" i="5" s="1"/>
  <c r="EH249" i="5"/>
  <c r="EH253" i="5" s="1"/>
  <c r="EH258" i="5" s="1"/>
  <c r="EH259" i="5" s="1"/>
  <c r="EJ303" i="3"/>
  <c r="EJ296" i="3"/>
  <c r="EJ82" i="3"/>
  <c r="P172" i="2"/>
  <c r="P180" i="2"/>
  <c r="P182" i="2" s="1"/>
  <c r="P166" i="2"/>
  <c r="R306" i="3"/>
  <c r="R320" i="3" s="1"/>
  <c r="AI249" i="5"/>
  <c r="AI253" i="5" s="1"/>
  <c r="AI258" i="5" s="1"/>
  <c r="AI259" i="5" s="1"/>
  <c r="N275" i="3"/>
  <c r="CE292" i="3"/>
  <c r="CE298" i="3" s="1"/>
  <c r="BH249" i="5"/>
  <c r="BH253" i="5" s="1"/>
  <c r="BH258" i="5" s="1"/>
  <c r="BH259" i="5" s="1"/>
  <c r="DB162" i="2"/>
  <c r="DB151" i="2"/>
  <c r="DB152" i="2" s="1"/>
  <c r="BB303" i="3"/>
  <c r="BB296" i="3"/>
  <c r="BB82" i="3"/>
  <c r="ER164" i="2"/>
  <c r="ER158" i="2"/>
  <c r="ER169" i="2" s="1"/>
  <c r="ER184" i="2" s="1"/>
  <c r="EG312" i="3"/>
  <c r="EG309" i="3"/>
  <c r="EG317" i="3"/>
  <c r="AJ275" i="3"/>
  <c r="FL306" i="3"/>
  <c r="FL320" i="3" s="1"/>
  <c r="AZ275" i="3"/>
  <c r="BN275" i="3"/>
  <c r="FP151" i="2"/>
  <c r="FP152" i="2" s="1"/>
  <c r="FP162" i="2"/>
  <c r="CG249" i="5"/>
  <c r="CG253" i="5" s="1"/>
  <c r="CG258" i="5" s="1"/>
  <c r="CG259" i="5" s="1"/>
  <c r="AA275" i="3"/>
  <c r="DF249" i="5"/>
  <c r="DF253" i="5" s="1"/>
  <c r="DF258" i="5" s="1"/>
  <c r="DF259" i="5" s="1"/>
  <c r="S249" i="5"/>
  <c r="S253" i="5" s="1"/>
  <c r="S258" i="5" s="1"/>
  <c r="S259" i="5" s="1"/>
  <c r="AU309" i="3"/>
  <c r="AU317" i="3"/>
  <c r="AU312" i="3"/>
  <c r="CJ145" i="2"/>
  <c r="CJ146" i="2" s="1"/>
  <c r="CJ147" i="2" s="1"/>
  <c r="AK249" i="5"/>
  <c r="AK253" i="5" s="1"/>
  <c r="AK258" i="5" s="1"/>
  <c r="AK259" i="5" s="1"/>
  <c r="D151" i="2"/>
  <c r="D152" i="2" s="1"/>
  <c r="D162" i="2"/>
  <c r="AS317" i="3"/>
  <c r="AS312" i="3"/>
  <c r="AS309" i="3"/>
  <c r="DA249" i="5"/>
  <c r="DA253" i="5" s="1"/>
  <c r="DA258" i="5" s="1"/>
  <c r="DA259" i="5" s="1"/>
  <c r="AN249" i="5"/>
  <c r="AN253" i="5" s="1"/>
  <c r="AN258" i="5" s="1"/>
  <c r="AN259" i="5" s="1"/>
  <c r="C337" i="3"/>
  <c r="FZ337" i="3" s="1"/>
  <c r="GA337" i="3" s="1"/>
  <c r="C38" i="3" s="1"/>
  <c r="C201" i="3"/>
  <c r="DW162" i="2"/>
  <c r="DW151" i="2"/>
  <c r="DW152" i="2" s="1"/>
  <c r="AS304" i="3"/>
  <c r="AS318" i="3" s="1"/>
  <c r="AS298" i="3"/>
  <c r="EW249" i="5"/>
  <c r="EW253" i="5" s="1"/>
  <c r="EW258" i="5" s="1"/>
  <c r="EW259" i="5" s="1"/>
  <c r="DM158" i="2"/>
  <c r="DM169" i="2" s="1"/>
  <c r="DM184" i="2" s="1"/>
  <c r="DM164" i="2"/>
  <c r="DM168" i="2" s="1"/>
  <c r="AK164" i="2"/>
  <c r="AK168" i="2" s="1"/>
  <c r="AK158" i="2"/>
  <c r="AK169" i="2" s="1"/>
  <c r="AK184" i="2" s="1"/>
  <c r="CQ164" i="2"/>
  <c r="CQ168" i="2" s="1"/>
  <c r="CQ158" i="2"/>
  <c r="CQ169" i="2" s="1"/>
  <c r="CQ184" i="2" s="1"/>
  <c r="EK164" i="2"/>
  <c r="EK168" i="2" s="1"/>
  <c r="EK158" i="2"/>
  <c r="EK169" i="2" s="1"/>
  <c r="EK184" i="2" s="1"/>
  <c r="BR145" i="2"/>
  <c r="BR146" i="2" s="1"/>
  <c r="BR147" i="2" s="1"/>
  <c r="AN172" i="2"/>
  <c r="AN180" i="2"/>
  <c r="AN182" i="2" s="1"/>
  <c r="AN166" i="2"/>
  <c r="I145" i="2"/>
  <c r="I146" i="2" s="1"/>
  <c r="I147" i="2" s="1"/>
  <c r="BC290" i="3"/>
  <c r="BC281" i="3"/>
  <c r="BC285" i="3" s="1"/>
  <c r="AE249" i="5"/>
  <c r="AE253" i="5" s="1"/>
  <c r="AE258" i="5" s="1"/>
  <c r="AE259" i="5" s="1"/>
  <c r="FH168" i="2"/>
  <c r="FH172" i="2" s="1"/>
  <c r="FJ249" i="5"/>
  <c r="FJ253" i="5" s="1"/>
  <c r="FJ258" i="5" s="1"/>
  <c r="FJ259" i="5" s="1"/>
  <c r="DF303" i="3"/>
  <c r="DF296" i="3"/>
  <c r="DF82" i="3"/>
  <c r="F317" i="3"/>
  <c r="F309" i="3"/>
  <c r="F312" i="3"/>
  <c r="BH275" i="3"/>
  <c r="CS249" i="5"/>
  <c r="CS253" i="5" s="1"/>
  <c r="CS258" i="5" s="1"/>
  <c r="CS259" i="5" s="1"/>
  <c r="CQ249" i="5"/>
  <c r="CQ253" i="5" s="1"/>
  <c r="CQ258" i="5" s="1"/>
  <c r="CQ259" i="5" s="1"/>
  <c r="FV162" i="2"/>
  <c r="FV151" i="2"/>
  <c r="FV152" i="2" s="1"/>
  <c r="CL275" i="3"/>
  <c r="BD304" i="3"/>
  <c r="BD318" i="3" s="1"/>
  <c r="BD298" i="3"/>
  <c r="BS298" i="3"/>
  <c r="BS304" i="3"/>
  <c r="BS318" i="3" s="1"/>
  <c r="DP164" i="2"/>
  <c r="DP158" i="2"/>
  <c r="DP169" i="2" s="1"/>
  <c r="DP184" i="2" s="1"/>
  <c r="CD162" i="2"/>
  <c r="CD151" i="2"/>
  <c r="CD152" i="2" s="1"/>
  <c r="DD249" i="5"/>
  <c r="DD253" i="5" s="1"/>
  <c r="DD258" i="5" s="1"/>
  <c r="DD259" i="5" s="1"/>
  <c r="FD304" i="3"/>
  <c r="FD318" i="3" s="1"/>
  <c r="FD298" i="3"/>
  <c r="AH275" i="3"/>
  <c r="EE312" i="3"/>
  <c r="EE309" i="3"/>
  <c r="EE317" i="3"/>
  <c r="FE179" i="2"/>
  <c r="FE174" i="2"/>
  <c r="FE170" i="2"/>
  <c r="FE50" i="2"/>
  <c r="FI290" i="3"/>
  <c r="FI292" i="3" s="1"/>
  <c r="FI281" i="3"/>
  <c r="FI285" i="3" s="1"/>
  <c r="FI294" i="3" s="1"/>
  <c r="DQ275" i="3"/>
  <c r="AM306" i="3"/>
  <c r="AM320" i="3" s="1"/>
  <c r="C225" i="5"/>
  <c r="FZ169" i="5"/>
  <c r="GB169" i="5" s="1"/>
  <c r="DE292" i="3"/>
  <c r="DE298" i="3" s="1"/>
  <c r="E303" i="3"/>
  <c r="E296" i="3"/>
  <c r="E82" i="3"/>
  <c r="DS275" i="3"/>
  <c r="DC304" i="3"/>
  <c r="DC318" i="3" s="1"/>
  <c r="DC298" i="3"/>
  <c r="DQ162" i="2"/>
  <c r="DQ151" i="2"/>
  <c r="DQ152" i="2" s="1"/>
  <c r="DB292" i="3"/>
  <c r="DB298" i="3" s="1"/>
  <c r="CB275" i="3"/>
  <c r="N298" i="3"/>
  <c r="N304" i="3"/>
  <c r="N318" i="3" s="1"/>
  <c r="AR162" i="2"/>
  <c r="AR151" i="2"/>
  <c r="AR152" i="2" s="1"/>
  <c r="DU304" i="3"/>
  <c r="DU318" i="3" s="1"/>
  <c r="DU298" i="3"/>
  <c r="CE309" i="3"/>
  <c r="CE317" i="3"/>
  <c r="CE312" i="3"/>
  <c r="DI145" i="2"/>
  <c r="DI146" i="2" s="1"/>
  <c r="DI147" i="2" s="1"/>
  <c r="D275" i="3"/>
  <c r="DU162" i="2"/>
  <c r="DU151" i="2"/>
  <c r="DU152" i="2" s="1"/>
  <c r="CE162" i="2"/>
  <c r="CE151" i="2"/>
  <c r="CE152" i="2" s="1"/>
  <c r="FT290" i="3"/>
  <c r="FT281" i="3"/>
  <c r="FT285" i="3" s="1"/>
  <c r="FT294" i="3" s="1"/>
  <c r="DV317" i="3"/>
  <c r="DV309" i="3"/>
  <c r="DV312" i="3"/>
  <c r="AW275" i="3"/>
  <c r="CO304" i="3"/>
  <c r="CO318" i="3" s="1"/>
  <c r="CO298" i="3"/>
  <c r="FT151" i="2"/>
  <c r="FT152" i="2" s="1"/>
  <c r="FT162" i="2"/>
  <c r="AO304" i="3"/>
  <c r="AO318" i="3" s="1"/>
  <c r="AO298" i="3"/>
  <c r="DG168" i="2"/>
  <c r="DG172" i="2" s="1"/>
  <c r="CJ290" i="3"/>
  <c r="CJ292" i="3" s="1"/>
  <c r="CJ281" i="3"/>
  <c r="CJ285" i="3" s="1"/>
  <c r="CJ294" i="3" s="1"/>
  <c r="CM249" i="5"/>
  <c r="CM253" i="5" s="1"/>
  <c r="CM258" i="5" s="1"/>
  <c r="CM259" i="5" s="1"/>
  <c r="AQ306" i="3"/>
  <c r="AQ320" i="3" s="1"/>
  <c r="DR249" i="5"/>
  <c r="DR253" i="5" s="1"/>
  <c r="DR258" i="5" s="1"/>
  <c r="DR259" i="5" s="1"/>
  <c r="EK306" i="3"/>
  <c r="EK320" i="3" s="1"/>
  <c r="AR317" i="3"/>
  <c r="AR309" i="3"/>
  <c r="AR312" i="3"/>
  <c r="DX304" i="3"/>
  <c r="DX318" i="3" s="1"/>
  <c r="DX298" i="3"/>
  <c r="FV304" i="3"/>
  <c r="FV318" i="3" s="1"/>
  <c r="FV298" i="3"/>
  <c r="DM179" i="2"/>
  <c r="DM174" i="2"/>
  <c r="DM170" i="2"/>
  <c r="DM50" i="2"/>
  <c r="EY170" i="2"/>
  <c r="EY179" i="2"/>
  <c r="EY174" i="2"/>
  <c r="EY50" i="2"/>
  <c r="AK170" i="2"/>
  <c r="AK174" i="2"/>
  <c r="AK179" i="2"/>
  <c r="AK50" i="2"/>
  <c r="CQ170" i="2"/>
  <c r="CQ179" i="2"/>
  <c r="CQ174" i="2"/>
  <c r="CQ50" i="2"/>
  <c r="EK179" i="2"/>
  <c r="EK174" i="2"/>
  <c r="EK170" i="2"/>
  <c r="EK50" i="2"/>
  <c r="AH304" i="3"/>
  <c r="AH318" i="3" s="1"/>
  <c r="BQ317" i="3"/>
  <c r="BQ312" i="3"/>
  <c r="BQ309" i="3"/>
  <c r="CI145" i="2"/>
  <c r="CI146" i="2" s="1"/>
  <c r="CI147" i="2" s="1"/>
  <c r="AJ304" i="3"/>
  <c r="AJ318" i="3" s="1"/>
  <c r="AV312" i="3"/>
  <c r="AV309" i="3"/>
  <c r="AV317" i="3"/>
  <c r="AZ304" i="3"/>
  <c r="AZ318" i="3" s="1"/>
  <c r="AZ298" i="3"/>
  <c r="BN304" i="3"/>
  <c r="BN318" i="3" s="1"/>
  <c r="BN298" i="3"/>
  <c r="DY292" i="3"/>
  <c r="DY298" i="3" s="1"/>
  <c r="Y304" i="3"/>
  <c r="Y318" i="3" s="1"/>
  <c r="Y298" i="3"/>
  <c r="AA304" i="3"/>
  <c r="AA318" i="3" s="1"/>
  <c r="AA298" i="3"/>
  <c r="FJ166" i="2"/>
  <c r="FJ172" i="2"/>
  <c r="FJ180" i="2"/>
  <c r="FJ182" i="2" s="1"/>
  <c r="AE306" i="3"/>
  <c r="AE320" i="3" s="1"/>
  <c r="EM249" i="5"/>
  <c r="EM253" i="5" s="1"/>
  <c r="EM258" i="5" s="1"/>
  <c r="EM259" i="5" s="1"/>
  <c r="BO249" i="5"/>
  <c r="BO253" i="5" s="1"/>
  <c r="BO258" i="5" s="1"/>
  <c r="BO259" i="5" s="1"/>
  <c r="AD164" i="2"/>
  <c r="AD158" i="2"/>
  <c r="AD169" i="2" s="1"/>
  <c r="AD184" i="2" s="1"/>
  <c r="CJ303" i="3"/>
  <c r="CJ296" i="3"/>
  <c r="CJ82" i="3"/>
  <c r="CQ306" i="3"/>
  <c r="CQ320" i="3" s="1"/>
  <c r="CZ249" i="5"/>
  <c r="CZ253" i="5" s="1"/>
  <c r="CZ258" i="5" s="1"/>
  <c r="CZ259" i="5" s="1"/>
  <c r="AW162" i="2"/>
  <c r="AW151" i="2"/>
  <c r="AW152" i="2" s="1"/>
  <c r="CU275" i="3"/>
  <c r="EL249" i="5"/>
  <c r="EL253" i="5" s="1"/>
  <c r="EL258" i="5" s="1"/>
  <c r="EL259" i="5" s="1"/>
  <c r="EM304" i="3"/>
  <c r="EM318" i="3" s="1"/>
  <c r="EM298" i="3"/>
  <c r="AF292" i="3"/>
  <c r="AF298" i="3" s="1"/>
  <c r="EU292" i="3"/>
  <c r="EU298" i="3" s="1"/>
  <c r="DD164" i="2"/>
  <c r="DD168" i="2" s="1"/>
  <c r="DD158" i="2"/>
  <c r="DD169" i="2" s="1"/>
  <c r="DD184" i="2" s="1"/>
  <c r="EH164" i="2"/>
  <c r="EH168" i="2" s="1"/>
  <c r="EH158" i="2"/>
  <c r="EH169" i="2" s="1"/>
  <c r="EH184" i="2" s="1"/>
  <c r="BF164" i="2"/>
  <c r="BF158" i="2"/>
  <c r="BF169" i="2" s="1"/>
  <c r="BF184" i="2" s="1"/>
  <c r="EX164" i="2"/>
  <c r="EX168" i="2" s="1"/>
  <c r="EX158" i="2"/>
  <c r="EX169" i="2" s="1"/>
  <c r="EX184" i="2" s="1"/>
  <c r="CS164" i="2"/>
  <c r="CS168" i="2" s="1"/>
  <c r="CS158" i="2"/>
  <c r="CS169" i="2" s="1"/>
  <c r="CS184" i="2" s="1"/>
  <c r="CI303" i="3"/>
  <c r="CI296" i="3"/>
  <c r="CI82" i="3"/>
  <c r="S290" i="3"/>
  <c r="S292" i="3" s="1"/>
  <c r="S281" i="3"/>
  <c r="S285" i="3" s="1"/>
  <c r="S294" i="3" s="1"/>
  <c r="AJ292" i="3"/>
  <c r="AJ298" i="3" s="1"/>
  <c r="BW168" i="2"/>
  <c r="BW172" i="2" s="1"/>
  <c r="BG275" i="3"/>
  <c r="CY275" i="3"/>
  <c r="DG249" i="5"/>
  <c r="DG253" i="5" s="1"/>
  <c r="DG258" i="5" s="1"/>
  <c r="DG259" i="5" s="1"/>
  <c r="DI303" i="3"/>
  <c r="DI296" i="3"/>
  <c r="DI82" i="3"/>
  <c r="D304" i="3"/>
  <c r="D318" i="3" s="1"/>
  <c r="D298" i="3"/>
  <c r="DH290" i="3"/>
  <c r="DH281" i="3"/>
  <c r="DH285" i="3" s="1"/>
  <c r="DH294" i="3" s="1"/>
  <c r="FP304" i="3"/>
  <c r="FP318" i="3" s="1"/>
  <c r="FP298" i="3"/>
  <c r="CE249" i="5"/>
  <c r="CE253" i="5" s="1"/>
  <c r="CE258" i="5" s="1"/>
  <c r="CE259" i="5" s="1"/>
  <c r="AW304" i="3"/>
  <c r="AW318" i="3" s="1"/>
  <c r="AW298" i="3"/>
  <c r="AD306" i="3"/>
  <c r="AD320" i="3" s="1"/>
  <c r="DZ304" i="3"/>
  <c r="DZ318" i="3" s="1"/>
  <c r="DZ298" i="3"/>
  <c r="AD179" i="2"/>
  <c r="AD170" i="2"/>
  <c r="AD174" i="2"/>
  <c r="AD50" i="2"/>
  <c r="DG182" i="2"/>
  <c r="CX249" i="5"/>
  <c r="CX253" i="5" s="1"/>
  <c r="CX258" i="5" s="1"/>
  <c r="CX259" i="5" s="1"/>
  <c r="CC292" i="3"/>
  <c r="CC298" i="3" s="1"/>
  <c r="DL145" i="2"/>
  <c r="DL146" i="2" s="1"/>
  <c r="DL147" i="2" s="1"/>
  <c r="CZ304" i="3"/>
  <c r="CZ318" i="3" s="1"/>
  <c r="CZ298" i="3"/>
  <c r="CC162" i="2"/>
  <c r="CC151" i="2"/>
  <c r="CC152" i="2" s="1"/>
  <c r="AB168" i="2"/>
  <c r="AB172" i="2" s="1"/>
  <c r="DD170" i="2"/>
  <c r="DD174" i="2"/>
  <c r="DD179" i="2"/>
  <c r="DD50" i="2"/>
  <c r="EH179" i="2"/>
  <c r="EH170" i="2"/>
  <c r="EH174" i="2"/>
  <c r="EH50" i="2"/>
  <c r="BF170" i="2"/>
  <c r="BF174" i="2"/>
  <c r="BF179" i="2"/>
  <c r="BF50" i="2"/>
  <c r="EX170" i="2"/>
  <c r="EX174" i="2"/>
  <c r="EX179" i="2"/>
  <c r="EX50" i="2"/>
  <c r="CS170" i="2"/>
  <c r="CS174" i="2"/>
  <c r="CS179" i="2"/>
  <c r="CS50" i="2"/>
  <c r="Q164" i="2" l="1"/>
  <c r="Q168" i="2" s="1"/>
  <c r="FV275" i="3"/>
  <c r="BP289" i="5"/>
  <c r="BP303" i="5" s="1"/>
  <c r="G306" i="3"/>
  <c r="G320" i="3" s="1"/>
  <c r="FK275" i="3"/>
  <c r="EY306" i="3"/>
  <c r="EY320" i="3" s="1"/>
  <c r="CC289" i="5"/>
  <c r="EY158" i="2"/>
  <c r="EY169" i="2" s="1"/>
  <c r="EY184" i="2" s="1"/>
  <c r="Q264" i="5"/>
  <c r="Q270" i="5" s="1"/>
  <c r="Q273" i="5" s="1"/>
  <c r="Q290" i="5" s="1"/>
  <c r="Q292" i="5" s="1"/>
  <c r="BC289" i="5"/>
  <c r="BC296" i="5" s="1"/>
  <c r="I264" i="5"/>
  <c r="I270" i="5" s="1"/>
  <c r="I273" i="5" s="1"/>
  <c r="I290" i="5" s="1"/>
  <c r="I292" i="5" s="1"/>
  <c r="BQ264" i="5"/>
  <c r="BQ270" i="5" s="1"/>
  <c r="BQ273" i="5" s="1"/>
  <c r="BQ290" i="5" s="1"/>
  <c r="BQ292" i="5" s="1"/>
  <c r="EB158" i="2"/>
  <c r="EB169" i="2" s="1"/>
  <c r="EB184" i="2" s="1"/>
  <c r="EK264" i="5"/>
  <c r="EK270" i="5" s="1"/>
  <c r="EK273" i="5" s="1"/>
  <c r="EK290" i="5" s="1"/>
  <c r="EK292" i="5" s="1"/>
  <c r="EG264" i="5"/>
  <c r="EG270" i="5" s="1"/>
  <c r="EG273" i="5" s="1"/>
  <c r="EG290" i="5" s="1"/>
  <c r="EG292" i="5" s="1"/>
  <c r="ET289" i="5"/>
  <c r="ET303" i="5" s="1"/>
  <c r="K264" i="5"/>
  <c r="K270" i="5" s="1"/>
  <c r="K273" i="5" s="1"/>
  <c r="FU264" i="5"/>
  <c r="FU270" i="5" s="1"/>
  <c r="FU273" i="5" s="1"/>
  <c r="FU281" i="5" s="1"/>
  <c r="FU285" i="5" s="1"/>
  <c r="FU294" i="5" s="1"/>
  <c r="AC264" i="5"/>
  <c r="AC270" i="5" s="1"/>
  <c r="AC273" i="5" s="1"/>
  <c r="AC290" i="5" s="1"/>
  <c r="AC292" i="5" s="1"/>
  <c r="BO164" i="2"/>
  <c r="BO168" i="2" s="1"/>
  <c r="CY289" i="5"/>
  <c r="CY303" i="5" s="1"/>
  <c r="BA275" i="3"/>
  <c r="F289" i="5"/>
  <c r="F296" i="5" s="1"/>
  <c r="M264" i="5"/>
  <c r="M270" i="5" s="1"/>
  <c r="M273" i="5" s="1"/>
  <c r="M290" i="5" s="1"/>
  <c r="M292" i="5" s="1"/>
  <c r="EF264" i="5"/>
  <c r="EF270" i="5" s="1"/>
  <c r="EF273" i="5" s="1"/>
  <c r="EF290" i="5" s="1"/>
  <c r="EF292" i="5" s="1"/>
  <c r="BM264" i="5"/>
  <c r="BM270" i="5" s="1"/>
  <c r="BM273" i="5" s="1"/>
  <c r="BM290" i="5" s="1"/>
  <c r="BM292" i="5" s="1"/>
  <c r="BZ264" i="5"/>
  <c r="BZ270" i="5" s="1"/>
  <c r="BZ273" i="5" s="1"/>
  <c r="BZ290" i="5" s="1"/>
  <c r="AG289" i="5"/>
  <c r="AG303" i="5" s="1"/>
  <c r="EP264" i="5"/>
  <c r="EP270" i="5" s="1"/>
  <c r="EP273" i="5" s="1"/>
  <c r="EP290" i="5" s="1"/>
  <c r="EP292" i="5" s="1"/>
  <c r="EX289" i="5"/>
  <c r="EX303" i="5" s="1"/>
  <c r="EB306" i="3"/>
  <c r="EB320" i="3" s="1"/>
  <c r="DQ306" i="3"/>
  <c r="DQ320" i="3" s="1"/>
  <c r="FH264" i="5"/>
  <c r="FH270" i="5" s="1"/>
  <c r="FH273" i="5" s="1"/>
  <c r="FH281" i="5" s="1"/>
  <c r="FH285" i="5" s="1"/>
  <c r="FH294" i="5" s="1"/>
  <c r="BN289" i="5"/>
  <c r="BN303" i="5" s="1"/>
  <c r="EQ168" i="2"/>
  <c r="EQ172" i="2" s="1"/>
  <c r="EQ180" i="2"/>
  <c r="EQ182" i="2" s="1"/>
  <c r="EQ166" i="2"/>
  <c r="F306" i="3"/>
  <c r="F320" i="3" s="1"/>
  <c r="FB289" i="5"/>
  <c r="FB296" i="5" s="1"/>
  <c r="BQ275" i="3"/>
  <c r="H289" i="5"/>
  <c r="H303" i="5" s="1"/>
  <c r="FO289" i="5"/>
  <c r="FO296" i="5" s="1"/>
  <c r="AH309" i="3"/>
  <c r="BU264" i="5"/>
  <c r="BU270" i="5" s="1"/>
  <c r="BU273" i="5" s="1"/>
  <c r="BU281" i="5" s="1"/>
  <c r="BU285" i="5" s="1"/>
  <c r="BU294" i="5" s="1"/>
  <c r="EY275" i="3"/>
  <c r="DO289" i="5"/>
  <c r="DO303" i="5" s="1"/>
  <c r="AK306" i="3"/>
  <c r="AK320" i="3" s="1"/>
  <c r="U289" i="5"/>
  <c r="U303" i="5" s="1"/>
  <c r="Y289" i="5"/>
  <c r="Y303" i="5" s="1"/>
  <c r="DM289" i="5"/>
  <c r="DM82" i="5" s="1"/>
  <c r="EB275" i="3"/>
  <c r="AO264" i="5"/>
  <c r="AO270" i="5" s="1"/>
  <c r="AO273" i="5" s="1"/>
  <c r="AO290" i="5" s="1"/>
  <c r="BY306" i="3"/>
  <c r="BY320" i="3" s="1"/>
  <c r="AW264" i="5"/>
  <c r="AW270" i="5" s="1"/>
  <c r="AW273" i="5" s="1"/>
  <c r="AW290" i="5" s="1"/>
  <c r="AW292" i="5" s="1"/>
  <c r="AH312" i="3"/>
  <c r="BV318" i="3"/>
  <c r="BV306" i="3"/>
  <c r="BV320" i="3" s="1"/>
  <c r="AT306" i="3"/>
  <c r="AT320" i="3" s="1"/>
  <c r="BO285" i="3"/>
  <c r="BO294" i="3" s="1"/>
  <c r="BO275" i="3"/>
  <c r="BO292" i="3"/>
  <c r="BO298" i="3" s="1"/>
  <c r="BO304" i="3"/>
  <c r="M2" i="1" a="1"/>
  <c r="M2" i="1" s="1"/>
  <c r="Q292" i="3"/>
  <c r="Q298" i="3" s="1"/>
  <c r="Q304" i="3"/>
  <c r="Q275" i="3"/>
  <c r="W289" i="5"/>
  <c r="W82" i="5" s="1"/>
  <c r="DX264" i="5"/>
  <c r="DX270" i="5" s="1"/>
  <c r="DX273" i="5" s="1"/>
  <c r="DX290" i="5" s="1"/>
  <c r="DX292" i="5" s="1"/>
  <c r="AA264" i="5"/>
  <c r="AA270" i="5" s="1"/>
  <c r="AA273" i="5" s="1"/>
  <c r="AA290" i="5" s="1"/>
  <c r="AA292" i="5" s="1"/>
  <c r="AZ264" i="5"/>
  <c r="AZ270" i="5" s="1"/>
  <c r="AZ273" i="5" s="1"/>
  <c r="AZ290" i="5" s="1"/>
  <c r="AZ292" i="5" s="1"/>
  <c r="EE306" i="3"/>
  <c r="EE320" i="3" s="1"/>
  <c r="EN285" i="3"/>
  <c r="EN294" i="3" s="1"/>
  <c r="EN275" i="3"/>
  <c r="FS264" i="5"/>
  <c r="FS270" i="5" s="1"/>
  <c r="FS273" i="5" s="1"/>
  <c r="FS290" i="5" s="1"/>
  <c r="FS292" i="5" s="1"/>
  <c r="FF264" i="5"/>
  <c r="FF270" i="5" s="1"/>
  <c r="FF273" i="5" s="1"/>
  <c r="FF281" i="5" s="1"/>
  <c r="FF285" i="5" s="1"/>
  <c r="FF294" i="5" s="1"/>
  <c r="DN304" i="3"/>
  <c r="DN318" i="3" s="1"/>
  <c r="DN298" i="3"/>
  <c r="DN285" i="3"/>
  <c r="DN294" i="3" s="1"/>
  <c r="DN275" i="3"/>
  <c r="DT264" i="5"/>
  <c r="DT270" i="5" s="1"/>
  <c r="DT273" i="5" s="1"/>
  <c r="DT281" i="5" s="1"/>
  <c r="DT285" i="5" s="1"/>
  <c r="DT294" i="5" s="1"/>
  <c r="CU264" i="5"/>
  <c r="CU270" i="5" s="1"/>
  <c r="CU273" i="5" s="1"/>
  <c r="CU290" i="5" s="1"/>
  <c r="CU292" i="5" s="1"/>
  <c r="AR306" i="3"/>
  <c r="AR320" i="3" s="1"/>
  <c r="L306" i="3"/>
  <c r="L320" i="3" s="1"/>
  <c r="AX306" i="3"/>
  <c r="AX320" i="3" s="1"/>
  <c r="DN312" i="3"/>
  <c r="DN309" i="3"/>
  <c r="DN317" i="3"/>
  <c r="AJ264" i="5"/>
  <c r="AJ270" i="5" s="1"/>
  <c r="AJ273" i="5" s="1"/>
  <c r="AJ290" i="5" s="1"/>
  <c r="AJ292" i="5" s="1"/>
  <c r="FL264" i="5"/>
  <c r="FL270" i="5" s="1"/>
  <c r="FL273" i="5" s="1"/>
  <c r="FL281" i="5" s="1"/>
  <c r="FL285" i="5" s="1"/>
  <c r="FL294" i="5" s="1"/>
  <c r="DC289" i="5"/>
  <c r="DC296" i="5" s="1"/>
  <c r="T264" i="5"/>
  <c r="T270" i="5" s="1"/>
  <c r="T273" i="5" s="1"/>
  <c r="T290" i="5" s="1"/>
  <c r="EN312" i="3"/>
  <c r="EN309" i="3"/>
  <c r="EN317" i="3"/>
  <c r="BR264" i="5"/>
  <c r="BR270" i="5" s="1"/>
  <c r="BR273" i="5" s="1"/>
  <c r="BR290" i="5" s="1"/>
  <c r="BR292" i="5" s="1"/>
  <c r="CG306" i="3"/>
  <c r="CG320" i="3" s="1"/>
  <c r="DE306" i="3"/>
  <c r="DE320" i="3" s="1"/>
  <c r="BZ306" i="3"/>
  <c r="BZ320" i="3" s="1"/>
  <c r="CI275" i="3"/>
  <c r="DS306" i="3"/>
  <c r="DS320" i="3" s="1"/>
  <c r="CQ153" i="2"/>
  <c r="H153" i="2"/>
  <c r="EG306" i="3"/>
  <c r="EG320" i="3" s="1"/>
  <c r="CE306" i="3"/>
  <c r="CE320" i="3" s="1"/>
  <c r="AP275" i="3"/>
  <c r="EV153" i="2"/>
  <c r="EJ275" i="3"/>
  <c r="DJ306" i="3"/>
  <c r="DJ320" i="3" s="1"/>
  <c r="EL275" i="3"/>
  <c r="M306" i="3"/>
  <c r="M320" i="3" s="1"/>
  <c r="FT275" i="3"/>
  <c r="CN153" i="2"/>
  <c r="EZ153" i="2"/>
  <c r="W153" i="2"/>
  <c r="CA153" i="2"/>
  <c r="DD153" i="2"/>
  <c r="BQ306" i="3"/>
  <c r="BQ320" i="3" s="1"/>
  <c r="BB275" i="3"/>
  <c r="EK153" i="2"/>
  <c r="FV306" i="3"/>
  <c r="FV320" i="3" s="1"/>
  <c r="FD289" i="5"/>
  <c r="FD82" i="5" s="1"/>
  <c r="FU275" i="3"/>
  <c r="DP153" i="2"/>
  <c r="BB264" i="5"/>
  <c r="BB270" i="5" s="1"/>
  <c r="BB273" i="5" s="1"/>
  <c r="BB281" i="5" s="1"/>
  <c r="BB285" i="5" s="1"/>
  <c r="BB294" i="5" s="1"/>
  <c r="BO153" i="2"/>
  <c r="DR306" i="3"/>
  <c r="DR320" i="3" s="1"/>
  <c r="BM306" i="3"/>
  <c r="BM320" i="3" s="1"/>
  <c r="FF153" i="2"/>
  <c r="EF275" i="3"/>
  <c r="FC153" i="2"/>
  <c r="BL153" i="2"/>
  <c r="DN153" i="2"/>
  <c r="BJ264" i="5"/>
  <c r="BJ270" i="5" s="1"/>
  <c r="BJ273" i="5" s="1"/>
  <c r="BJ281" i="5" s="1"/>
  <c r="BJ285" i="5" s="1"/>
  <c r="BJ294" i="5" s="1"/>
  <c r="CX275" i="3"/>
  <c r="AC153" i="2"/>
  <c r="AU306" i="3"/>
  <c r="AU320" i="3" s="1"/>
  <c r="EX153" i="2"/>
  <c r="CL306" i="3"/>
  <c r="CL320" i="3" s="1"/>
  <c r="Q153" i="2"/>
  <c r="DF275" i="3"/>
  <c r="R153" i="2"/>
  <c r="J275" i="3"/>
  <c r="AF306" i="3"/>
  <c r="AF320" i="3" s="1"/>
  <c r="DH275" i="3"/>
  <c r="FG153" i="2"/>
  <c r="CR153" i="2"/>
  <c r="AZ306" i="3"/>
  <c r="AZ320" i="3" s="1"/>
  <c r="CU306" i="3"/>
  <c r="CU320" i="3" s="1"/>
  <c r="BK275" i="3"/>
  <c r="CT306" i="3"/>
  <c r="CT320" i="3" s="1"/>
  <c r="DL275" i="3"/>
  <c r="ES153" i="2"/>
  <c r="BD306" i="3"/>
  <c r="BD320" i="3" s="1"/>
  <c r="FM306" i="3"/>
  <c r="FM320" i="3" s="1"/>
  <c r="DW306" i="3"/>
  <c r="DW320" i="3" s="1"/>
  <c r="Z306" i="3"/>
  <c r="Z320" i="3" s="1"/>
  <c r="I275" i="3"/>
  <c r="I162" i="2"/>
  <c r="I151" i="2"/>
  <c r="I152" i="2" s="1"/>
  <c r="FO162" i="2"/>
  <c r="FO151" i="2"/>
  <c r="FO152" i="2" s="1"/>
  <c r="BK162" i="2"/>
  <c r="BK151" i="2"/>
  <c r="BK152" i="2" s="1"/>
  <c r="BR162" i="2"/>
  <c r="BR151" i="2"/>
  <c r="BR152" i="2" s="1"/>
  <c r="CX162" i="2"/>
  <c r="CX151" i="2"/>
  <c r="CX152" i="2" s="1"/>
  <c r="FU162" i="2"/>
  <c r="FU151" i="2"/>
  <c r="FU152" i="2" s="1"/>
  <c r="CI162" i="2"/>
  <c r="CI151" i="2"/>
  <c r="CI152" i="2" s="1"/>
  <c r="DI162" i="2"/>
  <c r="DI151" i="2"/>
  <c r="DI152" i="2" s="1"/>
  <c r="EL162" i="2"/>
  <c r="EL151" i="2"/>
  <c r="EL152" i="2" s="1"/>
  <c r="DO162" i="2"/>
  <c r="DO151" i="2"/>
  <c r="DO152" i="2" s="1"/>
  <c r="CP162" i="2"/>
  <c r="CP151" i="2"/>
  <c r="CP152" i="2" s="1"/>
  <c r="S162" i="2"/>
  <c r="S151" i="2"/>
  <c r="S152" i="2" s="1"/>
  <c r="E312" i="3"/>
  <c r="E309" i="3"/>
  <c r="E317" i="3"/>
  <c r="BB317" i="3"/>
  <c r="BB309" i="3"/>
  <c r="BB312" i="3"/>
  <c r="ES289" i="5"/>
  <c r="ES264" i="5"/>
  <c r="ES270" i="5" s="1"/>
  <c r="ES273" i="5" s="1"/>
  <c r="FU317" i="3"/>
  <c r="FU312" i="3"/>
  <c r="FU309" i="3"/>
  <c r="DZ264" i="5"/>
  <c r="DZ270" i="5" s="1"/>
  <c r="DZ273" i="5" s="1"/>
  <c r="DZ289" i="5"/>
  <c r="FS179" i="2"/>
  <c r="FS170" i="2"/>
  <c r="FS174" i="2"/>
  <c r="FS50" i="2"/>
  <c r="BU296" i="5"/>
  <c r="BU303" i="5"/>
  <c r="BU82" i="5"/>
  <c r="AA164" i="2"/>
  <c r="AA168" i="2" s="1"/>
  <c r="AA158" i="2"/>
  <c r="AA169" i="2" s="1"/>
  <c r="AA184" i="2" s="1"/>
  <c r="BF166" i="2"/>
  <c r="BF180" i="2"/>
  <c r="BF182" i="2" s="1"/>
  <c r="AN289" i="5"/>
  <c r="AN264" i="5"/>
  <c r="AN270" i="5" s="1"/>
  <c r="AN273" i="5" s="1"/>
  <c r="DB164" i="2"/>
  <c r="DB168" i="2" s="1"/>
  <c r="DB158" i="2"/>
  <c r="DB169" i="2" s="1"/>
  <c r="DB184" i="2" s="1"/>
  <c r="E275" i="3"/>
  <c r="J289" i="5"/>
  <c r="J264" i="5"/>
  <c r="J270" i="5" s="1"/>
  <c r="J273" i="5" s="1"/>
  <c r="CT164" i="2"/>
  <c r="CT168" i="2" s="1"/>
  <c r="CT158" i="2"/>
  <c r="CT169" i="2" s="1"/>
  <c r="CT184" i="2" s="1"/>
  <c r="CN289" i="5"/>
  <c r="CN264" i="5"/>
  <c r="CN270" i="5" s="1"/>
  <c r="CN273" i="5" s="1"/>
  <c r="W290" i="5"/>
  <c r="W281" i="5"/>
  <c r="W285" i="5" s="1"/>
  <c r="W294" i="5" s="1"/>
  <c r="BI289" i="5"/>
  <c r="BI264" i="5"/>
  <c r="BI270" i="5" s="1"/>
  <c r="BI273" i="5" s="1"/>
  <c r="FH303" i="5"/>
  <c r="FH296" i="5"/>
  <c r="FH82" i="5"/>
  <c r="BA289" i="5"/>
  <c r="BA264" i="5"/>
  <c r="BA270" i="5" s="1"/>
  <c r="BA273" i="5" s="1"/>
  <c r="EM306" i="3"/>
  <c r="EM320" i="3" s="1"/>
  <c r="FM164" i="2"/>
  <c r="FM168" i="2" s="1"/>
  <c r="FM158" i="2"/>
  <c r="FM169" i="2" s="1"/>
  <c r="FM184" i="2" s="1"/>
  <c r="EF312" i="3"/>
  <c r="EF309" i="3"/>
  <c r="EF317" i="3"/>
  <c r="AB289" i="5"/>
  <c r="AB264" i="5"/>
  <c r="AB270" i="5" s="1"/>
  <c r="AB273" i="5" s="1"/>
  <c r="CO306" i="3"/>
  <c r="CO320" i="3" s="1"/>
  <c r="BP296" i="5"/>
  <c r="BP82" i="5"/>
  <c r="EI306" i="3"/>
  <c r="EI320" i="3" s="1"/>
  <c r="H180" i="2"/>
  <c r="H182" i="2" s="1"/>
  <c r="H172" i="2"/>
  <c r="H166" i="2"/>
  <c r="FO275" i="3"/>
  <c r="W166" i="2"/>
  <c r="W180" i="2"/>
  <c r="W182" i="2" s="1"/>
  <c r="FT275" i="5"/>
  <c r="CM275" i="3"/>
  <c r="CL179" i="2"/>
  <c r="CL170" i="2"/>
  <c r="CL174" i="2"/>
  <c r="CL50" i="2"/>
  <c r="AP146" i="2"/>
  <c r="AP147" i="2" s="1"/>
  <c r="AO306" i="3"/>
  <c r="AO320" i="3" s="1"/>
  <c r="EP164" i="2"/>
  <c r="EP168" i="2" s="1"/>
  <c r="EP158" i="2"/>
  <c r="EP169" i="2" s="1"/>
  <c r="EP184" i="2" s="1"/>
  <c r="EV180" i="2"/>
  <c r="EV182" i="2" s="1"/>
  <c r="EV172" i="2"/>
  <c r="EV166" i="2"/>
  <c r="FP306" i="3"/>
  <c r="FP320" i="3" s="1"/>
  <c r="FG289" i="5"/>
  <c r="FG264" i="5"/>
  <c r="FG270" i="5" s="1"/>
  <c r="FG273" i="5" s="1"/>
  <c r="BW289" i="5"/>
  <c r="BW264" i="5"/>
  <c r="BW270" i="5" s="1"/>
  <c r="BW273" i="5" s="1"/>
  <c r="BB303" i="5"/>
  <c r="BB296" i="5"/>
  <c r="BB82" i="5"/>
  <c r="BS306" i="3"/>
  <c r="BS320" i="3" s="1"/>
  <c r="FC289" i="5"/>
  <c r="FC264" i="5"/>
  <c r="FC270" i="5" s="1"/>
  <c r="FC273" i="5" s="1"/>
  <c r="CF153" i="2"/>
  <c r="BA306" i="3"/>
  <c r="BA320" i="3" s="1"/>
  <c r="U290" i="5"/>
  <c r="U281" i="5"/>
  <c r="U285" i="5" s="1"/>
  <c r="U294" i="5" s="1"/>
  <c r="AT170" i="2"/>
  <c r="AT174" i="2"/>
  <c r="AT179" i="2"/>
  <c r="AT50" i="2"/>
  <c r="CB158" i="2"/>
  <c r="CB169" i="2" s="1"/>
  <c r="CB184" i="2" s="1"/>
  <c r="CB164" i="2"/>
  <c r="CB168" i="2" s="1"/>
  <c r="AG179" i="2"/>
  <c r="AG174" i="2"/>
  <c r="AG170" i="2"/>
  <c r="AG50" i="2"/>
  <c r="AA174" i="2"/>
  <c r="AA179" i="2"/>
  <c r="AA170" i="2"/>
  <c r="AA50" i="2"/>
  <c r="DJ179" i="2"/>
  <c r="DJ170" i="2"/>
  <c r="DJ174" i="2"/>
  <c r="DJ50" i="2"/>
  <c r="CD170" i="2"/>
  <c r="CD174" i="2"/>
  <c r="CD179" i="2"/>
  <c r="CD50" i="2"/>
  <c r="AE289" i="5"/>
  <c r="AE264" i="5"/>
  <c r="AE270" i="5" s="1"/>
  <c r="AE273" i="5" s="1"/>
  <c r="EU179" i="2"/>
  <c r="EU170" i="2"/>
  <c r="EU174" i="2"/>
  <c r="EU50" i="2"/>
  <c r="M170" i="2"/>
  <c r="M174" i="2"/>
  <c r="M179" i="2"/>
  <c r="M50" i="2"/>
  <c r="EE289" i="5"/>
  <c r="EE264" i="5"/>
  <c r="EE270" i="5" s="1"/>
  <c r="EE273" i="5" s="1"/>
  <c r="EZ166" i="2"/>
  <c r="EZ180" i="2"/>
  <c r="EZ182" i="2" s="1"/>
  <c r="FE303" i="5"/>
  <c r="FE296" i="5"/>
  <c r="FE82" i="5"/>
  <c r="BP290" i="5"/>
  <c r="BP292" i="5" s="1"/>
  <c r="BP281" i="5"/>
  <c r="BP285" i="5" s="1"/>
  <c r="BP294" i="5" s="1"/>
  <c r="DV289" i="5"/>
  <c r="DV264" i="5"/>
  <c r="DV270" i="5" s="1"/>
  <c r="DV273" i="5" s="1"/>
  <c r="CL164" i="2"/>
  <c r="CL168" i="2" s="1"/>
  <c r="CL158" i="2"/>
  <c r="CL169" i="2" s="1"/>
  <c r="CL184" i="2" s="1"/>
  <c r="CX317" i="3"/>
  <c r="CX309" i="3"/>
  <c r="CX312" i="3"/>
  <c r="CJ289" i="5"/>
  <c r="CJ264" i="5"/>
  <c r="CJ270" i="5" s="1"/>
  <c r="CJ273" i="5" s="1"/>
  <c r="AL289" i="5"/>
  <c r="AL264" i="5"/>
  <c r="AL270" i="5" s="1"/>
  <c r="AL273" i="5" s="1"/>
  <c r="DU306" i="3"/>
  <c r="DU320" i="3" s="1"/>
  <c r="AT164" i="2"/>
  <c r="AT168" i="2" s="1"/>
  <c r="AT158" i="2"/>
  <c r="AT169" i="2" s="1"/>
  <c r="AT184" i="2" s="1"/>
  <c r="CB179" i="2"/>
  <c r="CB170" i="2"/>
  <c r="CB174" i="2"/>
  <c r="CB50" i="2"/>
  <c r="AG164" i="2"/>
  <c r="AG168" i="2" s="1"/>
  <c r="AG158" i="2"/>
  <c r="AG169" i="2" s="1"/>
  <c r="AG184" i="2" s="1"/>
  <c r="DJ164" i="2"/>
  <c r="DJ158" i="2"/>
  <c r="DJ169" i="2" s="1"/>
  <c r="DJ184" i="2" s="1"/>
  <c r="EL289" i="5"/>
  <c r="EL264" i="5"/>
  <c r="EL270" i="5" s="1"/>
  <c r="EL273" i="5" s="1"/>
  <c r="EH153" i="2"/>
  <c r="H290" i="5"/>
  <c r="H281" i="5"/>
  <c r="H285" i="5" s="1"/>
  <c r="H294" i="5" s="1"/>
  <c r="AD153" i="2"/>
  <c r="DV306" i="3"/>
  <c r="DV320" i="3" s="1"/>
  <c r="AA303" i="5"/>
  <c r="AA296" i="5"/>
  <c r="AA82" i="5"/>
  <c r="EY166" i="2"/>
  <c r="EY172" i="2"/>
  <c r="EY180" i="2"/>
  <c r="EY182" i="2" s="1"/>
  <c r="DA289" i="5"/>
  <c r="DA264" i="5"/>
  <c r="DA270" i="5" s="1"/>
  <c r="DA273" i="5" s="1"/>
  <c r="DB170" i="2"/>
  <c r="DB174" i="2"/>
  <c r="DB179" i="2"/>
  <c r="DB50" i="2"/>
  <c r="EJ317" i="3"/>
  <c r="EJ309" i="3"/>
  <c r="EJ312" i="3"/>
  <c r="E304" i="3"/>
  <c r="E318" i="3" s="1"/>
  <c r="E298" i="3"/>
  <c r="DF304" i="3"/>
  <c r="DF318" i="3" s="1"/>
  <c r="DF298" i="3"/>
  <c r="CT170" i="2"/>
  <c r="CT174" i="2"/>
  <c r="CT179" i="2"/>
  <c r="CT50" i="2"/>
  <c r="BQ303" i="5"/>
  <c r="BQ296" i="5"/>
  <c r="BQ82" i="5"/>
  <c r="DO275" i="3"/>
  <c r="FK153" i="2"/>
  <c r="AM289" i="5"/>
  <c r="AM264" i="5"/>
  <c r="AM270" i="5" s="1"/>
  <c r="AM273" i="5" s="1"/>
  <c r="DO309" i="3"/>
  <c r="DO317" i="3"/>
  <c r="DO312" i="3"/>
  <c r="BM164" i="2"/>
  <c r="BM168" i="2" s="1"/>
  <c r="BM158" i="2"/>
  <c r="BM169" i="2" s="1"/>
  <c r="BM184" i="2" s="1"/>
  <c r="BL289" i="5"/>
  <c r="BL264" i="5"/>
  <c r="BL270" i="5" s="1"/>
  <c r="BL273" i="5" s="1"/>
  <c r="FM170" i="2"/>
  <c r="FM174" i="2"/>
  <c r="FM179" i="2"/>
  <c r="FM50" i="2"/>
  <c r="FP289" i="5"/>
  <c r="FP264" i="5"/>
  <c r="FP270" i="5" s="1"/>
  <c r="FP273" i="5" s="1"/>
  <c r="DK153" i="2"/>
  <c r="EP296" i="5"/>
  <c r="EP303" i="5"/>
  <c r="EP82" i="5"/>
  <c r="G153" i="2"/>
  <c r="CH289" i="5"/>
  <c r="CH264" i="5"/>
  <c r="CH270" i="5" s="1"/>
  <c r="CH273" i="5" s="1"/>
  <c r="BK304" i="3"/>
  <c r="BK318" i="3" s="1"/>
  <c r="DH289" i="5"/>
  <c r="DH264" i="5"/>
  <c r="DH270" i="5" s="1"/>
  <c r="DH273" i="5" s="1"/>
  <c r="CP275" i="3"/>
  <c r="FO304" i="3"/>
  <c r="FO318" i="3" s="1"/>
  <c r="FO298" i="3"/>
  <c r="AH289" i="5"/>
  <c r="AH264" i="5"/>
  <c r="AH270" i="5" s="1"/>
  <c r="AH273" i="5" s="1"/>
  <c r="CR289" i="5"/>
  <c r="CR264" i="5"/>
  <c r="CR270" i="5" s="1"/>
  <c r="CR273" i="5" s="1"/>
  <c r="FT304" i="5"/>
  <c r="FT292" i="5"/>
  <c r="FT298" i="5" s="1"/>
  <c r="CM304" i="3"/>
  <c r="CM318" i="3" s="1"/>
  <c r="CM298" i="3"/>
  <c r="AG290" i="5"/>
  <c r="AG281" i="5"/>
  <c r="AG285" i="5" s="1"/>
  <c r="AG294" i="5" s="1"/>
  <c r="EP170" i="2"/>
  <c r="EP174" i="2"/>
  <c r="EP179" i="2"/>
  <c r="EP50" i="2"/>
  <c r="BJ164" i="2"/>
  <c r="BJ158" i="2"/>
  <c r="BJ169" i="2" s="1"/>
  <c r="BJ184" i="2" s="1"/>
  <c r="EO289" i="5"/>
  <c r="EO264" i="5"/>
  <c r="EO270" i="5" s="1"/>
  <c r="EO273" i="5" s="1"/>
  <c r="FV289" i="5"/>
  <c r="FV264" i="5"/>
  <c r="FV270" i="5" s="1"/>
  <c r="FV273" i="5" s="1"/>
  <c r="BX153" i="2"/>
  <c r="L289" i="5"/>
  <c r="L264" i="5"/>
  <c r="L270" i="5" s="1"/>
  <c r="L273" i="5" s="1"/>
  <c r="BV172" i="2"/>
  <c r="BV180" i="2"/>
  <c r="BV182" i="2" s="1"/>
  <c r="BV166" i="2"/>
  <c r="FS303" i="5"/>
  <c r="FS296" i="5"/>
  <c r="FS82" i="5"/>
  <c r="CR166" i="2"/>
  <c r="CR172" i="2"/>
  <c r="CR180" i="2"/>
  <c r="CR182" i="2" s="1"/>
  <c r="FX153" i="2"/>
  <c r="CF166" i="2"/>
  <c r="CF172" i="2"/>
  <c r="CF180" i="2"/>
  <c r="CF182" i="2" s="1"/>
  <c r="CX304" i="3"/>
  <c r="CX318" i="3" s="1"/>
  <c r="CX298" i="3"/>
  <c r="CW164" i="2"/>
  <c r="CW168" i="2" s="1"/>
  <c r="CW158" i="2"/>
  <c r="CW169" i="2" s="1"/>
  <c r="CW184" i="2" s="1"/>
  <c r="AH164" i="2"/>
  <c r="AH168" i="2" s="1"/>
  <c r="AH158" i="2"/>
  <c r="AH169" i="2" s="1"/>
  <c r="AH184" i="2" s="1"/>
  <c r="AS164" i="2"/>
  <c r="AS168" i="2" s="1"/>
  <c r="AS158" i="2"/>
  <c r="AS169" i="2" s="1"/>
  <c r="AS184" i="2" s="1"/>
  <c r="N164" i="2"/>
  <c r="N158" i="2"/>
  <c r="N169" i="2" s="1"/>
  <c r="N184" i="2" s="1"/>
  <c r="CZ164" i="2"/>
  <c r="CZ168" i="2" s="1"/>
  <c r="CZ158" i="2"/>
  <c r="CZ169" i="2" s="1"/>
  <c r="CZ184" i="2" s="1"/>
  <c r="CS289" i="5"/>
  <c r="CS264" i="5"/>
  <c r="CS270" i="5" s="1"/>
  <c r="CS273" i="5" s="1"/>
  <c r="BZ303" i="5"/>
  <c r="BZ296" i="5"/>
  <c r="BZ82" i="5"/>
  <c r="DT172" i="2"/>
  <c r="DT166" i="2"/>
  <c r="DT180" i="2"/>
  <c r="DT182" i="2" s="1"/>
  <c r="BD179" i="2"/>
  <c r="BD170" i="2"/>
  <c r="BD174" i="2"/>
  <c r="BD50" i="2"/>
  <c r="AP304" i="3"/>
  <c r="AP318" i="3" s="1"/>
  <c r="ET290" i="5"/>
  <c r="ET281" i="5"/>
  <c r="ET285" i="5" s="1"/>
  <c r="ET294" i="5" s="1"/>
  <c r="DL162" i="2"/>
  <c r="DL151" i="2"/>
  <c r="DL152" i="2" s="1"/>
  <c r="DI312" i="3"/>
  <c r="DI309" i="3"/>
  <c r="DI317" i="3"/>
  <c r="CI312" i="3"/>
  <c r="CI309" i="3"/>
  <c r="CI317" i="3"/>
  <c r="AD180" i="2"/>
  <c r="AD182" i="2" s="1"/>
  <c r="AD166" i="2"/>
  <c r="DP166" i="2"/>
  <c r="DP180" i="2"/>
  <c r="DP182" i="2" s="1"/>
  <c r="BC275" i="3"/>
  <c r="DM153" i="2"/>
  <c r="AS306" i="3"/>
  <c r="AS320" i="3" s="1"/>
  <c r="BH289" i="5"/>
  <c r="BH264" i="5"/>
  <c r="BH270" i="5" s="1"/>
  <c r="BH273" i="5" s="1"/>
  <c r="EH289" i="5"/>
  <c r="EH264" i="5"/>
  <c r="EH270" i="5" s="1"/>
  <c r="EH273" i="5" s="1"/>
  <c r="FI317" i="3"/>
  <c r="FI312" i="3"/>
  <c r="FI309" i="3"/>
  <c r="AS289" i="5"/>
  <c r="AS264" i="5"/>
  <c r="AS270" i="5" s="1"/>
  <c r="AS273" i="5" s="1"/>
  <c r="DF162" i="2"/>
  <c r="DF151" i="2"/>
  <c r="DF152" i="2" s="1"/>
  <c r="BB304" i="3"/>
  <c r="BB318" i="3" s="1"/>
  <c r="DI289" i="5"/>
  <c r="DI264" i="5"/>
  <c r="DI270" i="5" s="1"/>
  <c r="DI273" i="5" s="1"/>
  <c r="FR289" i="5"/>
  <c r="FR264" i="5"/>
  <c r="FR270" i="5" s="1"/>
  <c r="FR273" i="5" s="1"/>
  <c r="FK166" i="2"/>
  <c r="FK180" i="2"/>
  <c r="FK182" i="2" s="1"/>
  <c r="CP264" i="5"/>
  <c r="CP270" i="5" s="1"/>
  <c r="CP273" i="5" s="1"/>
  <c r="CP289" i="5"/>
  <c r="L164" i="2"/>
  <c r="L158" i="2"/>
  <c r="L169" i="2" s="1"/>
  <c r="L184" i="2" s="1"/>
  <c r="BM179" i="2"/>
  <c r="BM174" i="2"/>
  <c r="BM170" i="2"/>
  <c r="BM50" i="2"/>
  <c r="CC290" i="5"/>
  <c r="CC292" i="5" s="1"/>
  <c r="CC281" i="5"/>
  <c r="CC285" i="5" s="1"/>
  <c r="CC294" i="5" s="1"/>
  <c r="Z164" i="2"/>
  <c r="Z168" i="2" s="1"/>
  <c r="Z158" i="2"/>
  <c r="Z169" i="2" s="1"/>
  <c r="Z184" i="2" s="1"/>
  <c r="Z289" i="5"/>
  <c r="Z264" i="5"/>
  <c r="Z270" i="5" s="1"/>
  <c r="Z273" i="5" s="1"/>
  <c r="ET153" i="2"/>
  <c r="DK180" i="2"/>
  <c r="DK182" i="2" s="1"/>
  <c r="DK166" i="2"/>
  <c r="AP292" i="3"/>
  <c r="AP298" i="3" s="1"/>
  <c r="BN164" i="2"/>
  <c r="BN168" i="2" s="1"/>
  <c r="BN158" i="2"/>
  <c r="BN169" i="2" s="1"/>
  <c r="BN184" i="2" s="1"/>
  <c r="G180" i="2"/>
  <c r="G182" i="2" s="1"/>
  <c r="G166" i="2"/>
  <c r="G172" i="2"/>
  <c r="CY306" i="3"/>
  <c r="CY320" i="3" s="1"/>
  <c r="J162" i="2"/>
  <c r="J151" i="2"/>
  <c r="J152" i="2" s="1"/>
  <c r="AQ289" i="5"/>
  <c r="AQ264" i="5"/>
  <c r="AQ270" i="5" s="1"/>
  <c r="AQ273" i="5" s="1"/>
  <c r="F164" i="2"/>
  <c r="F168" i="2" s="1"/>
  <c r="F158" i="2"/>
  <c r="F169" i="2" s="1"/>
  <c r="F184" i="2" s="1"/>
  <c r="AT289" i="5"/>
  <c r="AT264" i="5"/>
  <c r="AT270" i="5" s="1"/>
  <c r="AT273" i="5" s="1"/>
  <c r="EF151" i="2"/>
  <c r="EF152" i="2" s="1"/>
  <c r="EF162" i="2"/>
  <c r="EJ289" i="5"/>
  <c r="EJ264" i="5"/>
  <c r="EJ270" i="5" s="1"/>
  <c r="EJ273" i="5" s="1"/>
  <c r="CP304" i="3"/>
  <c r="CP318" i="3" s="1"/>
  <c r="CP298" i="3"/>
  <c r="AC281" i="5"/>
  <c r="AC285" i="5" s="1"/>
  <c r="AC294" i="5" s="1"/>
  <c r="BZ164" i="2"/>
  <c r="BZ158" i="2"/>
  <c r="BZ169" i="2" s="1"/>
  <c r="BZ184" i="2" s="1"/>
  <c r="T303" i="5"/>
  <c r="T296" i="5"/>
  <c r="T82" i="5"/>
  <c r="K153" i="2"/>
  <c r="BJ170" i="2"/>
  <c r="BJ174" i="2"/>
  <c r="BJ179" i="2"/>
  <c r="BJ50" i="2"/>
  <c r="G289" i="5"/>
  <c r="G264" i="5"/>
  <c r="G270" i="5" s="1"/>
  <c r="G273" i="5" s="1"/>
  <c r="BX180" i="2"/>
  <c r="BX182" i="2" s="1"/>
  <c r="BX166" i="2"/>
  <c r="EB289" i="5"/>
  <c r="EB264" i="5"/>
  <c r="EB270" i="5" s="1"/>
  <c r="EB273" i="5" s="1"/>
  <c r="FA153" i="2"/>
  <c r="AE153" i="2"/>
  <c r="FZ225" i="3"/>
  <c r="C227" i="3"/>
  <c r="V289" i="5"/>
  <c r="V264" i="5"/>
  <c r="V270" i="5" s="1"/>
  <c r="V273" i="5" s="1"/>
  <c r="BG164" i="2"/>
  <c r="BG168" i="2" s="1"/>
  <c r="BG158" i="2"/>
  <c r="BG169" i="2" s="1"/>
  <c r="BG184" i="2" s="1"/>
  <c r="FX166" i="2"/>
  <c r="FX172" i="2"/>
  <c r="FX180" i="2"/>
  <c r="FX182" i="2" s="1"/>
  <c r="S317" i="3"/>
  <c r="S312" i="3"/>
  <c r="S309" i="3"/>
  <c r="BX168" i="2"/>
  <c r="BX172" i="2" s="1"/>
  <c r="FK289" i="5"/>
  <c r="FK264" i="5"/>
  <c r="FK270" i="5" s="1"/>
  <c r="FK273" i="5" s="1"/>
  <c r="R289" i="5"/>
  <c r="R264" i="5"/>
  <c r="R270" i="5" s="1"/>
  <c r="R273" i="5" s="1"/>
  <c r="BR275" i="3"/>
  <c r="CW179" i="2"/>
  <c r="CW174" i="2"/>
  <c r="CW170" i="2"/>
  <c r="CW50" i="2"/>
  <c r="AH170" i="2"/>
  <c r="AH174" i="2"/>
  <c r="AH179" i="2"/>
  <c r="AH50" i="2"/>
  <c r="AS179" i="2"/>
  <c r="AS174" i="2"/>
  <c r="AS170" i="2"/>
  <c r="AS50" i="2"/>
  <c r="N170" i="2"/>
  <c r="N174" i="2"/>
  <c r="N179" i="2"/>
  <c r="N50" i="2"/>
  <c r="CZ179" i="2"/>
  <c r="CZ170" i="2"/>
  <c r="CZ174" i="2"/>
  <c r="CZ50" i="2"/>
  <c r="S304" i="3"/>
  <c r="S318" i="3" s="1"/>
  <c r="S298" i="3"/>
  <c r="DM290" i="5"/>
  <c r="DM281" i="5"/>
  <c r="DM285" i="5" s="1"/>
  <c r="DM294" i="5" s="1"/>
  <c r="FT304" i="3"/>
  <c r="FT292" i="3"/>
  <c r="FT298" i="3" s="1"/>
  <c r="DM180" i="2"/>
  <c r="DM182" i="2" s="1"/>
  <c r="DM166" i="2"/>
  <c r="DM172" i="2"/>
  <c r="M303" i="5"/>
  <c r="M296" i="5"/>
  <c r="M82" i="5"/>
  <c r="DO290" i="5"/>
  <c r="DO281" i="5"/>
  <c r="DO285" i="5" s="1"/>
  <c r="DO294" i="5" s="1"/>
  <c r="FI289" i="5"/>
  <c r="FI264" i="5"/>
  <c r="FI270" i="5" s="1"/>
  <c r="FI273" i="5" s="1"/>
  <c r="DZ164" i="2"/>
  <c r="DZ158" i="2"/>
  <c r="DZ169" i="2" s="1"/>
  <c r="DZ184" i="2" s="1"/>
  <c r="BZ179" i="2"/>
  <c r="BZ170" i="2"/>
  <c r="BZ174" i="2"/>
  <c r="BZ50" i="2"/>
  <c r="AJ164" i="2"/>
  <c r="AJ168" i="2" s="1"/>
  <c r="AJ158" i="2"/>
  <c r="AJ169" i="2" s="1"/>
  <c r="AJ184" i="2" s="1"/>
  <c r="DR164" i="2"/>
  <c r="DR168" i="2" s="1"/>
  <c r="DR158" i="2"/>
  <c r="DR169" i="2" s="1"/>
  <c r="DR184" i="2" s="1"/>
  <c r="DF289" i="5"/>
  <c r="DF264" i="5"/>
  <c r="DF270" i="5" s="1"/>
  <c r="DF273" i="5" s="1"/>
  <c r="EC153" i="2"/>
  <c r="AP317" i="3"/>
  <c r="AP309" i="3"/>
  <c r="AP312" i="3"/>
  <c r="AZ164" i="2"/>
  <c r="AZ158" i="2"/>
  <c r="AZ169" i="2" s="1"/>
  <c r="AZ184" i="2" s="1"/>
  <c r="U164" i="2"/>
  <c r="U168" i="2" s="1"/>
  <c r="U158" i="2"/>
  <c r="U169" i="2" s="1"/>
  <c r="U184" i="2" s="1"/>
  <c r="DZ170" i="2"/>
  <c r="DZ174" i="2"/>
  <c r="DZ179" i="2"/>
  <c r="DZ50" i="2"/>
  <c r="DX306" i="3"/>
  <c r="DX320" i="3" s="1"/>
  <c r="P289" i="5"/>
  <c r="P264" i="5"/>
  <c r="P270" i="5" s="1"/>
  <c r="P273" i="5" s="1"/>
  <c r="DK289" i="5"/>
  <c r="DK264" i="5"/>
  <c r="DK270" i="5" s="1"/>
  <c r="DK273" i="5" s="1"/>
  <c r="EV289" i="5"/>
  <c r="EV264" i="5"/>
  <c r="EV270" i="5" s="1"/>
  <c r="EV273" i="5" s="1"/>
  <c r="AM153" i="2"/>
  <c r="K166" i="2"/>
  <c r="K172" i="2"/>
  <c r="K180" i="2"/>
  <c r="K182" i="2" s="1"/>
  <c r="AZ303" i="5"/>
  <c r="AZ296" i="5"/>
  <c r="AZ82" i="5"/>
  <c r="CY179" i="2"/>
  <c r="CY170" i="2"/>
  <c r="CY174" i="2"/>
  <c r="CY50" i="2"/>
  <c r="DC170" i="2"/>
  <c r="DC179" i="2"/>
  <c r="DC174" i="2"/>
  <c r="DC50" i="2"/>
  <c r="ED306" i="3"/>
  <c r="ED320" i="3" s="1"/>
  <c r="D306" i="3"/>
  <c r="D320" i="3" s="1"/>
  <c r="FC180" i="2"/>
  <c r="FC182" i="2" s="1"/>
  <c r="FC166" i="2"/>
  <c r="FC172" i="2"/>
  <c r="FR164" i="2"/>
  <c r="FR153" i="2"/>
  <c r="AU289" i="5"/>
  <c r="AU264" i="5"/>
  <c r="AU270" i="5" s="1"/>
  <c r="AU273" i="5" s="1"/>
  <c r="FA166" i="2"/>
  <c r="FA172" i="2"/>
  <c r="FA180" i="2"/>
  <c r="FA182" i="2" s="1"/>
  <c r="DL304" i="3"/>
  <c r="DL318" i="3" s="1"/>
  <c r="DL298" i="3"/>
  <c r="AJ170" i="2"/>
  <c r="AJ174" i="2"/>
  <c r="AJ179" i="2"/>
  <c r="AJ50" i="2"/>
  <c r="E289" i="5"/>
  <c r="E264" i="5"/>
  <c r="E270" i="5" s="1"/>
  <c r="E273" i="5" s="1"/>
  <c r="FS306" i="3"/>
  <c r="FS320" i="3" s="1"/>
  <c r="BR304" i="3"/>
  <c r="BR318" i="3" s="1"/>
  <c r="BR298" i="3"/>
  <c r="EE174" i="2"/>
  <c r="EE179" i="2"/>
  <c r="EE170" i="2"/>
  <c r="EE50" i="2"/>
  <c r="FD174" i="2"/>
  <c r="FD170" i="2"/>
  <c r="FD179" i="2"/>
  <c r="FD50" i="2"/>
  <c r="DR170" i="2"/>
  <c r="DR174" i="2"/>
  <c r="DR179" i="2"/>
  <c r="DR50" i="2"/>
  <c r="CH170" i="2"/>
  <c r="CH174" i="2"/>
  <c r="CH179" i="2"/>
  <c r="CH50" i="2"/>
  <c r="CO179" i="2"/>
  <c r="CO174" i="2"/>
  <c r="CO170" i="2"/>
  <c r="CO50" i="2"/>
  <c r="FZ225" i="5"/>
  <c r="C227" i="5"/>
  <c r="BV289" i="5"/>
  <c r="BV264" i="5"/>
  <c r="BV270" i="5" s="1"/>
  <c r="BV273" i="5" s="1"/>
  <c r="AV289" i="5"/>
  <c r="AV264" i="5"/>
  <c r="AV270" i="5" s="1"/>
  <c r="AV273" i="5" s="1"/>
  <c r="EM289" i="5"/>
  <c r="EM264" i="5"/>
  <c r="EM270" i="5" s="1"/>
  <c r="EM273" i="5" s="1"/>
  <c r="DJ289" i="5"/>
  <c r="DJ264" i="5"/>
  <c r="DJ270" i="5" s="1"/>
  <c r="DJ273" i="5" s="1"/>
  <c r="FW164" i="2"/>
  <c r="FW168" i="2" s="1"/>
  <c r="FW158" i="2"/>
  <c r="FW169" i="2" s="1"/>
  <c r="FW184" i="2" s="1"/>
  <c r="BT164" i="2"/>
  <c r="BT168" i="2" s="1"/>
  <c r="BT158" i="2"/>
  <c r="BT169" i="2" s="1"/>
  <c r="BT184" i="2" s="1"/>
  <c r="ET180" i="2"/>
  <c r="ET182" i="2" s="1"/>
  <c r="ET166" i="2"/>
  <c r="ET172" i="2"/>
  <c r="CS153" i="2"/>
  <c r="AW170" i="2"/>
  <c r="AW174" i="2"/>
  <c r="AW179" i="2"/>
  <c r="AW50" i="2"/>
  <c r="CE164" i="2"/>
  <c r="CE168" i="2" s="1"/>
  <c r="CE158" i="2"/>
  <c r="CE169" i="2" s="1"/>
  <c r="CE184" i="2" s="1"/>
  <c r="K290" i="5"/>
  <c r="K292" i="5" s="1"/>
  <c r="K281" i="5"/>
  <c r="K285" i="5" s="1"/>
  <c r="K294" i="5" s="1"/>
  <c r="EW289" i="5"/>
  <c r="EW264" i="5"/>
  <c r="EW270" i="5" s="1"/>
  <c r="EW273" i="5" s="1"/>
  <c r="ER153" i="2"/>
  <c r="AI289" i="5"/>
  <c r="AI264" i="5"/>
  <c r="AI270" i="5" s="1"/>
  <c r="AI273" i="5" s="1"/>
  <c r="DQ289" i="5"/>
  <c r="DQ264" i="5"/>
  <c r="DQ270" i="5" s="1"/>
  <c r="DQ273" i="5" s="1"/>
  <c r="FE153" i="2"/>
  <c r="I303" i="5"/>
  <c r="I296" i="5"/>
  <c r="I82" i="5"/>
  <c r="EC166" i="2"/>
  <c r="EC172" i="2"/>
  <c r="EC180" i="2"/>
  <c r="EC182" i="2" s="1"/>
  <c r="FK168" i="2"/>
  <c r="FK172" i="2" s="1"/>
  <c r="R180" i="2"/>
  <c r="R182" i="2" s="1"/>
  <c r="R166" i="2"/>
  <c r="R172" i="2"/>
  <c r="FW170" i="2"/>
  <c r="FW179" i="2"/>
  <c r="FW174" i="2"/>
  <c r="FW50" i="2"/>
  <c r="EG303" i="5"/>
  <c r="EG296" i="5"/>
  <c r="EG82" i="5"/>
  <c r="EN166" i="2"/>
  <c r="EN172" i="2"/>
  <c r="EN180" i="2"/>
  <c r="EN182" i="2" s="1"/>
  <c r="FQ153" i="2"/>
  <c r="CN180" i="2"/>
  <c r="CN182" i="2" s="1"/>
  <c r="CN172" i="2"/>
  <c r="CN166" i="2"/>
  <c r="BT170" i="2"/>
  <c r="BT174" i="2"/>
  <c r="BT179" i="2"/>
  <c r="BT50" i="2"/>
  <c r="BC303" i="5"/>
  <c r="BC82" i="5"/>
  <c r="DZ306" i="3"/>
  <c r="DZ320" i="3" s="1"/>
  <c r="FF180" i="2"/>
  <c r="FF182" i="2" s="1"/>
  <c r="FF166" i="2"/>
  <c r="FF172" i="2"/>
  <c r="AZ174" i="2"/>
  <c r="AZ170" i="2"/>
  <c r="AZ179" i="2"/>
  <c r="AZ50" i="2"/>
  <c r="U179" i="2"/>
  <c r="U174" i="2"/>
  <c r="U170" i="2"/>
  <c r="U50" i="2"/>
  <c r="EN289" i="5"/>
  <c r="EN264" i="5"/>
  <c r="EN270" i="5" s="1"/>
  <c r="EN273" i="5" s="1"/>
  <c r="U306" i="3"/>
  <c r="U320" i="3" s="1"/>
  <c r="BA164" i="2"/>
  <c r="BA168" i="2" s="1"/>
  <c r="BA158" i="2"/>
  <c r="BA169" i="2" s="1"/>
  <c r="BA184" i="2" s="1"/>
  <c r="AF289" i="5"/>
  <c r="AF264" i="5"/>
  <c r="AF270" i="5" s="1"/>
  <c r="AF273" i="5" s="1"/>
  <c r="FO312" i="3"/>
  <c r="FO309" i="3"/>
  <c r="FO317" i="3"/>
  <c r="W168" i="2"/>
  <c r="W172" i="2" s="1"/>
  <c r="CP317" i="3"/>
  <c r="CP312" i="3"/>
  <c r="CP309" i="3"/>
  <c r="CT289" i="5"/>
  <c r="CT264" i="5"/>
  <c r="CT270" i="5" s="1"/>
  <c r="CT273" i="5" s="1"/>
  <c r="DY264" i="5"/>
  <c r="DY270" i="5" s="1"/>
  <c r="DY273" i="5" s="1"/>
  <c r="DY289" i="5"/>
  <c r="CW289" i="5"/>
  <c r="CW264" i="5"/>
  <c r="CW270" i="5" s="1"/>
  <c r="CW273" i="5" s="1"/>
  <c r="CH306" i="3"/>
  <c r="CH320" i="3" s="1"/>
  <c r="FQ289" i="5"/>
  <c r="FQ264" i="5"/>
  <c r="FQ270" i="5" s="1"/>
  <c r="FQ273" i="5" s="1"/>
  <c r="AY153" i="2"/>
  <c r="AM180" i="2"/>
  <c r="AM182" i="2" s="1"/>
  <c r="AM166" i="2"/>
  <c r="AM172" i="2"/>
  <c r="EL317" i="3"/>
  <c r="EL312" i="3"/>
  <c r="EL309" i="3"/>
  <c r="FR179" i="2"/>
  <c r="FR170" i="2"/>
  <c r="FR174" i="2"/>
  <c r="FR50" i="2"/>
  <c r="AD289" i="5"/>
  <c r="AD264" i="5"/>
  <c r="AD270" i="5" s="1"/>
  <c r="AD273" i="5" s="1"/>
  <c r="BJ303" i="5"/>
  <c r="BJ296" i="5"/>
  <c r="BJ82" i="5"/>
  <c r="CC306" i="3"/>
  <c r="CC320" i="3" s="1"/>
  <c r="BE306" i="3"/>
  <c r="BE320" i="3" s="1"/>
  <c r="DE164" i="2"/>
  <c r="DE168" i="2" s="1"/>
  <c r="DE158" i="2"/>
  <c r="DE169" i="2" s="1"/>
  <c r="DE184" i="2" s="1"/>
  <c r="CI304" i="3"/>
  <c r="CI318" i="3" s="1"/>
  <c r="CI298" i="3"/>
  <c r="AH306" i="3"/>
  <c r="AH320" i="3" s="1"/>
  <c r="FM289" i="5"/>
  <c r="FM264" i="5"/>
  <c r="FM270" i="5" s="1"/>
  <c r="FM273" i="5" s="1"/>
  <c r="DP289" i="5"/>
  <c r="DP264" i="5"/>
  <c r="DP270" i="5" s="1"/>
  <c r="DP273" i="5" s="1"/>
  <c r="CG164" i="2"/>
  <c r="CG168" i="2" s="1"/>
  <c r="CG158" i="2"/>
  <c r="CG169" i="2" s="1"/>
  <c r="CG184" i="2" s="1"/>
  <c r="Y164" i="2"/>
  <c r="Y168" i="2" s="1"/>
  <c r="Y158" i="2"/>
  <c r="Y169" i="2" s="1"/>
  <c r="Y184" i="2" s="1"/>
  <c r="O164" i="2"/>
  <c r="O168" i="2" s="1"/>
  <c r="O158" i="2"/>
  <c r="O169" i="2" s="1"/>
  <c r="O184" i="2" s="1"/>
  <c r="DS164" i="2"/>
  <c r="DS158" i="2"/>
  <c r="DS169" i="2" s="1"/>
  <c r="DS184" i="2" s="1"/>
  <c r="DV164" i="2"/>
  <c r="DV158" i="2"/>
  <c r="DV169" i="2" s="1"/>
  <c r="DV184" i="2" s="1"/>
  <c r="EM164" i="2"/>
  <c r="EM168" i="2" s="1"/>
  <c r="EM158" i="2"/>
  <c r="EM169" i="2" s="1"/>
  <c r="EM184" i="2" s="1"/>
  <c r="BO289" i="5"/>
  <c r="BO264" i="5"/>
  <c r="BO270" i="5" s="1"/>
  <c r="BO273" i="5" s="1"/>
  <c r="DB289" i="5"/>
  <c r="DB264" i="5"/>
  <c r="DB270" i="5" s="1"/>
  <c r="DB273" i="5" s="1"/>
  <c r="EJ151" i="2"/>
  <c r="EJ152" i="2" s="1"/>
  <c r="EJ162" i="2"/>
  <c r="CC303" i="5"/>
  <c r="CC296" i="5"/>
  <c r="CC82" i="5"/>
  <c r="AE180" i="2"/>
  <c r="AE182" i="2" s="1"/>
  <c r="AE166" i="2"/>
  <c r="AE172" i="2"/>
  <c r="DG289" i="5"/>
  <c r="DG264" i="5"/>
  <c r="DG270" i="5" s="1"/>
  <c r="DG273" i="5" s="1"/>
  <c r="BC304" i="3"/>
  <c r="BC318" i="3" s="1"/>
  <c r="EN153" i="2"/>
  <c r="BC290" i="5"/>
  <c r="BC281" i="5"/>
  <c r="BC285" i="5" s="1"/>
  <c r="CO264" i="5"/>
  <c r="CO270" i="5" s="1"/>
  <c r="CO273" i="5" s="1"/>
  <c r="CO289" i="5"/>
  <c r="CS166" i="2"/>
  <c r="CS172" i="2"/>
  <c r="CS180" i="2"/>
  <c r="CS182" i="2" s="1"/>
  <c r="DD166" i="2"/>
  <c r="DD172" i="2"/>
  <c r="DD180" i="2"/>
  <c r="DD182" i="2" s="1"/>
  <c r="CZ289" i="5"/>
  <c r="CZ264" i="5"/>
  <c r="CZ270" i="5" s="1"/>
  <c r="CZ273" i="5" s="1"/>
  <c r="CM289" i="5"/>
  <c r="CM264" i="5"/>
  <c r="CM270" i="5" s="1"/>
  <c r="CM273" i="5" s="1"/>
  <c r="FF303" i="5"/>
  <c r="FF296" i="5"/>
  <c r="FF82" i="5"/>
  <c r="CE170" i="2"/>
  <c r="CE179" i="2"/>
  <c r="CE174" i="2"/>
  <c r="CE50" i="2"/>
  <c r="K303" i="5"/>
  <c r="K296" i="5"/>
  <c r="K82" i="5"/>
  <c r="D174" i="2"/>
  <c r="D170" i="2"/>
  <c r="D179" i="2"/>
  <c r="D50" i="2"/>
  <c r="CG289" i="5"/>
  <c r="CG264" i="5"/>
  <c r="CG270" i="5" s="1"/>
  <c r="CG273" i="5" s="1"/>
  <c r="BH164" i="2"/>
  <c r="BH168" i="2" s="1"/>
  <c r="BH158" i="2"/>
  <c r="BH169" i="2" s="1"/>
  <c r="BH184" i="2" s="1"/>
  <c r="AW303" i="5"/>
  <c r="AW296" i="5"/>
  <c r="AW82" i="5"/>
  <c r="EO306" i="3"/>
  <c r="EO320" i="3" s="1"/>
  <c r="DA158" i="2"/>
  <c r="DA169" i="2" s="1"/>
  <c r="DA184" i="2" s="1"/>
  <c r="DA164" i="2"/>
  <c r="DA168" i="2" s="1"/>
  <c r="BI153" i="2"/>
  <c r="BP153" i="2"/>
  <c r="AY289" i="5"/>
  <c r="AY264" i="5"/>
  <c r="AY270" i="5" s="1"/>
  <c r="AY273" i="5" s="1"/>
  <c r="AW306" i="3"/>
  <c r="AW320" i="3" s="1"/>
  <c r="BN306" i="3"/>
  <c r="BN320" i="3" s="1"/>
  <c r="FQ180" i="2"/>
  <c r="FQ182" i="2" s="1"/>
  <c r="FQ166" i="2"/>
  <c r="FQ172" i="2"/>
  <c r="BL172" i="2"/>
  <c r="BL166" i="2"/>
  <c r="BL180" i="2"/>
  <c r="BL182" i="2" s="1"/>
  <c r="EZ168" i="2"/>
  <c r="EZ172" i="2" s="1"/>
  <c r="DS289" i="5"/>
  <c r="DS264" i="5"/>
  <c r="DS270" i="5" s="1"/>
  <c r="DS273" i="5" s="1"/>
  <c r="BA179" i="2"/>
  <c r="BA174" i="2"/>
  <c r="BA170" i="2"/>
  <c r="BA50" i="2"/>
  <c r="DU289" i="5"/>
  <c r="DU264" i="5"/>
  <c r="DU270" i="5" s="1"/>
  <c r="DU273" i="5" s="1"/>
  <c r="DA306" i="3"/>
  <c r="DA320" i="3" s="1"/>
  <c r="EZ289" i="5"/>
  <c r="EZ264" i="5"/>
  <c r="EZ270" i="5" s="1"/>
  <c r="EZ273" i="5" s="1"/>
  <c r="AG306" i="3"/>
  <c r="AG320" i="3" s="1"/>
  <c r="EA289" i="5"/>
  <c r="EA264" i="5"/>
  <c r="EA270" i="5" s="1"/>
  <c r="EA273" i="5" s="1"/>
  <c r="EI289" i="5"/>
  <c r="EI264" i="5"/>
  <c r="EI270" i="5" s="1"/>
  <c r="EI273" i="5" s="1"/>
  <c r="AY180" i="2"/>
  <c r="AY182" i="2" s="1"/>
  <c r="AY166" i="2"/>
  <c r="AY172" i="2"/>
  <c r="DX303" i="5"/>
  <c r="DX296" i="5"/>
  <c r="DX82" i="5"/>
  <c r="FB153" i="2"/>
  <c r="CU303" i="5"/>
  <c r="CU296" i="5"/>
  <c r="CU82" i="5"/>
  <c r="CZ306" i="3"/>
  <c r="CZ320" i="3" s="1"/>
  <c r="DC290" i="5"/>
  <c r="DC281" i="5"/>
  <c r="DC285" i="5" s="1"/>
  <c r="DC294" i="5" s="1"/>
  <c r="DH162" i="2"/>
  <c r="DH151" i="2"/>
  <c r="DH152" i="2" s="1"/>
  <c r="AX289" i="5"/>
  <c r="AX264" i="5"/>
  <c r="AX270" i="5" s="1"/>
  <c r="AX273" i="5" s="1"/>
  <c r="FL153" i="2"/>
  <c r="DE170" i="2"/>
  <c r="DE174" i="2"/>
  <c r="DE179" i="2"/>
  <c r="DE50" i="2"/>
  <c r="ER289" i="5"/>
  <c r="ER264" i="5"/>
  <c r="ER270" i="5" s="1"/>
  <c r="ER273" i="5" s="1"/>
  <c r="BX289" i="5"/>
  <c r="BX264" i="5"/>
  <c r="BX270" i="5" s="1"/>
  <c r="BX273" i="5" s="1"/>
  <c r="CG170" i="2"/>
  <c r="CG174" i="2"/>
  <c r="CG179" i="2"/>
  <c r="CG50" i="2"/>
  <c r="Y170" i="2"/>
  <c r="Y174" i="2"/>
  <c r="Y179" i="2"/>
  <c r="Y50" i="2"/>
  <c r="O174" i="2"/>
  <c r="O179" i="2"/>
  <c r="O170" i="2"/>
  <c r="O50" i="2"/>
  <c r="DS174" i="2"/>
  <c r="DS179" i="2"/>
  <c r="DS170" i="2"/>
  <c r="DS50" i="2"/>
  <c r="DV179" i="2"/>
  <c r="DV170" i="2"/>
  <c r="DV174" i="2"/>
  <c r="DV50" i="2"/>
  <c r="EM170" i="2"/>
  <c r="EM179" i="2"/>
  <c r="EM174" i="2"/>
  <c r="EM50" i="2"/>
  <c r="DQ164" i="2"/>
  <c r="DQ168" i="2" s="1"/>
  <c r="DQ158" i="2"/>
  <c r="DQ169" i="2" s="1"/>
  <c r="DQ184" i="2" s="1"/>
  <c r="EJ304" i="3"/>
  <c r="EJ318" i="3" s="1"/>
  <c r="EJ298" i="3"/>
  <c r="AP289" i="5"/>
  <c r="AP264" i="5"/>
  <c r="AP270" i="5" s="1"/>
  <c r="AP273" i="5" s="1"/>
  <c r="J317" i="3"/>
  <c r="J312" i="3"/>
  <c r="J309" i="3"/>
  <c r="X289" i="5"/>
  <c r="X264" i="5"/>
  <c r="X270" i="5" s="1"/>
  <c r="X273" i="5" s="1"/>
  <c r="BN179" i="2"/>
  <c r="BN170" i="2"/>
  <c r="BN174" i="2"/>
  <c r="BN50" i="2"/>
  <c r="BC162" i="2"/>
  <c r="BC151" i="2"/>
  <c r="BC152" i="2" s="1"/>
  <c r="BG170" i="2"/>
  <c r="BG179" i="2"/>
  <c r="BG174" i="2"/>
  <c r="BG50" i="2"/>
  <c r="CO164" i="2"/>
  <c r="CO158" i="2"/>
  <c r="CO169" i="2" s="1"/>
  <c r="CO184" i="2" s="1"/>
  <c r="CX289" i="5"/>
  <c r="CX264" i="5"/>
  <c r="CX270" i="5" s="1"/>
  <c r="CX273" i="5" s="1"/>
  <c r="DR264" i="5"/>
  <c r="DR270" i="5" s="1"/>
  <c r="DR273" i="5" s="1"/>
  <c r="DR289" i="5"/>
  <c r="DQ170" i="2"/>
  <c r="DQ174" i="2"/>
  <c r="DQ179" i="2"/>
  <c r="DQ50" i="2"/>
  <c r="D164" i="2"/>
  <c r="D168" i="2" s="1"/>
  <c r="D158" i="2"/>
  <c r="D169" i="2" s="1"/>
  <c r="D184" i="2" s="1"/>
  <c r="BK289" i="5"/>
  <c r="BK264" i="5"/>
  <c r="BK270" i="5" s="1"/>
  <c r="BK273" i="5" s="1"/>
  <c r="DN289" i="5"/>
  <c r="DN264" i="5"/>
  <c r="DN270" i="5" s="1"/>
  <c r="DN273" i="5" s="1"/>
  <c r="EP306" i="3"/>
  <c r="EP320" i="3" s="1"/>
  <c r="FB290" i="5"/>
  <c r="FB281" i="5"/>
  <c r="FB285" i="5" s="1"/>
  <c r="FB294" i="5" s="1"/>
  <c r="DE289" i="5"/>
  <c r="DE264" i="5"/>
  <c r="DE270" i="5" s="1"/>
  <c r="DE273" i="5" s="1"/>
  <c r="FL303" i="5"/>
  <c r="FL296" i="5"/>
  <c r="FL82" i="5"/>
  <c r="BK312" i="3"/>
  <c r="BK309" i="3"/>
  <c r="BK317" i="3"/>
  <c r="FB172" i="2"/>
  <c r="FB180" i="2"/>
  <c r="FB182" i="2" s="1"/>
  <c r="FB166" i="2"/>
  <c r="ED264" i="5"/>
  <c r="ED270" i="5" s="1"/>
  <c r="ED273" i="5" s="1"/>
  <c r="ED289" i="5"/>
  <c r="CM162" i="2"/>
  <c r="CM151" i="2"/>
  <c r="CM152" i="2" s="1"/>
  <c r="BT289" i="5"/>
  <c r="BT264" i="5"/>
  <c r="BT270" i="5" s="1"/>
  <c r="BT273" i="5" s="1"/>
  <c r="CA289" i="5"/>
  <c r="CA264" i="5"/>
  <c r="CA270" i="5" s="1"/>
  <c r="CA273" i="5" s="1"/>
  <c r="BJ306" i="3"/>
  <c r="BJ320" i="3" s="1"/>
  <c r="EB166" i="2"/>
  <c r="EB172" i="2"/>
  <c r="EB180" i="2"/>
  <c r="EB182" i="2" s="1"/>
  <c r="BO180" i="2"/>
  <c r="BO182" i="2" s="1"/>
  <c r="BO166" i="2"/>
  <c r="BO172" i="2"/>
  <c r="N306" i="3"/>
  <c r="N320" i="3" s="1"/>
  <c r="ES180" i="2"/>
  <c r="ES182" i="2" s="1"/>
  <c r="ES166" i="2"/>
  <c r="ES172" i="2"/>
  <c r="FR306" i="3"/>
  <c r="FR320" i="3" s="1"/>
  <c r="D289" i="5"/>
  <c r="D264" i="5"/>
  <c r="D270" i="5" s="1"/>
  <c r="D273" i="5" s="1"/>
  <c r="AX164" i="2"/>
  <c r="AX168" i="2" s="1"/>
  <c r="AX158" i="2"/>
  <c r="AX169" i="2" s="1"/>
  <c r="AX184" i="2" s="1"/>
  <c r="DX164" i="2"/>
  <c r="DX168" i="2" s="1"/>
  <c r="DX158" i="2"/>
  <c r="DX169" i="2" s="1"/>
  <c r="DX184" i="2" s="1"/>
  <c r="BE164" i="2"/>
  <c r="BE158" i="2"/>
  <c r="BE169" i="2" s="1"/>
  <c r="BE184" i="2" s="1"/>
  <c r="AO164" i="2"/>
  <c r="AO168" i="2" s="1"/>
  <c r="AO158" i="2"/>
  <c r="AO169" i="2" s="1"/>
  <c r="AO184" i="2" s="1"/>
  <c r="BS164" i="2"/>
  <c r="BS168" i="2" s="1"/>
  <c r="BS158" i="2"/>
  <c r="BS169" i="2" s="1"/>
  <c r="BS184" i="2" s="1"/>
  <c r="AU164" i="2"/>
  <c r="AU158" i="2"/>
  <c r="AU169" i="2" s="1"/>
  <c r="AU184" i="2" s="1"/>
  <c r="EH180" i="2"/>
  <c r="EH182" i="2" s="1"/>
  <c r="EH166" i="2"/>
  <c r="EH172" i="2"/>
  <c r="CF289" i="5"/>
  <c r="CF264" i="5"/>
  <c r="CF270" i="5" s="1"/>
  <c r="CF273" i="5" s="1"/>
  <c r="L170" i="2"/>
  <c r="L174" i="2"/>
  <c r="L179" i="2"/>
  <c r="L50" i="2"/>
  <c r="Z170" i="2"/>
  <c r="Z174" i="2"/>
  <c r="Z179" i="2"/>
  <c r="Z50" i="2"/>
  <c r="AC296" i="5"/>
  <c r="AC303" i="5"/>
  <c r="AC82" i="5"/>
  <c r="FD164" i="2"/>
  <c r="FD168" i="2" s="1"/>
  <c r="FD158" i="2"/>
  <c r="FD169" i="2" s="1"/>
  <c r="FD184" i="2" s="1"/>
  <c r="CE289" i="5"/>
  <c r="CE264" i="5"/>
  <c r="CE270" i="5" s="1"/>
  <c r="CE273" i="5" s="1"/>
  <c r="AW164" i="2"/>
  <c r="AW168" i="2" s="1"/>
  <c r="AW158" i="2"/>
  <c r="AW169" i="2" s="1"/>
  <c r="AW184" i="2" s="1"/>
  <c r="EK180" i="2"/>
  <c r="EK182" i="2" s="1"/>
  <c r="EK166" i="2"/>
  <c r="EK172" i="2"/>
  <c r="FI304" i="3"/>
  <c r="FI318" i="3" s="1"/>
  <c r="FI298" i="3"/>
  <c r="E162" i="2"/>
  <c r="E151" i="2"/>
  <c r="E152" i="2" s="1"/>
  <c r="DA179" i="2"/>
  <c r="DA174" i="2"/>
  <c r="DA170" i="2"/>
  <c r="DA50" i="2"/>
  <c r="FN164" i="2"/>
  <c r="FN168" i="2" s="1"/>
  <c r="FN158" i="2"/>
  <c r="FN169" i="2" s="1"/>
  <c r="FN184" i="2" s="1"/>
  <c r="EF303" i="5"/>
  <c r="EF296" i="5"/>
  <c r="EF82" i="5"/>
  <c r="CI289" i="5"/>
  <c r="CI264" i="5"/>
  <c r="CI270" i="5" s="1"/>
  <c r="CI273" i="5" s="1"/>
  <c r="AD168" i="2"/>
  <c r="AD172" i="2" s="1"/>
  <c r="CJ275" i="3"/>
  <c r="BM303" i="5"/>
  <c r="BM296" i="5"/>
  <c r="BM82" i="5"/>
  <c r="AK289" i="5"/>
  <c r="AK264" i="5"/>
  <c r="AK270" i="5" s="1"/>
  <c r="AK273" i="5" s="1"/>
  <c r="FP164" i="2"/>
  <c r="FP168" i="2" s="1"/>
  <c r="FP158" i="2"/>
  <c r="FP169" i="2" s="1"/>
  <c r="FP184" i="2" s="1"/>
  <c r="FW306" i="3"/>
  <c r="FW320" i="3" s="1"/>
  <c r="AF179" i="2"/>
  <c r="AF170" i="2"/>
  <c r="AF174" i="2"/>
  <c r="AF50" i="2"/>
  <c r="Y290" i="5"/>
  <c r="Y281" i="5"/>
  <c r="Y285" i="5" s="1"/>
  <c r="Y294" i="5" s="1"/>
  <c r="CK289" i="5"/>
  <c r="CK264" i="5"/>
  <c r="CK270" i="5" s="1"/>
  <c r="CK273" i="5" s="1"/>
  <c r="BI166" i="2"/>
  <c r="BI172" i="2"/>
  <c r="BI180" i="2"/>
  <c r="BI182" i="2" s="1"/>
  <c r="BP180" i="2"/>
  <c r="BP182" i="2" s="1"/>
  <c r="BP172" i="2"/>
  <c r="BP166" i="2"/>
  <c r="FN170" i="2"/>
  <c r="FN174" i="2"/>
  <c r="FN179" i="2"/>
  <c r="FN50" i="2"/>
  <c r="FX289" i="5"/>
  <c r="FX264" i="5"/>
  <c r="FX270" i="5" s="1"/>
  <c r="FX273" i="5" s="1"/>
  <c r="J304" i="3"/>
  <c r="J318" i="3" s="1"/>
  <c r="J298" i="3"/>
  <c r="BR303" i="5"/>
  <c r="BR296" i="5"/>
  <c r="BR82" i="5"/>
  <c r="FA289" i="5"/>
  <c r="FA264" i="5"/>
  <c r="FA270" i="5" s="1"/>
  <c r="FA273" i="5" s="1"/>
  <c r="FN264" i="5"/>
  <c r="FN270" i="5" s="1"/>
  <c r="FN273" i="5" s="1"/>
  <c r="FN289" i="5"/>
  <c r="FG180" i="2"/>
  <c r="FG182" i="2" s="1"/>
  <c r="FG166" i="2"/>
  <c r="FG172" i="2"/>
  <c r="BF264" i="5"/>
  <c r="BF270" i="5" s="1"/>
  <c r="BF273" i="5" s="1"/>
  <c r="BF289" i="5"/>
  <c r="BC292" i="3"/>
  <c r="BC298" i="3" s="1"/>
  <c r="AQ153" i="2"/>
  <c r="I298" i="3"/>
  <c r="I304" i="3"/>
  <c r="I318" i="3" s="1"/>
  <c r="CW306" i="3"/>
  <c r="CW320" i="3" s="1"/>
  <c r="CA180" i="2"/>
  <c r="CA182" i="2" s="1"/>
  <c r="CA166" i="2"/>
  <c r="CA172" i="2"/>
  <c r="CV306" i="3"/>
  <c r="CV320" i="3" s="1"/>
  <c r="CY290" i="5"/>
  <c r="CY281" i="5"/>
  <c r="CY285" i="5" s="1"/>
  <c r="CY294" i="5" s="1"/>
  <c r="BK292" i="3"/>
  <c r="BK298" i="3" s="1"/>
  <c r="BN290" i="5"/>
  <c r="BN281" i="5"/>
  <c r="BN285" i="5" s="1"/>
  <c r="BN294" i="5" s="1"/>
  <c r="DL317" i="3"/>
  <c r="DL309" i="3"/>
  <c r="DL312" i="3"/>
  <c r="FN306" i="3"/>
  <c r="FN320" i="3" s="1"/>
  <c r="BG306" i="3"/>
  <c r="BG320" i="3" s="1"/>
  <c r="BG289" i="5"/>
  <c r="BG264" i="5"/>
  <c r="BG270" i="5" s="1"/>
  <c r="BG273" i="5" s="1"/>
  <c r="DB306" i="3"/>
  <c r="DB320" i="3" s="1"/>
  <c r="DI275" i="3"/>
  <c r="EU306" i="3"/>
  <c r="EU320" i="3" s="1"/>
  <c r="FL166" i="2"/>
  <c r="FL172" i="2"/>
  <c r="FL180" i="2"/>
  <c r="FL182" i="2" s="1"/>
  <c r="V153" i="2"/>
  <c r="EY289" i="5"/>
  <c r="EY264" i="5"/>
  <c r="EY270" i="5" s="1"/>
  <c r="EY273" i="5" s="1"/>
  <c r="AX170" i="2"/>
  <c r="AX174" i="2"/>
  <c r="AX179" i="2"/>
  <c r="AX50" i="2"/>
  <c r="DX179" i="2"/>
  <c r="DX170" i="2"/>
  <c r="DX174" i="2"/>
  <c r="DX50" i="2"/>
  <c r="BE179" i="2"/>
  <c r="BE174" i="2"/>
  <c r="BE170" i="2"/>
  <c r="BE50" i="2"/>
  <c r="AO179" i="2"/>
  <c r="AO174" i="2"/>
  <c r="AO170" i="2"/>
  <c r="AO50" i="2"/>
  <c r="BS170" i="2"/>
  <c r="BS179" i="2"/>
  <c r="BS174" i="2"/>
  <c r="BS50" i="2"/>
  <c r="AU170" i="2"/>
  <c r="AU179" i="2"/>
  <c r="AU174" i="2"/>
  <c r="AU50" i="2"/>
  <c r="FT179" i="2"/>
  <c r="FT170" i="2"/>
  <c r="FT174" i="2"/>
  <c r="FT50" i="2"/>
  <c r="S289" i="5"/>
  <c r="S264" i="5"/>
  <c r="S270" i="5" s="1"/>
  <c r="S273" i="5" s="1"/>
  <c r="DO304" i="3"/>
  <c r="DO318" i="3" s="1"/>
  <c r="DO298" i="3"/>
  <c r="F179" i="2"/>
  <c r="F170" i="2"/>
  <c r="F174" i="2"/>
  <c r="F50" i="2"/>
  <c r="EE164" i="2"/>
  <c r="EE158" i="2"/>
  <c r="EE169" i="2" s="1"/>
  <c r="EE184" i="2" s="1"/>
  <c r="FT164" i="2"/>
  <c r="FT168" i="2" s="1"/>
  <c r="FT153" i="2"/>
  <c r="DF312" i="3"/>
  <c r="DF309" i="3"/>
  <c r="DF317" i="3"/>
  <c r="ER180" i="2"/>
  <c r="ER182" i="2" s="1"/>
  <c r="ER166" i="2"/>
  <c r="DL289" i="5"/>
  <c r="DL264" i="5"/>
  <c r="DL270" i="5" s="1"/>
  <c r="DL273" i="5" s="1"/>
  <c r="I317" i="3"/>
  <c r="I312" i="3"/>
  <c r="I309" i="3"/>
  <c r="FU303" i="5"/>
  <c r="FU296" i="5"/>
  <c r="FU82" i="5"/>
  <c r="BF168" i="2"/>
  <c r="BF172" i="2" s="1"/>
  <c r="AO296" i="5"/>
  <c r="AO303" i="5"/>
  <c r="AO82" i="5"/>
  <c r="AR164" i="2"/>
  <c r="AR168" i="2" s="1"/>
  <c r="AR158" i="2"/>
  <c r="AR169" i="2" s="1"/>
  <c r="AR184" i="2" s="1"/>
  <c r="FI275" i="3"/>
  <c r="FV164" i="2"/>
  <c r="FV168" i="2" s="1"/>
  <c r="FV158" i="2"/>
  <c r="FV169" i="2" s="1"/>
  <c r="FV184" i="2" s="1"/>
  <c r="DW164" i="2"/>
  <c r="DW168" i="2" s="1"/>
  <c r="DW158" i="2"/>
  <c r="DW169" i="2" s="1"/>
  <c r="DW184" i="2" s="1"/>
  <c r="CC164" i="2"/>
  <c r="CC168" i="2" s="1"/>
  <c r="CC158" i="2"/>
  <c r="CC169" i="2" s="1"/>
  <c r="CC184" i="2" s="1"/>
  <c r="DH304" i="3"/>
  <c r="DH318" i="3" s="1"/>
  <c r="S275" i="3"/>
  <c r="EX166" i="2"/>
  <c r="EX172" i="2"/>
  <c r="EX180" i="2"/>
  <c r="EX182" i="2" s="1"/>
  <c r="AV306" i="3"/>
  <c r="AV320" i="3" s="1"/>
  <c r="CJ304" i="3"/>
  <c r="CJ318" i="3" s="1"/>
  <c r="CJ298" i="3"/>
  <c r="DU164" i="2"/>
  <c r="DU168" i="2" s="1"/>
  <c r="DU158" i="2"/>
  <c r="DU169" i="2" s="1"/>
  <c r="DU184" i="2" s="1"/>
  <c r="AR179" i="2"/>
  <c r="AR170" i="2"/>
  <c r="AR174" i="2"/>
  <c r="AR50" i="2"/>
  <c r="DD289" i="5"/>
  <c r="DD264" i="5"/>
  <c r="DD270" i="5" s="1"/>
  <c r="DD273" i="5" s="1"/>
  <c r="FV170" i="2"/>
  <c r="FV174" i="2"/>
  <c r="FV179" i="2"/>
  <c r="FV50" i="2"/>
  <c r="FJ264" i="5"/>
  <c r="FJ270" i="5" s="1"/>
  <c r="FJ273" i="5" s="1"/>
  <c r="FJ289" i="5"/>
  <c r="AK153" i="2"/>
  <c r="DW179" i="2"/>
  <c r="DW170" i="2"/>
  <c r="DW174" i="2"/>
  <c r="DW50" i="2"/>
  <c r="BB292" i="3"/>
  <c r="BB298" i="3" s="1"/>
  <c r="AF164" i="2"/>
  <c r="AF158" i="2"/>
  <c r="AF169" i="2" s="1"/>
  <c r="AF184" i="2" s="1"/>
  <c r="ER168" i="2"/>
  <c r="ER172" i="2" s="1"/>
  <c r="EO164" i="2"/>
  <c r="EO168" i="2" s="1"/>
  <c r="EO158" i="2"/>
  <c r="EO169" i="2" s="1"/>
  <c r="EO184" i="2" s="1"/>
  <c r="O306" i="3"/>
  <c r="O320" i="3" s="1"/>
  <c r="CD306" i="3"/>
  <c r="CD320" i="3" s="1"/>
  <c r="DT153" i="2"/>
  <c r="FW289" i="5"/>
  <c r="FW264" i="5"/>
  <c r="FW270" i="5" s="1"/>
  <c r="FW273" i="5" s="1"/>
  <c r="AJ303" i="5"/>
  <c r="AJ296" i="5"/>
  <c r="AJ82" i="5"/>
  <c r="CV289" i="5"/>
  <c r="CV264" i="5"/>
  <c r="CV270" i="5" s="1"/>
  <c r="CV273" i="5" s="1"/>
  <c r="BS289" i="5"/>
  <c r="BS264" i="5"/>
  <c r="BS270" i="5" s="1"/>
  <c r="BS273" i="5" s="1"/>
  <c r="EC289" i="5"/>
  <c r="EC264" i="5"/>
  <c r="EC270" i="5" s="1"/>
  <c r="EC273" i="5" s="1"/>
  <c r="EI164" i="2"/>
  <c r="EI158" i="2"/>
  <c r="EI169" i="2" s="1"/>
  <c r="EI184" i="2" s="1"/>
  <c r="DP168" i="2"/>
  <c r="DP172" i="2" s="1"/>
  <c r="CL289" i="5"/>
  <c r="CL264" i="5"/>
  <c r="CL270" i="5" s="1"/>
  <c r="CL273" i="5" s="1"/>
  <c r="AR289" i="5"/>
  <c r="AR264" i="5"/>
  <c r="AR270" i="5" s="1"/>
  <c r="AR273" i="5" s="1"/>
  <c r="EU289" i="5"/>
  <c r="EU264" i="5"/>
  <c r="EU270" i="5" s="1"/>
  <c r="EU273" i="5" s="1"/>
  <c r="EX290" i="5"/>
  <c r="EX292" i="5" s="1"/>
  <c r="EX281" i="5"/>
  <c r="EX285" i="5" s="1"/>
  <c r="EX294" i="5" s="1"/>
  <c r="EF304" i="3"/>
  <c r="EF318" i="3" s="1"/>
  <c r="EF298" i="3"/>
  <c r="CB306" i="3"/>
  <c r="CB320" i="3" s="1"/>
  <c r="BT306" i="3"/>
  <c r="BT320" i="3" s="1"/>
  <c r="DT296" i="5"/>
  <c r="DT303" i="5"/>
  <c r="DT82" i="5"/>
  <c r="AQ180" i="2"/>
  <c r="AQ182" i="2" s="1"/>
  <c r="AQ166" i="2"/>
  <c r="AQ172" i="2"/>
  <c r="DW289" i="5"/>
  <c r="DW264" i="5"/>
  <c r="DW270" i="5" s="1"/>
  <c r="DW273" i="5" s="1"/>
  <c r="EQ289" i="5"/>
  <c r="EQ264" i="5"/>
  <c r="EQ270" i="5" s="1"/>
  <c r="EQ273" i="5" s="1"/>
  <c r="CY296" i="5"/>
  <c r="CY82" i="5"/>
  <c r="BN296" i="5"/>
  <c r="DN166" i="2"/>
  <c r="DN172" i="2"/>
  <c r="DN180" i="2"/>
  <c r="DN182" i="2" s="1"/>
  <c r="ED164" i="2"/>
  <c r="ED153" i="2"/>
  <c r="BH306" i="3"/>
  <c r="BH320" i="3" s="1"/>
  <c r="DI304" i="3"/>
  <c r="DI318" i="3" s="1"/>
  <c r="DI298" i="3"/>
  <c r="FD290" i="5"/>
  <c r="FD281" i="5"/>
  <c r="FD285" i="5" s="1"/>
  <c r="FD294" i="5" s="1"/>
  <c r="BE289" i="5"/>
  <c r="BE264" i="5"/>
  <c r="BE270" i="5" s="1"/>
  <c r="BE273" i="5" s="1"/>
  <c r="EG164" i="2"/>
  <c r="EG168" i="2" s="1"/>
  <c r="EG158" i="2"/>
  <c r="EG169" i="2" s="1"/>
  <c r="EG184" i="2" s="1"/>
  <c r="DH312" i="3"/>
  <c r="DH309" i="3"/>
  <c r="DH317" i="3"/>
  <c r="FU304" i="3"/>
  <c r="FU318" i="3" s="1"/>
  <c r="FU298" i="3"/>
  <c r="BR317" i="3"/>
  <c r="BR312" i="3"/>
  <c r="BR309" i="3"/>
  <c r="BY164" i="2"/>
  <c r="BY168" i="2" s="1"/>
  <c r="BY158" i="2"/>
  <c r="BY169" i="2" s="1"/>
  <c r="BY184" i="2" s="1"/>
  <c r="CV164" i="2"/>
  <c r="CV168" i="2" s="1"/>
  <c r="CV158" i="2"/>
  <c r="CV169" i="2" s="1"/>
  <c r="CV184" i="2" s="1"/>
  <c r="CU164" i="2"/>
  <c r="CU168" i="2" s="1"/>
  <c r="CU158" i="2"/>
  <c r="CU169" i="2" s="1"/>
  <c r="CU184" i="2" s="1"/>
  <c r="AV164" i="2"/>
  <c r="AV168" i="2" s="1"/>
  <c r="AV158" i="2"/>
  <c r="AV169" i="2" s="1"/>
  <c r="AV184" i="2" s="1"/>
  <c r="BQ164" i="2"/>
  <c r="BQ168" i="2" s="1"/>
  <c r="BQ158" i="2"/>
  <c r="BQ169" i="2" s="1"/>
  <c r="BQ184" i="2" s="1"/>
  <c r="DY158" i="2"/>
  <c r="DY169" i="2" s="1"/>
  <c r="DY184" i="2" s="1"/>
  <c r="DY164" i="2"/>
  <c r="CB289" i="5"/>
  <c r="CB264" i="5"/>
  <c r="CB270" i="5" s="1"/>
  <c r="CB273" i="5" s="1"/>
  <c r="AZ281" i="5"/>
  <c r="AZ285" i="5" s="1"/>
  <c r="AZ294" i="5" s="1"/>
  <c r="CY164" i="2"/>
  <c r="CY158" i="2"/>
  <c r="CY169" i="2" s="1"/>
  <c r="CY184" i="2" s="1"/>
  <c r="DC164" i="2"/>
  <c r="DC168" i="2" s="1"/>
  <c r="DC158" i="2"/>
  <c r="DC169" i="2" s="1"/>
  <c r="DC184" i="2" s="1"/>
  <c r="CH164" i="2"/>
  <c r="CH168" i="2" s="1"/>
  <c r="CH158" i="2"/>
  <c r="CH169" i="2" s="1"/>
  <c r="CH184" i="2" s="1"/>
  <c r="F290" i="5"/>
  <c r="F281" i="5"/>
  <c r="F285" i="5" s="1"/>
  <c r="F294" i="5" s="1"/>
  <c r="CQ166" i="2"/>
  <c r="CQ172" i="2"/>
  <c r="CQ180" i="2"/>
  <c r="CQ182" i="2" s="1"/>
  <c r="FP174" i="2"/>
  <c r="FP170" i="2"/>
  <c r="FP179" i="2"/>
  <c r="FP50" i="2"/>
  <c r="FE180" i="2"/>
  <c r="FE182" i="2" s="1"/>
  <c r="FE166" i="2"/>
  <c r="FE172" i="2"/>
  <c r="BH170" i="2"/>
  <c r="BH174" i="2"/>
  <c r="BH179" i="2"/>
  <c r="BH50" i="2"/>
  <c r="Q296" i="5"/>
  <c r="Q303" i="5"/>
  <c r="Q82" i="5"/>
  <c r="CC179" i="2"/>
  <c r="CC174" i="2"/>
  <c r="CC170" i="2"/>
  <c r="CC50" i="2"/>
  <c r="BF153" i="2"/>
  <c r="CJ312" i="3"/>
  <c r="CJ309" i="3"/>
  <c r="CJ317" i="3"/>
  <c r="EK303" i="5"/>
  <c r="EK296" i="5"/>
  <c r="EK82" i="5"/>
  <c r="FO290" i="5"/>
  <c r="FO281" i="5"/>
  <c r="FO285" i="5" s="1"/>
  <c r="FO294" i="5" s="1"/>
  <c r="DU179" i="2"/>
  <c r="DU174" i="2"/>
  <c r="DU170" i="2"/>
  <c r="DU50" i="2"/>
  <c r="CD164" i="2"/>
  <c r="CD158" i="2"/>
  <c r="CD169" i="2" s="1"/>
  <c r="CD184" i="2" s="1"/>
  <c r="CQ289" i="5"/>
  <c r="CQ264" i="5"/>
  <c r="CQ270" i="5" s="1"/>
  <c r="CQ273" i="5" s="1"/>
  <c r="AK166" i="2"/>
  <c r="AK172" i="2"/>
  <c r="AK180" i="2"/>
  <c r="AK182" i="2" s="1"/>
  <c r="C229" i="3"/>
  <c r="FZ201" i="3"/>
  <c r="CJ151" i="2"/>
  <c r="CJ152" i="2" s="1"/>
  <c r="CJ162" i="2"/>
  <c r="DC306" i="3"/>
  <c r="DC320" i="3" s="1"/>
  <c r="BZ281" i="5"/>
  <c r="BZ285" i="5" s="1"/>
  <c r="BZ294" i="5" s="1"/>
  <c r="EU164" i="2"/>
  <c r="EU158" i="2"/>
  <c r="EU169" i="2" s="1"/>
  <c r="EU184" i="2" s="1"/>
  <c r="M164" i="2"/>
  <c r="M158" i="2"/>
  <c r="M169" i="2" s="1"/>
  <c r="M184" i="2" s="1"/>
  <c r="BD289" i="5"/>
  <c r="BD264" i="5"/>
  <c r="BD270" i="5" s="1"/>
  <c r="BD273" i="5" s="1"/>
  <c r="BY289" i="5"/>
  <c r="BY264" i="5"/>
  <c r="BY270" i="5" s="1"/>
  <c r="BY273" i="5" s="1"/>
  <c r="EO170" i="2"/>
  <c r="EO174" i="2"/>
  <c r="EO179" i="2"/>
  <c r="EO50" i="2"/>
  <c r="FI162" i="2"/>
  <c r="FI151" i="2"/>
  <c r="FI152" i="2" s="1"/>
  <c r="BB162" i="2"/>
  <c r="BB151" i="2"/>
  <c r="BB152" i="2" s="1"/>
  <c r="EI179" i="2"/>
  <c r="EI170" i="2"/>
  <c r="EI174" i="2"/>
  <c r="EI50" i="2"/>
  <c r="DK168" i="2"/>
  <c r="DK172" i="2" s="1"/>
  <c r="Y306" i="3"/>
  <c r="Y320" i="3" s="1"/>
  <c r="FE290" i="5"/>
  <c r="FE292" i="5" s="1"/>
  <c r="FE281" i="5"/>
  <c r="FE285" i="5" s="1"/>
  <c r="FE294" i="5" s="1"/>
  <c r="BC317" i="3"/>
  <c r="BC312" i="3"/>
  <c r="BC309" i="3"/>
  <c r="BD164" i="2"/>
  <c r="BD158" i="2"/>
  <c r="BD169" i="2" s="1"/>
  <c r="BD184" i="2" s="1"/>
  <c r="O289" i="5"/>
  <c r="O264" i="5"/>
  <c r="O270" i="5" s="1"/>
  <c r="O273" i="5" s="1"/>
  <c r="CD289" i="5"/>
  <c r="CD264" i="5"/>
  <c r="CD270" i="5" s="1"/>
  <c r="CD273" i="5" s="1"/>
  <c r="CM317" i="3"/>
  <c r="CM312" i="3"/>
  <c r="CM309" i="3"/>
  <c r="N289" i="5"/>
  <c r="N264" i="5"/>
  <c r="N270" i="5" s="1"/>
  <c r="N273" i="5" s="1"/>
  <c r="EL304" i="3"/>
  <c r="EL318" i="3" s="1"/>
  <c r="EL298" i="3"/>
  <c r="AC180" i="2"/>
  <c r="AC182" i="2" s="1"/>
  <c r="AC166" i="2"/>
  <c r="AC172" i="2"/>
  <c r="ED170" i="2"/>
  <c r="ED174" i="2"/>
  <c r="ED179" i="2"/>
  <c r="ED50" i="2"/>
  <c r="FD306" i="3"/>
  <c r="FD320" i="3" s="1"/>
  <c r="FS164" i="2"/>
  <c r="FS168" i="2" s="1"/>
  <c r="FS158" i="2"/>
  <c r="FS169" i="2" s="1"/>
  <c r="FS184" i="2" s="1"/>
  <c r="Q180" i="2"/>
  <c r="Q182" i="2" s="1"/>
  <c r="Q166" i="2"/>
  <c r="Q172" i="2"/>
  <c r="DY306" i="3"/>
  <c r="DY320" i="3" s="1"/>
  <c r="EG179" i="2"/>
  <c r="EG174" i="2"/>
  <c r="EG170" i="2"/>
  <c r="EG50" i="2"/>
  <c r="DH292" i="3"/>
  <c r="DH298" i="3" s="1"/>
  <c r="AJ306" i="3"/>
  <c r="AJ320" i="3" s="1"/>
  <c r="V166" i="2"/>
  <c r="V172" i="2"/>
  <c r="V180" i="2"/>
  <c r="V182" i="2" s="1"/>
  <c r="AA306" i="3"/>
  <c r="AA320" i="3" s="1"/>
  <c r="BY179" i="2"/>
  <c r="BY174" i="2"/>
  <c r="BY170" i="2"/>
  <c r="BY50" i="2"/>
  <c r="CV174" i="2"/>
  <c r="CV170" i="2"/>
  <c r="CV179" i="2"/>
  <c r="CV50" i="2"/>
  <c r="CU174" i="2"/>
  <c r="CU179" i="2"/>
  <c r="CU170" i="2"/>
  <c r="CU50" i="2"/>
  <c r="AV170" i="2"/>
  <c r="AV174" i="2"/>
  <c r="AV179" i="2"/>
  <c r="AV50" i="2"/>
  <c r="BQ179" i="2"/>
  <c r="BQ174" i="2"/>
  <c r="BQ170" i="2"/>
  <c r="BQ50" i="2"/>
  <c r="DY179" i="2"/>
  <c r="DY174" i="2"/>
  <c r="DY170" i="2"/>
  <c r="DY50" i="2"/>
  <c r="Q281" i="5" l="1"/>
  <c r="Q285" i="5" s="1"/>
  <c r="Q294" i="5" s="1"/>
  <c r="DX281" i="5"/>
  <c r="DX285" i="5" s="1"/>
  <c r="DX294" i="5" s="1"/>
  <c r="FH290" i="5"/>
  <c r="FH292" i="5" s="1"/>
  <c r="F82" i="5"/>
  <c r="F303" i="5"/>
  <c r="I281" i="5"/>
  <c r="I285" i="5" s="1"/>
  <c r="I294" i="5" s="1"/>
  <c r="EY153" i="2"/>
  <c r="M281" i="5"/>
  <c r="M285" i="5" s="1"/>
  <c r="M294" i="5" s="1"/>
  <c r="FD303" i="5"/>
  <c r="FD317" i="5" s="1"/>
  <c r="BM281" i="5"/>
  <c r="BM285" i="5" s="1"/>
  <c r="BM294" i="5" s="1"/>
  <c r="FD296" i="5"/>
  <c r="Y82" i="5"/>
  <c r="EK281" i="5"/>
  <c r="EK285" i="5" s="1"/>
  <c r="EK294" i="5" s="1"/>
  <c r="DM296" i="5"/>
  <c r="DM303" i="5"/>
  <c r="DM312" i="5" s="1"/>
  <c r="DM292" i="5"/>
  <c r="DM298" i="5" s="1"/>
  <c r="BJ290" i="5"/>
  <c r="BJ304" i="5" s="1"/>
  <c r="BJ318" i="5" s="1"/>
  <c r="FD292" i="5"/>
  <c r="FD298" i="5" s="1"/>
  <c r="EF281" i="5"/>
  <c r="EF285" i="5" s="1"/>
  <c r="EF294" i="5" s="1"/>
  <c r="EB153" i="2"/>
  <c r="AG292" i="5"/>
  <c r="AG298" i="5" s="1"/>
  <c r="FF290" i="5"/>
  <c r="FF292" i="5" s="1"/>
  <c r="AO281" i="5"/>
  <c r="AO285" i="5" s="1"/>
  <c r="AO294" i="5" s="1"/>
  <c r="FB292" i="5"/>
  <c r="FB303" i="5"/>
  <c r="FB317" i="5" s="1"/>
  <c r="AJ281" i="5"/>
  <c r="AJ285" i="5" s="1"/>
  <c r="AJ294" i="5" s="1"/>
  <c r="AG82" i="5"/>
  <c r="AG296" i="5"/>
  <c r="ET82" i="5"/>
  <c r="ET296" i="5"/>
  <c r="FB82" i="5"/>
  <c r="EG281" i="5"/>
  <c r="EG285" i="5" s="1"/>
  <c r="EG294" i="5" s="1"/>
  <c r="AW281" i="5"/>
  <c r="AW285" i="5" s="1"/>
  <c r="AW294" i="5" s="1"/>
  <c r="EX82" i="5"/>
  <c r="BQ281" i="5"/>
  <c r="BQ285" i="5" s="1"/>
  <c r="BQ294" i="5" s="1"/>
  <c r="EX296" i="5"/>
  <c r="DC82" i="5"/>
  <c r="FU290" i="5"/>
  <c r="FU292" i="5" s="1"/>
  <c r="BN82" i="5"/>
  <c r="DO292" i="5"/>
  <c r="DO298" i="5" s="1"/>
  <c r="DO82" i="5"/>
  <c r="FO82" i="5"/>
  <c r="DO296" i="5"/>
  <c r="H82" i="5"/>
  <c r="H296" i="5"/>
  <c r="H292" i="5"/>
  <c r="H298" i="5" s="1"/>
  <c r="FL290" i="5"/>
  <c r="FL292" i="5" s="1"/>
  <c r="EP281" i="5"/>
  <c r="EP285" i="5" s="1"/>
  <c r="EP294" i="5" s="1"/>
  <c r="DT290" i="5"/>
  <c r="DT292" i="5" s="1"/>
  <c r="FO303" i="5"/>
  <c r="FO317" i="5" s="1"/>
  <c r="BU290" i="5"/>
  <c r="BU304" i="5" s="1"/>
  <c r="BU318" i="5" s="1"/>
  <c r="DF306" i="3"/>
  <c r="DF320" i="3" s="1"/>
  <c r="Y296" i="5"/>
  <c r="U82" i="5"/>
  <c r="U296" i="5"/>
  <c r="U292" i="5"/>
  <c r="U298" i="5" s="1"/>
  <c r="CM306" i="3"/>
  <c r="CM320" i="3" s="1"/>
  <c r="BK306" i="3"/>
  <c r="BK320" i="3" s="1"/>
  <c r="FS281" i="5"/>
  <c r="FS285" i="5" s="1"/>
  <c r="FS294" i="5" s="1"/>
  <c r="AA281" i="5"/>
  <c r="AA285" i="5" s="1"/>
  <c r="AA294" i="5" s="1"/>
  <c r="W292" i="5"/>
  <c r="W298" i="5" s="1"/>
  <c r="T281" i="5"/>
  <c r="T285" i="5" s="1"/>
  <c r="T294" i="5" s="1"/>
  <c r="DC303" i="5"/>
  <c r="DC317" i="5" s="1"/>
  <c r="W296" i="5"/>
  <c r="BO318" i="3"/>
  <c r="BO306" i="3"/>
  <c r="BO320" i="3" s="1"/>
  <c r="W303" i="5"/>
  <c r="W317" i="5" s="1"/>
  <c r="Q318" i="3"/>
  <c r="Q306" i="3"/>
  <c r="Q320" i="3" s="1"/>
  <c r="DC292" i="5"/>
  <c r="DC298" i="5" s="1"/>
  <c r="CU281" i="5"/>
  <c r="CU285" i="5" s="1"/>
  <c r="CU294" i="5" s="1"/>
  <c r="Y275" i="5"/>
  <c r="DR153" i="2"/>
  <c r="DN306" i="3"/>
  <c r="DN320" i="3" s="1"/>
  <c r="DY153" i="2"/>
  <c r="AX153" i="2"/>
  <c r="EU153" i="2"/>
  <c r="DH306" i="3"/>
  <c r="DH320" i="3" s="1"/>
  <c r="N153" i="2"/>
  <c r="CV153" i="2"/>
  <c r="BC275" i="5"/>
  <c r="BR281" i="5"/>
  <c r="BR285" i="5" s="1"/>
  <c r="BR294" i="5" s="1"/>
  <c r="AP306" i="3"/>
  <c r="AP320" i="3" s="1"/>
  <c r="CJ306" i="3"/>
  <c r="CJ320" i="3" s="1"/>
  <c r="BB290" i="5"/>
  <c r="BB292" i="5" s="1"/>
  <c r="CY275" i="5"/>
  <c r="DS153" i="2"/>
  <c r="DO275" i="5"/>
  <c r="O153" i="2"/>
  <c r="Y153" i="2"/>
  <c r="FW153" i="2"/>
  <c r="AH153" i="2"/>
  <c r="DJ153" i="2"/>
  <c r="DM275" i="5"/>
  <c r="DT275" i="5"/>
  <c r="FN153" i="2"/>
  <c r="BE153" i="2"/>
  <c r="AZ275" i="5"/>
  <c r="AW153" i="2"/>
  <c r="FL275" i="5"/>
  <c r="FO275" i="5"/>
  <c r="FD153" i="2"/>
  <c r="DC275" i="5"/>
  <c r="U153" i="2"/>
  <c r="DC153" i="2"/>
  <c r="FB275" i="5"/>
  <c r="DE153" i="2"/>
  <c r="CZ153" i="2"/>
  <c r="AG275" i="5"/>
  <c r="AJ153" i="2"/>
  <c r="FS153" i="2"/>
  <c r="EI153" i="2"/>
  <c r="K275" i="5"/>
  <c r="EP153" i="2"/>
  <c r="BR306" i="3"/>
  <c r="BR320" i="3" s="1"/>
  <c r="J306" i="3"/>
  <c r="J320" i="3" s="1"/>
  <c r="CT153" i="2"/>
  <c r="M153" i="2"/>
  <c r="DA153" i="2"/>
  <c r="EM153" i="2"/>
  <c r="FE275" i="5"/>
  <c r="CG153" i="2"/>
  <c r="CC275" i="5"/>
  <c r="CB153" i="2"/>
  <c r="BB275" i="5"/>
  <c r="EO153" i="2"/>
  <c r="FF275" i="5"/>
  <c r="F153" i="2"/>
  <c r="AC275" i="5"/>
  <c r="E164" i="2"/>
  <c r="E168" i="2" s="1"/>
  <c r="E158" i="2"/>
  <c r="E169" i="2" s="1"/>
  <c r="E184" i="2" s="1"/>
  <c r="BT290" i="5"/>
  <c r="BT292" i="5" s="1"/>
  <c r="BT281" i="5"/>
  <c r="BT285" i="5" s="1"/>
  <c r="BT294" i="5" s="1"/>
  <c r="DR296" i="5"/>
  <c r="DR303" i="5"/>
  <c r="DR82" i="5"/>
  <c r="EI290" i="5"/>
  <c r="EI292" i="5" s="1"/>
  <c r="EI281" i="5"/>
  <c r="EI285" i="5" s="1"/>
  <c r="EI294" i="5" s="1"/>
  <c r="CT290" i="5"/>
  <c r="CT292" i="5" s="1"/>
  <c r="CT281" i="5"/>
  <c r="CT285" i="5" s="1"/>
  <c r="CT294" i="5" s="1"/>
  <c r="I317" i="5"/>
  <c r="I309" i="5"/>
  <c r="I312" i="5"/>
  <c r="M317" i="5"/>
  <c r="M312" i="5"/>
  <c r="M309" i="5"/>
  <c r="EB290" i="5"/>
  <c r="EB292" i="5" s="1"/>
  <c r="EB281" i="5"/>
  <c r="EB285" i="5" s="1"/>
  <c r="EB294" i="5" s="1"/>
  <c r="BZ180" i="2"/>
  <c r="BZ182" i="2" s="1"/>
  <c r="BZ166" i="2"/>
  <c r="EH290" i="5"/>
  <c r="EH292" i="5" s="1"/>
  <c r="EH281" i="5"/>
  <c r="EH285" i="5" s="1"/>
  <c r="EH294" i="5" s="1"/>
  <c r="BL303" i="5"/>
  <c r="BL296" i="5"/>
  <c r="BL82" i="5"/>
  <c r="AL290" i="5"/>
  <c r="AL281" i="5"/>
  <c r="AL285" i="5" s="1"/>
  <c r="AL294" i="5" s="1"/>
  <c r="DV303" i="5"/>
  <c r="DV296" i="5"/>
  <c r="DV82" i="5"/>
  <c r="BW303" i="5"/>
  <c r="BW296" i="5"/>
  <c r="BW82" i="5"/>
  <c r="S158" i="2"/>
  <c r="S169" i="2" s="1"/>
  <c r="S184" i="2" s="1"/>
  <c r="S164" i="2"/>
  <c r="FU164" i="2"/>
  <c r="FU158" i="2"/>
  <c r="FU169" i="2" s="1"/>
  <c r="FU184" i="2" s="1"/>
  <c r="EI303" i="5"/>
  <c r="EI296" i="5"/>
  <c r="EI82" i="5"/>
  <c r="AY303" i="5"/>
  <c r="AY296" i="5"/>
  <c r="AY82" i="5"/>
  <c r="FF312" i="5"/>
  <c r="FF317" i="5"/>
  <c r="FF309" i="5"/>
  <c r="CO303" i="5"/>
  <c r="CO296" i="5"/>
  <c r="CO82" i="5"/>
  <c r="DO312" i="5"/>
  <c r="DO317" i="5"/>
  <c r="DO309" i="5"/>
  <c r="DV153" i="2"/>
  <c r="CT303" i="5"/>
  <c r="CT296" i="5"/>
  <c r="CT82" i="5"/>
  <c r="CE153" i="2"/>
  <c r="BV290" i="5"/>
  <c r="BV281" i="5"/>
  <c r="BV285" i="5" s="1"/>
  <c r="BV294" i="5" s="1"/>
  <c r="AU290" i="5"/>
  <c r="AU292" i="5" s="1"/>
  <c r="AU281" i="5"/>
  <c r="AU285" i="5" s="1"/>
  <c r="AU294" i="5" s="1"/>
  <c r="AZ166" i="2"/>
  <c r="AZ180" i="2"/>
  <c r="AZ182" i="2" s="1"/>
  <c r="EB303" i="5"/>
  <c r="EB296" i="5"/>
  <c r="EB82" i="5"/>
  <c r="BN180" i="2"/>
  <c r="BN182" i="2" s="1"/>
  <c r="BN166" i="2"/>
  <c r="BN172" i="2"/>
  <c r="Z172" i="2"/>
  <c r="Z180" i="2"/>
  <c r="Z166" i="2"/>
  <c r="L166" i="2"/>
  <c r="L180" i="2"/>
  <c r="L182" i="2" s="1"/>
  <c r="EH303" i="5"/>
  <c r="EH296" i="5"/>
  <c r="EH82" i="5"/>
  <c r="DL164" i="2"/>
  <c r="DL168" i="2" s="1"/>
  <c r="DL158" i="2"/>
  <c r="DL169" i="2" s="1"/>
  <c r="DL184" i="2" s="1"/>
  <c r="CW153" i="2"/>
  <c r="L290" i="5"/>
  <c r="L292" i="5" s="1"/>
  <c r="L281" i="5"/>
  <c r="L285" i="5" s="1"/>
  <c r="L294" i="5" s="1"/>
  <c r="BJ180" i="2"/>
  <c r="BJ182" i="2" s="1"/>
  <c r="BJ166" i="2"/>
  <c r="T304" i="5"/>
  <c r="T318" i="5" s="1"/>
  <c r="AG153" i="2"/>
  <c r="AL296" i="5"/>
  <c r="AL303" i="5"/>
  <c r="AL82" i="5"/>
  <c r="CB180" i="2"/>
  <c r="CB182" i="2" s="1"/>
  <c r="CB172" i="2"/>
  <c r="CB166" i="2"/>
  <c r="FC290" i="5"/>
  <c r="FC292" i="5" s="1"/>
  <c r="FC281" i="5"/>
  <c r="FC285" i="5" s="1"/>
  <c r="FC294" i="5" s="1"/>
  <c r="FG290" i="5"/>
  <c r="FG292" i="5" s="1"/>
  <c r="FG281" i="5"/>
  <c r="FG285" i="5" s="1"/>
  <c r="FG294" i="5" s="1"/>
  <c r="EP172" i="2"/>
  <c r="EP180" i="2"/>
  <c r="EP182" i="2" s="1"/>
  <c r="EP166" i="2"/>
  <c r="FM166" i="2"/>
  <c r="FM172" i="2"/>
  <c r="FM180" i="2"/>
  <c r="FM182" i="2" s="1"/>
  <c r="W304" i="5"/>
  <c r="W318" i="5" s="1"/>
  <c r="S179" i="2"/>
  <c r="S170" i="2"/>
  <c r="S50" i="2"/>
  <c r="S174" i="2"/>
  <c r="FU179" i="2"/>
  <c r="FU174" i="2"/>
  <c r="FU170" i="2"/>
  <c r="FU50" i="2"/>
  <c r="FJ290" i="5"/>
  <c r="FJ292" i="5" s="1"/>
  <c r="FJ281" i="5"/>
  <c r="FJ285" i="5" s="1"/>
  <c r="FJ294" i="5" s="1"/>
  <c r="FN290" i="5"/>
  <c r="FN292" i="5" s="1"/>
  <c r="FN281" i="5"/>
  <c r="FN285" i="5" s="1"/>
  <c r="FN294" i="5" s="1"/>
  <c r="BE180" i="2"/>
  <c r="BE182" i="2" s="1"/>
  <c r="BE166" i="2"/>
  <c r="CQ290" i="5"/>
  <c r="CQ292" i="5" s="1"/>
  <c r="CQ281" i="5"/>
  <c r="CQ285" i="5" s="1"/>
  <c r="CQ294" i="5" s="1"/>
  <c r="BF290" i="5"/>
  <c r="BF292" i="5" s="1"/>
  <c r="BF281" i="5"/>
  <c r="BF285" i="5" s="1"/>
  <c r="BF294" i="5" s="1"/>
  <c r="AU166" i="2"/>
  <c r="AU180" i="2"/>
  <c r="AU182" i="2" s="1"/>
  <c r="DN281" i="5"/>
  <c r="DN285" i="5" s="1"/>
  <c r="DN294" i="5" s="1"/>
  <c r="DN290" i="5"/>
  <c r="BC158" i="2"/>
  <c r="BC169" i="2" s="1"/>
  <c r="BC184" i="2" s="1"/>
  <c r="BC164" i="2"/>
  <c r="BC168" i="2" s="1"/>
  <c r="AX290" i="5"/>
  <c r="AX292" i="5" s="1"/>
  <c r="AX281" i="5"/>
  <c r="AX285" i="5" s="1"/>
  <c r="AX294" i="5" s="1"/>
  <c r="AY290" i="5"/>
  <c r="AY292" i="5" s="1"/>
  <c r="AY281" i="5"/>
  <c r="AY285" i="5" s="1"/>
  <c r="AY294" i="5" s="1"/>
  <c r="DE166" i="2"/>
  <c r="DE172" i="2"/>
  <c r="DE180" i="2"/>
  <c r="DE182" i="2" s="1"/>
  <c r="AF303" i="5"/>
  <c r="AF296" i="5"/>
  <c r="AF82" i="5"/>
  <c r="BC312" i="5"/>
  <c r="BC317" i="5"/>
  <c r="BC309" i="5"/>
  <c r="AV303" i="5"/>
  <c r="AV296" i="5"/>
  <c r="AV82" i="5"/>
  <c r="P296" i="5"/>
  <c r="P303" i="5"/>
  <c r="P82" i="5"/>
  <c r="BD290" i="5"/>
  <c r="BD292" i="5" s="1"/>
  <c r="BD281" i="5"/>
  <c r="BD285" i="5" s="1"/>
  <c r="BD294" i="5" s="1"/>
  <c r="CD153" i="2"/>
  <c r="AR290" i="5"/>
  <c r="AR292" i="5" s="1"/>
  <c r="AR281" i="5"/>
  <c r="AR285" i="5" s="1"/>
  <c r="AR294" i="5" s="1"/>
  <c r="I306" i="3"/>
  <c r="I320" i="3" s="1"/>
  <c r="EE180" i="2"/>
  <c r="EE182" i="2" s="1"/>
  <c r="EE166" i="2"/>
  <c r="FP172" i="2"/>
  <c r="FP180" i="2"/>
  <c r="FP182" i="2" s="1"/>
  <c r="FP166" i="2"/>
  <c r="E179" i="2"/>
  <c r="E174" i="2"/>
  <c r="E170" i="2"/>
  <c r="E50" i="2"/>
  <c r="DN303" i="5"/>
  <c r="DN296" i="5"/>
  <c r="DN82" i="5"/>
  <c r="AX303" i="5"/>
  <c r="AX296" i="5"/>
  <c r="AX82" i="5"/>
  <c r="BB164" i="2"/>
  <c r="BB168" i="2" s="1"/>
  <c r="BB158" i="2"/>
  <c r="BB169" i="2" s="1"/>
  <c r="BB184" i="2" s="1"/>
  <c r="EG153" i="2"/>
  <c r="AR303" i="5"/>
  <c r="AR296" i="5"/>
  <c r="AR82" i="5"/>
  <c r="AR180" i="2"/>
  <c r="AR182" i="2" s="1"/>
  <c r="AR172" i="2"/>
  <c r="AR166" i="2"/>
  <c r="AK290" i="5"/>
  <c r="AK292" i="5" s="1"/>
  <c r="AK281" i="5"/>
  <c r="AK285" i="5" s="1"/>
  <c r="AK294" i="5" s="1"/>
  <c r="FD172" i="2"/>
  <c r="FD180" i="2"/>
  <c r="FD182" i="2" s="1"/>
  <c r="FD166" i="2"/>
  <c r="CM164" i="2"/>
  <c r="CM168" i="2" s="1"/>
  <c r="CM158" i="2"/>
  <c r="CM169" i="2" s="1"/>
  <c r="CM184" i="2" s="1"/>
  <c r="BK290" i="5"/>
  <c r="BK292" i="5" s="1"/>
  <c r="BK281" i="5"/>
  <c r="BK285" i="5" s="1"/>
  <c r="BK294" i="5" s="1"/>
  <c r="CX290" i="5"/>
  <c r="CX292" i="5" s="1"/>
  <c r="CX281" i="5"/>
  <c r="CX285" i="5" s="1"/>
  <c r="CX294" i="5" s="1"/>
  <c r="AP303" i="5"/>
  <c r="AP296" i="5"/>
  <c r="AP82" i="5"/>
  <c r="BX290" i="5"/>
  <c r="BX292" i="5" s="1"/>
  <c r="BX281" i="5"/>
  <c r="BX285" i="5" s="1"/>
  <c r="BX294" i="5" s="1"/>
  <c r="DH164" i="2"/>
  <c r="DH168" i="2" s="1"/>
  <c r="DH158" i="2"/>
  <c r="DH169" i="2" s="1"/>
  <c r="DH184" i="2" s="1"/>
  <c r="EA290" i="5"/>
  <c r="EA292" i="5" s="1"/>
  <c r="EA281" i="5"/>
  <c r="EA285" i="5" s="1"/>
  <c r="EA294" i="5" s="1"/>
  <c r="EF304" i="5"/>
  <c r="EF318" i="5" s="1"/>
  <c r="EF298" i="5"/>
  <c r="Q304" i="5"/>
  <c r="Q318" i="5" s="1"/>
  <c r="Q298" i="5"/>
  <c r="CM290" i="5"/>
  <c r="CM292" i="5" s="1"/>
  <c r="CM281" i="5"/>
  <c r="CM285" i="5" s="1"/>
  <c r="CM294" i="5" s="1"/>
  <c r="CO290" i="5"/>
  <c r="CO292" i="5" s="1"/>
  <c r="CO281" i="5"/>
  <c r="CO285" i="5" s="1"/>
  <c r="CO294" i="5" s="1"/>
  <c r="CC312" i="5"/>
  <c r="CC317" i="5"/>
  <c r="CC309" i="5"/>
  <c r="DV180" i="2"/>
  <c r="DV182" i="2" s="1"/>
  <c r="DV166" i="2"/>
  <c r="CG166" i="2"/>
  <c r="CG172" i="2"/>
  <c r="CG180" i="2"/>
  <c r="CG182" i="2" s="1"/>
  <c r="EL306" i="3"/>
  <c r="EL320" i="3" s="1"/>
  <c r="CP306" i="3"/>
  <c r="CP320" i="3" s="1"/>
  <c r="BA153" i="2"/>
  <c r="AZ168" i="2"/>
  <c r="AZ172" i="2" s="1"/>
  <c r="DQ281" i="5"/>
  <c r="DQ285" i="5" s="1"/>
  <c r="DQ294" i="5" s="1"/>
  <c r="DQ290" i="5"/>
  <c r="DQ292" i="5" s="1"/>
  <c r="CE166" i="2"/>
  <c r="CE172" i="2"/>
  <c r="CE180" i="2"/>
  <c r="CE182" i="2" s="1"/>
  <c r="FW166" i="2"/>
  <c r="FW172" i="2"/>
  <c r="FW180" i="2"/>
  <c r="FW182" i="2" s="1"/>
  <c r="BV303" i="5"/>
  <c r="BV296" i="5"/>
  <c r="BV82" i="5"/>
  <c r="EE168" i="2"/>
  <c r="EE172" i="2" s="1"/>
  <c r="AU303" i="5"/>
  <c r="AU296" i="5"/>
  <c r="AU82" i="5"/>
  <c r="AZ317" i="5"/>
  <c r="AZ309" i="5"/>
  <c r="AZ312" i="5"/>
  <c r="F180" i="2"/>
  <c r="F182" i="2" s="1"/>
  <c r="F166" i="2"/>
  <c r="F172" i="2"/>
  <c r="CP303" i="5"/>
  <c r="CP296" i="5"/>
  <c r="CP82" i="5"/>
  <c r="BH290" i="5"/>
  <c r="BH292" i="5" s="1"/>
  <c r="BH281" i="5"/>
  <c r="BH285" i="5" s="1"/>
  <c r="BH294" i="5" s="1"/>
  <c r="DL179" i="2"/>
  <c r="DL170" i="2"/>
  <c r="DL174" i="2"/>
  <c r="DL50" i="2"/>
  <c r="CZ180" i="2"/>
  <c r="CZ182" i="2" s="1"/>
  <c r="CZ172" i="2"/>
  <c r="CZ166" i="2"/>
  <c r="CW180" i="2"/>
  <c r="CW182" i="2" s="1"/>
  <c r="CW166" i="2"/>
  <c r="CW172" i="2"/>
  <c r="L303" i="5"/>
  <c r="L296" i="5"/>
  <c r="L82" i="5"/>
  <c r="DH290" i="5"/>
  <c r="DH292" i="5" s="1"/>
  <c r="DH281" i="5"/>
  <c r="DH285" i="5" s="1"/>
  <c r="DH294" i="5" s="1"/>
  <c r="BM153" i="2"/>
  <c r="DA290" i="5"/>
  <c r="DA292" i="5" s="1"/>
  <c r="DA281" i="5"/>
  <c r="DA285" i="5" s="1"/>
  <c r="DA294" i="5" s="1"/>
  <c r="AG180" i="2"/>
  <c r="AG182" i="2" s="1"/>
  <c r="AG166" i="2"/>
  <c r="AG172" i="2"/>
  <c r="CJ290" i="5"/>
  <c r="CJ292" i="5" s="1"/>
  <c r="CJ281" i="5"/>
  <c r="CJ285" i="5" s="1"/>
  <c r="CJ294" i="5" s="1"/>
  <c r="BP275" i="5"/>
  <c r="EE290" i="5"/>
  <c r="EE292" i="5" s="1"/>
  <c r="EE281" i="5"/>
  <c r="EE285" i="5" s="1"/>
  <c r="EE294" i="5" s="1"/>
  <c r="AE290" i="5"/>
  <c r="AE292" i="5" s="1"/>
  <c r="AE281" i="5"/>
  <c r="AE285" i="5" s="1"/>
  <c r="AE294" i="5" s="1"/>
  <c r="FC296" i="5"/>
  <c r="FC303" i="5"/>
  <c r="FC82" i="5"/>
  <c r="FG303" i="5"/>
  <c r="FG296" i="5"/>
  <c r="FG82" i="5"/>
  <c r="EP275" i="5"/>
  <c r="CN290" i="5"/>
  <c r="CN292" i="5" s="1"/>
  <c r="CN281" i="5"/>
  <c r="CN285" i="5" s="1"/>
  <c r="CN294" i="5" s="1"/>
  <c r="DB153" i="2"/>
  <c r="AA153" i="2"/>
  <c r="CP164" i="2"/>
  <c r="CP153" i="2"/>
  <c r="CX164" i="2"/>
  <c r="CX158" i="2"/>
  <c r="CX169" i="2" s="1"/>
  <c r="CX184" i="2" s="1"/>
  <c r="EI180" i="2"/>
  <c r="EI182" i="2" s="1"/>
  <c r="EI166" i="2"/>
  <c r="DY180" i="2"/>
  <c r="DY182" i="2" s="1"/>
  <c r="DY166" i="2"/>
  <c r="EU303" i="5"/>
  <c r="EU296" i="5"/>
  <c r="EU82" i="5"/>
  <c r="BS290" i="5"/>
  <c r="BS281" i="5"/>
  <c r="BS285" i="5" s="1"/>
  <c r="BS294" i="5" s="1"/>
  <c r="AF180" i="2"/>
  <c r="AF182" i="2" s="1"/>
  <c r="AF166" i="2"/>
  <c r="DU180" i="2"/>
  <c r="DU182" i="2" s="1"/>
  <c r="DU166" i="2"/>
  <c r="DU172" i="2"/>
  <c r="FU312" i="5"/>
  <c r="FU317" i="5"/>
  <c r="FU309" i="5"/>
  <c r="DX180" i="2"/>
  <c r="DX182" i="2" s="1"/>
  <c r="DX172" i="2"/>
  <c r="DX166" i="2"/>
  <c r="AO304" i="5"/>
  <c r="AO318" i="5" s="1"/>
  <c r="CY153" i="2"/>
  <c r="BQ153" i="2"/>
  <c r="BY153" i="2"/>
  <c r="ED180" i="2"/>
  <c r="ED182" i="2" s="1"/>
  <c r="ED166" i="2"/>
  <c r="CY312" i="5"/>
  <c r="CY317" i="5"/>
  <c r="CY309" i="5"/>
  <c r="DT317" i="5"/>
  <c r="DT309" i="5"/>
  <c r="DT312" i="5"/>
  <c r="BS303" i="5"/>
  <c r="BS296" i="5"/>
  <c r="BS82" i="5"/>
  <c r="AR153" i="2"/>
  <c r="BT296" i="5"/>
  <c r="BT303" i="5"/>
  <c r="BT82" i="5"/>
  <c r="DR290" i="5"/>
  <c r="DR281" i="5"/>
  <c r="DR285" i="5" s="1"/>
  <c r="DR294" i="5" s="1"/>
  <c r="BC179" i="2"/>
  <c r="BC170" i="2"/>
  <c r="BC174" i="2"/>
  <c r="BC50" i="2"/>
  <c r="AP290" i="5"/>
  <c r="AP281" i="5"/>
  <c r="AP285" i="5" s="1"/>
  <c r="AP294" i="5" s="1"/>
  <c r="BC306" i="3"/>
  <c r="BC320" i="3" s="1"/>
  <c r="BD303" i="5"/>
  <c r="BD296" i="5"/>
  <c r="BD82" i="5"/>
  <c r="CD166" i="2"/>
  <c r="CD180" i="2"/>
  <c r="CD182" i="2" s="1"/>
  <c r="CY180" i="2"/>
  <c r="CY182" i="2" s="1"/>
  <c r="CY166" i="2"/>
  <c r="BQ180" i="2"/>
  <c r="BQ182" i="2" s="1"/>
  <c r="BQ166" i="2"/>
  <c r="BQ172" i="2"/>
  <c r="BY180" i="2"/>
  <c r="BY182" i="2" s="1"/>
  <c r="BY166" i="2"/>
  <c r="BY172" i="2"/>
  <c r="EQ290" i="5"/>
  <c r="EQ292" i="5" s="1"/>
  <c r="EQ281" i="5"/>
  <c r="EQ285" i="5" s="1"/>
  <c r="EQ294" i="5" s="1"/>
  <c r="CV290" i="5"/>
  <c r="CV281" i="5"/>
  <c r="CV285" i="5" s="1"/>
  <c r="CV294" i="5" s="1"/>
  <c r="BS153" i="2"/>
  <c r="ED168" i="2"/>
  <c r="ED172" i="2" s="1"/>
  <c r="BB179" i="2"/>
  <c r="BB170" i="2"/>
  <c r="BB174" i="2"/>
  <c r="BB50" i="2"/>
  <c r="CJ174" i="2"/>
  <c r="CJ170" i="2"/>
  <c r="CJ179" i="2"/>
  <c r="CJ50" i="2"/>
  <c r="EK312" i="5"/>
  <c r="EK309" i="5"/>
  <c r="EK317" i="5"/>
  <c r="F275" i="5"/>
  <c r="AV153" i="2"/>
  <c r="EG180" i="2"/>
  <c r="EG182" i="2" s="1"/>
  <c r="EG166" i="2"/>
  <c r="EG172" i="2"/>
  <c r="EQ303" i="5"/>
  <c r="EQ296" i="5"/>
  <c r="EQ82" i="5"/>
  <c r="CL290" i="5"/>
  <c r="CL281" i="5"/>
  <c r="CL285" i="5" s="1"/>
  <c r="CL294" i="5" s="1"/>
  <c r="CV303" i="5"/>
  <c r="CV296" i="5"/>
  <c r="CV82" i="5"/>
  <c r="DD290" i="5"/>
  <c r="DD292" i="5" s="1"/>
  <c r="DD281" i="5"/>
  <c r="DD285" i="5" s="1"/>
  <c r="DD294" i="5" s="1"/>
  <c r="CC153" i="2"/>
  <c r="DL306" i="3"/>
  <c r="DL320" i="3" s="1"/>
  <c r="BR312" i="5"/>
  <c r="BR309" i="5"/>
  <c r="BR317" i="5"/>
  <c r="AJ304" i="5"/>
  <c r="AJ318" i="5" s="1"/>
  <c r="AJ298" i="5"/>
  <c r="AK296" i="5"/>
  <c r="AK303" i="5"/>
  <c r="AK82" i="5"/>
  <c r="EF317" i="5"/>
  <c r="EF309" i="5"/>
  <c r="EF312" i="5"/>
  <c r="L168" i="2"/>
  <c r="L172" i="2" s="1"/>
  <c r="BS166" i="2"/>
  <c r="BS172" i="2"/>
  <c r="BS180" i="2"/>
  <c r="BS182" i="2" s="1"/>
  <c r="AX172" i="2"/>
  <c r="AX180" i="2"/>
  <c r="AX182" i="2" s="1"/>
  <c r="AX166" i="2"/>
  <c r="CM179" i="2"/>
  <c r="CM170" i="2"/>
  <c r="CM50" i="2"/>
  <c r="CM174" i="2"/>
  <c r="BK303" i="5"/>
  <c r="BK296" i="5"/>
  <c r="BK82" i="5"/>
  <c r="CX303" i="5"/>
  <c r="CX296" i="5"/>
  <c r="CX82" i="5"/>
  <c r="DV168" i="2"/>
  <c r="DV172" i="2" s="1"/>
  <c r="BX303" i="5"/>
  <c r="BX296" i="5"/>
  <c r="BX82" i="5"/>
  <c r="DH174" i="2"/>
  <c r="DH170" i="2"/>
  <c r="DH179" i="2"/>
  <c r="DH50" i="2"/>
  <c r="EA303" i="5"/>
  <c r="EA296" i="5"/>
  <c r="EA82" i="5"/>
  <c r="DU290" i="5"/>
  <c r="DU292" i="5" s="1"/>
  <c r="DU281" i="5"/>
  <c r="DU285" i="5" s="1"/>
  <c r="DU294" i="5" s="1"/>
  <c r="BH153" i="2"/>
  <c r="CM303" i="5"/>
  <c r="CM296" i="5"/>
  <c r="CM82" i="5"/>
  <c r="EJ179" i="2"/>
  <c r="EJ170" i="2"/>
  <c r="EJ174" i="2"/>
  <c r="EJ50" i="2"/>
  <c r="DP290" i="5"/>
  <c r="DP292" i="5" s="1"/>
  <c r="DP281" i="5"/>
  <c r="DP285" i="5" s="1"/>
  <c r="DP294" i="5" s="1"/>
  <c r="BA180" i="2"/>
  <c r="BA182" i="2" s="1"/>
  <c r="BA166" i="2"/>
  <c r="BA172" i="2"/>
  <c r="AW304" i="5"/>
  <c r="AW318" i="5" s="1"/>
  <c r="AW298" i="5"/>
  <c r="DQ296" i="5"/>
  <c r="DQ303" i="5"/>
  <c r="DQ82" i="5"/>
  <c r="DJ290" i="5"/>
  <c r="DJ281" i="5"/>
  <c r="DJ285" i="5" s="1"/>
  <c r="DJ294" i="5" s="1"/>
  <c r="FZ227" i="5"/>
  <c r="C232" i="5"/>
  <c r="C237" i="5" s="1"/>
  <c r="DR172" i="2"/>
  <c r="DR180" i="2"/>
  <c r="DR182" i="2" s="1"/>
  <c r="DR166" i="2"/>
  <c r="DZ153" i="2"/>
  <c r="R290" i="5"/>
  <c r="R292" i="5" s="1"/>
  <c r="R281" i="5"/>
  <c r="R285" i="5" s="1"/>
  <c r="R294" i="5" s="1"/>
  <c r="BG153" i="2"/>
  <c r="AC304" i="5"/>
  <c r="AC318" i="5" s="1"/>
  <c r="AC298" i="5"/>
  <c r="AQ290" i="5"/>
  <c r="AQ281" i="5"/>
  <c r="AQ285" i="5" s="1"/>
  <c r="AQ294" i="5" s="1"/>
  <c r="CP290" i="5"/>
  <c r="CP292" i="5" s="1"/>
  <c r="CP281" i="5"/>
  <c r="CP285" i="5" s="1"/>
  <c r="CP294" i="5" s="1"/>
  <c r="M304" i="5"/>
  <c r="M318" i="5" s="1"/>
  <c r="M298" i="5"/>
  <c r="BH303" i="5"/>
  <c r="BH296" i="5"/>
  <c r="BH82" i="5"/>
  <c r="DH303" i="5"/>
  <c r="DH296" i="5"/>
  <c r="DH82" i="5"/>
  <c r="FP290" i="5"/>
  <c r="FP281" i="5"/>
  <c r="FP285" i="5" s="1"/>
  <c r="FP294" i="5" s="1"/>
  <c r="BM180" i="2"/>
  <c r="BM182" i="2" s="1"/>
  <c r="BM166" i="2"/>
  <c r="BM172" i="2"/>
  <c r="DA303" i="5"/>
  <c r="DA296" i="5"/>
  <c r="DA82" i="5"/>
  <c r="H275" i="5"/>
  <c r="CJ296" i="5"/>
  <c r="CJ303" i="5"/>
  <c r="CJ82" i="5"/>
  <c r="BP304" i="5"/>
  <c r="BP318" i="5" s="1"/>
  <c r="BP298" i="5"/>
  <c r="EE303" i="5"/>
  <c r="EE296" i="5"/>
  <c r="EE82" i="5"/>
  <c r="AE303" i="5"/>
  <c r="AE296" i="5"/>
  <c r="AE82" i="5"/>
  <c r="AP162" i="2"/>
  <c r="AP151" i="2"/>
  <c r="AP152" i="2" s="1"/>
  <c r="EP304" i="5"/>
  <c r="EP318" i="5" s="1"/>
  <c r="EP298" i="5"/>
  <c r="BA290" i="5"/>
  <c r="BA292" i="5" s="1"/>
  <c r="BA281" i="5"/>
  <c r="BA285" i="5" s="1"/>
  <c r="BA294" i="5" s="1"/>
  <c r="CN303" i="5"/>
  <c r="CN296" i="5"/>
  <c r="CN82" i="5"/>
  <c r="DB166" i="2"/>
  <c r="DB172" i="2"/>
  <c r="DB180" i="2"/>
  <c r="DB182" i="2" s="1"/>
  <c r="AA180" i="2"/>
  <c r="AA182" i="2" s="1"/>
  <c r="AA166" i="2"/>
  <c r="AA172" i="2"/>
  <c r="BB306" i="3"/>
  <c r="BB320" i="3" s="1"/>
  <c r="CP170" i="2"/>
  <c r="CP174" i="2"/>
  <c r="CP179" i="2"/>
  <c r="CP50" i="2"/>
  <c r="CX179" i="2"/>
  <c r="CX170" i="2"/>
  <c r="CX174" i="2"/>
  <c r="CX50" i="2"/>
  <c r="Y317" i="5"/>
  <c r="Y312" i="5"/>
  <c r="Y309" i="5"/>
  <c r="EX298" i="5"/>
  <c r="EX304" i="5"/>
  <c r="EX318" i="5" s="1"/>
  <c r="CD290" i="5"/>
  <c r="CD281" i="5"/>
  <c r="CD285" i="5" s="1"/>
  <c r="CD294" i="5" s="1"/>
  <c r="CJ164" i="2"/>
  <c r="CJ168" i="2" s="1"/>
  <c r="CJ158" i="2"/>
  <c r="CJ169" i="2" s="1"/>
  <c r="CJ184" i="2" s="1"/>
  <c r="AO317" i="5"/>
  <c r="AO309" i="5"/>
  <c r="AO312" i="5"/>
  <c r="AC317" i="5"/>
  <c r="AC312" i="5"/>
  <c r="AC309" i="5"/>
  <c r="EJ164" i="2"/>
  <c r="EJ168" i="2" s="1"/>
  <c r="EJ158" i="2"/>
  <c r="EJ169" i="2" s="1"/>
  <c r="EJ184" i="2" s="1"/>
  <c r="FQ290" i="5"/>
  <c r="FQ292" i="5" s="1"/>
  <c r="FQ281" i="5"/>
  <c r="FQ285" i="5" s="1"/>
  <c r="FQ294" i="5" s="1"/>
  <c r="EG317" i="5"/>
  <c r="EG309" i="5"/>
  <c r="EG312" i="5"/>
  <c r="AI290" i="5"/>
  <c r="AI292" i="5" s="1"/>
  <c r="AI281" i="5"/>
  <c r="AI285" i="5" s="1"/>
  <c r="AI294" i="5" s="1"/>
  <c r="DJ303" i="5"/>
  <c r="DJ296" i="5"/>
  <c r="DJ82" i="5"/>
  <c r="FR180" i="2"/>
  <c r="FR182" i="2" s="1"/>
  <c r="FR166" i="2"/>
  <c r="DZ166" i="2"/>
  <c r="DZ180" i="2"/>
  <c r="DZ182" i="2" s="1"/>
  <c r="R303" i="5"/>
  <c r="R296" i="5"/>
  <c r="R82" i="5"/>
  <c r="AG312" i="5"/>
  <c r="AG317" i="5"/>
  <c r="AG309" i="5"/>
  <c r="AQ303" i="5"/>
  <c r="AQ296" i="5"/>
  <c r="AQ82" i="5"/>
  <c r="CC304" i="5"/>
  <c r="CC318" i="5" s="1"/>
  <c r="CC298" i="5"/>
  <c r="DF164" i="2"/>
  <c r="DF168" i="2" s="1"/>
  <c r="DF158" i="2"/>
  <c r="DF169" i="2" s="1"/>
  <c r="DF184" i="2" s="1"/>
  <c r="H317" i="5"/>
  <c r="H309" i="5"/>
  <c r="H312" i="5"/>
  <c r="FV290" i="5"/>
  <c r="FV292" i="5" s="1"/>
  <c r="FV281" i="5"/>
  <c r="FV285" i="5" s="1"/>
  <c r="FV294" i="5" s="1"/>
  <c r="FP296" i="5"/>
  <c r="FP303" i="5"/>
  <c r="FP82" i="5"/>
  <c r="H304" i="5"/>
  <c r="H318" i="5" s="1"/>
  <c r="AB290" i="5"/>
  <c r="AB281" i="5"/>
  <c r="AB285" i="5" s="1"/>
  <c r="AB294" i="5" s="1"/>
  <c r="BA296" i="5"/>
  <c r="BA303" i="5"/>
  <c r="BA82" i="5"/>
  <c r="AN290" i="5"/>
  <c r="AN292" i="5" s="1"/>
  <c r="AN281" i="5"/>
  <c r="AN285" i="5" s="1"/>
  <c r="AN294" i="5" s="1"/>
  <c r="DZ303" i="5"/>
  <c r="DZ296" i="5"/>
  <c r="DZ82" i="5"/>
  <c r="DO164" i="2"/>
  <c r="DO168" i="2" s="1"/>
  <c r="DO158" i="2"/>
  <c r="DO169" i="2" s="1"/>
  <c r="DO184" i="2" s="1"/>
  <c r="BR164" i="2"/>
  <c r="BR168" i="2" s="1"/>
  <c r="BR158" i="2"/>
  <c r="BR169" i="2" s="1"/>
  <c r="BR184" i="2" s="1"/>
  <c r="AW166" i="2"/>
  <c r="AW172" i="2"/>
  <c r="AW180" i="2"/>
  <c r="AW182" i="2" s="1"/>
  <c r="BE290" i="5"/>
  <c r="BE281" i="5"/>
  <c r="BE285" i="5" s="1"/>
  <c r="BE294" i="5" s="1"/>
  <c r="D290" i="5"/>
  <c r="D292" i="5" s="1"/>
  <c r="D281" i="5"/>
  <c r="D285" i="5" s="1"/>
  <c r="D294" i="5" s="1"/>
  <c r="ER290" i="5"/>
  <c r="ER292" i="5" s="1"/>
  <c r="ER281" i="5"/>
  <c r="ER285" i="5" s="1"/>
  <c r="ER294" i="5" s="1"/>
  <c r="K317" i="5"/>
  <c r="K312" i="5"/>
  <c r="K309" i="5"/>
  <c r="DY168" i="2"/>
  <c r="DY172" i="2" s="1"/>
  <c r="CF290" i="5"/>
  <c r="CF292" i="5" s="1"/>
  <c r="CF281" i="5"/>
  <c r="CF285" i="5" s="1"/>
  <c r="CF294" i="5" s="1"/>
  <c r="AO153" i="2"/>
  <c r="D303" i="5"/>
  <c r="D296" i="5"/>
  <c r="D82" i="5"/>
  <c r="ED303" i="5"/>
  <c r="ED296" i="5"/>
  <c r="ED82" i="5"/>
  <c r="D153" i="2"/>
  <c r="CO153" i="2"/>
  <c r="ER303" i="5"/>
  <c r="ER296" i="5"/>
  <c r="ER82" i="5"/>
  <c r="EZ290" i="5"/>
  <c r="EZ292" i="5" s="1"/>
  <c r="EZ281" i="5"/>
  <c r="EZ285" i="5" s="1"/>
  <c r="EZ294" i="5" s="1"/>
  <c r="DA180" i="2"/>
  <c r="DA182" i="2" s="1"/>
  <c r="DA166" i="2"/>
  <c r="DA172" i="2"/>
  <c r="BH166" i="2"/>
  <c r="BH172" i="2"/>
  <c r="BH180" i="2"/>
  <c r="BH182" i="2" s="1"/>
  <c r="CZ303" i="5"/>
  <c r="CZ296" i="5"/>
  <c r="CZ82" i="5"/>
  <c r="BC304" i="5"/>
  <c r="BC318" i="5" s="1"/>
  <c r="DB290" i="5"/>
  <c r="DB292" i="5" s="1"/>
  <c r="DB281" i="5"/>
  <c r="DB285" i="5" s="1"/>
  <c r="DB294" i="5" s="1"/>
  <c r="DS180" i="2"/>
  <c r="DS182" i="2" s="1"/>
  <c r="DS166" i="2"/>
  <c r="FM290" i="5"/>
  <c r="FM292" i="5" s="1"/>
  <c r="FM281" i="5"/>
  <c r="FM285" i="5" s="1"/>
  <c r="FM294" i="5" s="1"/>
  <c r="BJ317" i="5"/>
  <c r="BJ309" i="5"/>
  <c r="BJ312" i="5"/>
  <c r="FQ303" i="5"/>
  <c r="FQ296" i="5"/>
  <c r="FQ82" i="5"/>
  <c r="EN290" i="5"/>
  <c r="EN292" i="5" s="1"/>
  <c r="EN281" i="5"/>
  <c r="EN285" i="5" s="1"/>
  <c r="EN294" i="5" s="1"/>
  <c r="AI303" i="5"/>
  <c r="AI296" i="5"/>
  <c r="AI82" i="5"/>
  <c r="FF304" i="5"/>
  <c r="FF318" i="5" s="1"/>
  <c r="FF298" i="5"/>
  <c r="FI290" i="5"/>
  <c r="FI292" i="5" s="1"/>
  <c r="FI281" i="5"/>
  <c r="FI285" i="5" s="1"/>
  <c r="FI294" i="5" s="1"/>
  <c r="FK290" i="5"/>
  <c r="FK292" i="5" s="1"/>
  <c r="FK281" i="5"/>
  <c r="FK285" i="5" s="1"/>
  <c r="FK294" i="5" s="1"/>
  <c r="BG166" i="2"/>
  <c r="BG172" i="2"/>
  <c r="BG180" i="2"/>
  <c r="BG182" i="2" s="1"/>
  <c r="G290" i="5"/>
  <c r="G292" i="5" s="1"/>
  <c r="G281" i="5"/>
  <c r="G285" i="5" s="1"/>
  <c r="G294" i="5" s="1"/>
  <c r="J164" i="2"/>
  <c r="J158" i="2"/>
  <c r="J169" i="2" s="1"/>
  <c r="J184" i="2" s="1"/>
  <c r="DF170" i="2"/>
  <c r="DF174" i="2"/>
  <c r="DF179" i="2"/>
  <c r="DF50" i="2"/>
  <c r="ET275" i="5"/>
  <c r="N180" i="2"/>
  <c r="N182" i="2" s="1"/>
  <c r="N166" i="2"/>
  <c r="FV303" i="5"/>
  <c r="FV296" i="5"/>
  <c r="FV82" i="5"/>
  <c r="AB303" i="5"/>
  <c r="AB296" i="5"/>
  <c r="AB82" i="5"/>
  <c r="AN296" i="5"/>
  <c r="AN303" i="5"/>
  <c r="AN82" i="5"/>
  <c r="DZ290" i="5"/>
  <c r="DZ292" i="5" s="1"/>
  <c r="DZ281" i="5"/>
  <c r="DZ285" i="5" s="1"/>
  <c r="DZ294" i="5" s="1"/>
  <c r="E306" i="3"/>
  <c r="E320" i="3" s="1"/>
  <c r="DO170" i="2"/>
  <c r="DO179" i="2"/>
  <c r="DO174" i="2"/>
  <c r="DO50" i="2"/>
  <c r="BR170" i="2"/>
  <c r="BR174" i="2"/>
  <c r="BR179" i="2"/>
  <c r="BR50" i="2"/>
  <c r="S290" i="5"/>
  <c r="S292" i="5" s="1"/>
  <c r="S281" i="5"/>
  <c r="S285" i="5" s="1"/>
  <c r="S294" i="5" s="1"/>
  <c r="N290" i="5"/>
  <c r="N292" i="5" s="1"/>
  <c r="N281" i="5"/>
  <c r="N285" i="5" s="1"/>
  <c r="BZ304" i="5"/>
  <c r="BZ318" i="5" s="1"/>
  <c r="Q317" i="5"/>
  <c r="Q312" i="5"/>
  <c r="Q309" i="5"/>
  <c r="DW290" i="5"/>
  <c r="DW292" i="5" s="1"/>
  <c r="DW281" i="5"/>
  <c r="DW285" i="5" s="1"/>
  <c r="DW294" i="5" s="1"/>
  <c r="CZ290" i="5"/>
  <c r="CZ292" i="5" s="1"/>
  <c r="CZ281" i="5"/>
  <c r="CZ285" i="5" s="1"/>
  <c r="CZ294" i="5" s="1"/>
  <c r="DP296" i="5"/>
  <c r="DP303" i="5"/>
  <c r="DP82" i="5"/>
  <c r="CD303" i="5"/>
  <c r="CD296" i="5"/>
  <c r="CD82" i="5"/>
  <c r="AZ304" i="5"/>
  <c r="AZ318" i="5" s="1"/>
  <c r="AZ298" i="5"/>
  <c r="FL317" i="5"/>
  <c r="FL312" i="5"/>
  <c r="FL309" i="5"/>
  <c r="O290" i="5"/>
  <c r="O292" i="5" s="1"/>
  <c r="O281" i="5"/>
  <c r="O285" i="5" s="1"/>
  <c r="O294" i="5" s="1"/>
  <c r="CB290" i="5"/>
  <c r="CB292" i="5" s="1"/>
  <c r="CB281" i="5"/>
  <c r="CB285" i="5" s="1"/>
  <c r="CB294" i="5" s="1"/>
  <c r="EK298" i="5"/>
  <c r="EK304" i="5"/>
  <c r="EK318" i="5" s="1"/>
  <c r="AO292" i="5"/>
  <c r="AO298" i="5" s="1"/>
  <c r="FX290" i="5"/>
  <c r="FX292" i="5" s="1"/>
  <c r="FX281" i="5"/>
  <c r="FX285" i="5" s="1"/>
  <c r="FX294" i="5" s="1"/>
  <c r="FN172" i="2"/>
  <c r="FN180" i="2"/>
  <c r="FN182" i="2" s="1"/>
  <c r="FN166" i="2"/>
  <c r="CF303" i="5"/>
  <c r="CF296" i="5"/>
  <c r="CF82" i="5"/>
  <c r="AO180" i="2"/>
  <c r="AO182" i="2" s="1"/>
  <c r="AO166" i="2"/>
  <c r="AO172" i="2"/>
  <c r="ED290" i="5"/>
  <c r="ED281" i="5"/>
  <c r="ED285" i="5" s="1"/>
  <c r="ED294" i="5" s="1"/>
  <c r="DE290" i="5"/>
  <c r="DE292" i="5" s="1"/>
  <c r="DE281" i="5"/>
  <c r="DE285" i="5" s="1"/>
  <c r="DE294" i="5" s="1"/>
  <c r="D172" i="2"/>
  <c r="D180" i="2"/>
  <c r="D182" i="2" s="1"/>
  <c r="D166" i="2"/>
  <c r="CO180" i="2"/>
  <c r="CO182" i="2" s="1"/>
  <c r="CO166" i="2"/>
  <c r="DQ153" i="2"/>
  <c r="DC304" i="5"/>
  <c r="DC318" i="5" s="1"/>
  <c r="EZ296" i="5"/>
  <c r="EZ303" i="5"/>
  <c r="EZ82" i="5"/>
  <c r="CG290" i="5"/>
  <c r="CG292" i="5" s="1"/>
  <c r="CG281" i="5"/>
  <c r="CG285" i="5" s="1"/>
  <c r="CG294" i="5" s="1"/>
  <c r="DG290" i="5"/>
  <c r="DG292" i="5" s="1"/>
  <c r="DG281" i="5"/>
  <c r="DG285" i="5" s="1"/>
  <c r="DG294" i="5" s="1"/>
  <c r="DB303" i="5"/>
  <c r="DB296" i="5"/>
  <c r="DB82" i="5"/>
  <c r="FM303" i="5"/>
  <c r="FM296" i="5"/>
  <c r="FM82" i="5"/>
  <c r="EN296" i="5"/>
  <c r="EN303" i="5"/>
  <c r="EN82" i="5"/>
  <c r="DZ168" i="2"/>
  <c r="DZ172" i="2" s="1"/>
  <c r="AJ166" i="2"/>
  <c r="AJ172" i="2"/>
  <c r="AJ180" i="2"/>
  <c r="AJ182" i="2" s="1"/>
  <c r="FI303" i="5"/>
  <c r="FI296" i="5"/>
  <c r="FI82" i="5"/>
  <c r="FK303" i="5"/>
  <c r="FK296" i="5"/>
  <c r="FK82" i="5"/>
  <c r="V290" i="5"/>
  <c r="V292" i="5" s="1"/>
  <c r="V281" i="5"/>
  <c r="V285" i="5" s="1"/>
  <c r="V294" i="5" s="1"/>
  <c r="G303" i="5"/>
  <c r="G296" i="5"/>
  <c r="G82" i="5"/>
  <c r="EJ290" i="5"/>
  <c r="EJ292" i="5" s="1"/>
  <c r="EJ281" i="5"/>
  <c r="EJ285" i="5" s="1"/>
  <c r="EJ294" i="5" s="1"/>
  <c r="J170" i="2"/>
  <c r="J174" i="2"/>
  <c r="J179" i="2"/>
  <c r="J50" i="2"/>
  <c r="AS290" i="5"/>
  <c r="AS292" i="5" s="1"/>
  <c r="AS281" i="5"/>
  <c r="AS285" i="5" s="1"/>
  <c r="AS294" i="5" s="1"/>
  <c r="CI306" i="3"/>
  <c r="CI320" i="3" s="1"/>
  <c r="ET304" i="5"/>
  <c r="ET318" i="5" s="1"/>
  <c r="U317" i="5"/>
  <c r="U309" i="5"/>
  <c r="U312" i="5"/>
  <c r="EO290" i="5"/>
  <c r="EO292" i="5" s="1"/>
  <c r="EO281" i="5"/>
  <c r="EO285" i="5" s="1"/>
  <c r="EO294" i="5" s="1"/>
  <c r="FT318" i="5"/>
  <c r="FT323" i="5" s="1"/>
  <c r="FT306" i="5"/>
  <c r="FT320" i="5" s="1"/>
  <c r="CH290" i="5"/>
  <c r="CH292" i="5" s="1"/>
  <c r="CH281" i="5"/>
  <c r="CH285" i="5" s="1"/>
  <c r="CH294" i="5" s="1"/>
  <c r="DO306" i="3"/>
  <c r="DO320" i="3" s="1"/>
  <c r="BQ298" i="5"/>
  <c r="BQ304" i="5"/>
  <c r="BQ318" i="5" s="1"/>
  <c r="FU306" i="3"/>
  <c r="FU320" i="3" s="1"/>
  <c r="EL164" i="2"/>
  <c r="EL158" i="2"/>
  <c r="EL169" i="2" s="1"/>
  <c r="EL184" i="2" s="1"/>
  <c r="BK164" i="2"/>
  <c r="BK168" i="2" s="1"/>
  <c r="BK158" i="2"/>
  <c r="BK169" i="2" s="1"/>
  <c r="BK184" i="2" s="1"/>
  <c r="BD180" i="2"/>
  <c r="BD182" i="2" s="1"/>
  <c r="BD166" i="2"/>
  <c r="FO304" i="5"/>
  <c r="FO318" i="5" s="1"/>
  <c r="FD312" i="5"/>
  <c r="BY303" i="5"/>
  <c r="BY296" i="5"/>
  <c r="BY82" i="5"/>
  <c r="FI164" i="2"/>
  <c r="FI168" i="2" s="1"/>
  <c r="FI158" i="2"/>
  <c r="FI169" i="2" s="1"/>
  <c r="FI184" i="2" s="1"/>
  <c r="F304" i="5"/>
  <c r="F318" i="5" s="1"/>
  <c r="CL303" i="5"/>
  <c r="CL296" i="5"/>
  <c r="CL82" i="5"/>
  <c r="DD296" i="5"/>
  <c r="DD303" i="5"/>
  <c r="DD82" i="5"/>
  <c r="EX312" i="5"/>
  <c r="EX317" i="5"/>
  <c r="EX309" i="5"/>
  <c r="FI179" i="2"/>
  <c r="FI174" i="2"/>
  <c r="FI170" i="2"/>
  <c r="FI50" i="2"/>
  <c r="DW303" i="5"/>
  <c r="DW296" i="5"/>
  <c r="DW82" i="5"/>
  <c r="BN275" i="5"/>
  <c r="BU275" i="5"/>
  <c r="FE304" i="5"/>
  <c r="FE318" i="5" s="1"/>
  <c r="FE298" i="5"/>
  <c r="M166" i="2"/>
  <c r="M180" i="2"/>
  <c r="M182" i="2" s="1"/>
  <c r="DW153" i="2"/>
  <c r="DL303" i="5"/>
  <c r="DL296" i="5"/>
  <c r="DL82" i="5"/>
  <c r="BN304" i="5"/>
  <c r="BN318" i="5" s="1"/>
  <c r="O303" i="5"/>
  <c r="O296" i="5"/>
  <c r="O82" i="5"/>
  <c r="CH153" i="2"/>
  <c r="CB303" i="5"/>
  <c r="CB296" i="5"/>
  <c r="CB82" i="5"/>
  <c r="CU153" i="2"/>
  <c r="FD275" i="5"/>
  <c r="BN292" i="5"/>
  <c r="BN298" i="5" s="1"/>
  <c r="AJ317" i="5"/>
  <c r="AJ312" i="5"/>
  <c r="AJ309" i="5"/>
  <c r="DW180" i="2"/>
  <c r="DW182" i="2" s="1"/>
  <c r="DW166" i="2"/>
  <c r="DW172" i="2"/>
  <c r="AU168" i="2"/>
  <c r="AU172" i="2" s="1"/>
  <c r="BG290" i="5"/>
  <c r="BG292" i="5" s="1"/>
  <c r="BG281" i="5"/>
  <c r="BG285" i="5" s="1"/>
  <c r="BG294" i="5" s="1"/>
  <c r="FX296" i="5"/>
  <c r="FX303" i="5"/>
  <c r="FX82" i="5"/>
  <c r="AF168" i="2"/>
  <c r="AF172" i="2" s="1"/>
  <c r="BM317" i="5"/>
  <c r="BM309" i="5"/>
  <c r="BM312" i="5"/>
  <c r="DE303" i="5"/>
  <c r="DE296" i="5"/>
  <c r="DE82" i="5"/>
  <c r="X290" i="5"/>
  <c r="X292" i="5" s="1"/>
  <c r="X281" i="5"/>
  <c r="X285" i="5" s="1"/>
  <c r="X294" i="5" s="1"/>
  <c r="DQ166" i="2"/>
  <c r="DQ172" i="2"/>
  <c r="DQ180" i="2"/>
  <c r="DQ182" i="2" s="1"/>
  <c r="DS168" i="2"/>
  <c r="DS172" i="2" s="1"/>
  <c r="CG296" i="5"/>
  <c r="CG303" i="5"/>
  <c r="CG82" i="5"/>
  <c r="DG303" i="5"/>
  <c r="DG296" i="5"/>
  <c r="DG82" i="5"/>
  <c r="BO290" i="5"/>
  <c r="BO292" i="5" s="1"/>
  <c r="BO281" i="5"/>
  <c r="BO285" i="5" s="1"/>
  <c r="BO294" i="5" s="1"/>
  <c r="AD290" i="5"/>
  <c r="AD292" i="5" s="1"/>
  <c r="AD281" i="5"/>
  <c r="AD285" i="5" s="1"/>
  <c r="AD294" i="5" s="1"/>
  <c r="EW290" i="5"/>
  <c r="EW292" i="5" s="1"/>
  <c r="EW281" i="5"/>
  <c r="EW285" i="5" s="1"/>
  <c r="EW294" i="5" s="1"/>
  <c r="I275" i="5"/>
  <c r="CO168" i="2"/>
  <c r="CO172" i="2" s="1"/>
  <c r="EV290" i="5"/>
  <c r="EV292" i="5" s="1"/>
  <c r="EV281" i="5"/>
  <c r="EV285" i="5" s="1"/>
  <c r="EV294" i="5" s="1"/>
  <c r="DF290" i="5"/>
  <c r="DF292" i="5" s="1"/>
  <c r="DF281" i="5"/>
  <c r="DF285" i="5" s="1"/>
  <c r="DF294" i="5" s="1"/>
  <c r="FT318" i="3"/>
  <c r="FT323" i="3" s="1"/>
  <c r="FT306" i="3"/>
  <c r="FT320" i="3" s="1"/>
  <c r="V303" i="5"/>
  <c r="V296" i="5"/>
  <c r="V82" i="5"/>
  <c r="T292" i="5"/>
  <c r="T298" i="5" s="1"/>
  <c r="EJ303" i="5"/>
  <c r="EJ296" i="5"/>
  <c r="EJ82" i="5"/>
  <c r="FR290" i="5"/>
  <c r="FR281" i="5"/>
  <c r="FR285" i="5" s="1"/>
  <c r="FR294" i="5" s="1"/>
  <c r="AS303" i="5"/>
  <c r="AS296" i="5"/>
  <c r="AS82" i="5"/>
  <c r="BZ292" i="5"/>
  <c r="BZ298" i="5" s="1"/>
  <c r="AS153" i="2"/>
  <c r="EO303" i="5"/>
  <c r="EO296" i="5"/>
  <c r="EO82" i="5"/>
  <c r="CR290" i="5"/>
  <c r="CR281" i="5"/>
  <c r="CR285" i="5" s="1"/>
  <c r="CR294" i="5" s="1"/>
  <c r="CH296" i="5"/>
  <c r="CH303" i="5"/>
  <c r="CH82" i="5"/>
  <c r="BQ312" i="5"/>
  <c r="BQ309" i="5"/>
  <c r="BQ317" i="5"/>
  <c r="EL290" i="5"/>
  <c r="EL292" i="5" s="1"/>
  <c r="EL281" i="5"/>
  <c r="EL285" i="5" s="1"/>
  <c r="EL294" i="5" s="1"/>
  <c r="CX306" i="3"/>
  <c r="CX320" i="3" s="1"/>
  <c r="FE317" i="5"/>
  <c r="FE309" i="5"/>
  <c r="FE312" i="5"/>
  <c r="M168" i="2"/>
  <c r="M172" i="2" s="1"/>
  <c r="CD168" i="2"/>
  <c r="CD172" i="2" s="1"/>
  <c r="BB312" i="5"/>
  <c r="BB317" i="5"/>
  <c r="BB309" i="5"/>
  <c r="EF306" i="3"/>
  <c r="EF320" i="3" s="1"/>
  <c r="AA275" i="5"/>
  <c r="EL170" i="2"/>
  <c r="EL174" i="2"/>
  <c r="EL179" i="2"/>
  <c r="EL50" i="2"/>
  <c r="BK174" i="2"/>
  <c r="BK179" i="2"/>
  <c r="BK170" i="2"/>
  <c r="BK50" i="2"/>
  <c r="EO166" i="2"/>
  <c r="EO172" i="2"/>
  <c r="EO180" i="2"/>
  <c r="EO182" i="2" s="1"/>
  <c r="CC180" i="2"/>
  <c r="CC182" i="2" s="1"/>
  <c r="CC166" i="2"/>
  <c r="CC172" i="2"/>
  <c r="Y304" i="5"/>
  <c r="Y318" i="5" s="1"/>
  <c r="DU303" i="5"/>
  <c r="DU296" i="5"/>
  <c r="DU82" i="5"/>
  <c r="AV166" i="2"/>
  <c r="AV172" i="2"/>
  <c r="AV180" i="2"/>
  <c r="AV182" i="2" s="1"/>
  <c r="BE303" i="5"/>
  <c r="BE296" i="5"/>
  <c r="BE82" i="5"/>
  <c r="DL290" i="5"/>
  <c r="DL281" i="5"/>
  <c r="DL285" i="5" s="1"/>
  <c r="DL294" i="5" s="1"/>
  <c r="BD153" i="2"/>
  <c r="CH172" i="2"/>
  <c r="CH180" i="2"/>
  <c r="CH182" i="2" s="1"/>
  <c r="CH166" i="2"/>
  <c r="CU180" i="2"/>
  <c r="CU182" i="2" s="1"/>
  <c r="CU166" i="2"/>
  <c r="CU172" i="2"/>
  <c r="FD304" i="5"/>
  <c r="FD318" i="5" s="1"/>
  <c r="BN312" i="5"/>
  <c r="BN317" i="5"/>
  <c r="BN309" i="5"/>
  <c r="EX275" i="5"/>
  <c r="FW290" i="5"/>
  <c r="FW281" i="5"/>
  <c r="FW285" i="5" s="1"/>
  <c r="FW294" i="5" s="1"/>
  <c r="Y292" i="5"/>
  <c r="Y298" i="5" s="1"/>
  <c r="FJ303" i="5"/>
  <c r="FJ296" i="5"/>
  <c r="FJ82" i="5"/>
  <c r="FV153" i="2"/>
  <c r="BM304" i="5"/>
  <c r="BM318" i="5" s="1"/>
  <c r="BM298" i="5"/>
  <c r="BE168" i="2"/>
  <c r="BE172" i="2" s="1"/>
  <c r="BG303" i="5"/>
  <c r="BG296" i="5"/>
  <c r="BG82" i="5"/>
  <c r="FN303" i="5"/>
  <c r="FN296" i="5"/>
  <c r="FN82" i="5"/>
  <c r="Z182" i="2"/>
  <c r="DC309" i="5"/>
  <c r="X303" i="5"/>
  <c r="X296" i="5"/>
  <c r="X82" i="5"/>
  <c r="DX312" i="5"/>
  <c r="DX317" i="5"/>
  <c r="DX309" i="5"/>
  <c r="FU275" i="5"/>
  <c r="BO303" i="5"/>
  <c r="BO296" i="5"/>
  <c r="BO82" i="5"/>
  <c r="O180" i="2"/>
  <c r="O182" i="2" s="1"/>
  <c r="O166" i="2"/>
  <c r="O172" i="2"/>
  <c r="AD303" i="5"/>
  <c r="AD296" i="5"/>
  <c r="AD82" i="5"/>
  <c r="CU304" i="5"/>
  <c r="CU318" i="5" s="1"/>
  <c r="CU298" i="5"/>
  <c r="CW290" i="5"/>
  <c r="CW281" i="5"/>
  <c r="CW285" i="5" s="1"/>
  <c r="CW294" i="5" s="1"/>
  <c r="FO306" i="3"/>
  <c r="FO320" i="3" s="1"/>
  <c r="EW303" i="5"/>
  <c r="EW296" i="5"/>
  <c r="EW82" i="5"/>
  <c r="I304" i="5"/>
  <c r="I318" i="5" s="1"/>
  <c r="I298" i="5"/>
  <c r="CY168" i="2"/>
  <c r="CY172" i="2" s="1"/>
  <c r="EV303" i="5"/>
  <c r="EV296" i="5"/>
  <c r="EV82" i="5"/>
  <c r="DF303" i="5"/>
  <c r="DF296" i="5"/>
  <c r="DF82" i="5"/>
  <c r="FZ227" i="3"/>
  <c r="C232" i="3"/>
  <c r="C237" i="3" s="1"/>
  <c r="EF174" i="2"/>
  <c r="EF170" i="2"/>
  <c r="EF179" i="2"/>
  <c r="EF50" i="2"/>
  <c r="Z290" i="5"/>
  <c r="Z281" i="5"/>
  <c r="Z285" i="5" s="1"/>
  <c r="Z294" i="5" s="1"/>
  <c r="FR303" i="5"/>
  <c r="FR296" i="5"/>
  <c r="FR82" i="5"/>
  <c r="FI306" i="3"/>
  <c r="FI320" i="3" s="1"/>
  <c r="AS180" i="2"/>
  <c r="AS182" i="2" s="1"/>
  <c r="AS166" i="2"/>
  <c r="AS172" i="2"/>
  <c r="FS312" i="5"/>
  <c r="FS317" i="5"/>
  <c r="FS309" i="5"/>
  <c r="CR296" i="5"/>
  <c r="CR303" i="5"/>
  <c r="CR82" i="5"/>
  <c r="AM290" i="5"/>
  <c r="AM292" i="5" s="1"/>
  <c r="AM281" i="5"/>
  <c r="AM285" i="5" s="1"/>
  <c r="AM294" i="5" s="1"/>
  <c r="EJ306" i="3"/>
  <c r="EJ320" i="3" s="1"/>
  <c r="EL303" i="5"/>
  <c r="EL296" i="5"/>
  <c r="EL82" i="5"/>
  <c r="AT153" i="2"/>
  <c r="CL153" i="2"/>
  <c r="U275" i="5"/>
  <c r="ET292" i="5"/>
  <c r="ET298" i="5" s="1"/>
  <c r="FH312" i="5"/>
  <c r="FH317" i="5"/>
  <c r="FH309" i="5"/>
  <c r="AA298" i="5"/>
  <c r="AA304" i="5"/>
  <c r="AA318" i="5" s="1"/>
  <c r="DI164" i="2"/>
  <c r="DI168" i="2" s="1"/>
  <c r="DI158" i="2"/>
  <c r="DI169" i="2" s="1"/>
  <c r="DI184" i="2" s="1"/>
  <c r="FO158" i="2"/>
  <c r="FO169" i="2" s="1"/>
  <c r="FO184" i="2" s="1"/>
  <c r="FO164" i="2"/>
  <c r="FO168" i="2" s="1"/>
  <c r="EG304" i="5"/>
  <c r="EG318" i="5" s="1"/>
  <c r="EG298" i="5"/>
  <c r="DX275" i="5"/>
  <c r="CW303" i="5"/>
  <c r="CW296" i="5"/>
  <c r="CW82" i="5"/>
  <c r="F292" i="5"/>
  <c r="F298" i="5" s="1"/>
  <c r="BT153" i="2"/>
  <c r="EM290" i="5"/>
  <c r="EM281" i="5"/>
  <c r="EM285" i="5" s="1"/>
  <c r="EM294" i="5" s="1"/>
  <c r="DK290" i="5"/>
  <c r="DK281" i="5"/>
  <c r="DK285" i="5" s="1"/>
  <c r="DK294" i="5" s="1"/>
  <c r="DO304" i="5"/>
  <c r="DO318" i="5" s="1"/>
  <c r="N168" i="2"/>
  <c r="N172" i="2" s="1"/>
  <c r="T317" i="5"/>
  <c r="T309" i="5"/>
  <c r="T312" i="5"/>
  <c r="EF164" i="2"/>
  <c r="EF168" i="2" s="1"/>
  <c r="EF158" i="2"/>
  <c r="EF169" i="2" s="1"/>
  <c r="EF184" i="2" s="1"/>
  <c r="Z303" i="5"/>
  <c r="Z296" i="5"/>
  <c r="Z82" i="5"/>
  <c r="DI290" i="5"/>
  <c r="DI292" i="5" s="1"/>
  <c r="DI281" i="5"/>
  <c r="DI285" i="5" s="1"/>
  <c r="DI294" i="5" s="1"/>
  <c r="BZ312" i="5"/>
  <c r="BZ317" i="5"/>
  <c r="BZ309" i="5"/>
  <c r="AG304" i="5"/>
  <c r="AG318" i="5" s="1"/>
  <c r="AH290" i="5"/>
  <c r="AH292" i="5" s="1"/>
  <c r="AH281" i="5"/>
  <c r="AH285" i="5" s="1"/>
  <c r="AH294" i="5" s="1"/>
  <c r="AM296" i="5"/>
  <c r="AM303" i="5"/>
  <c r="AM82" i="5"/>
  <c r="BI290" i="5"/>
  <c r="BI281" i="5"/>
  <c r="BI285" i="5" s="1"/>
  <c r="BI294" i="5" s="1"/>
  <c r="CT172" i="2"/>
  <c r="CT180" i="2"/>
  <c r="CT182" i="2" s="1"/>
  <c r="CT166" i="2"/>
  <c r="BU317" i="5"/>
  <c r="BU312" i="5"/>
  <c r="BU309" i="5"/>
  <c r="FO312" i="5"/>
  <c r="DI179" i="2"/>
  <c r="DI174" i="2"/>
  <c r="DI170" i="2"/>
  <c r="DI50" i="2"/>
  <c r="FO174" i="2"/>
  <c r="FO179" i="2"/>
  <c r="FO170" i="2"/>
  <c r="FO50" i="2"/>
  <c r="EC290" i="5"/>
  <c r="EC281" i="5"/>
  <c r="EC285" i="5" s="1"/>
  <c r="EC294" i="5" s="1"/>
  <c r="BR298" i="5"/>
  <c r="BR304" i="5"/>
  <c r="BR318" i="5" s="1"/>
  <c r="FT180" i="2"/>
  <c r="FT185" i="2" s="1"/>
  <c r="FT172" i="2"/>
  <c r="FT166" i="2"/>
  <c r="S303" i="5"/>
  <c r="S296" i="5"/>
  <c r="S82" i="5"/>
  <c r="EY290" i="5"/>
  <c r="EY292" i="5" s="1"/>
  <c r="EY281" i="5"/>
  <c r="EY285" i="5" s="1"/>
  <c r="EY294" i="5" s="1"/>
  <c r="FA290" i="5"/>
  <c r="FA292" i="5" s="1"/>
  <c r="FA281" i="5"/>
  <c r="FA285" i="5" s="1"/>
  <c r="FA294" i="5" s="1"/>
  <c r="CK290" i="5"/>
  <c r="CK292" i="5" s="1"/>
  <c r="CK281" i="5"/>
  <c r="CK285" i="5" s="1"/>
  <c r="CK294" i="5" s="1"/>
  <c r="CI290" i="5"/>
  <c r="CI292" i="5" s="1"/>
  <c r="CI281" i="5"/>
  <c r="CI285" i="5" s="1"/>
  <c r="CI294" i="5" s="1"/>
  <c r="CE290" i="5"/>
  <c r="CE292" i="5" s="1"/>
  <c r="CE281" i="5"/>
  <c r="CE285" i="5" s="1"/>
  <c r="CE294" i="5" s="1"/>
  <c r="CA290" i="5"/>
  <c r="CA292" i="5" s="1"/>
  <c r="CA281" i="5"/>
  <c r="CA285" i="5" s="1"/>
  <c r="CA294" i="5" s="1"/>
  <c r="FB304" i="5"/>
  <c r="FB318" i="5" s="1"/>
  <c r="FB298" i="5"/>
  <c r="FU298" i="5"/>
  <c r="FU304" i="5"/>
  <c r="FU318" i="5" s="1"/>
  <c r="DS290" i="5"/>
  <c r="DS281" i="5"/>
  <c r="DS285" i="5" s="1"/>
  <c r="DS294" i="5" s="1"/>
  <c r="DY303" i="5"/>
  <c r="DY296" i="5"/>
  <c r="DY82" i="5"/>
  <c r="BC292" i="5"/>
  <c r="BC298" i="5" s="1"/>
  <c r="F317" i="5"/>
  <c r="F309" i="5"/>
  <c r="F312" i="5"/>
  <c r="EM303" i="5"/>
  <c r="EM296" i="5"/>
  <c r="EM82" i="5"/>
  <c r="E290" i="5"/>
  <c r="E292" i="5" s="1"/>
  <c r="E281" i="5"/>
  <c r="E285" i="5" s="1"/>
  <c r="E294" i="5" s="1"/>
  <c r="DK303" i="5"/>
  <c r="DK296" i="5"/>
  <c r="DK82" i="5"/>
  <c r="U180" i="2"/>
  <c r="U182" i="2" s="1"/>
  <c r="U166" i="2"/>
  <c r="U172" i="2"/>
  <c r="BZ168" i="2"/>
  <c r="BZ172" i="2" s="1"/>
  <c r="DM304" i="5"/>
  <c r="DM318" i="5" s="1"/>
  <c r="AT290" i="5"/>
  <c r="AT292" i="5" s="1"/>
  <c r="AT281" i="5"/>
  <c r="AT285" i="5" s="1"/>
  <c r="AT294" i="5" s="1"/>
  <c r="DI303" i="5"/>
  <c r="DI296" i="5"/>
  <c r="DI82" i="5"/>
  <c r="DI306" i="3"/>
  <c r="DI320" i="3" s="1"/>
  <c r="CS290" i="5"/>
  <c r="CS292" i="5" s="1"/>
  <c r="CS281" i="5"/>
  <c r="CS285" i="5" s="1"/>
  <c r="CS294" i="5" s="1"/>
  <c r="AH303" i="5"/>
  <c r="AH296" i="5"/>
  <c r="AH82" i="5"/>
  <c r="AA317" i="5"/>
  <c r="AA312" i="5"/>
  <c r="AA309" i="5"/>
  <c r="AT166" i="2"/>
  <c r="AT172" i="2"/>
  <c r="AT180" i="2"/>
  <c r="AT182" i="2" s="1"/>
  <c r="CL180" i="2"/>
  <c r="CL182" i="2" s="1"/>
  <c r="CL166" i="2"/>
  <c r="CL172" i="2"/>
  <c r="U304" i="5"/>
  <c r="U318" i="5" s="1"/>
  <c r="FS304" i="5"/>
  <c r="FS318" i="5" s="1"/>
  <c r="FS298" i="5"/>
  <c r="ET312" i="5"/>
  <c r="ET317" i="5"/>
  <c r="ET309" i="5"/>
  <c r="BI296" i="5"/>
  <c r="BI303" i="5"/>
  <c r="BI82" i="5"/>
  <c r="J290" i="5"/>
  <c r="J292" i="5" s="1"/>
  <c r="J281" i="5"/>
  <c r="J285" i="5" s="1"/>
  <c r="J294" i="5" s="1"/>
  <c r="ES290" i="5"/>
  <c r="ES281" i="5"/>
  <c r="ES285" i="5" s="1"/>
  <c r="ES294" i="5" s="1"/>
  <c r="CI164" i="2"/>
  <c r="CI168" i="2" s="1"/>
  <c r="CI158" i="2"/>
  <c r="CI169" i="2" s="1"/>
  <c r="CI184" i="2" s="1"/>
  <c r="I164" i="2"/>
  <c r="I168" i="2" s="1"/>
  <c r="I158" i="2"/>
  <c r="I169" i="2" s="1"/>
  <c r="I184" i="2" s="1"/>
  <c r="EU180" i="2"/>
  <c r="EU182" i="2" s="1"/>
  <c r="EU166" i="2"/>
  <c r="FW303" i="5"/>
  <c r="FW296" i="5"/>
  <c r="FW82" i="5"/>
  <c r="FS180" i="2"/>
  <c r="FS182" i="2" s="1"/>
  <c r="FS166" i="2"/>
  <c r="FS172" i="2"/>
  <c r="FV166" i="2"/>
  <c r="FV172" i="2"/>
  <c r="FV180" i="2"/>
  <c r="FV182" i="2" s="1"/>
  <c r="CY304" i="5"/>
  <c r="CY318" i="5" s="1"/>
  <c r="N303" i="5"/>
  <c r="N296" i="5"/>
  <c r="N82" i="5"/>
  <c r="EI168" i="2"/>
  <c r="EI172" i="2" s="1"/>
  <c r="BY290" i="5"/>
  <c r="BY292" i="5" s="1"/>
  <c r="BY281" i="5"/>
  <c r="BY285" i="5" s="1"/>
  <c r="BY294" i="5" s="1"/>
  <c r="BZ275" i="5"/>
  <c r="CQ303" i="5"/>
  <c r="CQ296" i="5"/>
  <c r="CQ82" i="5"/>
  <c r="AO275" i="5"/>
  <c r="DC166" i="2"/>
  <c r="DC172" i="2"/>
  <c r="DC180" i="2"/>
  <c r="DC182" i="2" s="1"/>
  <c r="CV172" i="2"/>
  <c r="CV180" i="2"/>
  <c r="CV182" i="2" s="1"/>
  <c r="CV166" i="2"/>
  <c r="CY292" i="5"/>
  <c r="CY298" i="5" s="1"/>
  <c r="EU290" i="5"/>
  <c r="EU281" i="5"/>
  <c r="EU285" i="5" s="1"/>
  <c r="EU294" i="5" s="1"/>
  <c r="EC303" i="5"/>
  <c r="EC296" i="5"/>
  <c r="EC82" i="5"/>
  <c r="AF153" i="2"/>
  <c r="DU153" i="2"/>
  <c r="EE153" i="2"/>
  <c r="EY303" i="5"/>
  <c r="EY296" i="5"/>
  <c r="EY82" i="5"/>
  <c r="BF303" i="5"/>
  <c r="BF296" i="5"/>
  <c r="BF82" i="5"/>
  <c r="FA296" i="5"/>
  <c r="FA303" i="5"/>
  <c r="FA82" i="5"/>
  <c r="CK303" i="5"/>
  <c r="CK296" i="5"/>
  <c r="CK82" i="5"/>
  <c r="FP153" i="2"/>
  <c r="CI296" i="5"/>
  <c r="CI303" i="5"/>
  <c r="CI82" i="5"/>
  <c r="CE303" i="5"/>
  <c r="CE296" i="5"/>
  <c r="CE82" i="5"/>
  <c r="AU153" i="2"/>
  <c r="DX153" i="2"/>
  <c r="CA303" i="5"/>
  <c r="CA296" i="5"/>
  <c r="CA82" i="5"/>
  <c r="CU317" i="5"/>
  <c r="CU309" i="5"/>
  <c r="CU312" i="5"/>
  <c r="DS296" i="5"/>
  <c r="DS303" i="5"/>
  <c r="DS82" i="5"/>
  <c r="AW317" i="5"/>
  <c r="AW312" i="5"/>
  <c r="AW309" i="5"/>
  <c r="EM166" i="2"/>
  <c r="EM172" i="2"/>
  <c r="EM180" i="2"/>
  <c r="EM182" i="2" s="1"/>
  <c r="Y166" i="2"/>
  <c r="Y172" i="2"/>
  <c r="Y180" i="2"/>
  <c r="Y182" i="2" s="1"/>
  <c r="FR168" i="2"/>
  <c r="FR172" i="2" s="1"/>
  <c r="DX304" i="5"/>
  <c r="DX318" i="5" s="1"/>
  <c r="DX298" i="5"/>
  <c r="DY290" i="5"/>
  <c r="DY292" i="5" s="1"/>
  <c r="DY281" i="5"/>
  <c r="DY285" i="5" s="1"/>
  <c r="DY294" i="5" s="1"/>
  <c r="AF290" i="5"/>
  <c r="AF281" i="5"/>
  <c r="AF285" i="5" s="1"/>
  <c r="AF294" i="5" s="1"/>
  <c r="K304" i="5"/>
  <c r="K318" i="5" s="1"/>
  <c r="K298" i="5"/>
  <c r="BT166" i="2"/>
  <c r="BT172" i="2"/>
  <c r="BT180" i="2"/>
  <c r="BT182" i="2" s="1"/>
  <c r="AV290" i="5"/>
  <c r="AV292" i="5" s="1"/>
  <c r="AV281" i="5"/>
  <c r="AV285" i="5" s="1"/>
  <c r="AV294" i="5" s="1"/>
  <c r="E296" i="5"/>
  <c r="E303" i="5"/>
  <c r="E82" i="5"/>
  <c r="BJ275" i="5"/>
  <c r="P290" i="5"/>
  <c r="P281" i="5"/>
  <c r="P285" i="5" s="1"/>
  <c r="P294" i="5" s="1"/>
  <c r="AZ153" i="2"/>
  <c r="S306" i="3"/>
  <c r="S320" i="3" s="1"/>
  <c r="BJ168" i="2"/>
  <c r="BJ172" i="2" s="1"/>
  <c r="BZ153" i="2"/>
  <c r="AT303" i="5"/>
  <c r="AT296" i="5"/>
  <c r="AT82" i="5"/>
  <c r="BN153" i="2"/>
  <c r="Z153" i="2"/>
  <c r="L153" i="2"/>
  <c r="BD168" i="2"/>
  <c r="BD172" i="2" s="1"/>
  <c r="CS303" i="5"/>
  <c r="CS296" i="5"/>
  <c r="CS82" i="5"/>
  <c r="AH166" i="2"/>
  <c r="AH172" i="2"/>
  <c r="AH180" i="2"/>
  <c r="AH182" i="2" s="1"/>
  <c r="BJ153" i="2"/>
  <c r="EP317" i="5"/>
  <c r="EP312" i="5"/>
  <c r="EP309" i="5"/>
  <c r="BL290" i="5"/>
  <c r="BL292" i="5" s="1"/>
  <c r="BL281" i="5"/>
  <c r="BL285" i="5" s="1"/>
  <c r="BL294" i="5" s="1"/>
  <c r="DJ180" i="2"/>
  <c r="DJ182" i="2" s="1"/>
  <c r="DJ166" i="2"/>
  <c r="DV290" i="5"/>
  <c r="DV281" i="5"/>
  <c r="DV285" i="5" s="1"/>
  <c r="DV294" i="5" s="1"/>
  <c r="FH275" i="5"/>
  <c r="EU168" i="2"/>
  <c r="EU172" i="2" s="1"/>
  <c r="DJ168" i="2"/>
  <c r="DJ172" i="2" s="1"/>
  <c r="BW290" i="5"/>
  <c r="BW292" i="5" s="1"/>
  <c r="BW281" i="5"/>
  <c r="BW285" i="5" s="1"/>
  <c r="BW294" i="5" s="1"/>
  <c r="BP312" i="5"/>
  <c r="BP309" i="5"/>
  <c r="BP317" i="5"/>
  <c r="FM153" i="2"/>
  <c r="W275" i="5"/>
  <c r="J303" i="5"/>
  <c r="J296" i="5"/>
  <c r="J82" i="5"/>
  <c r="ES303" i="5"/>
  <c r="ES296" i="5"/>
  <c r="ES82" i="5"/>
  <c r="FO292" i="5"/>
  <c r="FO298" i="5" s="1"/>
  <c r="CI174" i="2"/>
  <c r="CI179" i="2"/>
  <c r="CI170" i="2"/>
  <c r="CI50" i="2"/>
  <c r="I179" i="2"/>
  <c r="I174" i="2"/>
  <c r="I170" i="2"/>
  <c r="I50" i="2"/>
  <c r="FL298" i="5" l="1"/>
  <c r="FD309" i="5"/>
  <c r="FH298" i="5"/>
  <c r="Q275" i="5"/>
  <c r="FH304" i="5"/>
  <c r="FH318" i="5" s="1"/>
  <c r="FS275" i="5"/>
  <c r="BQ275" i="5"/>
  <c r="FL304" i="5"/>
  <c r="FL318" i="5" s="1"/>
  <c r="BP306" i="5"/>
  <c r="BP320" i="5" s="1"/>
  <c r="AJ275" i="5"/>
  <c r="FB309" i="5"/>
  <c r="FB312" i="5"/>
  <c r="BJ292" i="5"/>
  <c r="BJ298" i="5" s="1"/>
  <c r="EK275" i="5"/>
  <c r="BM275" i="5"/>
  <c r="DM309" i="5"/>
  <c r="M275" i="5"/>
  <c r="DM317" i="5"/>
  <c r="BU292" i="5"/>
  <c r="BU298" i="5" s="1"/>
  <c r="EF275" i="5"/>
  <c r="EG275" i="5"/>
  <c r="BB298" i="5"/>
  <c r="BB304" i="5"/>
  <c r="BB318" i="5" s="1"/>
  <c r="DT298" i="5"/>
  <c r="DT304" i="5"/>
  <c r="DT318" i="5" s="1"/>
  <c r="AW275" i="5"/>
  <c r="FO309" i="5"/>
  <c r="W309" i="5"/>
  <c r="T275" i="5"/>
  <c r="DC312" i="5"/>
  <c r="EX306" i="5"/>
  <c r="EX320" i="5" s="1"/>
  <c r="W312" i="5"/>
  <c r="CU275" i="5"/>
  <c r="AJ306" i="5"/>
  <c r="AJ320" i="5" s="1"/>
  <c r="T306" i="5"/>
  <c r="T320" i="5" s="1"/>
  <c r="BR275" i="5"/>
  <c r="EI275" i="5"/>
  <c r="AO306" i="5"/>
  <c r="AO320" i="5" s="1"/>
  <c r="AW306" i="5"/>
  <c r="AW320" i="5" s="1"/>
  <c r="CE275" i="5"/>
  <c r="EV275" i="5"/>
  <c r="Q306" i="5"/>
  <c r="Q320" i="5" s="1"/>
  <c r="BX275" i="5"/>
  <c r="DL153" i="2"/>
  <c r="BF275" i="5"/>
  <c r="BR153" i="2"/>
  <c r="EF153" i="2"/>
  <c r="DQ275" i="5"/>
  <c r="ET306" i="5"/>
  <c r="ET320" i="5" s="1"/>
  <c r="BN306" i="5"/>
  <c r="BN320" i="5" s="1"/>
  <c r="E275" i="5"/>
  <c r="CR275" i="5"/>
  <c r="W306" i="5"/>
  <c r="W320" i="5" s="1"/>
  <c r="BL275" i="5"/>
  <c r="CD275" i="5"/>
  <c r="DP275" i="5"/>
  <c r="DZ275" i="5"/>
  <c r="DV275" i="5"/>
  <c r="DB275" i="5"/>
  <c r="AI275" i="5"/>
  <c r="AX275" i="5"/>
  <c r="DS275" i="5"/>
  <c r="DH275" i="5"/>
  <c r="J275" i="5"/>
  <c r="EM275" i="5"/>
  <c r="BQ306" i="5"/>
  <c r="BQ320" i="5" s="1"/>
  <c r="EO275" i="5"/>
  <c r="CB275" i="5"/>
  <c r="CJ153" i="2"/>
  <c r="DN275" i="5"/>
  <c r="DC306" i="5"/>
  <c r="DC320" i="5" s="1"/>
  <c r="DE275" i="5"/>
  <c r="FV275" i="5"/>
  <c r="CV275" i="5"/>
  <c r="BS275" i="5"/>
  <c r="AG306" i="5"/>
  <c r="AG320" i="5" s="1"/>
  <c r="AU275" i="5"/>
  <c r="FX275" i="5"/>
  <c r="FP275" i="5"/>
  <c r="DD275" i="5"/>
  <c r="AY275" i="5"/>
  <c r="AH275" i="5"/>
  <c r="FE306" i="5"/>
  <c r="FE320" i="5" s="1"/>
  <c r="EP306" i="5"/>
  <c r="EP320" i="5" s="1"/>
  <c r="CI153" i="2"/>
  <c r="CH275" i="5"/>
  <c r="EE275" i="5"/>
  <c r="DH153" i="2"/>
  <c r="BK275" i="5"/>
  <c r="AT275" i="5"/>
  <c r="FO306" i="5"/>
  <c r="FO320" i="5" s="1"/>
  <c r="DX306" i="5"/>
  <c r="DX320" i="5" s="1"/>
  <c r="DL275" i="5"/>
  <c r="U306" i="5"/>
  <c r="U320" i="5" s="1"/>
  <c r="AN275" i="5"/>
  <c r="AQ275" i="5"/>
  <c r="EF306" i="5"/>
  <c r="EF320" i="5" s="1"/>
  <c r="EU275" i="5"/>
  <c r="CI275" i="5"/>
  <c r="FK275" i="5"/>
  <c r="CJ275" i="5"/>
  <c r="FJ275" i="5"/>
  <c r="CO275" i="5"/>
  <c r="AR275" i="5"/>
  <c r="FU153" i="2"/>
  <c r="BW275" i="5"/>
  <c r="DK275" i="5"/>
  <c r="AM275" i="5"/>
  <c r="O275" i="5"/>
  <c r="AC306" i="5"/>
  <c r="AC320" i="5" s="1"/>
  <c r="I153" i="2"/>
  <c r="P275" i="5"/>
  <c r="CF275" i="5"/>
  <c r="BE275" i="5"/>
  <c r="R275" i="5"/>
  <c r="AE275" i="5"/>
  <c r="BD275" i="5"/>
  <c r="CA275" i="5"/>
  <c r="EY275" i="5"/>
  <c r="EC275" i="5"/>
  <c r="BZ306" i="5"/>
  <c r="BZ320" i="5" s="1"/>
  <c r="AD275" i="5"/>
  <c r="AS275" i="5"/>
  <c r="V275" i="5"/>
  <c r="S275" i="5"/>
  <c r="EK306" i="5"/>
  <c r="EK320" i="5" s="1"/>
  <c r="BH275" i="5"/>
  <c r="FG275" i="5"/>
  <c r="BO275" i="5"/>
  <c r="DW275" i="5"/>
  <c r="FM275" i="5"/>
  <c r="EG306" i="5"/>
  <c r="EG320" i="5" s="1"/>
  <c r="FN275" i="5"/>
  <c r="EM312" i="5"/>
  <c r="EM317" i="5"/>
  <c r="EM309" i="5"/>
  <c r="Z275" i="5"/>
  <c r="FJ312" i="5"/>
  <c r="FJ317" i="5"/>
  <c r="FJ309" i="5"/>
  <c r="X275" i="5"/>
  <c r="DW312" i="5"/>
  <c r="DW317" i="5"/>
  <c r="DW309" i="5"/>
  <c r="DD317" i="5"/>
  <c r="DD312" i="5"/>
  <c r="DD309" i="5"/>
  <c r="EN317" i="5"/>
  <c r="EN312" i="5"/>
  <c r="EN309" i="5"/>
  <c r="DG275" i="5"/>
  <c r="ED304" i="5"/>
  <c r="ED318" i="5" s="1"/>
  <c r="CD312" i="5"/>
  <c r="CD317" i="5"/>
  <c r="CD309" i="5"/>
  <c r="DZ304" i="5"/>
  <c r="DZ318" i="5" s="1"/>
  <c r="DZ298" i="5"/>
  <c r="AI312" i="5"/>
  <c r="AI317" i="5"/>
  <c r="AI309" i="5"/>
  <c r="AB275" i="5"/>
  <c r="AQ312" i="5"/>
  <c r="AQ317" i="5"/>
  <c r="AQ309" i="5"/>
  <c r="AI304" i="5"/>
  <c r="AI318" i="5" s="1"/>
  <c r="AI298" i="5"/>
  <c r="AP179" i="2"/>
  <c r="AP170" i="2"/>
  <c r="AP174" i="2"/>
  <c r="AP50" i="2"/>
  <c r="CJ317" i="5"/>
  <c r="CJ309" i="5"/>
  <c r="CJ312" i="5"/>
  <c r="R304" i="5"/>
  <c r="R318" i="5" s="1"/>
  <c r="R298" i="5"/>
  <c r="DU304" i="5"/>
  <c r="DU318" i="5" s="1"/>
  <c r="DU298" i="5"/>
  <c r="CL275" i="5"/>
  <c r="DR275" i="5"/>
  <c r="AU312" i="5"/>
  <c r="AU317" i="5"/>
  <c r="AU309" i="5"/>
  <c r="CM304" i="5"/>
  <c r="CM318" i="5" s="1"/>
  <c r="CM298" i="5"/>
  <c r="BK304" i="5"/>
  <c r="BK318" i="5" s="1"/>
  <c r="BK298" i="5"/>
  <c r="L275" i="5"/>
  <c r="EB317" i="5"/>
  <c r="EB312" i="5"/>
  <c r="EB309" i="5"/>
  <c r="AY317" i="5"/>
  <c r="AY312" i="5"/>
  <c r="AY309" i="5"/>
  <c r="S153" i="2"/>
  <c r="AL275" i="5"/>
  <c r="EB275" i="5"/>
  <c r="EI304" i="5"/>
  <c r="EI318" i="5" s="1"/>
  <c r="EI298" i="5"/>
  <c r="DS304" i="5"/>
  <c r="DS318" i="5" s="1"/>
  <c r="BE304" i="5"/>
  <c r="BE318" i="5" s="1"/>
  <c r="ES304" i="5"/>
  <c r="ES318" i="5" s="1"/>
  <c r="CK317" i="5"/>
  <c r="CK309" i="5"/>
  <c r="CK312" i="5"/>
  <c r="FS306" i="5"/>
  <c r="FS320" i="5" s="1"/>
  <c r="Z304" i="5"/>
  <c r="Z318" i="5" s="1"/>
  <c r="X317" i="5"/>
  <c r="X309" i="5"/>
  <c r="X312" i="5"/>
  <c r="X304" i="5"/>
  <c r="X318" i="5" s="1"/>
  <c r="X298" i="5"/>
  <c r="DG304" i="5"/>
  <c r="DG318" i="5" s="1"/>
  <c r="DG298" i="5"/>
  <c r="FX304" i="5"/>
  <c r="FX318" i="5" s="1"/>
  <c r="FX298" i="5"/>
  <c r="FK304" i="5"/>
  <c r="FK318" i="5" s="1"/>
  <c r="FK298" i="5"/>
  <c r="CD304" i="5"/>
  <c r="CD318" i="5" s="1"/>
  <c r="FP304" i="5"/>
  <c r="FP318" i="5" s="1"/>
  <c r="BX317" i="5"/>
  <c r="BX312" i="5"/>
  <c r="BX309" i="5"/>
  <c r="CL304" i="5"/>
  <c r="CL318" i="5" s="1"/>
  <c r="DR304" i="5"/>
  <c r="DR318" i="5" s="1"/>
  <c r="CP166" i="2"/>
  <c r="CP180" i="2"/>
  <c r="CP182" i="2" s="1"/>
  <c r="CJ304" i="5"/>
  <c r="CJ318" i="5" s="1"/>
  <c r="CJ298" i="5"/>
  <c r="CP312" i="5"/>
  <c r="CP317" i="5"/>
  <c r="CP309" i="5"/>
  <c r="BX304" i="5"/>
  <c r="BX318" i="5" s="1"/>
  <c r="BX298" i="5"/>
  <c r="AX317" i="5"/>
  <c r="AX309" i="5"/>
  <c r="AX312" i="5"/>
  <c r="BD304" i="5"/>
  <c r="BD318" i="5" s="1"/>
  <c r="BD298" i="5"/>
  <c r="AV317" i="5"/>
  <c r="AV312" i="5"/>
  <c r="AV309" i="5"/>
  <c r="FB306" i="5"/>
  <c r="FB320" i="5" s="1"/>
  <c r="S180" i="2"/>
  <c r="S182" i="2" s="1"/>
  <c r="S166" i="2"/>
  <c r="AL304" i="5"/>
  <c r="AL318" i="5" s="1"/>
  <c r="E317" i="5"/>
  <c r="E312" i="5"/>
  <c r="E309" i="5"/>
  <c r="CU306" i="5"/>
  <c r="CU320" i="5" s="1"/>
  <c r="EU304" i="5"/>
  <c r="EU318" i="5" s="1"/>
  <c r="CQ312" i="5"/>
  <c r="CQ317" i="5"/>
  <c r="CQ309" i="5"/>
  <c r="DI317" i="5"/>
  <c r="DI309" i="5"/>
  <c r="DI312" i="5"/>
  <c r="F306" i="5"/>
  <c r="F320" i="5" s="1"/>
  <c r="CI304" i="5"/>
  <c r="CI318" i="5" s="1"/>
  <c r="CI298" i="5"/>
  <c r="FH306" i="5"/>
  <c r="FH320" i="5" s="1"/>
  <c r="EL312" i="5"/>
  <c r="EL309" i="5"/>
  <c r="EL317" i="5"/>
  <c r="CW275" i="5"/>
  <c r="FW275" i="5"/>
  <c r="BE292" i="5"/>
  <c r="BE298" i="5" s="1"/>
  <c r="EO317" i="5"/>
  <c r="EO312" i="5"/>
  <c r="EO309" i="5"/>
  <c r="DF275" i="5"/>
  <c r="O317" i="5"/>
  <c r="O312" i="5"/>
  <c r="O309" i="5"/>
  <c r="BY317" i="5"/>
  <c r="BY309" i="5"/>
  <c r="BY312" i="5"/>
  <c r="BK180" i="2"/>
  <c r="BK182" i="2" s="1"/>
  <c r="BK166" i="2"/>
  <c r="BK172" i="2"/>
  <c r="EJ304" i="5"/>
  <c r="EJ318" i="5" s="1"/>
  <c r="EJ298" i="5"/>
  <c r="CG275" i="5"/>
  <c r="O304" i="5"/>
  <c r="O318" i="5" s="1"/>
  <c r="O298" i="5"/>
  <c r="AN317" i="5"/>
  <c r="AN309" i="5"/>
  <c r="AN312" i="5"/>
  <c r="J153" i="2"/>
  <c r="EN275" i="5"/>
  <c r="FM304" i="5"/>
  <c r="FM318" i="5" s="1"/>
  <c r="FM298" i="5"/>
  <c r="CZ312" i="5"/>
  <c r="CZ317" i="5"/>
  <c r="CZ309" i="5"/>
  <c r="ER317" i="5"/>
  <c r="ER312" i="5"/>
  <c r="ER309" i="5"/>
  <c r="CP275" i="5"/>
  <c r="FT182" i="2"/>
  <c r="FC317" i="5"/>
  <c r="FC309" i="5"/>
  <c r="FC312" i="5"/>
  <c r="CM153" i="2"/>
  <c r="S168" i="2"/>
  <c r="S172" i="2" s="1"/>
  <c r="L304" i="5"/>
  <c r="L318" i="5" s="1"/>
  <c r="L298" i="5"/>
  <c r="EB304" i="5"/>
  <c r="EB318" i="5" s="1"/>
  <c r="EB298" i="5"/>
  <c r="DR317" i="5"/>
  <c r="DR312" i="5"/>
  <c r="DR309" i="5"/>
  <c r="EC317" i="5"/>
  <c r="EC312" i="5"/>
  <c r="EC309" i="5"/>
  <c r="EW312" i="5"/>
  <c r="EW317" i="5"/>
  <c r="EW309" i="5"/>
  <c r="CR304" i="5"/>
  <c r="CR318" i="5" s="1"/>
  <c r="AP164" i="2"/>
  <c r="AP158" i="2"/>
  <c r="AP169" i="2" s="1"/>
  <c r="AP184" i="2" s="1"/>
  <c r="DJ304" i="5"/>
  <c r="DJ318" i="5" s="1"/>
  <c r="FG312" i="5"/>
  <c r="FG317" i="5"/>
  <c r="FG309" i="5"/>
  <c r="DN304" i="5"/>
  <c r="DN318" i="5" s="1"/>
  <c r="BV304" i="5"/>
  <c r="BV318" i="5" s="1"/>
  <c r="DK304" i="5"/>
  <c r="DK318" i="5" s="1"/>
  <c r="DF317" i="5"/>
  <c r="DF312" i="5"/>
  <c r="DF309" i="5"/>
  <c r="FX317" i="5"/>
  <c r="FX312" i="5"/>
  <c r="FX309" i="5"/>
  <c r="BK153" i="2"/>
  <c r="EJ275" i="5"/>
  <c r="FK312" i="5"/>
  <c r="FK317" i="5"/>
  <c r="FK309" i="5"/>
  <c r="AB304" i="5"/>
  <c r="AB318" i="5" s="1"/>
  <c r="DQ317" i="5"/>
  <c r="DQ312" i="5"/>
  <c r="DQ309" i="5"/>
  <c r="BD312" i="5"/>
  <c r="BD317" i="5"/>
  <c r="BD309" i="5"/>
  <c r="DQ304" i="5"/>
  <c r="DQ318" i="5" s="1"/>
  <c r="DQ298" i="5"/>
  <c r="AF275" i="5"/>
  <c r="CE312" i="5"/>
  <c r="CE317" i="5"/>
  <c r="CE309" i="5"/>
  <c r="J304" i="5"/>
  <c r="J318" i="5" s="1"/>
  <c r="J298" i="5"/>
  <c r="DK312" i="5"/>
  <c r="DK317" i="5"/>
  <c r="DK309" i="5"/>
  <c r="CK275" i="5"/>
  <c r="S317" i="5"/>
  <c r="S312" i="5"/>
  <c r="S309" i="5"/>
  <c r="BU306" i="5"/>
  <c r="BU320" i="5" s="1"/>
  <c r="AM317" i="5"/>
  <c r="AM309" i="5"/>
  <c r="AM312" i="5"/>
  <c r="DI275" i="5"/>
  <c r="CW304" i="5"/>
  <c r="CW318" i="5" s="1"/>
  <c r="BG312" i="5"/>
  <c r="BG317" i="5"/>
  <c r="BG309" i="5"/>
  <c r="DF298" i="5"/>
  <c r="DF304" i="5"/>
  <c r="DF318" i="5" s="1"/>
  <c r="CG317" i="5"/>
  <c r="CG312" i="5"/>
  <c r="CG309" i="5"/>
  <c r="BG275" i="5"/>
  <c r="CL292" i="5"/>
  <c r="CL298" i="5" s="1"/>
  <c r="EL153" i="2"/>
  <c r="CH304" i="5"/>
  <c r="CH318" i="5" s="1"/>
  <c r="CH298" i="5"/>
  <c r="DP317" i="5"/>
  <c r="DP312" i="5"/>
  <c r="DP309" i="5"/>
  <c r="EN304" i="5"/>
  <c r="EN318" i="5" s="1"/>
  <c r="EN298" i="5"/>
  <c r="D317" i="5"/>
  <c r="D312" i="5"/>
  <c r="D309" i="5"/>
  <c r="ER275" i="5"/>
  <c r="DZ312" i="5"/>
  <c r="DZ317" i="5"/>
  <c r="DZ309" i="5"/>
  <c r="H306" i="5"/>
  <c r="H320" i="5" s="1"/>
  <c r="CP304" i="5"/>
  <c r="CP318" i="5" s="1"/>
  <c r="CP298" i="5"/>
  <c r="AP275" i="5"/>
  <c r="DH304" i="5"/>
  <c r="DH318" i="5" s="1"/>
  <c r="DH298" i="5"/>
  <c r="CC306" i="5"/>
  <c r="CC320" i="5" s="1"/>
  <c r="CM180" i="2"/>
  <c r="CM182" i="2" s="1"/>
  <c r="CM166" i="2"/>
  <c r="CM172" i="2"/>
  <c r="DN292" i="5"/>
  <c r="DN298" i="5" s="1"/>
  <c r="BC306" i="5"/>
  <c r="BC320" i="5" s="1"/>
  <c r="AY304" i="5"/>
  <c r="AY318" i="5" s="1"/>
  <c r="AY298" i="5"/>
  <c r="FN304" i="5"/>
  <c r="FN318" i="5" s="1"/>
  <c r="FN298" i="5"/>
  <c r="FG304" i="5"/>
  <c r="FG318" i="5" s="1"/>
  <c r="FG298" i="5"/>
  <c r="AL317" i="5"/>
  <c r="AL309" i="5"/>
  <c r="AL312" i="5"/>
  <c r="CO312" i="5"/>
  <c r="CO317" i="5"/>
  <c r="CO309" i="5"/>
  <c r="M306" i="5"/>
  <c r="M320" i="5" s="1"/>
  <c r="DR292" i="5"/>
  <c r="DR298" i="5" s="1"/>
  <c r="EH312" i="5"/>
  <c r="EH317" i="5"/>
  <c r="EH309" i="5"/>
  <c r="BI304" i="5"/>
  <c r="BI318" i="5" s="1"/>
  <c r="DV304" i="5"/>
  <c r="DV318" i="5" s="1"/>
  <c r="ES292" i="5"/>
  <c r="ES298" i="5" s="1"/>
  <c r="AT312" i="5"/>
  <c r="AT317" i="5"/>
  <c r="AT309" i="5"/>
  <c r="FA317" i="5"/>
  <c r="FA312" i="5"/>
  <c r="FA309" i="5"/>
  <c r="BY275" i="5"/>
  <c r="FO153" i="2"/>
  <c r="EV312" i="5"/>
  <c r="EV317" i="5"/>
  <c r="EV309" i="5"/>
  <c r="BO312" i="5"/>
  <c r="BO317" i="5"/>
  <c r="BO309" i="5"/>
  <c r="FW304" i="5"/>
  <c r="FW318" i="5" s="1"/>
  <c r="BE317" i="5"/>
  <c r="BE312" i="5"/>
  <c r="BE309" i="5"/>
  <c r="EJ312" i="5"/>
  <c r="EJ309" i="5"/>
  <c r="EJ317" i="5"/>
  <c r="AD304" i="5"/>
  <c r="AD318" i="5" s="1"/>
  <c r="AD298" i="5"/>
  <c r="FD306" i="5"/>
  <c r="FD320" i="5" s="1"/>
  <c r="CG304" i="5"/>
  <c r="CG318" i="5" s="1"/>
  <c r="CG298" i="5"/>
  <c r="FV312" i="5"/>
  <c r="FV317" i="5"/>
  <c r="FV309" i="5"/>
  <c r="J166" i="2"/>
  <c r="J180" i="2"/>
  <c r="J182" i="2" s="1"/>
  <c r="FI275" i="5"/>
  <c r="Y306" i="5"/>
  <c r="Y320" i="5" s="1"/>
  <c r="CP168" i="2"/>
  <c r="CP172" i="2" s="1"/>
  <c r="AE317" i="5"/>
  <c r="AE309" i="5"/>
  <c r="AE312" i="5"/>
  <c r="DH317" i="5"/>
  <c r="DH312" i="5"/>
  <c r="DH309" i="5"/>
  <c r="EA312" i="5"/>
  <c r="EA317" i="5"/>
  <c r="EA309" i="5"/>
  <c r="AK317" i="5"/>
  <c r="AK312" i="5"/>
  <c r="AK309" i="5"/>
  <c r="EQ317" i="5"/>
  <c r="EQ312" i="5"/>
  <c r="EQ309" i="5"/>
  <c r="BT317" i="5"/>
  <c r="BT312" i="5"/>
  <c r="BT309" i="5"/>
  <c r="CN275" i="5"/>
  <c r="BV292" i="5"/>
  <c r="BV298" i="5" s="1"/>
  <c r="AR312" i="5"/>
  <c r="AR317" i="5"/>
  <c r="AR309" i="5"/>
  <c r="CT317" i="5"/>
  <c r="CT309" i="5"/>
  <c r="CT312" i="5"/>
  <c r="BL317" i="5"/>
  <c r="BL309" i="5"/>
  <c r="BL312" i="5"/>
  <c r="I306" i="5"/>
  <c r="I320" i="5" s="1"/>
  <c r="P304" i="5"/>
  <c r="P318" i="5" s="1"/>
  <c r="EC304" i="5"/>
  <c r="EC318" i="5" s="1"/>
  <c r="DL312" i="5"/>
  <c r="DL317" i="5"/>
  <c r="DL309" i="5"/>
  <c r="DP304" i="5"/>
  <c r="DP318" i="5" s="1"/>
  <c r="DP298" i="5"/>
  <c r="EY312" i="5"/>
  <c r="EY317" i="5"/>
  <c r="EY309" i="5"/>
  <c r="DK292" i="5"/>
  <c r="DK298" i="5" s="1"/>
  <c r="EM304" i="5"/>
  <c r="EM318" i="5" s="1"/>
  <c r="FO180" i="2"/>
  <c r="FO182" i="2" s="1"/>
  <c r="FO166" i="2"/>
  <c r="FO172" i="2"/>
  <c r="DE317" i="5"/>
  <c r="DE312" i="5"/>
  <c r="DE309" i="5"/>
  <c r="BG304" i="5"/>
  <c r="BG318" i="5" s="1"/>
  <c r="BG298" i="5"/>
  <c r="CL312" i="5"/>
  <c r="CL317" i="5"/>
  <c r="CL309" i="5"/>
  <c r="EL166" i="2"/>
  <c r="EL180" i="2"/>
  <c r="EL182" i="2" s="1"/>
  <c r="FI312" i="5"/>
  <c r="FI317" i="5"/>
  <c r="FI309" i="5"/>
  <c r="ER304" i="5"/>
  <c r="ER318" i="5" s="1"/>
  <c r="ER298" i="5"/>
  <c r="DF153" i="2"/>
  <c r="FQ275" i="5"/>
  <c r="CN312" i="5"/>
  <c r="CN317" i="5"/>
  <c r="CN309" i="5"/>
  <c r="AP304" i="5"/>
  <c r="AP318" i="5" s="1"/>
  <c r="CY306" i="5"/>
  <c r="CY320" i="5" s="1"/>
  <c r="DA275" i="5"/>
  <c r="BV317" i="5"/>
  <c r="BV312" i="5"/>
  <c r="BV309" i="5"/>
  <c r="EA275" i="5"/>
  <c r="AP292" i="5"/>
  <c r="AP298" i="5" s="1"/>
  <c r="DN312" i="5"/>
  <c r="DN317" i="5"/>
  <c r="DN309" i="5"/>
  <c r="FC275" i="5"/>
  <c r="AL292" i="5"/>
  <c r="AL298" i="5" s="1"/>
  <c r="FF306" i="5"/>
  <c r="FF320" i="5" s="1"/>
  <c r="ED317" i="5"/>
  <c r="ED309" i="5"/>
  <c r="ED312" i="5"/>
  <c r="FV298" i="5"/>
  <c r="FV304" i="5"/>
  <c r="FV318" i="5" s="1"/>
  <c r="DS292" i="5"/>
  <c r="DS298" i="5" s="1"/>
  <c r="FR304" i="5"/>
  <c r="FR318" i="5" s="1"/>
  <c r="AF304" i="5"/>
  <c r="AF318" i="5" s="1"/>
  <c r="BW304" i="5"/>
  <c r="BW318" i="5" s="1"/>
  <c r="BW298" i="5"/>
  <c r="AV275" i="5"/>
  <c r="DY275" i="5"/>
  <c r="CI317" i="5"/>
  <c r="CI309" i="5"/>
  <c r="CI312" i="5"/>
  <c r="BY304" i="5"/>
  <c r="BY318" i="5" s="1"/>
  <c r="BY298" i="5"/>
  <c r="I180" i="2"/>
  <c r="I182" i="2" s="1"/>
  <c r="I166" i="2"/>
  <c r="I172" i="2"/>
  <c r="AH312" i="5"/>
  <c r="AH317" i="5"/>
  <c r="AH309" i="5"/>
  <c r="FA275" i="5"/>
  <c r="AM304" i="5"/>
  <c r="AM318" i="5" s="1"/>
  <c r="AM298" i="5"/>
  <c r="EL168" i="2"/>
  <c r="EL172" i="2" s="1"/>
  <c r="CH317" i="5"/>
  <c r="CH312" i="5"/>
  <c r="CH309" i="5"/>
  <c r="EV304" i="5"/>
  <c r="EV318" i="5" s="1"/>
  <c r="EV298" i="5"/>
  <c r="BM306" i="5"/>
  <c r="BM320" i="5" s="1"/>
  <c r="AS298" i="5"/>
  <c r="AS304" i="5"/>
  <c r="AS318" i="5" s="1"/>
  <c r="G317" i="5"/>
  <c r="G309" i="5"/>
  <c r="G312" i="5"/>
  <c r="FM317" i="5"/>
  <c r="FM312" i="5"/>
  <c r="FM309" i="5"/>
  <c r="CZ275" i="5"/>
  <c r="N275" i="5"/>
  <c r="G275" i="5"/>
  <c r="FI304" i="5"/>
  <c r="FI318" i="5" s="1"/>
  <c r="FI298" i="5"/>
  <c r="AN304" i="5"/>
  <c r="AN318" i="5" s="1"/>
  <c r="AN298" i="5"/>
  <c r="FP317" i="5"/>
  <c r="FP309" i="5"/>
  <c r="FP312" i="5"/>
  <c r="DF172" i="2"/>
  <c r="DF180" i="2"/>
  <c r="DF182" i="2" s="1"/>
  <c r="DF166" i="2"/>
  <c r="AQ304" i="5"/>
  <c r="AQ318" i="5" s="1"/>
  <c r="CX312" i="5"/>
  <c r="CX317" i="5"/>
  <c r="CX309" i="5"/>
  <c r="DD304" i="5"/>
  <c r="DD318" i="5" s="1"/>
  <c r="DD298" i="5"/>
  <c r="FU306" i="5"/>
  <c r="FU320" i="5" s="1"/>
  <c r="BS304" i="5"/>
  <c r="BS318" i="5" s="1"/>
  <c r="CN304" i="5"/>
  <c r="CN318" i="5" s="1"/>
  <c r="CN298" i="5"/>
  <c r="AE298" i="5"/>
  <c r="AE304" i="5"/>
  <c r="AE318" i="5" s="1"/>
  <c r="AZ306" i="5"/>
  <c r="AZ320" i="5" s="1"/>
  <c r="AP312" i="5"/>
  <c r="AP317" i="5"/>
  <c r="AP309" i="5"/>
  <c r="AX304" i="5"/>
  <c r="AX318" i="5" s="1"/>
  <c r="AX298" i="5"/>
  <c r="BF304" i="5"/>
  <c r="BF318" i="5" s="1"/>
  <c r="BF298" i="5"/>
  <c r="FJ298" i="5"/>
  <c r="FJ304" i="5"/>
  <c r="FJ318" i="5" s="1"/>
  <c r="FC304" i="5"/>
  <c r="FC318" i="5" s="1"/>
  <c r="FC298" i="5"/>
  <c r="BW317" i="5"/>
  <c r="BW312" i="5"/>
  <c r="BW309" i="5"/>
  <c r="BT275" i="5"/>
  <c r="CW317" i="5"/>
  <c r="CW309" i="5"/>
  <c r="CW312" i="5"/>
  <c r="EL304" i="5"/>
  <c r="EL318" i="5" s="1"/>
  <c r="EL298" i="5"/>
  <c r="ES317" i="5"/>
  <c r="ES309" i="5"/>
  <c r="ES312" i="5"/>
  <c r="BI317" i="5"/>
  <c r="BI312" i="5"/>
  <c r="BI309" i="5"/>
  <c r="CK304" i="5"/>
  <c r="CK318" i="5" s="1"/>
  <c r="CK298" i="5"/>
  <c r="DI304" i="5"/>
  <c r="DI318" i="5" s="1"/>
  <c r="DI298" i="5"/>
  <c r="BL304" i="5"/>
  <c r="BL318" i="5" s="1"/>
  <c r="BL298" i="5"/>
  <c r="BI292" i="5"/>
  <c r="BI298" i="5" s="1"/>
  <c r="E304" i="5"/>
  <c r="E318" i="5" s="1"/>
  <c r="E298" i="5"/>
  <c r="C239" i="3"/>
  <c r="FZ237" i="3"/>
  <c r="FZ239" i="3" s="1"/>
  <c r="C247" i="3"/>
  <c r="C245" i="3"/>
  <c r="C248" i="3"/>
  <c r="BO304" i="5"/>
  <c r="BO318" i="5" s="1"/>
  <c r="BO298" i="5"/>
  <c r="EZ317" i="5"/>
  <c r="EZ312" i="5"/>
  <c r="EZ309" i="5"/>
  <c r="CF317" i="5"/>
  <c r="CF312" i="5"/>
  <c r="CF309" i="5"/>
  <c r="CZ304" i="5"/>
  <c r="CZ318" i="5" s="1"/>
  <c r="CZ298" i="5"/>
  <c r="N304" i="5"/>
  <c r="N318" i="5" s="1"/>
  <c r="N298" i="5"/>
  <c r="G304" i="5"/>
  <c r="G318" i="5" s="1"/>
  <c r="G298" i="5"/>
  <c r="FQ317" i="5"/>
  <c r="FQ309" i="5"/>
  <c r="FQ312" i="5"/>
  <c r="CF304" i="5"/>
  <c r="CF318" i="5" s="1"/>
  <c r="CF298" i="5"/>
  <c r="D275" i="5"/>
  <c r="DJ292" i="5"/>
  <c r="DJ298" i="5" s="1"/>
  <c r="FQ304" i="5"/>
  <c r="FQ318" i="5" s="1"/>
  <c r="FQ298" i="5"/>
  <c r="BA275" i="5"/>
  <c r="DA312" i="5"/>
  <c r="DA309" i="5"/>
  <c r="DA317" i="5"/>
  <c r="FZ237" i="5"/>
  <c r="FZ239" i="5" s="1"/>
  <c r="C239" i="5"/>
  <c r="C245" i="5"/>
  <c r="C247" i="5"/>
  <c r="C248" i="5"/>
  <c r="CV304" i="5"/>
  <c r="CV318" i="5" s="1"/>
  <c r="DA298" i="5"/>
  <c r="DA304" i="5"/>
  <c r="DA318" i="5" s="1"/>
  <c r="L317" i="5"/>
  <c r="L312" i="5"/>
  <c r="L309" i="5"/>
  <c r="EA298" i="5"/>
  <c r="EA304" i="5"/>
  <c r="EA318" i="5" s="1"/>
  <c r="CX275" i="5"/>
  <c r="AK275" i="5"/>
  <c r="BB153" i="2"/>
  <c r="P317" i="5"/>
  <c r="P312" i="5"/>
  <c r="P309" i="5"/>
  <c r="AF292" i="5"/>
  <c r="AF298" i="5" s="1"/>
  <c r="BC153" i="2"/>
  <c r="CQ275" i="5"/>
  <c r="DL180" i="2"/>
  <c r="DL182" i="2" s="1"/>
  <c r="DL172" i="2"/>
  <c r="DL166" i="2"/>
  <c r="AU298" i="5"/>
  <c r="AU304" i="5"/>
  <c r="AU318" i="5" s="1"/>
  <c r="EH275" i="5"/>
  <c r="CT275" i="5"/>
  <c r="BT304" i="5"/>
  <c r="BT318" i="5" s="1"/>
  <c r="BT298" i="5"/>
  <c r="DS317" i="5"/>
  <c r="DS309" i="5"/>
  <c r="DS312" i="5"/>
  <c r="FW312" i="5"/>
  <c r="FW317" i="5"/>
  <c r="FW309" i="5"/>
  <c r="CE304" i="5"/>
  <c r="CE318" i="5" s="1"/>
  <c r="CE298" i="5"/>
  <c r="DU317" i="5"/>
  <c r="DU309" i="5"/>
  <c r="DU312" i="5"/>
  <c r="DL304" i="5"/>
  <c r="DL318" i="5" s="1"/>
  <c r="CS275" i="5"/>
  <c r="CB312" i="5"/>
  <c r="CB317" i="5"/>
  <c r="CB309" i="5"/>
  <c r="EO304" i="5"/>
  <c r="EO318" i="5" s="1"/>
  <c r="EO298" i="5"/>
  <c r="AB292" i="5"/>
  <c r="AB298" i="5" s="1"/>
  <c r="DB304" i="5"/>
  <c r="DB318" i="5" s="1"/>
  <c r="DB298" i="5"/>
  <c r="D304" i="5"/>
  <c r="D318" i="5" s="1"/>
  <c r="D298" i="5"/>
  <c r="BR166" i="2"/>
  <c r="BR172" i="2"/>
  <c r="BR180" i="2"/>
  <c r="BR182" i="2" s="1"/>
  <c r="BA317" i="5"/>
  <c r="BA309" i="5"/>
  <c r="BA312" i="5"/>
  <c r="FP292" i="5"/>
  <c r="FP298" i="5" s="1"/>
  <c r="R317" i="5"/>
  <c r="R312" i="5"/>
  <c r="R309" i="5"/>
  <c r="BA304" i="5"/>
  <c r="BA318" i="5" s="1"/>
  <c r="BA298" i="5"/>
  <c r="EE317" i="5"/>
  <c r="EE309" i="5"/>
  <c r="EE312" i="5"/>
  <c r="CM312" i="5"/>
  <c r="CM317" i="5"/>
  <c r="CM309" i="5"/>
  <c r="BS292" i="5"/>
  <c r="BS298" i="5" s="1"/>
  <c r="EU292" i="5"/>
  <c r="EU298" i="5" s="1"/>
  <c r="BC180" i="2"/>
  <c r="BC182" i="2" s="1"/>
  <c r="BC166" i="2"/>
  <c r="BC172" i="2"/>
  <c r="EI312" i="5"/>
  <c r="EI317" i="5"/>
  <c r="EI309" i="5"/>
  <c r="DV292" i="5"/>
  <c r="DV298" i="5" s="1"/>
  <c r="EH304" i="5"/>
  <c r="EH318" i="5" s="1"/>
  <c r="EH298" i="5"/>
  <c r="DO166" i="2"/>
  <c r="DO172" i="2"/>
  <c r="DO180" i="2"/>
  <c r="DO182" i="2" s="1"/>
  <c r="CX180" i="2"/>
  <c r="CX182" i="2" s="1"/>
  <c r="CX166" i="2"/>
  <c r="FU180" i="2"/>
  <c r="FU182" i="2" s="1"/>
  <c r="FU166" i="2"/>
  <c r="AT304" i="5"/>
  <c r="AT318" i="5" s="1"/>
  <c r="AT298" i="5"/>
  <c r="CS317" i="5"/>
  <c r="CS312" i="5"/>
  <c r="CS309" i="5"/>
  <c r="DY312" i="5"/>
  <c r="DY317" i="5"/>
  <c r="DY309" i="5"/>
  <c r="CA304" i="5"/>
  <c r="CA318" i="5" s="1"/>
  <c r="CA298" i="5"/>
  <c r="FA304" i="5"/>
  <c r="FA318" i="5" s="1"/>
  <c r="FA298" i="5"/>
  <c r="DI153" i="2"/>
  <c r="CR317" i="5"/>
  <c r="CR312" i="5"/>
  <c r="CR309" i="5"/>
  <c r="FR292" i="5"/>
  <c r="FR298" i="5" s="1"/>
  <c r="J317" i="5"/>
  <c r="J312" i="5"/>
  <c r="J309" i="5"/>
  <c r="FW292" i="5"/>
  <c r="FW298" i="5" s="1"/>
  <c r="CI180" i="2"/>
  <c r="CI182" i="2" s="1"/>
  <c r="CI166" i="2"/>
  <c r="CI172" i="2"/>
  <c r="CS304" i="5"/>
  <c r="CS318" i="5" s="1"/>
  <c r="CS298" i="5"/>
  <c r="EM292" i="5"/>
  <c r="EM298" i="5" s="1"/>
  <c r="Z292" i="5"/>
  <c r="Z298" i="5" s="1"/>
  <c r="DI180" i="2"/>
  <c r="DI182" i="2" s="1"/>
  <c r="DI166" i="2"/>
  <c r="DI172" i="2"/>
  <c r="AD317" i="5"/>
  <c r="AD309" i="5"/>
  <c r="AD312" i="5"/>
  <c r="AS312" i="5"/>
  <c r="AS317" i="5"/>
  <c r="AS309" i="5"/>
  <c r="V317" i="5"/>
  <c r="V309" i="5"/>
  <c r="V312" i="5"/>
  <c r="DL292" i="5"/>
  <c r="DL298" i="5" s="1"/>
  <c r="FI153" i="2"/>
  <c r="V304" i="5"/>
  <c r="V318" i="5" s="1"/>
  <c r="V298" i="5"/>
  <c r="DE304" i="5"/>
  <c r="DE318" i="5" s="1"/>
  <c r="DE298" i="5"/>
  <c r="AB317" i="5"/>
  <c r="AB312" i="5"/>
  <c r="AB309" i="5"/>
  <c r="BJ306" i="5"/>
  <c r="BJ320" i="5" s="1"/>
  <c r="K306" i="5"/>
  <c r="K320" i="5" s="1"/>
  <c r="DJ312" i="5"/>
  <c r="DJ317" i="5"/>
  <c r="DJ309" i="5"/>
  <c r="EJ153" i="2"/>
  <c r="DJ275" i="5"/>
  <c r="BK317" i="5"/>
  <c r="BK309" i="5"/>
  <c r="BK312" i="5"/>
  <c r="BR306" i="5"/>
  <c r="BR320" i="5" s="1"/>
  <c r="CV317" i="5"/>
  <c r="CV309" i="5"/>
  <c r="CV312" i="5"/>
  <c r="EQ304" i="5"/>
  <c r="EQ318" i="5" s="1"/>
  <c r="EQ298" i="5"/>
  <c r="CX153" i="2"/>
  <c r="EE304" i="5"/>
  <c r="EE318" i="5" s="1"/>
  <c r="EE298" i="5"/>
  <c r="BH304" i="5"/>
  <c r="BH318" i="5" s="1"/>
  <c r="BH298" i="5"/>
  <c r="CO298" i="5"/>
  <c r="CO304" i="5"/>
  <c r="CO318" i="5" s="1"/>
  <c r="CX304" i="5"/>
  <c r="CX318" i="5" s="1"/>
  <c r="CX298" i="5"/>
  <c r="AK304" i="5"/>
  <c r="AK318" i="5" s="1"/>
  <c r="AK298" i="5"/>
  <c r="BB180" i="2"/>
  <c r="BB182" i="2" s="1"/>
  <c r="BB166" i="2"/>
  <c r="BB172" i="2"/>
  <c r="AR304" i="5"/>
  <c r="AR318" i="5" s="1"/>
  <c r="AR298" i="5"/>
  <c r="P292" i="5"/>
  <c r="P298" i="5" s="1"/>
  <c r="AF312" i="5"/>
  <c r="AF309" i="5"/>
  <c r="AF317" i="5"/>
  <c r="CQ304" i="5"/>
  <c r="CQ318" i="5" s="1"/>
  <c r="CQ298" i="5"/>
  <c r="FU168" i="2"/>
  <c r="FU172" i="2" s="1"/>
  <c r="BV275" i="5"/>
  <c r="DO306" i="5"/>
  <c r="DO320" i="5" s="1"/>
  <c r="DM306" i="5"/>
  <c r="DM320" i="5" s="1"/>
  <c r="CT304" i="5"/>
  <c r="CT318" i="5" s="1"/>
  <c r="CT298" i="5"/>
  <c r="E153" i="2"/>
  <c r="EY304" i="5"/>
  <c r="EY318" i="5" s="1"/>
  <c r="EY298" i="5"/>
  <c r="EW298" i="5"/>
  <c r="EW304" i="5"/>
  <c r="EW318" i="5" s="1"/>
  <c r="CB304" i="5"/>
  <c r="CB318" i="5" s="1"/>
  <c r="CB298" i="5"/>
  <c r="EZ304" i="5"/>
  <c r="EZ318" i="5" s="1"/>
  <c r="EZ298" i="5"/>
  <c r="EF172" i="2"/>
  <c r="EF166" i="2"/>
  <c r="EF180" i="2"/>
  <c r="EF182" i="2" s="1"/>
  <c r="AV304" i="5"/>
  <c r="AV318" i="5" s="1"/>
  <c r="AV298" i="5"/>
  <c r="DY298" i="5"/>
  <c r="DY304" i="5"/>
  <c r="DY318" i="5" s="1"/>
  <c r="AH304" i="5"/>
  <c r="AH318" i="5" s="1"/>
  <c r="AH298" i="5"/>
  <c r="CA312" i="5"/>
  <c r="CA317" i="5"/>
  <c r="CA309" i="5"/>
  <c r="BF312" i="5"/>
  <c r="BF317" i="5"/>
  <c r="BF309" i="5"/>
  <c r="EC292" i="5"/>
  <c r="EC298" i="5" s="1"/>
  <c r="N317" i="5"/>
  <c r="N312" i="5"/>
  <c r="N309" i="5"/>
  <c r="ES275" i="5"/>
  <c r="AA306" i="5"/>
  <c r="AA320" i="5" s="1"/>
  <c r="BI275" i="5"/>
  <c r="Z317" i="5"/>
  <c r="Z312" i="5"/>
  <c r="Z309" i="5"/>
  <c r="CW292" i="5"/>
  <c r="CW298" i="5" s="1"/>
  <c r="CR292" i="5"/>
  <c r="CR298" i="5" s="1"/>
  <c r="FR312" i="5"/>
  <c r="FR317" i="5"/>
  <c r="FR309" i="5"/>
  <c r="FN317" i="5"/>
  <c r="FN309" i="5"/>
  <c r="FN312" i="5"/>
  <c r="EL275" i="5"/>
  <c r="FR275" i="5"/>
  <c r="EW275" i="5"/>
  <c r="DG317" i="5"/>
  <c r="DG312" i="5"/>
  <c r="DG309" i="5"/>
  <c r="FI180" i="2"/>
  <c r="FI182" i="2" s="1"/>
  <c r="FI166" i="2"/>
  <c r="FI172" i="2"/>
  <c r="J168" i="2"/>
  <c r="J172" i="2" s="1"/>
  <c r="DB312" i="5"/>
  <c r="DB309" i="5"/>
  <c r="DB317" i="5"/>
  <c r="ED275" i="5"/>
  <c r="CD292" i="5"/>
  <c r="CD298" i="5" s="1"/>
  <c r="DW304" i="5"/>
  <c r="DW318" i="5" s="1"/>
  <c r="DW298" i="5"/>
  <c r="S298" i="5"/>
  <c r="S304" i="5"/>
  <c r="S318" i="5" s="1"/>
  <c r="EZ275" i="5"/>
  <c r="ED292" i="5"/>
  <c r="ED298" i="5" s="1"/>
  <c r="DO153" i="2"/>
  <c r="AQ292" i="5"/>
  <c r="AQ298" i="5" s="1"/>
  <c r="EJ180" i="2"/>
  <c r="EJ182" i="2" s="1"/>
  <c r="EJ172" i="2"/>
  <c r="EJ166" i="2"/>
  <c r="CJ172" i="2"/>
  <c r="CJ180" i="2"/>
  <c r="CJ182" i="2" s="1"/>
  <c r="CJ166" i="2"/>
  <c r="CX168" i="2"/>
  <c r="CX172" i="2" s="1"/>
  <c r="BH317" i="5"/>
  <c r="BH312" i="5"/>
  <c r="BH309" i="5"/>
  <c r="DU275" i="5"/>
  <c r="CV292" i="5"/>
  <c r="CV298" i="5" s="1"/>
  <c r="BS312" i="5"/>
  <c r="BS317" i="5"/>
  <c r="BS309" i="5"/>
  <c r="EU312" i="5"/>
  <c r="EU317" i="5"/>
  <c r="EU309" i="5"/>
  <c r="CM275" i="5"/>
  <c r="DH172" i="2"/>
  <c r="DH180" i="2"/>
  <c r="DH182" i="2" s="1"/>
  <c r="DH166" i="2"/>
  <c r="DV312" i="5"/>
  <c r="DV317" i="5"/>
  <c r="DV309" i="5"/>
  <c r="E180" i="2"/>
  <c r="E182" i="2" s="1"/>
  <c r="E166" i="2"/>
  <c r="E172" i="2"/>
  <c r="FL306" i="5" l="1"/>
  <c r="FL320" i="5" s="1"/>
  <c r="BB306" i="5"/>
  <c r="BB320" i="5" s="1"/>
  <c r="DT306" i="5"/>
  <c r="DT320" i="5" s="1"/>
  <c r="BK306" i="5"/>
  <c r="BK320" i="5" s="1"/>
  <c r="CM306" i="5"/>
  <c r="CM320" i="5" s="1"/>
  <c r="FW306" i="5"/>
  <c r="FW320" i="5" s="1"/>
  <c r="EI306" i="5"/>
  <c r="EI320" i="5" s="1"/>
  <c r="P306" i="5"/>
  <c r="P320" i="5" s="1"/>
  <c r="FP306" i="5"/>
  <c r="FP320" i="5" s="1"/>
  <c r="DN306" i="5"/>
  <c r="DN320" i="5" s="1"/>
  <c r="CW306" i="5"/>
  <c r="CW320" i="5" s="1"/>
  <c r="CI306" i="5"/>
  <c r="CI320" i="5" s="1"/>
  <c r="ED306" i="5"/>
  <c r="ED320" i="5" s="1"/>
  <c r="CL306" i="5"/>
  <c r="CL320" i="5" s="1"/>
  <c r="DU306" i="5"/>
  <c r="DU320" i="5" s="1"/>
  <c r="CR306" i="5"/>
  <c r="CR320" i="5" s="1"/>
  <c r="BH306" i="5"/>
  <c r="BH320" i="5" s="1"/>
  <c r="FM306" i="5"/>
  <c r="FM320" i="5" s="1"/>
  <c r="CH306" i="5"/>
  <c r="CH320" i="5" s="1"/>
  <c r="DJ306" i="5"/>
  <c r="DJ320" i="5" s="1"/>
  <c r="BT306" i="5"/>
  <c r="BT320" i="5" s="1"/>
  <c r="L306" i="5"/>
  <c r="L320" i="5" s="1"/>
  <c r="FX306" i="5"/>
  <c r="FX320" i="5" s="1"/>
  <c r="R306" i="5"/>
  <c r="R320" i="5" s="1"/>
  <c r="AS306" i="5"/>
  <c r="AS320" i="5" s="1"/>
  <c r="EV306" i="5"/>
  <c r="EV320" i="5" s="1"/>
  <c r="EA306" i="5"/>
  <c r="EA320" i="5" s="1"/>
  <c r="AL306" i="5"/>
  <c r="AL320" i="5" s="1"/>
  <c r="EU306" i="5"/>
  <c r="EU320" i="5" s="1"/>
  <c r="FN306" i="5"/>
  <c r="FN320" i="5" s="1"/>
  <c r="J306" i="5"/>
  <c r="J320" i="5" s="1"/>
  <c r="BD306" i="5"/>
  <c r="BD320" i="5" s="1"/>
  <c r="DA306" i="5"/>
  <c r="DA320" i="5" s="1"/>
  <c r="AB306" i="5"/>
  <c r="AB320" i="5" s="1"/>
  <c r="CS306" i="5"/>
  <c r="CS320" i="5" s="1"/>
  <c r="FC306" i="5"/>
  <c r="FC320" i="5" s="1"/>
  <c r="BI306" i="5"/>
  <c r="BI320" i="5" s="1"/>
  <c r="DR306" i="5"/>
  <c r="DR320" i="5" s="1"/>
  <c r="AI306" i="5"/>
  <c r="AI320" i="5" s="1"/>
  <c r="DQ306" i="5"/>
  <c r="DQ320" i="5" s="1"/>
  <c r="CA306" i="5"/>
  <c r="CA320" i="5" s="1"/>
  <c r="DZ306" i="5"/>
  <c r="DZ320" i="5" s="1"/>
  <c r="AE306" i="5"/>
  <c r="AE320" i="5" s="1"/>
  <c r="EB306" i="5"/>
  <c r="EB320" i="5" s="1"/>
  <c r="N306" i="5"/>
  <c r="N320" i="5" s="1"/>
  <c r="CV306" i="5"/>
  <c r="CV320" i="5" s="1"/>
  <c r="AM306" i="5"/>
  <c r="AM320" i="5" s="1"/>
  <c r="X306" i="5"/>
  <c r="X320" i="5" s="1"/>
  <c r="AD306" i="5"/>
  <c r="AD320" i="5" s="1"/>
  <c r="FQ306" i="5"/>
  <c r="FQ320" i="5" s="1"/>
  <c r="BW306" i="5"/>
  <c r="BW320" i="5" s="1"/>
  <c r="DG306" i="5"/>
  <c r="DG320" i="5" s="1"/>
  <c r="BV306" i="5"/>
  <c r="BV320" i="5" s="1"/>
  <c r="CT306" i="5"/>
  <c r="CT320" i="5" s="1"/>
  <c r="BE306" i="5"/>
  <c r="BE320" i="5" s="1"/>
  <c r="AF306" i="5"/>
  <c r="AF320" i="5" s="1"/>
  <c r="ES306" i="5"/>
  <c r="ES320" i="5" s="1"/>
  <c r="FI306" i="5"/>
  <c r="FI320" i="5" s="1"/>
  <c r="EC306" i="5"/>
  <c r="EC320" i="5" s="1"/>
  <c r="DP306" i="5"/>
  <c r="DP320" i="5" s="1"/>
  <c r="AP180" i="2"/>
  <c r="AP182" i="2" s="1"/>
  <c r="AP166" i="2"/>
  <c r="AP168" i="2"/>
  <c r="AP172" i="2" s="1"/>
  <c r="DB306" i="5"/>
  <c r="DB320" i="5" s="1"/>
  <c r="Z306" i="5"/>
  <c r="Z320" i="5" s="1"/>
  <c r="EZ306" i="5"/>
  <c r="EZ320" i="5" s="1"/>
  <c r="AP306" i="5"/>
  <c r="AP320" i="5" s="1"/>
  <c r="DL306" i="5"/>
  <c r="DL320" i="5" s="1"/>
  <c r="EO306" i="5"/>
  <c r="EO320" i="5" s="1"/>
  <c r="AV306" i="5"/>
  <c r="AV320" i="5" s="1"/>
  <c r="CP306" i="5"/>
  <c r="CP320" i="5" s="1"/>
  <c r="EN306" i="5"/>
  <c r="EN320" i="5" s="1"/>
  <c r="BA306" i="5"/>
  <c r="BA320" i="5" s="1"/>
  <c r="FA306" i="5"/>
  <c r="FA320" i="5" s="1"/>
  <c r="CE306" i="5"/>
  <c r="CE320" i="5" s="1"/>
  <c r="BX306" i="5"/>
  <c r="BX320" i="5" s="1"/>
  <c r="CK306" i="5"/>
  <c r="CK320" i="5" s="1"/>
  <c r="FJ306" i="5"/>
  <c r="FJ320" i="5" s="1"/>
  <c r="BF306" i="5"/>
  <c r="BF320" i="5" s="1"/>
  <c r="V306" i="5"/>
  <c r="V320" i="5" s="1"/>
  <c r="DY306" i="5"/>
  <c r="DY320" i="5" s="1"/>
  <c r="EE306" i="5"/>
  <c r="EE320" i="5" s="1"/>
  <c r="BG306" i="5"/>
  <c r="BG320" i="5" s="1"/>
  <c r="EW306" i="5"/>
  <c r="EW320" i="5" s="1"/>
  <c r="E306" i="5"/>
  <c r="E320" i="5" s="1"/>
  <c r="CX306" i="5"/>
  <c r="CX320" i="5" s="1"/>
  <c r="EY306" i="5"/>
  <c r="EY320" i="5" s="1"/>
  <c r="EQ306" i="5"/>
  <c r="EQ320" i="5" s="1"/>
  <c r="EH306" i="5"/>
  <c r="EH320" i="5" s="1"/>
  <c r="ER306" i="5"/>
  <c r="ER320" i="5" s="1"/>
  <c r="AN306" i="5"/>
  <c r="AN320" i="5" s="1"/>
  <c r="AH306" i="5"/>
  <c r="AH320" i="5" s="1"/>
  <c r="DH306" i="5"/>
  <c r="DH320" i="5" s="1"/>
  <c r="BO306" i="5"/>
  <c r="BO320" i="5" s="1"/>
  <c r="D306" i="5"/>
  <c r="D320" i="5" s="1"/>
  <c r="S306" i="5"/>
  <c r="S320" i="5" s="1"/>
  <c r="FG306" i="5"/>
  <c r="FG320" i="5" s="1"/>
  <c r="BY306" i="5"/>
  <c r="BY320" i="5" s="1"/>
  <c r="DI306" i="5"/>
  <c r="DI320" i="5" s="1"/>
  <c r="AY306" i="5"/>
  <c r="AY320" i="5" s="1"/>
  <c r="DD306" i="5"/>
  <c r="DD320" i="5" s="1"/>
  <c r="CB306" i="5"/>
  <c r="CB320" i="5" s="1"/>
  <c r="DE306" i="5"/>
  <c r="DE320" i="5" s="1"/>
  <c r="EJ306" i="5"/>
  <c r="EJ320" i="5" s="1"/>
  <c r="AT306" i="5"/>
  <c r="AT320" i="5" s="1"/>
  <c r="DF306" i="5"/>
  <c r="DF320" i="5" s="1"/>
  <c r="AU306" i="5"/>
  <c r="AU320" i="5" s="1"/>
  <c r="CD306" i="5"/>
  <c r="CD320" i="5" s="1"/>
  <c r="C249" i="3"/>
  <c r="C253" i="3" s="1"/>
  <c r="FK306" i="5"/>
  <c r="FK320" i="5" s="1"/>
  <c r="CJ306" i="5"/>
  <c r="CJ320" i="5" s="1"/>
  <c r="EM306" i="5"/>
  <c r="EM320" i="5" s="1"/>
  <c r="DV306" i="5"/>
  <c r="DV320" i="5" s="1"/>
  <c r="BS306" i="5"/>
  <c r="BS320" i="5" s="1"/>
  <c r="FR306" i="5"/>
  <c r="FR320" i="5" s="1"/>
  <c r="C249" i="5"/>
  <c r="C253" i="5" s="1"/>
  <c r="CF306" i="5"/>
  <c r="CF320" i="5" s="1"/>
  <c r="G306" i="5"/>
  <c r="G320" i="5" s="1"/>
  <c r="BL306" i="5"/>
  <c r="BL320" i="5" s="1"/>
  <c r="AR306" i="5"/>
  <c r="AR320" i="5" s="1"/>
  <c r="AK306" i="5"/>
  <c r="AK320" i="5" s="1"/>
  <c r="FV306" i="5"/>
  <c r="FV320" i="5" s="1"/>
  <c r="CG306" i="5"/>
  <c r="CG320" i="5" s="1"/>
  <c r="O306" i="5"/>
  <c r="O320" i="5" s="1"/>
  <c r="EL306" i="5"/>
  <c r="EL320" i="5" s="1"/>
  <c r="AX306" i="5"/>
  <c r="AX320" i="5" s="1"/>
  <c r="DS306" i="5"/>
  <c r="DS320" i="5" s="1"/>
  <c r="CN306" i="5"/>
  <c r="CN320" i="5" s="1"/>
  <c r="CQ306" i="5"/>
  <c r="CQ320" i="5" s="1"/>
  <c r="AQ306" i="5"/>
  <c r="AQ320" i="5" s="1"/>
  <c r="CO306" i="5"/>
  <c r="CO320" i="5" s="1"/>
  <c r="DK306" i="5"/>
  <c r="DK320" i="5" s="1"/>
  <c r="AP153" i="2"/>
  <c r="CZ306" i="5"/>
  <c r="CZ320" i="5" s="1"/>
  <c r="DW306" i="5"/>
  <c r="DW320" i="5" s="1"/>
  <c r="C258" i="5" l="1"/>
  <c r="FZ253" i="5"/>
  <c r="C258" i="3"/>
  <c r="FZ253" i="3"/>
  <c r="FZ258" i="3" l="1"/>
  <c r="C259" i="3"/>
  <c r="FZ258" i="5"/>
  <c r="C259" i="5"/>
  <c r="C289" i="5" l="1"/>
  <c r="FZ259" i="5"/>
  <c r="GB259" i="5" s="1"/>
  <c r="C264" i="5"/>
  <c r="C264" i="3"/>
  <c r="C289" i="3"/>
  <c r="FZ259" i="3"/>
  <c r="GB259" i="3" s="1"/>
  <c r="C144" i="2"/>
  <c r="FZ144" i="2" l="1"/>
  <c r="GB144" i="2" s="1"/>
  <c r="C145" i="2"/>
  <c r="FZ145" i="2" s="1"/>
  <c r="GB145" i="2" s="1"/>
  <c r="FZ264" i="3"/>
  <c r="C270" i="3"/>
  <c r="C273" i="3" s="1"/>
  <c r="FZ289" i="3"/>
  <c r="C303" i="3"/>
  <c r="C296" i="3"/>
  <c r="C82" i="3"/>
  <c r="FZ82" i="3" s="1"/>
  <c r="FZ264" i="5"/>
  <c r="C270" i="5"/>
  <c r="C273" i="5" s="1"/>
  <c r="C303" i="5"/>
  <c r="C296" i="5"/>
  <c r="FZ289" i="5"/>
  <c r="C82" i="5"/>
  <c r="FZ82" i="5" s="1"/>
  <c r="C317" i="5" l="1"/>
  <c r="FZ317" i="5" s="1"/>
  <c r="C312" i="5"/>
  <c r="C309" i="5"/>
  <c r="FZ303" i="5"/>
  <c r="C290" i="5"/>
  <c r="FZ273" i="5"/>
  <c r="C281" i="5"/>
  <c r="C275" i="5" s="1"/>
  <c r="FZ275" i="5" s="1"/>
  <c r="C290" i="3"/>
  <c r="FZ273" i="3"/>
  <c r="C281" i="3"/>
  <c r="FZ296" i="5"/>
  <c r="GB289" i="5"/>
  <c r="C146" i="2"/>
  <c r="C312" i="3"/>
  <c r="C309" i="3"/>
  <c r="C317" i="3"/>
  <c r="FZ317" i="3" s="1"/>
  <c r="FZ303" i="3"/>
  <c r="GB289" i="3"/>
  <c r="FZ296" i="3"/>
  <c r="FZ290" i="3" l="1"/>
  <c r="C304" i="3"/>
  <c r="C292" i="3"/>
  <c r="FZ292" i="3" s="1"/>
  <c r="C285" i="3"/>
  <c r="FZ281" i="3"/>
  <c r="FZ310" i="3"/>
  <c r="FZ309" i="3"/>
  <c r="GB303" i="3"/>
  <c r="C275" i="3"/>
  <c r="FZ275" i="3" s="1"/>
  <c r="C285" i="5"/>
  <c r="FZ281" i="5"/>
  <c r="FZ290" i="5"/>
  <c r="C304" i="5"/>
  <c r="C292" i="5"/>
  <c r="FZ292" i="5" s="1"/>
  <c r="FZ310" i="5"/>
  <c r="FZ309" i="5"/>
  <c r="GB303" i="5"/>
  <c r="C147" i="2"/>
  <c r="FZ146" i="2"/>
  <c r="GB146" i="2" s="1"/>
  <c r="FZ285" i="3" l="1"/>
  <c r="C294" i="3"/>
  <c r="FZ294" i="3" s="1"/>
  <c r="C298" i="5"/>
  <c r="FY298" i="5" s="1"/>
  <c r="C294" i="5"/>
  <c r="FZ294" i="5" s="1"/>
  <c r="FZ285" i="5"/>
  <c r="C298" i="3"/>
  <c r="FY298" i="3" s="1"/>
  <c r="C318" i="5"/>
  <c r="FZ318" i="5" s="1"/>
  <c r="FZ304" i="5"/>
  <c r="GB304" i="5" s="1"/>
  <c r="C306" i="5"/>
  <c r="C318" i="3"/>
  <c r="FZ318" i="3" s="1"/>
  <c r="FZ304" i="3"/>
  <c r="GB304" i="3" s="1"/>
  <c r="C306" i="3"/>
  <c r="C162" i="2"/>
  <c r="C151" i="2"/>
  <c r="FZ147" i="2"/>
  <c r="GB147" i="2" s="1"/>
  <c r="FZ151" i="2" l="1"/>
  <c r="C152" i="2"/>
  <c r="C320" i="3"/>
  <c r="FZ320" i="3" s="1"/>
  <c r="FZ306" i="3"/>
  <c r="GB306" i="3" s="1"/>
  <c r="FZ162" i="2"/>
  <c r="GB162" i="2" s="1"/>
  <c r="C174" i="2"/>
  <c r="C179" i="2"/>
  <c r="C170" i="2"/>
  <c r="C50" i="2"/>
  <c r="FZ50" i="2" s="1"/>
  <c r="C320" i="5"/>
  <c r="FZ320" i="5" s="1"/>
  <c r="FZ306" i="5"/>
  <c r="GB306" i="5" s="1"/>
  <c r="FZ179" i="2" l="1"/>
  <c r="FZ152" i="2"/>
  <c r="GB152" i="2" s="1"/>
  <c r="C164" i="2"/>
  <c r="C158" i="2"/>
  <c r="C153" i="2" s="1"/>
  <c r="FZ153" i="2" s="1"/>
  <c r="FZ164" i="2" l="1"/>
  <c r="C180" i="2"/>
  <c r="C166" i="2"/>
  <c r="C168" i="2"/>
  <c r="FZ168" i="2" s="1"/>
  <c r="GB168" i="2" s="1"/>
  <c r="C169" i="2"/>
  <c r="FZ158" i="2"/>
  <c r="C172" i="2" l="1"/>
  <c r="FZ169" i="2"/>
  <c r="GB169" i="2" s="1"/>
  <c r="C184" i="2"/>
  <c r="FZ184" i="2" s="1"/>
  <c r="FZ180" i="2"/>
  <c r="C182" i="2"/>
  <c r="FZ182" i="2" s="1"/>
  <c r="FZ166" i="2"/>
  <c r="GB16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D48" authorId="0" shapeId="0" xr:uid="{00000000-0006-0000-0100-000001000000}">
      <text>
        <r>
          <rPr>
            <sz val="10"/>
            <color rgb="FF000000"/>
            <rFont val="Arial"/>
            <scheme val="minor"/>
          </rPr>
          <t xml:space="preserve">Christel, Mary Lynn: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0" authorId="0" shapeId="0" xr:uid="{00000000-0006-0000-0200-000001000000}">
      <text>
        <r>
          <rPr>
            <sz val="10"/>
            <color rgb="FF000000"/>
            <rFont val="Arial"/>
            <scheme val="minor"/>
          </rPr>
          <t>Enter calculated number from cell C37.</t>
        </r>
      </text>
    </comment>
    <comment ref="AD80" authorId="0" shapeId="0" xr:uid="{00000000-0006-0000-0200-000002000000}">
      <text>
        <r>
          <rPr>
            <sz val="10"/>
            <color rgb="FF000000"/>
            <rFont val="Arial"/>
            <scheme val="minor"/>
          </rPr>
          <t xml:space="preserve">Christel, Mary Lynn: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40" authorId="0" shapeId="0" xr:uid="{00000000-0006-0000-0400-000001000000}">
      <text>
        <r>
          <rPr>
            <sz val="10"/>
            <color rgb="FF000000"/>
            <rFont val="Arial"/>
            <scheme val="minor"/>
          </rPr>
          <t>Enter calculated number from cell C37.</t>
        </r>
      </text>
    </comment>
    <comment ref="AD80" authorId="0" shapeId="0" xr:uid="{00000000-0006-0000-0400-000002000000}">
      <text>
        <r>
          <rPr>
            <sz val="10"/>
            <color rgb="FF000000"/>
            <rFont val="Arial"/>
            <scheme val="minor"/>
          </rPr>
          <t xml:space="preserve">Christel, Mary Lynn:
</t>
        </r>
      </text>
    </comment>
  </commentList>
</comments>
</file>

<file path=xl/sharedStrings.xml><?xml version="1.0" encoding="utf-8"?>
<sst xmlns="http://schemas.openxmlformats.org/spreadsheetml/2006/main" count="4154" uniqueCount="1165">
  <si>
    <t>District Number</t>
  </si>
  <si>
    <t>0880</t>
  </si>
  <si>
    <t>FC9</t>
  </si>
  <si>
    <t>PP7</t>
  </si>
  <si>
    <t>AR8</t>
  </si>
  <si>
    <t>AR19</t>
  </si>
  <si>
    <t>EL1</t>
  </si>
  <si>
    <t>EL4</t>
  </si>
  <si>
    <t>TP4</t>
  </si>
  <si>
    <t>District Name</t>
  </si>
  <si>
    <t>Charter School Name</t>
  </si>
  <si>
    <t>School Code</t>
  </si>
  <si>
    <t>Per-Pupil Foundation Funding</t>
  </si>
  <si>
    <t>FRL %</t>
  </si>
  <si>
    <t>FRL Per-Pupil Funding</t>
  </si>
  <si>
    <t>(Funding Eligible) ELPA Count</t>
  </si>
  <si>
    <t>ELPA Per-Pupil Funding</t>
  </si>
  <si>
    <t>Incremental Per-Pupil Funding</t>
  </si>
  <si>
    <t>Total Per-Pupil Funding</t>
  </si>
  <si>
    <t>Total Program</t>
  </si>
  <si>
    <t>Inflation Rate</t>
  </si>
  <si>
    <t>Base PPR (FF1)</t>
  </si>
  <si>
    <t>MD Online PPR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</si>
  <si>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</si>
  <si>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</si>
  <si>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</si>
  <si>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</si>
  <si>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</si>
  <si>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</si>
  <si>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</si>
  <si>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</si>
  <si>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</si>
  <si>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</si>
  <si>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</si>
  <si>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</si>
  <si>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</si>
  <si>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</si>
  <si>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</si>
  <si>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</si>
  <si>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</si>
  <si>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</si>
  <si>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</si>
  <si>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</si>
  <si>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</si>
  <si>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</si>
  <si>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</si>
  <si>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</si>
  <si>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</si>
  <si>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</si>
  <si>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</si>
  <si>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</si>
  <si>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</si>
  <si>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</si>
  <si>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</si>
  <si>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</si>
  <si>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</si>
  <si>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</si>
  <si>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</si>
  <si>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</si>
  <si>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</si>
  <si>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</si>
  <si>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</si>
  <si>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</si>
  <si>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</si>
  <si>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</si>
  <si>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</si>
  <si>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</si>
  <si>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</si>
  <si>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</si>
  <si>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</si>
  <si>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</si>
  <si>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</si>
  <si>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</si>
  <si>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</si>
  <si>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</si>
  <si>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</si>
  <si>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</si>
  <si>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</si>
  <si>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</si>
  <si>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</si>
  <si>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</si>
  <si>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</si>
  <si>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</si>
  <si>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</si>
  <si>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</si>
  <si>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</si>
  <si>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</si>
  <si>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</si>
  <si>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</si>
  <si>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</si>
  <si>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</si>
  <si>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</si>
  <si>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</si>
  <si>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</si>
  <si>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</si>
  <si>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</si>
  <si>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</si>
  <si>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</si>
  <si>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</si>
  <si>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</si>
  <si>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</si>
  <si>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</si>
  <si>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</si>
  <si>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</si>
  <si>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</si>
  <si>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</si>
  <si>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</si>
  <si>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</si>
  <si>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</si>
  <si>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</si>
  <si>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</si>
  <si>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</si>
  <si>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</si>
  <si>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</si>
  <si>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</si>
  <si>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</si>
  <si>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</si>
  <si>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</si>
  <si>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</si>
  <si>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</si>
  <si>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</si>
  <si>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</si>
  <si>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</si>
  <si>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</si>
  <si>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</si>
  <si>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</si>
  <si>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</si>
  <si>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</si>
  <si>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</si>
  <si>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</si>
  <si>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</si>
  <si>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</si>
  <si>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</si>
  <si>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</si>
  <si>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</si>
  <si>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</si>
  <si>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</si>
  <si>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</si>
  <si>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</si>
  <si>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</si>
  <si>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</si>
  <si>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</si>
  <si>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</si>
  <si>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</si>
  <si>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</si>
  <si>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</si>
  <si>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</si>
  <si>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</si>
  <si>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</si>
  <si>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</si>
  <si>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</si>
  <si>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</si>
  <si>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</si>
  <si>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</si>
  <si>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</si>
  <si>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</si>
  <si>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</si>
  <si>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</si>
  <si>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</si>
  <si>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</si>
  <si>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</si>
  <si>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</si>
  <si>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</si>
  <si>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</si>
  <si>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</si>
  <si>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</si>
  <si>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</si>
  <si>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</si>
  <si>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</si>
  <si>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</si>
  <si>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</si>
  <si>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</si>
  <si>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</si>
  <si>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</si>
  <si>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</si>
  <si>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</si>
  <si>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</si>
  <si>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</si>
  <si>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</si>
  <si>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</si>
  <si>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</si>
  <si>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</si>
  <si>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</si>
  <si>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</si>
  <si>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</si>
  <si>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</si>
  <si>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</si>
  <si>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</si>
  <si>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</si>
  <si>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</si>
  <si>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</si>
  <si>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</si>
  <si>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</si>
  <si>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</si>
  <si>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</si>
  <si>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</si>
  <si>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</si>
  <si>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</si>
  <si>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</si>
  <si>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</si>
  <si>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</si>
  <si>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COL Cap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</si>
  <si>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</si>
  <si>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</si>
  <si>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</si>
  <si>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</si>
  <si>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</si>
  <si>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</si>
  <si>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</si>
  <si>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</si>
  <si>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</si>
  <si>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</si>
  <si>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</si>
  <si>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</si>
  <si>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</si>
  <si>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</si>
  <si>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</si>
  <si>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</si>
  <si>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</si>
  <si>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</si>
  <si>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</si>
  <si>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</si>
  <si>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</si>
  <si>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</si>
  <si>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</si>
  <si>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</si>
  <si>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</si>
  <si>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</si>
  <si>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</si>
  <si>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</si>
  <si>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</si>
  <si>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</si>
  <si>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</si>
  <si>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</si>
  <si>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</si>
  <si>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</si>
  <si>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</si>
  <si>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</si>
  <si>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</si>
  <si>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</si>
  <si>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</si>
  <si>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</si>
  <si>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</si>
  <si>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</si>
  <si>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</si>
  <si>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</si>
  <si>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</si>
  <si>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</si>
  <si>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</si>
  <si>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</si>
  <si>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</si>
  <si>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</si>
  <si>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</si>
  <si>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</si>
  <si>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</si>
  <si>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</si>
  <si>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</si>
  <si>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</si>
  <si>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</si>
  <si>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</si>
  <si>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</si>
  <si>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</si>
  <si>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</si>
  <si>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</si>
  <si>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</si>
  <si>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</si>
  <si>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</si>
  <si>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</si>
  <si>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</si>
  <si>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</si>
  <si>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</si>
  <si>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</si>
  <si>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</si>
  <si>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</si>
  <si>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</si>
  <si>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</si>
  <si>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</si>
  <si>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</si>
  <si>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</si>
  <si>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</si>
  <si>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</si>
  <si>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</si>
  <si>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</si>
  <si>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</si>
  <si>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</si>
  <si>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</si>
  <si>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</si>
  <si>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</si>
  <si>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</si>
  <si>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</si>
  <si>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</si>
  <si>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</si>
  <si>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</si>
  <si>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</si>
  <si>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</si>
  <si>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</si>
  <si>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</si>
  <si>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</si>
  <si>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</si>
  <si>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</si>
  <si>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</si>
  <si>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</si>
  <si>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</si>
  <si>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</si>
  <si>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</si>
  <si>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</si>
  <si>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</si>
  <si>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</si>
  <si>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</si>
  <si>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</si>
  <si>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</si>
  <si>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</si>
  <si>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</si>
  <si>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</si>
  <si>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</si>
  <si>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</si>
  <si>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</si>
  <si>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</si>
  <si>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</si>
  <si>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</si>
  <si>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</si>
  <si>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</si>
  <si>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</si>
  <si>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</si>
  <si>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</si>
  <si>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</si>
  <si>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</si>
  <si>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</si>
  <si>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</si>
  <si>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</si>
  <si>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</si>
  <si>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</si>
  <si>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</si>
  <si>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</si>
  <si>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</si>
  <si>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</si>
  <si>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</si>
  <si>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</si>
  <si>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</si>
  <si>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</si>
  <si>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</si>
  <si>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</si>
  <si>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</si>
  <si>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</si>
  <si>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</si>
  <si>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</si>
  <si>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</si>
  <si>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</si>
  <si>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</si>
  <si>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</si>
  <si>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</si>
  <si>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</si>
  <si>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</si>
  <si>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</si>
  <si>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</si>
  <si>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</si>
  <si>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</si>
  <si>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</si>
  <si>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</si>
  <si>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</si>
  <si>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</si>
  <si>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</si>
  <si>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</si>
  <si>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</si>
  <si>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</si>
  <si>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</si>
  <si>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</si>
  <si>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</si>
  <si>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</si>
  <si>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</si>
  <si>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</si>
  <si>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</si>
  <si>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</si>
  <si>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</si>
  <si>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</si>
  <si>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</si>
  <si>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</si>
  <si>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</si>
  <si>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</si>
  <si>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</si>
  <si>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</si>
  <si>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</si>
  <si>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</si>
  <si>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</si>
  <si>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</si>
  <si>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</si>
  <si>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</si>
  <si>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</si>
  <si>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</si>
  <si>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</si>
  <si>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</si>
  <si>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</si>
  <si>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</si>
  <si>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</si>
  <si>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</si>
  <si>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</si>
  <si>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</si>
  <si>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</si>
  <si>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</si>
  <si>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</si>
  <si>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</si>
  <si>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</si>
  <si>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</si>
  <si>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</si>
  <si>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</si>
  <si>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</si>
  <si>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</si>
  <si>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</si>
  <si>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</si>
  <si>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</si>
  <si>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</si>
  <si>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</si>
  <si>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</si>
  <si>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</si>
  <si>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</si>
  <si>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</si>
  <si>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</si>
  <si>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</si>
  <si>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</si>
  <si>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</si>
  <si>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</si>
  <si>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</si>
  <si>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</si>
  <si>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</si>
  <si>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</si>
  <si>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</si>
  <si>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</si>
  <si>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</si>
  <si>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</si>
  <si>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</si>
  <si>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</si>
  <si>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</si>
  <si>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</si>
  <si>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</si>
  <si>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</si>
  <si>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</si>
  <si>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</si>
  <si>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</si>
  <si>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</si>
  <si>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</si>
  <si>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</si>
  <si>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</si>
  <si>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</si>
  <si>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</si>
  <si>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</si>
  <si>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Phase In %</t>
  </si>
  <si>
    <t>YRS Avg (1=None)</t>
  </si>
  <si>
    <t>V1</t>
  </si>
  <si>
    <t>FY26 Grades 1-12 FTE</t>
  </si>
  <si>
    <t>V2</t>
  </si>
  <si>
    <t>FY26 Kindergarten FTE</t>
  </si>
  <si>
    <t>V3</t>
  </si>
  <si>
    <t>FY26 Half-day Kindergarten FTE</t>
  </si>
  <si>
    <t>V4</t>
  </si>
  <si>
    <t>FY26 October FTE Count (sum of line V1, V1.1 and line V2)</t>
  </si>
  <si>
    <t>V5</t>
  </si>
  <si>
    <t xml:space="preserve">FY26 Multi District On-line Pupil Count </t>
  </si>
  <si>
    <t>V6</t>
  </si>
  <si>
    <t>FY26 Extended HS Pupil Count (excludes ASCENT)</t>
  </si>
  <si>
    <t>V7</t>
  </si>
  <si>
    <t>FY26 Additional TREP Allocated Slots (not included in V4.1)</t>
  </si>
  <si>
    <t>V8</t>
  </si>
  <si>
    <t>FY26 ASCENT Pupil Count</t>
  </si>
  <si>
    <t>V9</t>
  </si>
  <si>
    <t>FY26 October FTE Count (minus on-line and Extended HS pupil count)</t>
  </si>
  <si>
    <t>V10</t>
  </si>
  <si>
    <t>FY26 Free and Reduced Lunch (grades 1 - 8) Count</t>
  </si>
  <si>
    <t>V11</t>
  </si>
  <si>
    <t>FY26 Free and Reduced Lunch (grades K - 12) Count</t>
  </si>
  <si>
    <t>V12</t>
  </si>
  <si>
    <t xml:space="preserve">FY26 Percent At-risk  - State Average </t>
  </si>
  <si>
    <t>V13</t>
  </si>
  <si>
    <t>FY26 October Membership (grades 1 - 8)</t>
  </si>
  <si>
    <t>V14</t>
  </si>
  <si>
    <t xml:space="preserve">FY26 October Membership (grades K-12) </t>
  </si>
  <si>
    <t>V15</t>
  </si>
  <si>
    <t xml:space="preserve">FY26 Charter School FTE Count </t>
  </si>
  <si>
    <t>V16</t>
  </si>
  <si>
    <t>FY25 Funded Pupil Count</t>
  </si>
  <si>
    <t>V17</t>
  </si>
  <si>
    <t>FY25 October FTE Count (minus OODS, Online)</t>
  </si>
  <si>
    <t>V18</t>
  </si>
  <si>
    <t>FY24 October FTE Count (minus OODS, Online)</t>
  </si>
  <si>
    <t>V19</t>
  </si>
  <si>
    <t>FY23 October FTE Count (minus OODS, Online)</t>
  </si>
  <si>
    <t>V20</t>
  </si>
  <si>
    <t xml:space="preserve">FY26 Single District On-line Pupil Count </t>
  </si>
  <si>
    <t>V21</t>
  </si>
  <si>
    <t>FY26 ELL Count per SB21-268</t>
  </si>
  <si>
    <t>V22</t>
  </si>
  <si>
    <t>FY26 SPED Count</t>
  </si>
  <si>
    <t>V23</t>
  </si>
  <si>
    <t>FY26 Charter School Institute Grades K - 12 FTE</t>
  </si>
  <si>
    <t>V24</t>
  </si>
  <si>
    <t>FY26 Charter School Institute Kindergarten FTE</t>
  </si>
  <si>
    <t>V25</t>
  </si>
  <si>
    <t>FY26 Charter School Institute Half-day Kindergarten FTE</t>
  </si>
  <si>
    <t>V26</t>
  </si>
  <si>
    <t>FY26 Charter School Institute On-line Student FTE</t>
  </si>
  <si>
    <t>V27</t>
  </si>
  <si>
    <t>FY26 Charter School Institute Extended HS (TREP and P-Tech only)</t>
  </si>
  <si>
    <t>V27.1</t>
  </si>
  <si>
    <t>FY25 Charter School Institute ASCENT</t>
  </si>
  <si>
    <t>V28</t>
  </si>
  <si>
    <t>FY26 Charter School Institute Grades K - 12 FTE with Averaging</t>
  </si>
  <si>
    <t>TAXES</t>
  </si>
  <si>
    <t>FY26 Mill Levy Adjusted % Share of Specific Ownership Tax</t>
  </si>
  <si>
    <t>V29</t>
  </si>
  <si>
    <t xml:space="preserve">FY26 Assessed Valuation </t>
  </si>
  <si>
    <t>V30</t>
  </si>
  <si>
    <t>FY25 Final Mill Levy plus Applicable Credit if Any</t>
  </si>
  <si>
    <t>V31</t>
  </si>
  <si>
    <t>FY25 General Fund Property Tax (incl. Categorical Buyout)</t>
  </si>
  <si>
    <t>OTHER</t>
  </si>
  <si>
    <t>V32</t>
  </si>
  <si>
    <t>FY 95 Hold Harmless Amount (FY 95 year stays constant)</t>
  </si>
  <si>
    <t>V33</t>
  </si>
  <si>
    <t>FY 95 Excess Hold Harmless Revenue (FY 95 year stays constant)</t>
  </si>
  <si>
    <t>V34</t>
  </si>
  <si>
    <t>Voter Approved Override Amount</t>
  </si>
  <si>
    <t>FY 02 Cost of Living Amount (FY 02 year stays constant)</t>
  </si>
  <si>
    <t>Maximum Override (Sum of 25% Total program &amp; COL, minus SOT)</t>
  </si>
  <si>
    <t>FY26 CATEGORICAL FUNDING (Informational, not calculated as part of formula)</t>
  </si>
  <si>
    <t>CAT1</t>
  </si>
  <si>
    <t>Transportation payments paid in FY26</t>
  </si>
  <si>
    <t>CAT2</t>
  </si>
  <si>
    <t>Vocational Education payments paid in FY26</t>
  </si>
  <si>
    <t>CAT3</t>
  </si>
  <si>
    <t>English Language Proficiency Act payments paid in FY26</t>
  </si>
  <si>
    <t>CAT4</t>
  </si>
  <si>
    <t>Special Education - Children with Disabilities paid in FY26</t>
  </si>
  <si>
    <t>CAT5</t>
  </si>
  <si>
    <t>Special Education - Gifted/Talented payments paid in FY26</t>
  </si>
  <si>
    <t>CAT6</t>
  </si>
  <si>
    <t>Small Attendance Center payments paid in FY26</t>
  </si>
  <si>
    <t>CAT7</t>
  </si>
  <si>
    <t>Total Categorical Funding - (enter sum of lines V50, V51, V52, V53,  V54 and V55)</t>
  </si>
  <si>
    <t>FUNDED PUPIL COUNT</t>
  </si>
  <si>
    <t>FC1</t>
  </si>
  <si>
    <t>FY26 October FTE Count less online and extended HS - (enter V5)</t>
  </si>
  <si>
    <t>FC2</t>
  </si>
  <si>
    <t>FY25 October FTE Count - (enter V13)</t>
  </si>
  <si>
    <t>FC3</t>
  </si>
  <si>
    <t>FY24 October FTE Count - (enter V14)</t>
  </si>
  <si>
    <t>FC4</t>
  </si>
  <si>
    <t>FY23 October FTE Count - (enter V15)</t>
  </si>
  <si>
    <t>FC5</t>
  </si>
  <si>
    <t>FY26 Averaged Funded Pupil Count - (enter the greater of FC1, or average of FC1 plus FC2, or</t>
  </si>
  <si>
    <t>average of FC1 plus FC2 plus FC3, or average of FC1 plus FC2 plus FC3 plus FC4</t>
  </si>
  <si>
    <t>FC5.1</t>
  </si>
  <si>
    <t>FY26 Part-time Kindergarten Factor</t>
  </si>
  <si>
    <t>FC6.5</t>
  </si>
  <si>
    <t>FY26 Charter Institute Averaged Pupil Count - (enter V21)</t>
  </si>
  <si>
    <t>FY6.6</t>
  </si>
  <si>
    <t xml:space="preserve">FY26 Charter Institute Part-time Kindergarten Factor </t>
  </si>
  <si>
    <t>FC7</t>
  </si>
  <si>
    <t>FY26 Funded Pupil Count - enter FC5, plus FC5.1, plus Line FC6, plus FC6.5, plus FC6.6</t>
  </si>
  <si>
    <t>FC7.5</t>
  </si>
  <si>
    <t>FY26 Extended HS Pupil Count - enter FC4.1</t>
  </si>
  <si>
    <t>FC7.6</t>
  </si>
  <si>
    <t>FY26 Charter Institute Extended High School Pupil Count - enter V20.6</t>
  </si>
  <si>
    <t>FC7.7</t>
  </si>
  <si>
    <t>FY26 ASCENT</t>
  </si>
  <si>
    <t>FC7.8</t>
  </si>
  <si>
    <t>FY26 Charter School Institute ASCENT</t>
  </si>
  <si>
    <t>FC8</t>
  </si>
  <si>
    <t xml:space="preserve">FY26 Multi-District Online (MDOL) Pupil Count - enter V4 </t>
  </si>
  <si>
    <t>FC8.5</t>
  </si>
  <si>
    <t>FY26 Charter Institute MDOL Pupil Count - enter V20</t>
  </si>
  <si>
    <t>FY26 Total Funded Pupil Count - (enter FC7 plus FC7.5 plus FC8)</t>
  </si>
  <si>
    <t>FC10</t>
  </si>
  <si>
    <t>FY26 District Funded Pupil Count (FC5 plus FC5.1 plus FC6 plus FC8)</t>
  </si>
  <si>
    <t>FC11</t>
  </si>
  <si>
    <t>FY26 Institute Funded Pupil Count (FC6.1 plus FC6.5 plus FC6.6 plus FC8.5)</t>
  </si>
  <si>
    <t>FOUNDATION FUNDING</t>
  </si>
  <si>
    <t>FF1</t>
  </si>
  <si>
    <t>FY26 Base Funding Per Pupil (enter V22)</t>
  </si>
  <si>
    <t>FF2</t>
  </si>
  <si>
    <t>FY26 Funded Pupil Count less MDOL and Extended HS - (enter FC7)</t>
  </si>
  <si>
    <t>FF3</t>
  </si>
  <si>
    <t>FY26 Total Foundation Funding (FF1 times BF2)</t>
  </si>
  <si>
    <t>AT RISK FUNDING</t>
  </si>
  <si>
    <t>AR1</t>
  </si>
  <si>
    <t>FY26 Free and Reduced Lunch (grades 1-8) Count  (enter V6)</t>
  </si>
  <si>
    <t>AR2</t>
  </si>
  <si>
    <t>FY26 October Membership (grades 1-8) - (enter V9)</t>
  </si>
  <si>
    <t>AR3</t>
  </si>
  <si>
    <t>FY26 Percent 1-8 Free and Reduced Lunch Count - (AR1 divided by AR2)</t>
  </si>
  <si>
    <t>AR4</t>
  </si>
  <si>
    <t>FY26 Projected K-12 Free and Reduced Lunch Count Using 1-8 Percent</t>
  </si>
  <si>
    <t>AR5</t>
  </si>
  <si>
    <t>FY26 Free and Reduced Lunch (grades K-12) Count (enter V7)</t>
  </si>
  <si>
    <t>AR6</t>
  </si>
  <si>
    <t>FY26 At-Risk Pupil Count (greater of AR4 or AR5)</t>
  </si>
  <si>
    <t>AR7</t>
  </si>
  <si>
    <t>FY26 At Risk Per Pupil (FF1 times 25%)</t>
  </si>
  <si>
    <t>FY26 District Percentage At-Risk (AR6 divided by V10)</t>
  </si>
  <si>
    <t>AR9</t>
  </si>
  <si>
    <t>FY26 Concentration Factor Funding (7% times Base PPR times AR6, if FC9&lt;7000 and AR8&gt;70%)</t>
  </si>
  <si>
    <t>AR10</t>
  </si>
  <si>
    <t>FY26 Total At Risk Funding (AR6 times AR7, plus AR8)</t>
  </si>
  <si>
    <t>ELL FUNDING</t>
  </si>
  <si>
    <t>FY26 ELL Count - (enter V18)</t>
  </si>
  <si>
    <t>EL2</t>
  </si>
  <si>
    <t>FY26 ELL Per Pupil (FF1 times 25%)</t>
  </si>
  <si>
    <t>EL3</t>
  </si>
  <si>
    <t>FY26 Total ELL Funding (EL1 times EL2)</t>
  </si>
  <si>
    <t>EXTENDED HIGH SCHOOL FUNDING</t>
  </si>
  <si>
    <t>EH1</t>
  </si>
  <si>
    <t>FY26 Extended High School Count (V4.1 plus V4.2)</t>
  </si>
  <si>
    <t>EH2</t>
  </si>
  <si>
    <t>FY26 Extended High School Per Pupil - (same as Multi-District Online rate)</t>
  </si>
  <si>
    <t>EH3</t>
  </si>
  <si>
    <t>FY26 Extended High School Funding Less ASCENT</t>
  </si>
  <si>
    <t>EH4</t>
  </si>
  <si>
    <t>FY26 ASCENT COUNT - enter line V4.3 plus V20.6</t>
  </si>
  <si>
    <t>EH5</t>
  </si>
  <si>
    <t>TOTAL ASCENT FORMULA FUNDING (EH5 muliplied by $7,104)</t>
  </si>
  <si>
    <t>EH6</t>
  </si>
  <si>
    <t>FY26 Total Extended High School Funding (EH1 times EH2)</t>
  </si>
  <si>
    <t>MULTI-DISTRICT ONLINE FUNDING</t>
  </si>
  <si>
    <t>MD1</t>
  </si>
  <si>
    <t>FY26 Multi-District Online Count (V4 plus V20)</t>
  </si>
  <si>
    <t>MD2</t>
  </si>
  <si>
    <t>FY26 Multi-District Online</t>
  </si>
  <si>
    <t>MD3</t>
  </si>
  <si>
    <t>FY26 Total Multi-District Online Funding (MD1 times MD2)</t>
  </si>
  <si>
    <t>SPECIAL EDUCATION FUNDING</t>
  </si>
  <si>
    <t>SPED1</t>
  </si>
  <si>
    <t>FY26 Special Education Student Count</t>
  </si>
  <si>
    <t>SPED2</t>
  </si>
  <si>
    <t>FY26 Special Education Per Pupil (FF1 times 25%)</t>
  </si>
  <si>
    <t>SPED3</t>
  </si>
  <si>
    <t>FY26 Total Special Education Funding (SPED1 times SPED2)</t>
  </si>
  <si>
    <t>COST OF LIVING FACTOR FUNDING</t>
  </si>
  <si>
    <t>COL1</t>
  </si>
  <si>
    <t>COL2</t>
  </si>
  <si>
    <t>FY26 Rebased Cost of Living</t>
  </si>
  <si>
    <t>COL3</t>
  </si>
  <si>
    <t>FY26 Cost of Living with 23% Cap (minimum of COL2 minus 1 or cap)</t>
  </si>
  <si>
    <t>COL4</t>
  </si>
  <si>
    <t>FY26 Total Cost of Living Factor Funding (COL1 times FF1 times COL3)</t>
  </si>
  <si>
    <t>LOCALE FACTOR FUNDING</t>
  </si>
  <si>
    <t>LOC1</t>
  </si>
  <si>
    <t>LOC2</t>
  </si>
  <si>
    <t>FY26 NCES Designation of District</t>
  </si>
  <si>
    <t>Suburban: Large</t>
  </si>
  <si>
    <t>City: Small</t>
  </si>
  <si>
    <t>Rural: Distant</t>
  </si>
  <si>
    <t>Town: Remote</t>
  </si>
  <si>
    <t>Rural: Remote</t>
  </si>
  <si>
    <t>City: Large</t>
  </si>
  <si>
    <t>Rural: Fringe</t>
  </si>
  <si>
    <t>Suburban: Small</t>
  </si>
  <si>
    <t>City: Midsize</t>
  </si>
  <si>
    <t>Town: Distant</t>
  </si>
  <si>
    <t>Suburban: Midsize</t>
  </si>
  <si>
    <t>Town: Fringe</t>
  </si>
  <si>
    <t>LOC3</t>
  </si>
  <si>
    <t>FY26 Locale Factor per Designation (Either 0, 0.025, 0.05, 0.1, 0.15, 0.2, or 0.25 per statute)</t>
  </si>
  <si>
    <t>LOC4</t>
  </si>
  <si>
    <t>FY26 Total Locale Funding (LOC1 times Base PPR times LOC3, plus $100K if Town or Rural:Remote)</t>
  </si>
  <si>
    <t>SIZE FACTOR FUNDING</t>
  </si>
  <si>
    <t>SIZE1</t>
  </si>
  <si>
    <t>FY26 Funded Pupil Count less MDOL</t>
  </si>
  <si>
    <t>SIZE2</t>
  </si>
  <si>
    <t>FY26 Size Factor Calculated</t>
  </si>
  <si>
    <t>SIZE3</t>
  </si>
  <si>
    <t>FY26 Size Factor with 6,500 FPC Cap - (FC9 fewer than 6,500)</t>
  </si>
  <si>
    <t>SIZE4</t>
  </si>
  <si>
    <t>FY26 Total Size Factor Funding (FC7 times FF1 times SIZ3)</t>
  </si>
  <si>
    <t>TOTAL PROGRAM</t>
  </si>
  <si>
    <t>TP1</t>
  </si>
  <si>
    <t>TOTAL PROGRAM FUNDING per NEW FORMULA PRE PHASE-IN</t>
  </si>
  <si>
    <t xml:space="preserve"> $           10,459,817,373.50</t>
  </si>
  <si>
    <t>TP2</t>
  </si>
  <si>
    <t>FY24-25 Total Program for Hold Harmless</t>
  </si>
  <si>
    <t>TP3</t>
  </si>
  <si>
    <t>FY2025-26 SFA1994</t>
  </si>
  <si>
    <t>FY2025-26 Difference for Phase-In (TP1 minus SFA1994_Amended TP3)</t>
  </si>
  <si>
    <t>TP5</t>
  </si>
  <si>
    <t>FY2025-26 Total Program with Phase In % and Hold Harmless</t>
  </si>
  <si>
    <t>TP6</t>
  </si>
  <si>
    <t>FY2025-26 Total Program with Floor Minimum (greater of TP2 or TP5)</t>
  </si>
  <si>
    <t/>
  </si>
  <si>
    <t>MILL LEVY</t>
  </si>
  <si>
    <t>ML1</t>
  </si>
  <si>
    <t>Mill Levy from prior year plus tax credit (enter V32)</t>
  </si>
  <si>
    <t>ML2</t>
  </si>
  <si>
    <t>Mill Levy to buyout Total Program Funding -(line TP5 minus V28) divided by V29</t>
  </si>
  <si>
    <t>ML3</t>
  </si>
  <si>
    <t>NET TOTAL PROGRAM MILL LEVY (FINAL)</t>
  </si>
  <si>
    <t>ML4</t>
  </si>
  <si>
    <t>Excess Mills Calculated (ML1 mills in excess of funding Total Progam and Categoricals)</t>
  </si>
  <si>
    <t>CATEGORICAL BUYOUT MILL LEVY</t>
  </si>
  <si>
    <t>CB1</t>
  </si>
  <si>
    <t>Categorical Program Funding - enter V56</t>
  </si>
  <si>
    <t>CB2</t>
  </si>
  <si>
    <t>Mill levy to buyout categorical programs (enter CB1 divided by line V29)</t>
  </si>
  <si>
    <t>CB3</t>
  </si>
  <si>
    <t>Categorical Buyout Mill Levy (CALC)</t>
  </si>
  <si>
    <t>enter the lesser of line CB2 or (line ML1 minus line ML3)</t>
  </si>
  <si>
    <t>GRAND TOTAL PROGRAM FUNDING by STATE SHARE and LOCAL SHARE</t>
  </si>
  <si>
    <t>GT1</t>
  </si>
  <si>
    <t>TOTAL PROGRAM FUNDING  -  enter TP6</t>
  </si>
  <si>
    <t>GT2</t>
  </si>
  <si>
    <t>PROPERTY TAX REVENUES  -  enter ML3 times line V29</t>
  </si>
  <si>
    <t>GT3</t>
  </si>
  <si>
    <t>FY26 Mill Levy Adjusted % Share of Specific Ownership Tax (enter V28)</t>
  </si>
  <si>
    <t>GT4</t>
  </si>
  <si>
    <t>TOTAL LOCAL SHARE (GT2 plus GT3)</t>
  </si>
  <si>
    <t>GT5</t>
  </si>
  <si>
    <t>TOTAL STATE SHARE (GT1 minus GT4)</t>
  </si>
  <si>
    <t>GT6</t>
  </si>
  <si>
    <t>CATEGORICAL BUYOUT MILL LEVY REVENUE (enter CB3 times line V29)</t>
  </si>
  <si>
    <t>GT7</t>
  </si>
  <si>
    <t>TOTAL PROGRAM PER-PUPIL FUNDING</t>
  </si>
  <si>
    <t>Tied Out w LCS 05/14/2025</t>
  </si>
  <si>
    <t>Total Program Property Tax Over Collection due to Rounding</t>
  </si>
  <si>
    <t>TOTAL PROGRAM FUNDING PPR by TYPE</t>
  </si>
  <si>
    <t>GT8</t>
  </si>
  <si>
    <t>Adjusted district In-school per pupil funding</t>
  </si>
  <si>
    <t>GT9</t>
  </si>
  <si>
    <t>District Online / Extended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</si>
  <si>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</si>
  <si>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</si>
  <si>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</si>
  <si>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</si>
  <si>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</si>
  <si>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PROPERTY TAX REVENUES  -  enter GT2</t>
  </si>
  <si>
    <t>GT13</t>
  </si>
  <si>
    <t>FY26 Mill Levy Adjusted % Share of Specific Ownership Tax (enter GT3)</t>
  </si>
  <si>
    <t>GT14</t>
  </si>
  <si>
    <t xml:space="preserve">DISTRICT'S ADJUSTED STATE SHARE </t>
  </si>
  <si>
    <t>(enter GT11 minus line GT12 minus line GT13)</t>
  </si>
  <si>
    <t>RQUIRED CATEGORICAL BUYOUT FROM TOTAL PROGRAM</t>
  </si>
  <si>
    <t>Inflation</t>
  </si>
  <si>
    <t>Small Rural</t>
  </si>
  <si>
    <t>STATE</t>
  </si>
  <si>
    <t xml:space="preserve"> </t>
  </si>
  <si>
    <t>Prior Yr Base</t>
  </si>
  <si>
    <t>Rural</t>
  </si>
  <si>
    <t>Prior Yr Online</t>
  </si>
  <si>
    <t>Current Base</t>
  </si>
  <si>
    <t>Current Online</t>
  </si>
  <si>
    <t>This tab used for the phase-in calculation only.  Districts should use the New Formula with HB25-1320 tab for funding amounts for FY2025-26.</t>
  </si>
  <si>
    <t>V1.1</t>
  </si>
  <si>
    <t>V1.2</t>
  </si>
  <si>
    <t>V4.1</t>
  </si>
  <si>
    <t>FY26 Extended HS Pupil Count</t>
  </si>
  <si>
    <t>V4.2</t>
  </si>
  <si>
    <t>V4.3</t>
  </si>
  <si>
    <t>FY22 October FTE Count (minus OODS, Online)</t>
  </si>
  <si>
    <t>V16.1</t>
  </si>
  <si>
    <t>V19.1</t>
  </si>
  <si>
    <t>V19.2</t>
  </si>
  <si>
    <t>V20.5</t>
  </si>
  <si>
    <t>FY25 Charter School Institute Ext HS (TREP and P-Tech only)</t>
  </si>
  <si>
    <t>V20.6</t>
  </si>
  <si>
    <t>FY26 Charter School Institute Grades K - 12 FTE Averaging</t>
  </si>
  <si>
    <t>FUNDING ELEMENTS</t>
  </si>
  <si>
    <t xml:space="preserve">FY26 Base Funding </t>
  </si>
  <si>
    <t>FY26 Minimum Funding</t>
  </si>
  <si>
    <t>V22.5</t>
  </si>
  <si>
    <t>FY26 On-Line Funding</t>
  </si>
  <si>
    <t>FY26 Cost of Living Factor</t>
  </si>
  <si>
    <t>FY26 At-risk 'Base' Factor</t>
  </si>
  <si>
    <t>FY26 Minimum State Aid</t>
  </si>
  <si>
    <t>FY24 Mill Levy (FINAL)</t>
  </si>
  <si>
    <t>FY2 General Fund Property Tax (incl. Categorical Buyout)</t>
  </si>
  <si>
    <t>PRIOR YEAR FUNDING</t>
  </si>
  <si>
    <t>V40</t>
  </si>
  <si>
    <t>FY25 Total Program</t>
  </si>
  <si>
    <t>V41</t>
  </si>
  <si>
    <t>FY25 Total Program Per-Pupil Funding</t>
  </si>
  <si>
    <t>CATEGORICAL FUNDING</t>
  </si>
  <si>
    <t>V50</t>
  </si>
  <si>
    <t>V51</t>
  </si>
  <si>
    <t>V52</t>
  </si>
  <si>
    <t>V53</t>
  </si>
  <si>
    <t>Special Education - Children with Disabilities</t>
  </si>
  <si>
    <t>V54</t>
  </si>
  <si>
    <t>V55</t>
  </si>
  <si>
    <t>Small Attendance Center payments paid in FY23</t>
  </si>
  <si>
    <t>V56</t>
  </si>
  <si>
    <t>Total Categorical Funding</t>
  </si>
  <si>
    <t>sum of lines V50, V51, V52, V53,  V54 and V55</t>
  </si>
  <si>
    <t>V60</t>
  </si>
  <si>
    <t>CY24 Inflation</t>
  </si>
  <si>
    <t>V62</t>
  </si>
  <si>
    <t xml:space="preserve">FY26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</si>
  <si>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</si>
  <si>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</si>
  <si>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</si>
  <si>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</si>
  <si>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</si>
  <si>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FY26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</si>
  <si>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</si>
  <si>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</si>
  <si>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</si>
  <si>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>V64</t>
  </si>
  <si>
    <t>V65</t>
  </si>
  <si>
    <t>V66</t>
  </si>
  <si>
    <t xml:space="preserve">   Voter Approved Override Amount</t>
  </si>
  <si>
    <t>FY26 October FTE Count (minus on-line)- enter line V5</t>
  </si>
  <si>
    <t>FY25 October FTE Count - enter line V13</t>
  </si>
  <si>
    <t>FY24 October FTE Count - enter line V14</t>
  </si>
  <si>
    <t>FY23 October FTE Count - enter line V15</t>
  </si>
  <si>
    <t>FC4.1</t>
  </si>
  <si>
    <t>FY22 October FTE Count - enter line V15.1</t>
  </si>
  <si>
    <t>AVERAGED FUNDED PUPIL COUNT - (enter the greater of FC1, or average of</t>
  </si>
  <si>
    <t>FC1 plus FC2, or average of FC1 plus FC2 plus FC3, or average of FC1 plus FC2</t>
  </si>
  <si>
    <t>plus FC3 plus FC4, or average of FC1 plus FC2 plus FC3 plus FC4 plus FC4.1)</t>
  </si>
  <si>
    <t>FY26 Full Day Kindergarten Factor</t>
  </si>
  <si>
    <t>FY26 CHARTER INSTITUTE PUPIL AVERAGING COUNT - enter line V19 + V21</t>
  </si>
  <si>
    <t xml:space="preserve">FY26 Charter Institute Full Day Kindergarten Factor </t>
  </si>
  <si>
    <t>FY26 FUNDED PUPIL COUNT - enter line FC5 + FC5.1 + FC6 + FC6.5 + FC6.6</t>
  </si>
  <si>
    <t>FY26 Extended HS Pupil Count - enter line FC4.1</t>
  </si>
  <si>
    <t>FC 7.51</t>
  </si>
  <si>
    <t>FY26 CSI Extended HS Pupil Count</t>
  </si>
  <si>
    <t>FY25 ASCENT Pupil Count - enter line V4.3</t>
  </si>
  <si>
    <t>FY25 CHARTER INSTITUTE ASCENT Count - enter line V20.6</t>
  </si>
  <si>
    <t xml:space="preserve">FY26 On-line Multi-District Pupil Count - enter line V4 </t>
  </si>
  <si>
    <t>FY26 CHARTER INSTITUTE ONLINE PUPIL COUNT - enter line V20</t>
  </si>
  <si>
    <t>TOTAL FUNDED PUPIL COUNT - enter line FC7 plus line FC8 plus line FC7.5</t>
  </si>
  <si>
    <t>DISTRICT FUNDED PUPIL COUNT (FC5 plus FC5.1 plus FC6 plus FC8)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</si>
  <si>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</si>
  <si>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</si>
  <si>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</si>
  <si>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</si>
  <si>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</si>
  <si>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</si>
  <si>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</si>
  <si>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</si>
  <si>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</si>
  <si>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</si>
  <si>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</si>
  <si>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</si>
  <si>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</si>
  <si>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</si>
  <si>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</si>
  <si>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</si>
  <si>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</si>
  <si>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</si>
  <si>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</si>
  <si>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</si>
  <si>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</si>
  <si>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</si>
  <si>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</si>
  <si>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</si>
  <si>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</si>
  <si>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</si>
  <si>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</si>
  <si>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</si>
  <si>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</si>
  <si>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</si>
  <si>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</si>
  <si>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</si>
  <si>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</si>
  <si>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</si>
  <si>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Free and Reduced Lunch (grades 1-8) Count  - enter line V6</t>
  </si>
  <si>
    <t xml:space="preserve">October Membership (grades 1-8) - enter line V9 </t>
  </si>
  <si>
    <t>Percent 1-8 free and reduced lunch count - line AR1 divided by line AR2</t>
  </si>
  <si>
    <t>Projected K-12 free and reduced lunch count using 1-8 percent -</t>
  </si>
  <si>
    <t>Free and Reduced Lunch (grades K-12) Count - enter line V7</t>
  </si>
  <si>
    <t xml:space="preserve">enter the greater of lines AR4 or AR5 </t>
  </si>
  <si>
    <t>District percent of at-risk pupils - enter</t>
  </si>
  <si>
    <t>line AR6 divided line V10</t>
  </si>
  <si>
    <t>At-risk 'Base' Factor - enter line V24</t>
  </si>
  <si>
    <t>At-risk 'Concentration' Factor (Districts with FPC&lt;=50,000) - enter</t>
  </si>
  <si>
    <t>greater of zero or (line AR7 minus line V8) times 0.3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</si>
  <si>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</si>
  <si>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</si>
  <si>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</si>
  <si>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</si>
  <si>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</si>
  <si>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</si>
  <si>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</si>
  <si>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</si>
  <si>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</si>
  <si>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</si>
  <si>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</si>
  <si>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</si>
  <si>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</si>
  <si>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</si>
  <si>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</si>
  <si>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</si>
  <si>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</si>
  <si>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</si>
  <si>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</si>
  <si>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</si>
  <si>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</si>
  <si>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</si>
  <si>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</si>
  <si>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</si>
  <si>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</si>
  <si>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</si>
  <si>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TOTAL FORMULA AT-RISK FUNDING</t>
  </si>
  <si>
    <t xml:space="preserve">enter the greater of lines AR13, AR14 or AR18 </t>
  </si>
  <si>
    <t>ELL FACTOR</t>
  </si>
  <si>
    <t>FY26 ELL Count - enter line V18</t>
  </si>
  <si>
    <t>FY26 Base Minimum Funding - enter line V22</t>
  </si>
  <si>
    <t>FY26 Per Pupil Funding without At-risk (line PP7) times 8%</t>
  </si>
  <si>
    <t>TOTAL ELL FORMULA FUNDING (enter line OL2 times line OL3)</t>
  </si>
  <si>
    <t>ON-LINE &amp; Extended HS FORMULA FUNDING</t>
  </si>
  <si>
    <t>OL1</t>
  </si>
  <si>
    <t>FY26 On-Line Count - enter line V4 plus line V20</t>
  </si>
  <si>
    <t>OL2</t>
  </si>
  <si>
    <t>FY26 Base Minimum Online Funding - enter line V22</t>
  </si>
  <si>
    <t>OL3</t>
  </si>
  <si>
    <t>TOTAL ON-LINE FORMULA FUNDING (enter line OL2 times line OL3)</t>
  </si>
  <si>
    <t>OL4</t>
  </si>
  <si>
    <t>FY26 Extended HS Count - enter line V4.1 plus V20.6</t>
  </si>
  <si>
    <t>OL5</t>
  </si>
  <si>
    <t>TOTAL Extended HS FORMULA FUNDING (enter line OL4 times line OL2)</t>
  </si>
  <si>
    <t>OL6</t>
  </si>
  <si>
    <t>FY25 ASCENT COUNT - enter line V4.3 plus V20.6</t>
  </si>
  <si>
    <t>OL7</t>
  </si>
  <si>
    <t>TOTAL ASCENT FORMULA FUNDING (enter line OL6 times $7,104)</t>
  </si>
  <si>
    <t>OL8</t>
  </si>
  <si>
    <t>TOTAL ON-LINE, ASCENT &amp; Ext HS FUNDING (enter line OL3 plus OL5 plus OL7)</t>
  </si>
  <si>
    <t>RF1</t>
  </si>
  <si>
    <t>Funded Pupil Count - enter line FC9</t>
  </si>
  <si>
    <t>RF2</t>
  </si>
  <si>
    <t>Rural Designation (Urban, Rural, Small Rural)</t>
  </si>
  <si>
    <t>Urban</t>
  </si>
  <si>
    <t>RF3</t>
  </si>
  <si>
    <t>Rural Funding Eligibility (1 = Eligible, 0 = Non-Elligible) = Designation + &lt;6500 FPC</t>
  </si>
  <si>
    <t>RF4</t>
  </si>
  <si>
    <t>Calculated Rural Funding (Small Rural PPR =  D1 and Rural PPR = D2)</t>
  </si>
  <si>
    <t>RF5</t>
  </si>
  <si>
    <t>Total Rural Funding if Applicable (Greater of $100,000 or RF4 Calculated)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</si>
  <si>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</si>
  <si>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</si>
  <si>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</si>
  <si>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</si>
  <si>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</si>
  <si>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</si>
  <si>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</si>
  <si>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</si>
  <si>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</si>
  <si>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</si>
  <si>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</si>
  <si>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</si>
  <si>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</si>
  <si>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</si>
  <si>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</si>
  <si>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Adjusted formula funding - enter (line SM5 times 459)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</si>
  <si>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</si>
  <si>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</si>
  <si>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</si>
  <si>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</si>
  <si>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</si>
  <si>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TABOR FORMULA FUNDING</t>
  </si>
  <si>
    <t>TB1</t>
  </si>
  <si>
    <t>FY24 Total Program  -   enter line V40</t>
  </si>
  <si>
    <t>TB2</t>
  </si>
  <si>
    <t>CY21 Inflation  -   enter line V60</t>
  </si>
  <si>
    <t>TB3</t>
  </si>
  <si>
    <t>FY26 Enrollment Growth - enter</t>
  </si>
  <si>
    <t>(line FC9 minus line V12) divided by line V12</t>
  </si>
  <si>
    <t>TB4</t>
  </si>
  <si>
    <t>FY26 TABOR FORMULA FUNDING</t>
  </si>
  <si>
    <t xml:space="preserve">enter line TB1 times (1 plus line TB2 plus line TB3) </t>
  </si>
  <si>
    <t>MINIMUM FORMULA FUNDING</t>
  </si>
  <si>
    <t>MF1</t>
  </si>
  <si>
    <t>FY26 'Base' Minimum Funding - enter line V22</t>
  </si>
  <si>
    <t>MF2</t>
  </si>
  <si>
    <t>Total Funded Pupil Count (minus on-line) - enter line FC7</t>
  </si>
  <si>
    <t>MF3</t>
  </si>
  <si>
    <t>FY26 On-line Funding - enter line V22.5</t>
  </si>
  <si>
    <t>MF3.1</t>
  </si>
  <si>
    <t>FY25 ASCENT Funding ($9,588 PPR per HB24-1393)</t>
  </si>
  <si>
    <t>MF4</t>
  </si>
  <si>
    <t>Total On-Line  and Extended HS Pupil Count - enter sum (line FC8 &amp; FC8.5)</t>
  </si>
  <si>
    <t>MF4.1</t>
  </si>
  <si>
    <t>Total ASCENT Pupil Count</t>
  </si>
  <si>
    <t>MF5</t>
  </si>
  <si>
    <t>Guaranteed Minimum Funding - enter line MF1 times line MF2</t>
  </si>
  <si>
    <t>TOTAL FORMULA FUNDING</t>
  </si>
  <si>
    <t>TF1</t>
  </si>
  <si>
    <t>Formula Funding without At-risk - enter line PP9</t>
  </si>
  <si>
    <t>TF2</t>
  </si>
  <si>
    <t>Formula At-risk Funding - enter line AR19</t>
  </si>
  <si>
    <t>TF3</t>
  </si>
  <si>
    <t>Formula Funding   - enter line TF1 plus line TF2</t>
  </si>
  <si>
    <t>TF4</t>
  </si>
  <si>
    <t>ELL Formula Funding - enter line EL4</t>
  </si>
  <si>
    <t>TF5</t>
  </si>
  <si>
    <t>On-Line Formula Funding - enter line OL8</t>
  </si>
  <si>
    <t>TF6</t>
  </si>
  <si>
    <t>Total Formula Funding  - enter line TF3 plus lines TF4 and TF5</t>
  </si>
  <si>
    <t>TF7</t>
  </si>
  <si>
    <t>Minimum Formula Funding   -  enter line MF5</t>
  </si>
  <si>
    <t>TF8</t>
  </si>
  <si>
    <t>Formula Funding using 459 Size Factor</t>
  </si>
  <si>
    <t>If line SM8 greater than zero, enter line SM8</t>
  </si>
  <si>
    <t>else enter 999,999,999.00</t>
  </si>
  <si>
    <t>TF9</t>
  </si>
  <si>
    <t>Subtotal Formula Funding</t>
  </si>
  <si>
    <t>Enter the lesser of line TF7 or (greater of lines TF5 or TF6)</t>
  </si>
  <si>
    <t>TF10</t>
  </si>
  <si>
    <t>Maximum Total Formula Funding</t>
  </si>
  <si>
    <t>Enter 1.25 times line FC9 times line V41</t>
  </si>
  <si>
    <t>TF11</t>
  </si>
  <si>
    <t>TABOR Formula Funding        -  enter line TB4</t>
  </si>
  <si>
    <t>TF12</t>
  </si>
  <si>
    <t xml:space="preserve">enter the lesser of lines TF8, TF9 or TF10 </t>
  </si>
  <si>
    <t>TF13</t>
  </si>
  <si>
    <t>TOTAL PER-PUPIL FORMULA FUNDING</t>
  </si>
  <si>
    <t>enter line TF11 divided by line FC9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</si>
  <si>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</si>
  <si>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</si>
  <si>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</si>
  <si>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</si>
  <si>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</si>
  <si>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</si>
  <si>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</si>
  <si>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</si>
  <si>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TABOR Formula Funding   -  enter line TB4</t>
  </si>
  <si>
    <t>AF4</t>
  </si>
  <si>
    <t>Allowable Spending      - enter line V62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</si>
  <si>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</si>
  <si>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</si>
  <si>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</si>
  <si>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</si>
  <si>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</si>
  <si>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</si>
  <si>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</si>
  <si>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</si>
  <si>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</si>
  <si>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 xml:space="preserve">Total Formula Funding - enter line TF11 </t>
  </si>
  <si>
    <t>Total Funding Beyond TABOR Formula - enter line AF6</t>
  </si>
  <si>
    <t xml:space="preserve">TOTAL PROGRAM FUNDING - enter line TP1 plus line TP2 </t>
  </si>
  <si>
    <t>Mill Levy from prior year plus tax credit</t>
  </si>
  <si>
    <t>enter line V32</t>
  </si>
  <si>
    <t>Mill Levy to buyout Total Program Funding</t>
  </si>
  <si>
    <t>(line TP3 minus (line FC9 times line V26) minus</t>
  </si>
  <si>
    <t>line V30) divided by line V31</t>
  </si>
  <si>
    <t>Mill Levy at TABOR maximum</t>
  </si>
  <si>
    <t>(line V33 times (1 plus line TB2 plus line TB3))</t>
  </si>
  <si>
    <t>divided by line V31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</si>
  <si>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</si>
  <si>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</si>
  <si>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</si>
  <si>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</si>
  <si>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</si>
  <si>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</si>
  <si>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enter line ML5 if greater than zero, else enter line ML4</t>
  </si>
  <si>
    <t>ML7</t>
  </si>
  <si>
    <t>Total Program Reserve Mills Calculated</t>
  </si>
  <si>
    <t>Categorical Program Funding - enter line V56</t>
  </si>
  <si>
    <t>Mill levy to buyout categorical programs</t>
  </si>
  <si>
    <t>enter line CB1 divided by line V31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</si>
  <si>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</si>
  <si>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</si>
  <si>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</si>
  <si>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</si>
  <si>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</si>
  <si>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</si>
  <si>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enter line CB4 if line ML5 is greater than zero else enter line CB3</t>
  </si>
  <si>
    <t>GRAND TOTAL PROGRAM FUNDING</t>
  </si>
  <si>
    <t>TOTAL PROGRAM FUNDING  -  enter line TP3</t>
  </si>
  <si>
    <t>PROPERTY TAX REVENUES  -  enter line ML6 times line V31</t>
  </si>
  <si>
    <t>STATE SHARE</t>
  </si>
  <si>
    <t>enter line GT1 minus line GT2 minus line GT3</t>
  </si>
  <si>
    <t>CATEGORICAL BUYOUT MILL LEVY REVENUE</t>
  </si>
  <si>
    <t>enter line CB5 times line V31</t>
  </si>
  <si>
    <t>Property Tax Over Collection (reset all to zero before recalculating in next row)</t>
  </si>
  <si>
    <t>Over Collection Calculation (copy and paste values into row above)</t>
  </si>
  <si>
    <t>BUDGET STABILIZATION FACTOR</t>
  </si>
  <si>
    <t>BUDGET STABILIZATION FACTOR TOTAL PROGRAM FUNDING</t>
  </si>
  <si>
    <t>GT7.1</t>
  </si>
  <si>
    <t>GT7.2</t>
  </si>
  <si>
    <t>PROPERTY TAXES</t>
  </si>
  <si>
    <t>GT7.3</t>
  </si>
  <si>
    <t>GT7.4</t>
  </si>
  <si>
    <t>GT7.5</t>
  </si>
  <si>
    <t>REQUIRED CATEGORICAL BUYOUT FROM TOTAL PROGRAM</t>
  </si>
  <si>
    <t>GT7.6</t>
  </si>
  <si>
    <t>PER PUPIL FUNDING AFTER BUDGET STABILIZATION FACTOR</t>
  </si>
  <si>
    <t>TOTAL PROGRAM FUNDING CHARTER INSTITUTE</t>
  </si>
  <si>
    <t>District On-line per pupil funding</t>
  </si>
  <si>
    <t>PROPERTY TAX REVENUES  -  enter line GT2</t>
  </si>
  <si>
    <t>(enter line GT11 minus line GT12 minus line GT13)</t>
  </si>
  <si>
    <t>TOTAL PROPERTY TAX MILL LEVIES</t>
  </si>
  <si>
    <t>TM1</t>
  </si>
  <si>
    <t>Total Program          -  enter line ML6</t>
  </si>
  <si>
    <t>TM2</t>
  </si>
  <si>
    <t>Categorical Buyout     -  enter line CB5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</si>
  <si>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</si>
  <si>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</si>
  <si>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</si>
  <si>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</si>
  <si>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</si>
  <si>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</si>
  <si>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</si>
  <si>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</si>
  <si>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</si>
  <si>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</si>
  <si>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</si>
  <si>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enter lines TM1 plus TM2 plus TM3 plus TM 4 plus TM5</t>
  </si>
  <si>
    <t>FD1</t>
  </si>
  <si>
    <t>Floor District Calculation</t>
  </si>
  <si>
    <t>Enter District</t>
  </si>
  <si>
    <t>Adjust counts here</t>
  </si>
  <si>
    <t>Printable</t>
  </si>
  <si>
    <t xml:space="preserve">                                       PUBLIC SCHOOL FINANCE ACT OF 1994</t>
  </si>
  <si>
    <t xml:space="preserve">Code Here </t>
  </si>
  <si>
    <t>for comparison report</t>
  </si>
  <si>
    <t>Report</t>
  </si>
  <si>
    <t xml:space="preserve">                                                    BUDGET YEAR 2025-26</t>
  </si>
  <si>
    <t>↓</t>
  </si>
  <si>
    <t>→</t>
  </si>
  <si>
    <t xml:space="preserve">                                                    FUNDING PROJECTION</t>
  </si>
  <si>
    <t>Current CDE</t>
  </si>
  <si>
    <t>Revised District</t>
  </si>
  <si>
    <t>Funding Summary</t>
  </si>
  <si>
    <t>Projection</t>
  </si>
  <si>
    <t xml:space="preserve">FY26 October FTE Count </t>
  </si>
  <si>
    <t xml:space="preserve">FY25 October FTE Count </t>
  </si>
  <si>
    <t>FY24 October FTE Count</t>
  </si>
  <si>
    <t xml:space="preserve">FY23 October FTE Count </t>
  </si>
  <si>
    <t>AVERAGED FUNDED PUPIL COUNT</t>
  </si>
  <si>
    <t>FY26 Charter Institute Averaged Pupil Count</t>
  </si>
  <si>
    <t>FY25 FUNDED PUPIL COUNT</t>
  </si>
  <si>
    <t>FY26 Charter Institute Extended High School Pupil Count</t>
  </si>
  <si>
    <t>ASCENT Pupil Count</t>
  </si>
  <si>
    <t>FY25 CHARTER INSTITUTE ONLINE PUPIL COUNT</t>
  </si>
  <si>
    <t xml:space="preserve">FY25 On-line Pupil Count - enter line V4 </t>
  </si>
  <si>
    <t xml:space="preserve">TOTAL FUNDED PUPIL COUNT </t>
  </si>
  <si>
    <t>DISTRICT FUNDED PUPIL COUNT</t>
  </si>
  <si>
    <t xml:space="preserve">INSTITUTE FUNDED PUPIL COUNT </t>
  </si>
  <si>
    <t>FY26 Funded Pupil Count less MDOL and Extended HS</t>
  </si>
  <si>
    <t>FY26 Concentration Factor Funding</t>
  </si>
  <si>
    <t>FY26 Total At Risk Funding (AR6 times AR7, plus AR9)</t>
  </si>
  <si>
    <t xml:space="preserve">FY26 Mill levy Adjusted % Share of Specific Ownership Tax </t>
  </si>
  <si>
    <t xml:space="preserve">FY26 Funded Pupil Count less MDOL and Extended HS </t>
  </si>
  <si>
    <t>FY26 Total Cost of Living Factor Funding</t>
  </si>
  <si>
    <t>FY26 Locale Factor per Designation</t>
  </si>
  <si>
    <t>FY26 Total Locale Funding</t>
  </si>
  <si>
    <t>FY26 Total Size Factor Funding (SIZ1 times FF1 times SIZ3)</t>
  </si>
  <si>
    <t>FY2025-26 SFA1994 Amount</t>
  </si>
  <si>
    <t>FY2025-26 Difference for Phase-In</t>
  </si>
  <si>
    <t>FY2025-26 Total Program with Phase In % and Hold Harmless (enter % in cell B6)</t>
  </si>
  <si>
    <t>FY2025-26 Total Program with Floor Minimum (greater of TP4 or TP2)</t>
  </si>
  <si>
    <t>TOTAL PROGRAM FUNDING  -  enter TP5</t>
  </si>
  <si>
    <t>SPECIFIC OWNERSHIP TAX -  enter V28</t>
  </si>
  <si>
    <t>DISTRICT'S ADJUSTED TOTAL PROGRAM FUNDING</t>
  </si>
  <si>
    <t>SPECIFIC OWNERSHIP TAX -  enter GT3</t>
  </si>
  <si>
    <t>RCB</t>
  </si>
  <si>
    <t xml:space="preserve">Required Categorical Buyout </t>
  </si>
  <si>
    <t>Note:</t>
  </si>
  <si>
    <t>At-risk, ELL and SPED information may be redacted on this report due to PII but are included in the totals</t>
  </si>
  <si>
    <t>TOTAL ASCENT FORMULA FUNDING (enter line EH3 times $7,104)</t>
  </si>
  <si>
    <t>FY26 Mill levy Adjusted % Share of Specific Ownership Tax (enter line V28)</t>
  </si>
  <si>
    <t>FY26 Mill levy Adjusted % Share of Specific Ownership Tax (enter GT3)</t>
  </si>
  <si>
    <t xml:space="preserve">FY26 Specific Ownership Tax </t>
  </si>
  <si>
    <t>TOTAL ASCENT FORMULA FUNDING (enter line OL6 times $9,588 per HB24-1393)</t>
  </si>
  <si>
    <t>SPECIFIC OWNERSHIP TAX -  enter line V30</t>
  </si>
  <si>
    <t>SPECIFIC OWNERSHIP TAXES</t>
  </si>
  <si>
    <t>SPECIFIC OWNERSHIP TAX -  enter line GT3</t>
  </si>
  <si>
    <t>Pre-2004 Authorized Charter? (Choose from Dropdown)</t>
  </si>
  <si>
    <t>25-26 K-12 Projected School Student Count</t>
  </si>
  <si>
    <t>* Yellow cells require input from district.  Gray cells will autopopulate/calculate based on that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</si>
</sst>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&quot;$&quot;* #,##0.00_);_(&quot;$&quot;* \(#,##0.00\);_(&quot;$&quot;* &quot;-&quot;??.00_);_(@_)"/>
    <numFmt numFmtId="166" formatCode="_(&quot;$&quot;* #,##0_);_(&quot;$&quot;* \(#,##0\);_(&quot;$&quot;* &quot;-&quot;??_);_(@_)"/>
    <numFmt numFmtId="167" formatCode="0.0%"/>
    <numFmt numFmtId="168" formatCode="#,##0.0_);\(#,##0.0\)"/>
    <numFmt numFmtId="169" formatCode="#,##0.0_);[Red]\(#,##0.0\)"/>
    <numFmt numFmtId="170" formatCode="#,##0.0"/>
    <numFmt numFmtId="171" formatCode="0.0"/>
    <numFmt numFmtId="172" formatCode="#,##0.0000_);\(#,##0.0000\)"/>
    <numFmt numFmtId="173" formatCode="#,##0.000_);[Red]\(#,##0.000\)"/>
    <numFmt numFmtId="174" formatCode="_(* #,##0_);_(* \(#,##0\);_(* &quot;-&quot;??_);_(@_)"/>
    <numFmt numFmtId="175" formatCode="#,##0.000000_);[Red]\(#,##0.000000\)"/>
    <numFmt numFmtId="176" formatCode="#,##0.000"/>
    <numFmt numFmtId="177" formatCode="#,##0.0000_);[Red]\(#,##0.0000\)"/>
    <numFmt numFmtId="178" formatCode="#,##0.00000_);[Red]\(#,##0.00000\)"/>
    <numFmt numFmtId="179" formatCode="0.00_)"/>
    <numFmt numFmtId="180" formatCode="#,##0.000_);\(#,##0.000\)"/>
    <numFmt numFmtId="181" formatCode="0.000000_)"/>
    <numFmt numFmtId="182" formatCode="0_)"/>
    <numFmt numFmtId="183" formatCode="#,##0.0000000_);[Red]\(#,##0.0000000\)"/>
    <numFmt numFmtId="184" formatCode="#,##0.0000000000_);[Red]\(#,##0.0000000000\)"/>
    <numFmt numFmtId="185" formatCode="0.0000%"/>
    <numFmt numFmtId="186" formatCode="0.000%"/>
    <numFmt numFmtId="187" formatCode="0.000_);[Red]\-0.000_)"/>
    <numFmt numFmtId="188" formatCode="#,##0.00000000"/>
    <numFmt numFmtId="189" formatCode="#,##0.0000"/>
    <numFmt numFmtId="190" formatCode="0.0000_);[Red]\-0.0000_)"/>
    <numFmt numFmtId="191" formatCode="#,##0.00000_);\(#,##0.00000\)"/>
    <numFmt numFmtId="192" formatCode="0.0000_)"/>
    <numFmt numFmtId="193" formatCode="#,##0.00000000_);[Red]\(#,##0.00000000\)"/>
    <numFmt numFmtId="194" formatCode="#,##0.000000_);\(#,##0.000000\)"/>
    <numFmt numFmtId="195" formatCode="0.00000000000%"/>
    <numFmt numFmtId="196" formatCode="0.00_);[Red]\-0.00_)"/>
  </numFmts>
  <fonts count="12" x14ac:knownFonts="1">
    <font>
      <sz val="10"/>
      <color rgb="FF000000"/>
      <name val="Arial"/>
      <scheme val="minor"/>
    </font>
    <font>
      <sz val="10"/>
      <color theme="1"/>
      <name val="Calibri"/>
    </font>
    <font>
      <b/>
      <sz val="12"/>
      <color theme="1"/>
      <name val="Arial"/>
    </font>
    <font>
      <sz val="12"/>
      <color theme="1"/>
      <name val="Arial"/>
    </font>
    <font>
      <b/>
      <sz val="11"/>
      <color theme="1"/>
      <name val="Arial"/>
    </font>
    <font>
      <sz val="10"/>
      <color theme="1"/>
      <name val="Arial"/>
    </font>
    <font>
      <sz val="10"/>
      <color theme="1"/>
      <name val="Arial"/>
      <scheme val="minor"/>
    </font>
    <font>
      <sz val="11"/>
      <color theme="1"/>
      <name val="Arial"/>
    </font>
    <font>
      <u/>
      <sz val="12"/>
      <color rgb="FF0000FF"/>
      <name val="Arial"/>
    </font>
    <font>
      <b/>
      <sz val="11"/>
      <color theme="1"/>
      <name val="Aptos Narrow"/>
    </font>
    <font>
      <sz val="11"/>
      <color rgb="FFFFFFFF"/>
      <name val="Arial"/>
    </font>
    <font>
      <sz val="11"/>
      <color theme="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D9D9"/>
        <bgColor rgb="FFD9D9D9"/>
      </patternFill>
    </fill>
    <fill>
      <patternFill patternType="solid">
        <fgColor rgb="FFC1F0C8"/>
        <bgColor rgb="FFC1F0C8"/>
      </patternFill>
    </fill>
    <fill>
      <patternFill patternType="solid">
        <fgColor rgb="FF00FF00"/>
        <bgColor rgb="FF00FF00"/>
      </patternFill>
    </fill>
    <fill>
      <patternFill patternType="solid">
        <fgColor rgb="FFFFFF99"/>
        <bgColor rgb="FFFFFF99"/>
      </patternFill>
    </fill>
    <fill>
      <patternFill patternType="solid">
        <fgColor rgb="FFD8D8D8"/>
        <bgColor rgb="FFD8D8D8"/>
      </patternFill>
    </fill>
    <fill>
      <patternFill patternType="solid">
        <fgColor rgb="FFF1CEEE"/>
        <bgColor rgb="FFF1CEEE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rgb="FFB3E5A1"/>
        <bgColor rgb="FFB3E5A1"/>
      </patternFill>
    </fill>
    <fill>
      <patternFill patternType="solid">
        <fgColor rgb="FFD9F2D0"/>
        <bgColor rgb="FFD9F2D0"/>
      </patternFill>
    </fill>
    <fill>
      <patternFill patternType="solid">
        <fgColor rgb="FF92D050"/>
        <bgColor rgb="FF92D050"/>
      </patternFill>
    </fill>
    <fill>
      <patternFill patternType="solid">
        <fgColor rgb="FFFFFF99"/>
        <bgColor rgb="FFFFFF00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rgb="FFD8D8D8"/>
      </left>
      <right/>
      <top/>
      <bottom/>
      <diagonal/>
    </border>
    <border>
      <left/>
      <right/>
      <top style="thin">
        <color rgb="FFD8D8D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wrapText="1"/>
    </xf>
    <xf numFmtId="40" fontId="2" fillId="0" borderId="0" xfId="0" applyNumberFormat="1" applyFont="1"/>
    <xf numFmtId="167" fontId="3" fillId="4" borderId="1" xfId="0" applyNumberFormat="1" applyFont="1" applyFill="1" applyBorder="1" applyAlignment="1">
      <alignment horizontal="left"/>
    </xf>
    <xf numFmtId="40" fontId="3" fillId="0" borderId="0" xfId="0" applyNumberFormat="1" applyFont="1"/>
    <xf numFmtId="40" fontId="4" fillId="0" borderId="0" xfId="0" applyNumberFormat="1" applyFont="1"/>
    <xf numFmtId="8" fontId="3" fillId="4" borderId="1" xfId="0" applyNumberFormat="1" applyFont="1" applyFill="1" applyBorder="1" applyAlignment="1">
      <alignment horizontal="left"/>
    </xf>
    <xf numFmtId="40" fontId="5" fillId="0" borderId="0" xfId="0" applyNumberFormat="1" applyFont="1" applyAlignment="1">
      <alignment horizontal="center"/>
    </xf>
    <xf numFmtId="40" fontId="3" fillId="0" borderId="2" xfId="0" applyNumberFormat="1" applyFont="1" applyBorder="1" applyAlignment="1">
      <alignment horizontal="center"/>
    </xf>
    <xf numFmtId="40" fontId="3" fillId="0" borderId="0" xfId="0" applyNumberFormat="1" applyFont="1" applyAlignment="1">
      <alignment horizontal="center"/>
    </xf>
    <xf numFmtId="40" fontId="3" fillId="0" borderId="3" xfId="0" applyNumberFormat="1" applyFont="1" applyBorder="1" applyAlignment="1">
      <alignment horizontal="center"/>
    </xf>
    <xf numFmtId="9" fontId="3" fillId="4" borderId="1" xfId="0" applyNumberFormat="1" applyFont="1" applyFill="1" applyBorder="1" applyAlignment="1">
      <alignment horizontal="left"/>
    </xf>
    <xf numFmtId="40" fontId="3" fillId="0" borderId="0" xfId="0" applyNumberFormat="1" applyFont="1" applyAlignment="1">
      <alignment wrapText="1"/>
    </xf>
    <xf numFmtId="40" fontId="3" fillId="0" borderId="0" xfId="0" applyNumberFormat="1" applyFont="1" applyAlignment="1">
      <alignment horizontal="center" wrapText="1"/>
    </xf>
    <xf numFmtId="40" fontId="3" fillId="0" borderId="0" xfId="0" quotePrefix="1" applyNumberFormat="1" applyFont="1" applyAlignment="1">
      <alignment horizontal="center" wrapText="1"/>
    </xf>
    <xf numFmtId="168" fontId="3" fillId="0" borderId="0" xfId="0" applyNumberFormat="1" applyFont="1" applyAlignment="1">
      <alignment wrapText="1"/>
    </xf>
    <xf numFmtId="40" fontId="2" fillId="0" borderId="0" xfId="0" applyNumberFormat="1" applyFont="1" applyAlignment="1">
      <alignment wrapText="1"/>
    </xf>
    <xf numFmtId="10" fontId="3" fillId="5" borderId="4" xfId="0" applyNumberFormat="1" applyFont="1" applyFill="1" applyBorder="1" applyAlignment="1">
      <alignment horizontal="left" wrapText="1"/>
    </xf>
    <xf numFmtId="38" fontId="3" fillId="5" borderId="4" xfId="0" applyNumberFormat="1" applyFont="1" applyFill="1" applyBorder="1" applyAlignment="1">
      <alignment horizontal="left" wrapText="1"/>
    </xf>
    <xf numFmtId="169" fontId="3" fillId="0" borderId="0" xfId="0" applyNumberFormat="1" applyFont="1" applyAlignment="1">
      <alignment horizontal="right"/>
    </xf>
    <xf numFmtId="168" fontId="3" fillId="0" borderId="0" xfId="0" applyNumberFormat="1" applyFont="1"/>
    <xf numFmtId="169" fontId="3" fillId="6" borderId="1" xfId="0" applyNumberFormat="1" applyFont="1" applyFill="1" applyBorder="1"/>
    <xf numFmtId="169" fontId="3" fillId="0" borderId="0" xfId="0" applyNumberFormat="1" applyFont="1"/>
    <xf numFmtId="170" fontId="3" fillId="0" borderId="0" xfId="0" applyNumberFormat="1" applyFont="1"/>
    <xf numFmtId="170" fontId="3" fillId="6" borderId="1" xfId="0" applyNumberFormat="1" applyFont="1" applyFill="1" applyBorder="1"/>
    <xf numFmtId="171" fontId="3" fillId="6" borderId="1" xfId="0" applyNumberFormat="1" applyFont="1" applyFill="1" applyBorder="1"/>
    <xf numFmtId="171" fontId="3" fillId="0" borderId="0" xfId="0" applyNumberFormat="1" applyFont="1"/>
    <xf numFmtId="168" fontId="3" fillId="7" borderId="1" xfId="0" applyNumberFormat="1" applyFont="1" applyFill="1" applyBorder="1"/>
    <xf numFmtId="172" fontId="3" fillId="0" borderId="0" xfId="0" applyNumberFormat="1" applyFont="1"/>
    <xf numFmtId="37" fontId="3" fillId="0" borderId="0" xfId="0" applyNumberFormat="1" applyFont="1"/>
    <xf numFmtId="168" fontId="3" fillId="0" borderId="0" xfId="0" applyNumberFormat="1" applyFont="1" applyAlignment="1">
      <alignment horizontal="right"/>
    </xf>
    <xf numFmtId="164" fontId="3" fillId="6" borderId="1" xfId="0" applyNumberFormat="1" applyFont="1" applyFill="1" applyBorder="1"/>
    <xf numFmtId="164" fontId="3" fillId="0" borderId="0" xfId="0" applyNumberFormat="1" applyFont="1"/>
    <xf numFmtId="40" fontId="3" fillId="8" borderId="1" xfId="0" applyNumberFormat="1" applyFont="1" applyFill="1" applyBorder="1"/>
    <xf numFmtId="168" fontId="3" fillId="6" borderId="1" xfId="0" applyNumberFormat="1" applyFont="1" applyFill="1" applyBorder="1"/>
    <xf numFmtId="173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174" fontId="3" fillId="6" borderId="1" xfId="0" applyNumberFormat="1" applyFont="1" applyFill="1" applyBorder="1"/>
    <xf numFmtId="174" fontId="3" fillId="0" borderId="0" xfId="0" applyNumberFormat="1" applyFont="1"/>
    <xf numFmtId="175" fontId="3" fillId="6" borderId="1" xfId="0" applyNumberFormat="1" applyFont="1" applyFill="1" applyBorder="1"/>
    <xf numFmtId="175" fontId="3" fillId="0" borderId="0" xfId="0" applyNumberFormat="1" applyFont="1"/>
    <xf numFmtId="176" fontId="3" fillId="0" borderId="0" xfId="0" applyNumberFormat="1" applyFont="1"/>
    <xf numFmtId="177" fontId="3" fillId="0" borderId="0" xfId="0" applyNumberFormat="1" applyFont="1"/>
    <xf numFmtId="40" fontId="3" fillId="6" borderId="1" xfId="0" applyNumberFormat="1" applyFont="1" applyFill="1" applyBorder="1"/>
    <xf numFmtId="40" fontId="3" fillId="0" borderId="0" xfId="0" applyNumberFormat="1" applyFont="1" applyAlignment="1">
      <alignment horizontal="right"/>
    </xf>
    <xf numFmtId="43" fontId="3" fillId="0" borderId="0" xfId="0" applyNumberFormat="1" applyFont="1"/>
    <xf numFmtId="40" fontId="3" fillId="6" borderId="1" xfId="0" applyNumberFormat="1" applyFont="1" applyFill="1" applyBorder="1" applyAlignment="1">
      <alignment horizontal="center"/>
    </xf>
    <xf numFmtId="4" fontId="3" fillId="6" borderId="1" xfId="0" applyNumberFormat="1" applyFont="1" applyFill="1" applyBorder="1"/>
    <xf numFmtId="39" fontId="3" fillId="0" borderId="0" xfId="0" applyNumberFormat="1" applyFont="1"/>
    <xf numFmtId="178" fontId="3" fillId="9" borderId="1" xfId="0" applyNumberFormat="1" applyFont="1" applyFill="1" applyBorder="1"/>
    <xf numFmtId="170" fontId="3" fillId="7" borderId="1" xfId="0" applyNumberFormat="1" applyFont="1" applyFill="1" applyBorder="1"/>
    <xf numFmtId="164" fontId="2" fillId="0" borderId="0" xfId="0" applyNumberFormat="1" applyFont="1"/>
    <xf numFmtId="169" fontId="3" fillId="7" borderId="1" xfId="0" applyNumberFormat="1" applyFont="1" applyFill="1" applyBorder="1"/>
    <xf numFmtId="178" fontId="3" fillId="0" borderId="0" xfId="0" applyNumberFormat="1" applyFont="1"/>
    <xf numFmtId="169" fontId="3" fillId="2" borderId="1" xfId="0" applyNumberFormat="1" applyFont="1" applyFill="1" applyBorder="1"/>
    <xf numFmtId="40" fontId="2" fillId="0" borderId="0" xfId="0" applyNumberFormat="1" applyFont="1" applyAlignment="1">
      <alignment horizontal="center"/>
    </xf>
    <xf numFmtId="44" fontId="2" fillId="0" borderId="0" xfId="0" applyNumberFormat="1" applyFont="1"/>
    <xf numFmtId="40" fontId="3" fillId="7" borderId="1" xfId="0" applyNumberFormat="1" applyFont="1" applyFill="1" applyBorder="1"/>
    <xf numFmtId="179" fontId="3" fillId="0" borderId="0" xfId="0" applyNumberFormat="1" applyFont="1"/>
    <xf numFmtId="10" fontId="3" fillId="0" borderId="0" xfId="0" applyNumberFormat="1" applyFont="1"/>
    <xf numFmtId="180" fontId="3" fillId="0" borderId="0" xfId="0" applyNumberFormat="1" applyFont="1"/>
    <xf numFmtId="167" fontId="3" fillId="0" borderId="0" xfId="0" applyNumberFormat="1" applyFont="1"/>
    <xf numFmtId="164" fontId="6" fillId="0" borderId="0" xfId="0" applyNumberFormat="1" applyFont="1"/>
    <xf numFmtId="0" fontId="3" fillId="0" borderId="0" xfId="0" applyFont="1"/>
    <xf numFmtId="9" fontId="3" fillId="0" borderId="0" xfId="0" applyNumberFormat="1" applyFont="1" applyAlignment="1">
      <alignment horizontal="center"/>
    </xf>
    <xf numFmtId="169" fontId="2" fillId="0" borderId="0" xfId="0" applyNumberFormat="1" applyFont="1"/>
    <xf numFmtId="168" fontId="2" fillId="0" borderId="0" xfId="0" applyNumberFormat="1" applyFont="1"/>
    <xf numFmtId="39" fontId="2" fillId="0" borderId="0" xfId="0" applyNumberFormat="1" applyFont="1"/>
    <xf numFmtId="40" fontId="2" fillId="2" borderId="1" xfId="0" applyNumberFormat="1" applyFont="1" applyFill="1" applyBorder="1"/>
    <xf numFmtId="173" fontId="2" fillId="0" borderId="0" xfId="0" applyNumberFormat="1" applyFont="1"/>
    <xf numFmtId="173" fontId="3" fillId="7" borderId="1" xfId="0" applyNumberFormat="1" applyFont="1" applyFill="1" applyBorder="1"/>
    <xf numFmtId="181" fontId="3" fillId="0" borderId="0" xfId="0" applyNumberFormat="1" applyFont="1"/>
    <xf numFmtId="182" fontId="3" fillId="0" borderId="0" xfId="0" applyNumberFormat="1" applyFont="1"/>
    <xf numFmtId="37" fontId="5" fillId="0" borderId="0" xfId="0" applyNumberFormat="1" applyFont="1"/>
    <xf numFmtId="175" fontId="2" fillId="0" borderId="0" xfId="0" applyNumberFormat="1" applyFont="1"/>
    <xf numFmtId="38" fontId="3" fillId="0" borderId="0" xfId="0" applyNumberFormat="1" applyFont="1"/>
    <xf numFmtId="183" fontId="3" fillId="0" borderId="0" xfId="0" applyNumberFormat="1" applyFont="1"/>
    <xf numFmtId="40" fontId="3" fillId="10" borderId="1" xfId="0" applyNumberFormat="1" applyFont="1" applyFill="1" applyBorder="1"/>
    <xf numFmtId="184" fontId="3" fillId="0" borderId="0" xfId="0" applyNumberFormat="1" applyFont="1"/>
    <xf numFmtId="185" fontId="3" fillId="0" borderId="0" xfId="0" applyNumberFormat="1" applyFont="1"/>
    <xf numFmtId="186" fontId="3" fillId="0" borderId="0" xfId="0" applyNumberFormat="1" applyFont="1"/>
    <xf numFmtId="40" fontId="3" fillId="2" borderId="1" xfId="0" applyNumberFormat="1" applyFont="1" applyFill="1" applyBorder="1" applyAlignment="1">
      <alignment horizontal="center"/>
    </xf>
    <xf numFmtId="40" fontId="4" fillId="6" borderId="1" xfId="0" applyNumberFormat="1" applyFont="1" applyFill="1" applyBorder="1"/>
    <xf numFmtId="10" fontId="3" fillId="6" borderId="1" xfId="0" applyNumberFormat="1" applyFont="1" applyFill="1" applyBorder="1"/>
    <xf numFmtId="40" fontId="7" fillId="0" borderId="0" xfId="0" applyNumberFormat="1" applyFont="1"/>
    <xf numFmtId="40" fontId="5" fillId="0" borderId="0" xfId="0" applyNumberFormat="1" applyFont="1" applyAlignment="1">
      <alignment horizontal="left"/>
    </xf>
    <xf numFmtId="40" fontId="2" fillId="5" borderId="1" xfId="0" applyNumberFormat="1" applyFont="1" applyFill="1" applyBorder="1" applyAlignment="1">
      <alignment horizontal="left" vertical="top" wrapText="1"/>
    </xf>
    <xf numFmtId="168" fontId="3" fillId="0" borderId="0" xfId="0" applyNumberFormat="1" applyFont="1" applyAlignment="1">
      <alignment horizontal="center"/>
    </xf>
    <xf numFmtId="172" fontId="3" fillId="11" borderId="1" xfId="0" applyNumberFormat="1" applyFont="1" applyFill="1" applyBorder="1"/>
    <xf numFmtId="40" fontId="3" fillId="11" borderId="1" xfId="0" applyNumberFormat="1" applyFont="1" applyFill="1" applyBorder="1"/>
    <xf numFmtId="187" fontId="3" fillId="0" borderId="0" xfId="0" applyNumberFormat="1" applyFont="1"/>
    <xf numFmtId="188" fontId="3" fillId="0" borderId="0" xfId="0" applyNumberFormat="1" applyFont="1"/>
    <xf numFmtId="40" fontId="3" fillId="12" borderId="1" xfId="0" applyNumberFormat="1" applyFont="1" applyFill="1" applyBorder="1" applyAlignment="1">
      <alignment horizontal="center"/>
    </xf>
    <xf numFmtId="177" fontId="3" fillId="0" borderId="0" xfId="0" applyNumberFormat="1" applyFont="1" applyAlignment="1">
      <alignment horizontal="right"/>
    </xf>
    <xf numFmtId="0" fontId="6" fillId="0" borderId="0" xfId="0" applyFont="1"/>
    <xf numFmtId="178" fontId="2" fillId="0" borderId="0" xfId="0" applyNumberFormat="1" applyFont="1"/>
    <xf numFmtId="172" fontId="3" fillId="0" borderId="0" xfId="0" applyNumberFormat="1" applyFont="1" applyAlignment="1">
      <alignment horizontal="right"/>
    </xf>
    <xf numFmtId="189" fontId="3" fillId="0" borderId="0" xfId="0" applyNumberFormat="1" applyFont="1"/>
    <xf numFmtId="190" fontId="3" fillId="0" borderId="0" xfId="0" applyNumberFormat="1" applyFont="1"/>
    <xf numFmtId="191" fontId="3" fillId="0" borderId="0" xfId="0" applyNumberFormat="1" applyFont="1"/>
    <xf numFmtId="180" fontId="3" fillId="0" borderId="0" xfId="0" applyNumberFormat="1" applyFont="1" applyAlignment="1">
      <alignment horizontal="center"/>
    </xf>
    <xf numFmtId="192" fontId="3" fillId="0" borderId="0" xfId="0" applyNumberFormat="1" applyFont="1"/>
    <xf numFmtId="40" fontId="8" fillId="0" borderId="0" xfId="0" applyNumberFormat="1" applyFont="1" applyAlignment="1">
      <alignment horizontal="center"/>
    </xf>
    <xf numFmtId="193" fontId="3" fillId="0" borderId="0" xfId="0" applyNumberFormat="1" applyFont="1"/>
    <xf numFmtId="194" fontId="3" fillId="0" borderId="0" xfId="0" applyNumberFormat="1" applyFont="1"/>
    <xf numFmtId="40" fontId="3" fillId="13" borderId="1" xfId="0" applyNumberFormat="1" applyFont="1" applyFill="1" applyBorder="1" applyAlignment="1">
      <alignment horizontal="center"/>
    </xf>
    <xf numFmtId="40" fontId="3" fillId="13" borderId="1" xfId="0" applyNumberFormat="1" applyFont="1" applyFill="1" applyBorder="1"/>
    <xf numFmtId="195" fontId="3" fillId="0" borderId="0" xfId="0" applyNumberFormat="1" applyFont="1"/>
    <xf numFmtId="9" fontId="3" fillId="0" borderId="0" xfId="0" applyNumberFormat="1" applyFont="1"/>
    <xf numFmtId="196" fontId="3" fillId="0" borderId="0" xfId="0" applyNumberFormat="1" applyFont="1"/>
    <xf numFmtId="168" fontId="6" fillId="0" borderId="0" xfId="0" applyNumberFormat="1" applyFont="1"/>
    <xf numFmtId="167" fontId="7" fillId="4" borderId="1" xfId="0" applyNumberFormat="1" applyFont="1" applyFill="1" applyBorder="1" applyAlignment="1">
      <alignment horizontal="left"/>
    </xf>
    <xf numFmtId="40" fontId="7" fillId="0" borderId="5" xfId="0" applyNumberFormat="1" applyFont="1" applyBorder="1" applyAlignment="1">
      <alignment horizontal="center"/>
    </xf>
    <xf numFmtId="40" fontId="7" fillId="0" borderId="5" xfId="0" applyNumberFormat="1" applyFont="1" applyBorder="1"/>
    <xf numFmtId="8" fontId="7" fillId="4" borderId="1" xfId="0" applyNumberFormat="1" applyFont="1" applyFill="1" applyBorder="1" applyAlignment="1">
      <alignment horizontal="left"/>
    </xf>
    <xf numFmtId="40" fontId="7" fillId="0" borderId="6" xfId="0" applyNumberFormat="1" applyFont="1" applyBorder="1" applyAlignment="1">
      <alignment horizontal="center"/>
    </xf>
    <xf numFmtId="40" fontId="7" fillId="0" borderId="6" xfId="0" applyNumberFormat="1" applyFont="1" applyBorder="1"/>
    <xf numFmtId="40" fontId="9" fillId="0" borderId="7" xfId="0" applyNumberFormat="1" applyFont="1" applyBorder="1" applyAlignment="1">
      <alignment horizontal="center"/>
    </xf>
    <xf numFmtId="49" fontId="7" fillId="5" borderId="1" xfId="0" quotePrefix="1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center"/>
    </xf>
    <xf numFmtId="40" fontId="7" fillId="0" borderId="0" xfId="0" applyNumberFormat="1" applyFont="1" applyAlignment="1">
      <alignment horizontal="right"/>
    </xf>
    <xf numFmtId="40" fontId="7" fillId="0" borderId="0" xfId="0" applyNumberFormat="1" applyFont="1" applyAlignment="1">
      <alignment horizontal="center"/>
    </xf>
    <xf numFmtId="40" fontId="4" fillId="0" borderId="0" xfId="0" applyNumberFormat="1" applyFont="1" applyAlignment="1">
      <alignment wrapText="1"/>
    </xf>
    <xf numFmtId="10" fontId="7" fillId="5" borderId="4" xfId="0" applyNumberFormat="1" applyFont="1" applyFill="1" applyBorder="1" applyAlignment="1">
      <alignment horizontal="left" wrapText="1"/>
    </xf>
    <xf numFmtId="40" fontId="7" fillId="0" borderId="0" xfId="0" applyNumberFormat="1" applyFont="1" applyAlignment="1">
      <alignment horizontal="center" wrapText="1"/>
    </xf>
    <xf numFmtId="40" fontId="7" fillId="0" borderId="8" xfId="0" applyNumberFormat="1" applyFont="1" applyBorder="1" applyAlignment="1">
      <alignment horizontal="right"/>
    </xf>
    <xf numFmtId="38" fontId="7" fillId="0" borderId="0" xfId="0" applyNumberFormat="1" applyFont="1" applyAlignment="1">
      <alignment horizontal="left" wrapText="1"/>
    </xf>
    <xf numFmtId="40" fontId="10" fillId="0" borderId="0" xfId="0" applyNumberFormat="1" applyFont="1"/>
    <xf numFmtId="169" fontId="7" fillId="0" borderId="0" xfId="0" applyNumberFormat="1" applyFont="1" applyAlignment="1">
      <alignment horizontal="right"/>
    </xf>
    <xf numFmtId="40" fontId="7" fillId="0" borderId="0" xfId="0" applyNumberFormat="1" applyFont="1" applyAlignment="1">
      <alignment horizontal="left"/>
    </xf>
    <xf numFmtId="168" fontId="7" fillId="0" borderId="0" xfId="0" applyNumberFormat="1" applyFont="1"/>
    <xf numFmtId="40" fontId="4" fillId="0" borderId="0" xfId="0" applyNumberFormat="1" applyFont="1" applyAlignment="1">
      <alignment horizontal="left"/>
    </xf>
    <xf numFmtId="168" fontId="4" fillId="0" borderId="0" xfId="0" applyNumberFormat="1" applyFont="1"/>
    <xf numFmtId="9" fontId="7" fillId="0" borderId="0" xfId="0" applyNumberFormat="1" applyFont="1"/>
    <xf numFmtId="177" fontId="7" fillId="0" borderId="0" xfId="0" applyNumberFormat="1" applyFont="1" applyAlignment="1">
      <alignment horizontal="right"/>
    </xf>
    <xf numFmtId="40" fontId="7" fillId="8" borderId="1" xfId="0" applyNumberFormat="1" applyFont="1" applyFill="1" applyBorder="1"/>
    <xf numFmtId="40" fontId="4" fillId="0" borderId="8" xfId="0" applyNumberFormat="1" applyFont="1" applyBorder="1"/>
    <xf numFmtId="169" fontId="4" fillId="0" borderId="8" xfId="0" applyNumberFormat="1" applyFont="1" applyBorder="1"/>
    <xf numFmtId="169" fontId="4" fillId="0" borderId="0" xfId="0" applyNumberFormat="1" applyFont="1"/>
    <xf numFmtId="43" fontId="7" fillId="0" borderId="0" xfId="0" applyNumberFormat="1" applyFont="1"/>
    <xf numFmtId="44" fontId="4" fillId="0" borderId="8" xfId="0" applyNumberFormat="1" applyFont="1" applyBorder="1"/>
    <xf numFmtId="167" fontId="7" fillId="0" borderId="0" xfId="0" applyNumberFormat="1" applyFont="1"/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37" fontId="7" fillId="0" borderId="0" xfId="0" applyNumberFormat="1" applyFont="1"/>
    <xf numFmtId="40" fontId="7" fillId="6" borderId="1" xfId="0" applyNumberFormat="1" applyFont="1" applyFill="1" applyBorder="1" applyAlignment="1">
      <alignment horizontal="center"/>
    </xf>
    <xf numFmtId="40" fontId="7" fillId="6" borderId="1" xfId="0" applyNumberFormat="1" applyFont="1" applyFill="1" applyBorder="1"/>
    <xf numFmtId="39" fontId="7" fillId="0" borderId="0" xfId="0" applyNumberFormat="1" applyFont="1"/>
    <xf numFmtId="178" fontId="7" fillId="9" borderId="1" xfId="0" applyNumberFormat="1" applyFont="1" applyFill="1" applyBorder="1"/>
    <xf numFmtId="4" fontId="7" fillId="0" borderId="0" xfId="0" applyNumberFormat="1" applyFont="1"/>
    <xf numFmtId="170" fontId="7" fillId="0" borderId="0" xfId="0" applyNumberFormat="1" applyFont="1"/>
    <xf numFmtId="164" fontId="4" fillId="0" borderId="0" xfId="0" applyNumberFormat="1" applyFont="1"/>
    <xf numFmtId="40" fontId="7" fillId="0" borderId="8" xfId="0" applyNumberFormat="1" applyFont="1" applyBorder="1"/>
    <xf numFmtId="168" fontId="4" fillId="0" borderId="8" xfId="0" applyNumberFormat="1" applyFont="1" applyBorder="1"/>
    <xf numFmtId="169" fontId="7" fillId="0" borderId="0" xfId="0" applyNumberFormat="1" applyFont="1"/>
    <xf numFmtId="40" fontId="4" fillId="0" borderId="0" xfId="0" applyNumberFormat="1" applyFont="1" applyAlignment="1">
      <alignment horizontal="center"/>
    </xf>
    <xf numFmtId="44" fontId="7" fillId="0" borderId="0" xfId="0" applyNumberFormat="1" applyFont="1"/>
    <xf numFmtId="44" fontId="4" fillId="0" borderId="0" xfId="0" applyNumberFormat="1" applyFont="1"/>
    <xf numFmtId="179" fontId="7" fillId="0" borderId="0" xfId="0" applyNumberFormat="1" applyFont="1"/>
    <xf numFmtId="10" fontId="7" fillId="0" borderId="0" xfId="0" applyNumberFormat="1" applyFont="1"/>
    <xf numFmtId="40" fontId="11" fillId="0" borderId="0" xfId="0" applyNumberFormat="1" applyFont="1"/>
    <xf numFmtId="176" fontId="7" fillId="0" borderId="0" xfId="0" applyNumberFormat="1" applyFont="1"/>
    <xf numFmtId="168" fontId="7" fillId="0" borderId="0" xfId="0" applyNumberFormat="1" applyFont="1" applyAlignment="1">
      <alignment horizontal="right"/>
    </xf>
    <xf numFmtId="0" fontId="7" fillId="0" borderId="0" xfId="0" applyFont="1"/>
    <xf numFmtId="172" fontId="7" fillId="0" borderId="0" xfId="0" applyNumberFormat="1" applyFont="1"/>
    <xf numFmtId="9" fontId="7" fillId="0" borderId="0" xfId="0" applyNumberFormat="1" applyFont="1" applyAlignment="1">
      <alignment horizontal="center"/>
    </xf>
    <xf numFmtId="39" fontId="4" fillId="0" borderId="0" xfId="0" applyNumberFormat="1" applyFont="1"/>
    <xf numFmtId="173" fontId="7" fillId="0" borderId="0" xfId="0" applyNumberFormat="1" applyFont="1"/>
    <xf numFmtId="173" fontId="4" fillId="0" borderId="0" xfId="0" applyNumberFormat="1" applyFont="1"/>
    <xf numFmtId="175" fontId="7" fillId="0" borderId="0" xfId="0" applyNumberFormat="1" applyFont="1"/>
    <xf numFmtId="40" fontId="11" fillId="0" borderId="0" xfId="0" applyNumberFormat="1" applyFont="1" applyAlignment="1">
      <alignment horizontal="center"/>
    </xf>
    <xf numFmtId="44" fontId="1" fillId="3" borderId="9" xfId="0" applyNumberFormat="1" applyFont="1" applyFill="1" applyBorder="1"/>
    <xf numFmtId="10" fontId="1" fillId="0" borderId="9" xfId="0" applyNumberFormat="1" applyFont="1" applyBorder="1"/>
    <xf numFmtId="0" fontId="1" fillId="0" borderId="9" xfId="0" applyFont="1" applyBorder="1"/>
    <xf numFmtId="166" fontId="1" fillId="3" borderId="9" xfId="0" applyNumberFormat="1" applyFont="1" applyFill="1" applyBorder="1"/>
    <xf numFmtId="165" fontId="1" fillId="3" borderId="9" xfId="0" applyNumberFormat="1" applyFont="1" applyFill="1" applyBorder="1"/>
    <xf numFmtId="10" fontId="1" fillId="3" borderId="9" xfId="0" applyNumberFormat="1" applyFont="1" applyFill="1" applyBorder="1"/>
    <xf numFmtId="3" fontId="1" fillId="3" borderId="9" xfId="0" applyNumberFormat="1" applyFont="1" applyFill="1" applyBorder="1"/>
    <xf numFmtId="166" fontId="1" fillId="3" borderId="10" xfId="0" applyNumberFormat="1" applyFont="1" applyFill="1" applyBorder="1"/>
    <xf numFmtId="0" fontId="1" fillId="3" borderId="10" xfId="0" applyFont="1" applyFill="1" applyBorder="1"/>
    <xf numFmtId="0" fontId="1" fillId="3" borderId="11" xfId="0" applyFont="1" applyFill="1" applyBorder="1"/>
    <xf numFmtId="0" fontId="1" fillId="3" borderId="12" xfId="0" applyFont="1" applyFill="1" applyBorder="1"/>
    <xf numFmtId="0" fontId="1" fillId="15" borderId="9" xfId="0" applyFont="1" applyFill="1" applyBorder="1" applyProtection="1">
      <protection locked="0"/>
    </xf>
    <xf numFmtId="10" fontId="1" fillId="15" borderId="9" xfId="0" applyNumberFormat="1" applyFont="1" applyFill="1" applyBorder="1" applyProtection="1">
      <protection locked="0"/>
    </xf>
    <xf numFmtId="49" fontId="1" fillId="14" borderId="0" xfId="0" applyNumberFormat="1" applyFont="1" applyFill="1" applyProtection="1">
      <protection locked="0"/>
    </xf>
    <xf numFmtId="164" fontId="1" fillId="3" borderId="12" xfId="0" applyNumberFormat="1" applyFont="1" applyFill="1" applyBorder="1"/>
    <xf numFmtId="0" fontId="1" fillId="16" borderId="9" xfId="0" applyFont="1" applyFill="1" applyBorder="1" applyAlignment="1">
      <alignment horizontal="right" wrapText="1"/>
    </xf>
    <xf numFmtId="0" fontId="1" fillId="16" borderId="9" xfId="0" applyFont="1" applyFill="1" applyBorder="1" applyAlignment="1">
      <alignment horizontal="center" wrapText="1"/>
    </xf>
    <xf numFmtId="0" fontId="1" fillId="16" borderId="9" xfId="0" applyFont="1" applyFill="1" applyBorder="1" applyAlignment="1">
      <alignment horizontal="left" vertical="top" wrapText="1"/>
    </xf>
    <xf numFmtId="0" fontId="1" fillId="16" borderId="9" xfId="0" applyFont="1" applyFill="1" applyBorder="1" applyAlignment="1">
      <alignment wrapText="1"/>
    </xf>
    <xf numFmtId="0" fontId="1" fillId="17" borderId="0" xfId="0" applyFont="1" applyFill="1"/>
  </cellXfs>
  <cellStyles count="1">
    <cellStyle name="Normal" xfId="0" builtinId="0"/>
  </cellStyles>
  <dxfs count="28"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about:blan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1000"/>
  <sheetViews>
    <sheetView tabSelected="1" workbookViewId="0">
      <selection activeCell="H5" sqref="H5"/>
    </sheetView>
  </sheetViews>
  <sheetFormatPr defaultColWidth="12.6328125" defaultRowHeight="15.75" customHeight="1" x14ac:dyDescent="0.25"/>
  <cols>
    <col min="1" max="1" width="12.90625" bestFit="1" customWidth="1"/>
    <col min="2" max="2" width="15.1796875" bestFit="1" customWidth="1"/>
    <col min="3" max="3" width="16.90625" customWidth="1"/>
    <col min="4" max="4" width="14.26953125" customWidth="1"/>
    <col min="5" max="5" width="13.90625" customWidth="1"/>
    <col min="6" max="6" width="3.90625" customWidth="1"/>
    <col min="9" max="9" width="3.453125" customWidth="1"/>
    <col min="12" max="12" width="4.36328125" customWidth="1"/>
    <col min="13" max="13" width="13.453125" bestFit="1" customWidth="1"/>
    <col min="14" max="14" width="3.7265625" customWidth="1"/>
    <col min="15" max="15" width="10.7265625" customWidth="1"/>
    <col min="16" max="16" width="3.6328125" customWidth="1"/>
  </cols>
  <sheetData>
    <row r="1" spans="1:29" ht="13" x14ac:dyDescent="0.3">
      <c r="A1" s="1" t="s">
        <v>0</v>
      </c>
      <c r="B1" s="189" t="s">
        <v>1</v>
      </c>
      <c r="C1" s="2"/>
      <c r="D1" s="2" t="s">
        <v>2</v>
      </c>
      <c r="E1" s="2" t="s">
        <v>3</v>
      </c>
      <c r="F1" s="3"/>
      <c r="G1" s="3" t="s">
        <v>4</v>
      </c>
      <c r="H1" s="2" t="s">
        <v>5</v>
      </c>
      <c r="I1" s="1"/>
      <c r="J1" s="2" t="s">
        <v>6</v>
      </c>
      <c r="K1" s="2" t="s">
        <v>7</v>
      </c>
      <c r="L1" s="1"/>
      <c r="M1" s="2" t="s">
        <v>8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3" x14ac:dyDescent="0.3">
      <c r="A2" s="1" t="s">
        <v>9</v>
      </c>
      <c r="B2" s="184" t="str">
        <f>IFERROR(_xlfn.XLOOKUP(B1,FY26SFA1994!5:5,FY26SFA1994!7:7), "")</f>
        <v>DENVER COUNTY 1</v>
      </c>
      <c r="C2" s="186"/>
      <c r="D2" s="190">
        <f t="array" ref="D2">INDEX('New Formula with HB25-1320'!$A$3:$FX$184, MATCH($D$1, 'New Formula with HB25-1320'!$A$3:$A$184, 0), MATCH($B$1, 'New Formula with HB25-1320'!$A$3:$FX$3, 0))</f>
        <v>84753.600000000006</v>
      </c>
      <c r="E2" s="180">
        <f t="array" aca="1" ref="E2" ca="1">INDEX(FY26SFA1994!$A$3:$FX$337, MATCH(E$1, FY26SFA1994!$A$3:$A$337, 0), MATCH($B$1, FY26SFA1994!$A$5:$FX$5, 0))</f>
        <v>10942.473040389999</v>
      </c>
      <c r="F2" s="181"/>
      <c r="G2" s="181">
        <f t="array" ref="G2">INDEX('New Formula with HB25-1320'!$A$3:$FX$184, MATCH(G$1, 'New Formula with HB25-1320'!$A$3:$A$184, 0), MATCH($B$1, 'New Formula with HB25-1320'!$A$3:$FX$3, 0))</f>
        <v>0.62879930173709553</v>
      </c>
      <c r="H2" s="179">
        <f t="array" aca="1" ref="H2" ca="1">INDEX(FY26SFA1994!$A$3:$FX$337, MATCH(H$1, FY26SFA1994!$A$3:$A$337, 0), MATCH($B$1, FY26SFA1994!$A$5:$FX$5, 0))</f>
        <v>78296235.930000007</v>
      </c>
      <c r="I2" s="179"/>
      <c r="J2" s="182">
        <f t="array" ref="J2">INDEX(FY26SFA1994!$A$3:$FX$337, MATCH(J$1, FY26SFA1994!$A$3:$A$337, 0), MATCH($B$1, FY26SFA1994!$A$5:$FX$5, 0))</f>
        <v>16832</v>
      </c>
      <c r="K2" s="179">
        <f t="array" aca="1" ref="K2" ca="1">INDEX(FY26SFA1994!$A$3:$FX$337, MATCH(K$1, FY26SFA1994!$A$3:$A$337, 0), MATCH($B$1, FY26SFA1994!$A$5:$FX$5, 0))</f>
        <v>14734696.5</v>
      </c>
      <c r="L2" s="179"/>
      <c r="M2" s="183">
        <f t="array" aca="1" ref="M2" ca="1">ROUND(INDEX('New Formula with HB25-1320'!$A$3:$FX$184, MATCH(M$1, 'New Formula with HB25-1320'!$A$3:$A$184, 0), MATCH($B$1, 'New Formula with HB25-1320'!$A$3:$FX$3, 0))*0.15, 2)</f>
        <v>9421834.9000000004</v>
      </c>
      <c r="N2" s="184"/>
      <c r="O2" s="185"/>
      <c r="P2" s="185"/>
      <c r="Q2" s="186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3" x14ac:dyDescent="0.3">
      <c r="A3" s="195" t="s">
        <v>1164</v>
      </c>
      <c r="B3" s="195"/>
      <c r="C3" s="195"/>
      <c r="D3" s="195"/>
      <c r="E3" s="195"/>
      <c r="F3" s="195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39" x14ac:dyDescent="0.3">
      <c r="A4" s="191" t="s">
        <v>10</v>
      </c>
      <c r="B4" s="192" t="s">
        <v>11</v>
      </c>
      <c r="C4" s="193" t="s">
        <v>1162</v>
      </c>
      <c r="D4" s="191" t="s">
        <v>1163</v>
      </c>
      <c r="E4" s="194" t="s">
        <v>12</v>
      </c>
      <c r="F4" s="191"/>
      <c r="G4" s="191" t="s">
        <v>13</v>
      </c>
      <c r="H4" s="191" t="s">
        <v>14</v>
      </c>
      <c r="I4" s="191"/>
      <c r="J4" s="191" t="s">
        <v>15</v>
      </c>
      <c r="K4" s="191" t="s">
        <v>16</v>
      </c>
      <c r="L4" s="191"/>
      <c r="M4" s="191" t="s">
        <v>17</v>
      </c>
      <c r="N4" s="191"/>
      <c r="O4" s="191" t="s">
        <v>18</v>
      </c>
      <c r="P4" s="191"/>
      <c r="Q4" s="191" t="s">
        <v>19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3" x14ac:dyDescent="0.3">
      <c r="A5" s="187"/>
      <c r="B5" s="187"/>
      <c r="C5" s="187"/>
      <c r="D5" s="187"/>
      <c r="E5" s="176">
        <f t="shared" ref="E5:E14" si="0">IF(D5&gt;0, $E$2, 0)</f>
        <v>0</v>
      </c>
      <c r="F5" s="177"/>
      <c r="G5" s="188"/>
      <c r="H5" s="176">
        <f>IF(G5&gt;0, ROUND((G5/G$2)*(H$2/D$2), 2), 0)</f>
        <v>0</v>
      </c>
      <c r="I5" s="178"/>
      <c r="J5" s="187"/>
      <c r="K5" s="176">
        <f t="shared" ref="K5:K14" si="1">IF(D5&gt;0, ROUND(J5*(K$2/J$2)/D5, 2), 0)</f>
        <v>0</v>
      </c>
      <c r="L5" s="178"/>
      <c r="M5" s="176">
        <f t="shared" ref="M5:M14" si="2">IF(D5&gt;0, ROUND(M$2/D$2, 2),0)</f>
        <v>0</v>
      </c>
      <c r="N5" s="178"/>
      <c r="O5" s="176">
        <f t="array" ref="O5">IF(D5&gt;0, IF(LEFT($C5, 3)="Yes", INDEX('New Formula with HB25-1320'!$A$3:$FX$184, MATCH("GT7", 'New Formula with HB25-1320'!$A$3:$A$184, 0), MATCH($B$1, 'New Formula with HB25-1320'!$A$3:$FX$3, 0)),$E5+$H5+$K5+$M5), 0)</f>
        <v>0</v>
      </c>
      <c r="P5" s="178"/>
      <c r="Q5" s="179">
        <f t="shared" ref="Q5:Q14" si="3">O5*D5</f>
        <v>0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3" x14ac:dyDescent="0.3">
      <c r="A6" s="187"/>
      <c r="B6" s="187"/>
      <c r="C6" s="187"/>
      <c r="D6" s="187"/>
      <c r="E6" s="176">
        <f t="shared" si="0"/>
        <v>0</v>
      </c>
      <c r="F6" s="178"/>
      <c r="G6" s="188"/>
      <c r="H6" s="176">
        <f t="shared" ref="H6:H19" si="4">IF(G6&gt;0, ROUND((G6/G$2)*(H$2/D$2), 2), 0)</f>
        <v>0</v>
      </c>
      <c r="I6" s="178"/>
      <c r="J6" s="187"/>
      <c r="K6" s="176">
        <f t="shared" si="1"/>
        <v>0</v>
      </c>
      <c r="L6" s="178"/>
      <c r="M6" s="176">
        <f t="shared" si="2"/>
        <v>0</v>
      </c>
      <c r="N6" s="178"/>
      <c r="O6" s="176">
        <f t="array" ref="O6">IF(D6&gt;0, IF(LEFT($C6, 3)="Yes", INDEX('New Formula with HB25-1320'!$A$3:$FX$184, MATCH("GT7", 'New Formula with HB25-1320'!$A$3:$A$184, 0), MATCH($B$1, 'New Formula with HB25-1320'!$A$3:$FX$3, 0)),$E6+$H6+$K6+$M6), 0)</f>
        <v>0</v>
      </c>
      <c r="P6" s="178"/>
      <c r="Q6" s="179">
        <f t="shared" si="3"/>
        <v>0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" x14ac:dyDescent="0.3">
      <c r="A7" s="187"/>
      <c r="B7" s="187"/>
      <c r="C7" s="187"/>
      <c r="D7" s="187"/>
      <c r="E7" s="176">
        <f t="shared" si="0"/>
        <v>0</v>
      </c>
      <c r="F7" s="178"/>
      <c r="G7" s="188"/>
      <c r="H7" s="176">
        <f t="shared" si="4"/>
        <v>0</v>
      </c>
      <c r="I7" s="178"/>
      <c r="J7" s="187"/>
      <c r="K7" s="176">
        <f t="shared" si="1"/>
        <v>0</v>
      </c>
      <c r="L7" s="178"/>
      <c r="M7" s="176">
        <f t="shared" si="2"/>
        <v>0</v>
      </c>
      <c r="N7" s="178"/>
      <c r="O7" s="176">
        <f t="array" ref="O7">IF(D7&gt;0, IF(LEFT($C7, 3)="Yes", INDEX('New Formula with HB25-1320'!$A$3:$FX$184, MATCH("GT7", 'New Formula with HB25-1320'!$A$3:$A$184, 0), MATCH($B$1, 'New Formula with HB25-1320'!$A$3:$FX$3, 0)),$E7+$H7+$K7+$M7), 0)</f>
        <v>0</v>
      </c>
      <c r="P7" s="178"/>
      <c r="Q7" s="179">
        <f t="shared" si="3"/>
        <v>0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3" x14ac:dyDescent="0.3">
      <c r="A8" s="187"/>
      <c r="B8" s="187"/>
      <c r="C8" s="187"/>
      <c r="D8" s="187"/>
      <c r="E8" s="176">
        <f t="shared" si="0"/>
        <v>0</v>
      </c>
      <c r="F8" s="178"/>
      <c r="G8" s="188"/>
      <c r="H8" s="176">
        <f t="shared" si="4"/>
        <v>0</v>
      </c>
      <c r="I8" s="178"/>
      <c r="J8" s="187"/>
      <c r="K8" s="176">
        <f t="shared" si="1"/>
        <v>0</v>
      </c>
      <c r="L8" s="178"/>
      <c r="M8" s="176">
        <f t="shared" si="2"/>
        <v>0</v>
      </c>
      <c r="N8" s="178"/>
      <c r="O8" s="176">
        <f t="array" ref="O8">IF(D8&gt;0, IF(LEFT($C8, 3)="Yes", INDEX('New Formula with HB25-1320'!$A$3:$FX$184, MATCH("GT7", 'New Formula with HB25-1320'!$A$3:$A$184, 0), MATCH($B$1, 'New Formula with HB25-1320'!$A$3:$FX$3, 0)),$E8+$H8+$K8+$M8), 0)</f>
        <v>0</v>
      </c>
      <c r="P8" s="178"/>
      <c r="Q8" s="179">
        <f t="shared" si="3"/>
        <v>0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3" x14ac:dyDescent="0.3">
      <c r="A9" s="187"/>
      <c r="B9" s="187"/>
      <c r="C9" s="187"/>
      <c r="D9" s="187"/>
      <c r="E9" s="176">
        <f t="shared" si="0"/>
        <v>0</v>
      </c>
      <c r="F9" s="178"/>
      <c r="G9" s="188"/>
      <c r="H9" s="176">
        <f t="shared" si="4"/>
        <v>0</v>
      </c>
      <c r="I9" s="178"/>
      <c r="J9" s="187"/>
      <c r="K9" s="176">
        <f t="shared" si="1"/>
        <v>0</v>
      </c>
      <c r="L9" s="178"/>
      <c r="M9" s="176">
        <f t="shared" si="2"/>
        <v>0</v>
      </c>
      <c r="N9" s="178"/>
      <c r="O9" s="176">
        <f t="array" ref="O9">IF(D9&gt;0, IF(LEFT($C9, 3)="Yes", INDEX('New Formula with HB25-1320'!$A$3:$FX$184, MATCH("GT7", 'New Formula with HB25-1320'!$A$3:$A$184, 0), MATCH($B$1, 'New Formula with HB25-1320'!$A$3:$FX$3, 0)),$E9+$H9+$K9+$M9), 0)</f>
        <v>0</v>
      </c>
      <c r="P9" s="178"/>
      <c r="Q9" s="179">
        <f t="shared" si="3"/>
        <v>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3" x14ac:dyDescent="0.3">
      <c r="A10" s="187"/>
      <c r="B10" s="187"/>
      <c r="C10" s="187"/>
      <c r="D10" s="187"/>
      <c r="E10" s="176">
        <f t="shared" si="0"/>
        <v>0</v>
      </c>
      <c r="F10" s="178"/>
      <c r="G10" s="188"/>
      <c r="H10" s="176">
        <f t="shared" si="4"/>
        <v>0</v>
      </c>
      <c r="I10" s="178"/>
      <c r="J10" s="187"/>
      <c r="K10" s="176">
        <f t="shared" si="1"/>
        <v>0</v>
      </c>
      <c r="L10" s="178"/>
      <c r="M10" s="176">
        <f t="shared" si="2"/>
        <v>0</v>
      </c>
      <c r="N10" s="178"/>
      <c r="O10" s="176">
        <f t="array" ref="O10">IF(D10&gt;0, IF(LEFT($C10, 3)="Yes", INDEX('New Formula with HB25-1320'!$A$3:$FX$184, MATCH("GT7", 'New Formula with HB25-1320'!$A$3:$A$184, 0), MATCH($B$1, 'New Formula with HB25-1320'!$A$3:$FX$3, 0)),$E10+$H10+$K10+$M10), 0)</f>
        <v>0</v>
      </c>
      <c r="P10" s="178"/>
      <c r="Q10" s="179">
        <f t="shared" si="3"/>
        <v>0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3" x14ac:dyDescent="0.3">
      <c r="A11" s="187"/>
      <c r="B11" s="187"/>
      <c r="C11" s="187"/>
      <c r="D11" s="187"/>
      <c r="E11" s="176">
        <f t="shared" si="0"/>
        <v>0</v>
      </c>
      <c r="F11" s="178"/>
      <c r="G11" s="188"/>
      <c r="H11" s="176">
        <f t="shared" si="4"/>
        <v>0</v>
      </c>
      <c r="I11" s="178"/>
      <c r="J11" s="187"/>
      <c r="K11" s="176">
        <f t="shared" si="1"/>
        <v>0</v>
      </c>
      <c r="L11" s="178"/>
      <c r="M11" s="176">
        <f t="shared" si="2"/>
        <v>0</v>
      </c>
      <c r="N11" s="178"/>
      <c r="O11" s="176">
        <f t="array" ref="O11">IF(D11&gt;0, IF(LEFT($C11, 3)="Yes", INDEX('New Formula with HB25-1320'!$A$3:$FX$184, MATCH("GT7", 'New Formula with HB25-1320'!$A$3:$A$184, 0), MATCH($B$1, 'New Formula with HB25-1320'!$A$3:$FX$3, 0)),$E11+$H11+$K11+$M11), 0)</f>
        <v>0</v>
      </c>
      <c r="P11" s="178"/>
      <c r="Q11" s="179">
        <f t="shared" si="3"/>
        <v>0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3" x14ac:dyDescent="0.3">
      <c r="A12" s="187"/>
      <c r="B12" s="187"/>
      <c r="C12" s="187"/>
      <c r="D12" s="187"/>
      <c r="E12" s="176">
        <f t="shared" si="0"/>
        <v>0</v>
      </c>
      <c r="F12" s="178"/>
      <c r="G12" s="188"/>
      <c r="H12" s="176">
        <f t="shared" si="4"/>
        <v>0</v>
      </c>
      <c r="I12" s="178"/>
      <c r="J12" s="187"/>
      <c r="K12" s="176">
        <f t="shared" si="1"/>
        <v>0</v>
      </c>
      <c r="L12" s="178"/>
      <c r="M12" s="176">
        <f t="shared" si="2"/>
        <v>0</v>
      </c>
      <c r="N12" s="178"/>
      <c r="O12" s="176">
        <f t="array" ref="O12">IF(D12&gt;0, IF(LEFT($C12, 3)="Yes", INDEX('New Formula with HB25-1320'!$A$3:$FX$184, MATCH("GT7", 'New Formula with HB25-1320'!$A$3:$A$184, 0), MATCH($B$1, 'New Formula with HB25-1320'!$A$3:$FX$3, 0)),$E12+$H12+$K12+$M12), 0)</f>
        <v>0</v>
      </c>
      <c r="P12" s="178"/>
      <c r="Q12" s="179">
        <f t="shared" si="3"/>
        <v>0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3" x14ac:dyDescent="0.3">
      <c r="A13" s="187"/>
      <c r="B13" s="187"/>
      <c r="C13" s="187"/>
      <c r="D13" s="187"/>
      <c r="E13" s="176">
        <f t="shared" si="0"/>
        <v>0</v>
      </c>
      <c r="F13" s="178"/>
      <c r="G13" s="188"/>
      <c r="H13" s="176">
        <f t="shared" si="4"/>
        <v>0</v>
      </c>
      <c r="I13" s="178"/>
      <c r="J13" s="187"/>
      <c r="K13" s="176">
        <f t="shared" si="1"/>
        <v>0</v>
      </c>
      <c r="L13" s="178"/>
      <c r="M13" s="176">
        <f t="shared" si="2"/>
        <v>0</v>
      </c>
      <c r="N13" s="178"/>
      <c r="O13" s="176">
        <f t="array" ref="O13">IF(D13&gt;0, IF(LEFT($C13, 3)="Yes", INDEX('New Formula with HB25-1320'!$A$3:$FX$184, MATCH("GT7", 'New Formula with HB25-1320'!$A$3:$A$184, 0), MATCH($B$1, 'New Formula with HB25-1320'!$A$3:$FX$3, 0)),$E13+$H13+$K13+$M13), 0)</f>
        <v>0</v>
      </c>
      <c r="P13" s="178"/>
      <c r="Q13" s="179">
        <f t="shared" si="3"/>
        <v>0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3" x14ac:dyDescent="0.3">
      <c r="A14" s="187"/>
      <c r="B14" s="187"/>
      <c r="C14" s="187"/>
      <c r="D14" s="187"/>
      <c r="E14" s="176">
        <f t="shared" si="0"/>
        <v>0</v>
      </c>
      <c r="F14" s="178"/>
      <c r="G14" s="188"/>
      <c r="H14" s="176">
        <f t="shared" si="4"/>
        <v>0</v>
      </c>
      <c r="I14" s="178"/>
      <c r="J14" s="187"/>
      <c r="K14" s="176">
        <f t="shared" si="1"/>
        <v>0</v>
      </c>
      <c r="L14" s="178"/>
      <c r="M14" s="176">
        <f t="shared" si="2"/>
        <v>0</v>
      </c>
      <c r="N14" s="178"/>
      <c r="O14" s="176">
        <f t="array" ref="O14">IF(D14&gt;0, IF(LEFT($C14, 3)="Yes", INDEX('New Formula with HB25-1320'!$A$3:$FX$184, MATCH("GT7", 'New Formula with HB25-1320'!$A$3:$A$184, 0), MATCH($B$1, 'New Formula with HB25-1320'!$A$3:$FX$3, 0)),$E14+$H14+$K14+$M14), 0)</f>
        <v>0</v>
      </c>
      <c r="P14" s="178"/>
      <c r="Q14" s="179">
        <f t="shared" si="3"/>
        <v>0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3" x14ac:dyDescent="0.3">
      <c r="A15" s="187"/>
      <c r="B15" s="187"/>
      <c r="C15" s="187"/>
      <c r="D15" s="187"/>
      <c r="E15" s="176">
        <f t="shared" ref="E15:E19" si="5">IF(D15&gt;0, $E$2, 0)</f>
        <v>0</v>
      </c>
      <c r="F15" s="178"/>
      <c r="G15" s="188"/>
      <c r="H15" s="176">
        <f t="shared" si="4"/>
        <v>0</v>
      </c>
      <c r="I15" s="178"/>
      <c r="J15" s="187"/>
      <c r="K15" s="176">
        <f t="shared" ref="K15:K19" si="6">IF(D15&gt;0, ROUND(J15*(K$2/J$2)/D15, 2), 0)</f>
        <v>0</v>
      </c>
      <c r="L15" s="178"/>
      <c r="M15" s="176">
        <f t="shared" ref="M15:M19" si="7">IF(D15&gt;0, ROUND(M$2/D$2, 2),0)</f>
        <v>0</v>
      </c>
      <c r="N15" s="178"/>
      <c r="O15" s="176">
        <f t="array" ref="O15">IF(D15&gt;0, IF(LEFT($C15, 3)="Yes", INDEX('New Formula with HB25-1320'!$A$3:$FX$184, MATCH("GT7", 'New Formula with HB25-1320'!$A$3:$A$184, 0), MATCH($B$1, 'New Formula with HB25-1320'!$A$3:$FX$3, 0)),$E15+$H15+$K15+$M15), 0)</f>
        <v>0</v>
      </c>
      <c r="P15" s="178"/>
      <c r="Q15" s="179">
        <f t="shared" ref="Q15:Q19" si="8">O15*D15</f>
        <v>0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3" x14ac:dyDescent="0.3">
      <c r="A16" s="187"/>
      <c r="B16" s="187"/>
      <c r="C16" s="187"/>
      <c r="D16" s="187"/>
      <c r="E16" s="176">
        <f t="shared" si="5"/>
        <v>0</v>
      </c>
      <c r="F16" s="178"/>
      <c r="G16" s="188"/>
      <c r="H16" s="176">
        <f t="shared" si="4"/>
        <v>0</v>
      </c>
      <c r="I16" s="178"/>
      <c r="J16" s="187"/>
      <c r="K16" s="176">
        <f t="shared" si="6"/>
        <v>0</v>
      </c>
      <c r="L16" s="178"/>
      <c r="M16" s="176">
        <f t="shared" si="7"/>
        <v>0</v>
      </c>
      <c r="N16" s="178"/>
      <c r="O16" s="176">
        <f t="array" ref="O16">IF(D16&gt;0, IF(LEFT($C16, 3)="Yes", INDEX('New Formula with HB25-1320'!$A$3:$FX$184, MATCH("GT7", 'New Formula with HB25-1320'!$A$3:$A$184, 0), MATCH($B$1, 'New Formula with HB25-1320'!$A$3:$FX$3, 0)),$E16+$H16+$K16+$M16), 0)</f>
        <v>0</v>
      </c>
      <c r="P16" s="178"/>
      <c r="Q16" s="179">
        <f t="shared" si="8"/>
        <v>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3" x14ac:dyDescent="0.3">
      <c r="A17" s="187"/>
      <c r="B17" s="187"/>
      <c r="C17" s="187"/>
      <c r="D17" s="187"/>
      <c r="E17" s="176">
        <f t="shared" si="5"/>
        <v>0</v>
      </c>
      <c r="F17" s="178"/>
      <c r="G17" s="188"/>
      <c r="H17" s="176">
        <f t="shared" si="4"/>
        <v>0</v>
      </c>
      <c r="I17" s="178"/>
      <c r="J17" s="187"/>
      <c r="K17" s="176">
        <f t="shared" si="6"/>
        <v>0</v>
      </c>
      <c r="L17" s="178"/>
      <c r="M17" s="176">
        <f t="shared" si="7"/>
        <v>0</v>
      </c>
      <c r="N17" s="178"/>
      <c r="O17" s="176">
        <f t="array" ref="O17">IF(D17&gt;0, IF(LEFT($C17, 3)="Yes", INDEX('New Formula with HB25-1320'!$A$3:$FX$184, MATCH("GT7", 'New Formula with HB25-1320'!$A$3:$A$184, 0), MATCH($B$1, 'New Formula with HB25-1320'!$A$3:$FX$3, 0)),$E17+$H17+$K17+$M17), 0)</f>
        <v>0</v>
      </c>
      <c r="P17" s="178"/>
      <c r="Q17" s="179">
        <f t="shared" si="8"/>
        <v>0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3" x14ac:dyDescent="0.3">
      <c r="A18" s="187"/>
      <c r="B18" s="187"/>
      <c r="C18" s="187"/>
      <c r="D18" s="187"/>
      <c r="E18" s="176">
        <f t="shared" si="5"/>
        <v>0</v>
      </c>
      <c r="F18" s="178"/>
      <c r="G18" s="188"/>
      <c r="H18" s="176">
        <f t="shared" si="4"/>
        <v>0</v>
      </c>
      <c r="I18" s="178"/>
      <c r="J18" s="187"/>
      <c r="K18" s="176">
        <f t="shared" si="6"/>
        <v>0</v>
      </c>
      <c r="L18" s="178"/>
      <c r="M18" s="176">
        <f t="shared" si="7"/>
        <v>0</v>
      </c>
      <c r="N18" s="178"/>
      <c r="O18" s="176">
        <f t="array" ref="O18">IF(D18&gt;0, IF(LEFT($C18, 3)="Yes", INDEX('New Formula with HB25-1320'!$A$3:$FX$184, MATCH("GT7", 'New Formula with HB25-1320'!$A$3:$A$184, 0), MATCH($B$1, 'New Formula with HB25-1320'!$A$3:$FX$3, 0)),$E18+$H18+$K18+$M18), 0)</f>
        <v>0</v>
      </c>
      <c r="P18" s="178"/>
      <c r="Q18" s="179">
        <f t="shared" si="8"/>
        <v>0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3" x14ac:dyDescent="0.3">
      <c r="A19" s="187"/>
      <c r="B19" s="187"/>
      <c r="C19" s="187"/>
      <c r="D19" s="187"/>
      <c r="E19" s="176">
        <f t="shared" si="5"/>
        <v>0</v>
      </c>
      <c r="F19" s="178"/>
      <c r="G19" s="188"/>
      <c r="H19" s="176">
        <f t="shared" si="4"/>
        <v>0</v>
      </c>
      <c r="I19" s="178"/>
      <c r="J19" s="187"/>
      <c r="K19" s="176">
        <f t="shared" si="6"/>
        <v>0</v>
      </c>
      <c r="L19" s="178"/>
      <c r="M19" s="176">
        <f t="shared" si="7"/>
        <v>0</v>
      </c>
      <c r="N19" s="178"/>
      <c r="O19" s="176">
        <f t="array" ref="O19">IF(D19&gt;0, IF(LEFT($C19, 3)="Yes", INDEX('New Formula with HB25-1320'!$A$3:$FX$184, MATCH("GT7", 'New Formula with HB25-1320'!$A$3:$A$184, 0), MATCH($B$1, 'New Formula with HB25-1320'!$A$3:$FX$3, 0)),$E19+$H19+$K19+$M19), 0)</f>
        <v>0</v>
      </c>
      <c r="P19" s="178"/>
      <c r="Q19" s="179">
        <f t="shared" si="8"/>
        <v>0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3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3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3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3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3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3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3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3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3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3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3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3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3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3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3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3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3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3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3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3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3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3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3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3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3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3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3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3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3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3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3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3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3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3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3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3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3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3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3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3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3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3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3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3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3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3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3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3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3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3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3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3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3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3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3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3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3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3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3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3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3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3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3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3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3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3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3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3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3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3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3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3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3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3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3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3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3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3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3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3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3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3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3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3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3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3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3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3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3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3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3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3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3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3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3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3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3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3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3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3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3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3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3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3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3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3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3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3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3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3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3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3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3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3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3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3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3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3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3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3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3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3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3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3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3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3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3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3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3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3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3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3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3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3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3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3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3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3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3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3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3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3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3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3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3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3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3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3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3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3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3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3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3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3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3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3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3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3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3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3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3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3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3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3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3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3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3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3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3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3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3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3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3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3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3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3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3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3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3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3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3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3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3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3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3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3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3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3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3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3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3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3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3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3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3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3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3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3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3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3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3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3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3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3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3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3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3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3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3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3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3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3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3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3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3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3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3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3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3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3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3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3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3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3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3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3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3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3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3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3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3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3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3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3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3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3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3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3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3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3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3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3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3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3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3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3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3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3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3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3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3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3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3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3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3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3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3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3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3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3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3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3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3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3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3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3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3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3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3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3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3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3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3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3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3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3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3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3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3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3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3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3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3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3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3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3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3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3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3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3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3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3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3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3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3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3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3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3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3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3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3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3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3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3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3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3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3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3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3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3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3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3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3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3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3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3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3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3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3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3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3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3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3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3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3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3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3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3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3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3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3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3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3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3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3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3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3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3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3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3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3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3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3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3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3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3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3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3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3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3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3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3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3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3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3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3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3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3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3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3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3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3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3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3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3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3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3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3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3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3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3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3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3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3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3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3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3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3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3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3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3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3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3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3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3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3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3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3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3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3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3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3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3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3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3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3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3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3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3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3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3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3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3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3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3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3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3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3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3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3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3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3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3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3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3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3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3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3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3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3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3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3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3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3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3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3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3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3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3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3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3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3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3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3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3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3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3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3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3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3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3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3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3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3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3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3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3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3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3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3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3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3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3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3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3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3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3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3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3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3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3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3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3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3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3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3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3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3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3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3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3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3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3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3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3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3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3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3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3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3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3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3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3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3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3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3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3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3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3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3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3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3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3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3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3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3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3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3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3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3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3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3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3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3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3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3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3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3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3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3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3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3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3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3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3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3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3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3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3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3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3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3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3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3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3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3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3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3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3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3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3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3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3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3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3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3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3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3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3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3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3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3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3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3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3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3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3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3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3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3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3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3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3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3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3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3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3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3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3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3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3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3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3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3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3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3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3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3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3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3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3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3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3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3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3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3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3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3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3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3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3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3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3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3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3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3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3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3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3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3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3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3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3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3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3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3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3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3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3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3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3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3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3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3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3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3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3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3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3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3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3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3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3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3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3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3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3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3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3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3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3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3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3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3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3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3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3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3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3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3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3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3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3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3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3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3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3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3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3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3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3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3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3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3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3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3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3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3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3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3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3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3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3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3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3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3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3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3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3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3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3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3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3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3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3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3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3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3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3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3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3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3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3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3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3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3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3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3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3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3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3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3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3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3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3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3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3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3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3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3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3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3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3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3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3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3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3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3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3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3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3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3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3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3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3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3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3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3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3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3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3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3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3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3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3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3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3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3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3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3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3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3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3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3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3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3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3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3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3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3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3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3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3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3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3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3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3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3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3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3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3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3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3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3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3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3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3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3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3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3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3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3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3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3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3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3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3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3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3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3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3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3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3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3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3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3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3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3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3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3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3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3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3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3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3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3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3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3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3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3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3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3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3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3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3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3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3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3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3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3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3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3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3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3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3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3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3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3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3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3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3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3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3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3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3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3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3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3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3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3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3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3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3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3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3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3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3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3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3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3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3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3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3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3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3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3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3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3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3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3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3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3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3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3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3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3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3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3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3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3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3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3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3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3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3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3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3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3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3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3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3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3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3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3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3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3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3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3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3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3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3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3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3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3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3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3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3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3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3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3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3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3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3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3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3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3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3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3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3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3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3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3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3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3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3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3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3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3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3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3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3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3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3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3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3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3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3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3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3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3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3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3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3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3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3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3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3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3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3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3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3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3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3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3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3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3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3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3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3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3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3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3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3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3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3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3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3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3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3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3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3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3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3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3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3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3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3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3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3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3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3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3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3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3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3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3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3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3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3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3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3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3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3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3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3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3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3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3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3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3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3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3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3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3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3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3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3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3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3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3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3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3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3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3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3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3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3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3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3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sheetProtection algorithmName="SHA-512" hashValue="Zb7fpqpZYGQFnCFNkvgw0ROZ+DfyiDNShZviBCvexzi0vNXOHEZcJxpZN/tm+KzYnu7yMhTIvX6ZmISyL4ukmg==" saltValue="zsotPYUze7kLOXdobfz5uA==" spinCount="100000" sheet="1" objects="1" scenarios="1" formatColumns="0" formatRows="0"/>
  <dataValidations count="1">
    <dataValidation type="list" allowBlank="1" showErrorMessage="1" sqref="C5:C19" xr:uid="{00000000-0002-0000-0000-000000000000}">
      <formula1>"Yes (fund at Dist Avg),No (risk adjust)"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3E5A1"/>
    <pageSetUpPr fitToPage="1"/>
  </sheetPr>
  <dimension ref="A1:GV185"/>
  <sheetViews>
    <sheetView workbookViewId="0">
      <pane xSplit="2" ySplit="7" topLeftCell="C113" activePane="bottomRight" state="frozen"/>
      <selection pane="topRight" activeCell="C1" sqref="C1"/>
      <selection pane="bottomLeft" activeCell="A8" sqref="A8"/>
      <selection pane="bottomRight" activeCell="C110" sqref="C110"/>
    </sheetView>
  </sheetViews>
  <sheetFormatPr defaultColWidth="12.6328125" defaultRowHeight="15.75" customHeight="1" x14ac:dyDescent="0.25"/>
  <cols>
    <col min="1" max="1" width="21.36328125" customWidth="1"/>
    <col min="2" max="2" width="102.7265625" customWidth="1"/>
    <col min="3" max="3" width="22.08984375" customWidth="1"/>
    <col min="4" max="181" width="24.7265625" customWidth="1"/>
    <col min="182" max="182" width="27.26953125" customWidth="1"/>
    <col min="183" max="183" width="29.7265625" customWidth="1"/>
    <col min="184" max="186" width="27.26953125" customWidth="1"/>
    <col min="187" max="188" width="27.6328125" customWidth="1"/>
    <col min="189" max="204" width="24.7265625" customWidth="1"/>
  </cols>
  <sheetData>
    <row r="1" spans="1:204" ht="15" customHeight="1" x14ac:dyDescent="0.35">
      <c r="A1" s="5" t="s">
        <v>20</v>
      </c>
      <c r="B1" s="6">
        <v>2.3E-2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</row>
    <row r="2" spans="1:204" ht="15" customHeight="1" x14ac:dyDescent="0.35">
      <c r="A2" s="8" t="s">
        <v>21</v>
      </c>
      <c r="B2" s="9">
        <f>FY26SFA1994!B4</f>
        <v>8691.7999999999993</v>
      </c>
      <c r="C2" s="10"/>
      <c r="D2" s="10"/>
      <c r="E2" s="10"/>
      <c r="F2" s="10"/>
      <c r="G2" s="10"/>
      <c r="H2" s="10"/>
      <c r="I2" s="11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</row>
    <row r="3" spans="1:204" ht="15" customHeight="1" x14ac:dyDescent="0.35">
      <c r="A3" s="8" t="s">
        <v>22</v>
      </c>
      <c r="B3" s="9">
        <f>FY26SFA1994!B5</f>
        <v>10480</v>
      </c>
      <c r="C3" s="13" t="s">
        <v>23</v>
      </c>
      <c r="D3" s="13" t="s">
        <v>24</v>
      </c>
      <c r="E3" s="13" t="s">
        <v>25</v>
      </c>
      <c r="F3" s="13" t="s">
        <v>26</v>
      </c>
      <c r="G3" s="13" t="s">
        <v>27</v>
      </c>
      <c r="H3" s="13" t="s">
        <v>28</v>
      </c>
      <c r="I3" s="12" t="s">
        <v>29</v>
      </c>
      <c r="J3" s="12" t="s">
        <v>30</v>
      </c>
      <c r="K3" s="12" t="s">
        <v>31</v>
      </c>
      <c r="L3" s="12" t="s">
        <v>32</v>
      </c>
      <c r="M3" s="12" t="s">
        <v>33</v>
      </c>
      <c r="N3" s="12" t="s">
        <v>34</v>
      </c>
      <c r="O3" s="12" t="s">
        <v>35</v>
      </c>
      <c r="P3" s="12" t="s">
        <v>36</v>
      </c>
      <c r="Q3" s="12" t="s">
        <v>37</v>
      </c>
      <c r="R3" s="12" t="s">
        <v>38</v>
      </c>
      <c r="S3" s="12" t="s">
        <v>39</v>
      </c>
      <c r="T3" s="12" t="s">
        <v>40</v>
      </c>
      <c r="U3" s="12" t="s">
        <v>41</v>
      </c>
      <c r="V3" s="12" t="s">
        <v>42</v>
      </c>
      <c r="W3" s="12" t="s">
        <v>43</v>
      </c>
      <c r="X3" s="12" t="s">
        <v>44</v>
      </c>
      <c r="Y3" s="12" t="s">
        <v>45</v>
      </c>
      <c r="Z3" s="12" t="s">
        <v>46</v>
      </c>
      <c r="AA3" s="12" t="s">
        <v>47</v>
      </c>
      <c r="AB3" s="12" t="s">
        <v>48</v>
      </c>
      <c r="AC3" s="12" t="s">
        <v>49</v>
      </c>
      <c r="AD3" s="12" t="s">
        <v>50</v>
      </c>
      <c r="AE3" s="12" t="s">
        <v>51</v>
      </c>
      <c r="AF3" s="12" t="s">
        <v>52</v>
      </c>
      <c r="AG3" s="12" t="s">
        <v>53</v>
      </c>
      <c r="AH3" s="12" t="s">
        <v>54</v>
      </c>
      <c r="AI3" s="12" t="s">
        <v>55</v>
      </c>
      <c r="AJ3" s="12" t="s">
        <v>56</v>
      </c>
      <c r="AK3" s="12" t="s">
        <v>57</v>
      </c>
      <c r="AL3" s="12" t="s">
        <v>58</v>
      </c>
      <c r="AM3" s="12" t="s">
        <v>59</v>
      </c>
      <c r="AN3" s="12" t="s">
        <v>60</v>
      </c>
      <c r="AO3" s="12" t="s">
        <v>61</v>
      </c>
      <c r="AP3" s="12" t="s">
        <v>1</v>
      </c>
      <c r="AQ3" s="12" t="s">
        <v>62</v>
      </c>
      <c r="AR3" s="12" t="s">
        <v>63</v>
      </c>
      <c r="AS3" s="12" t="s">
        <v>64</v>
      </c>
      <c r="AT3" s="12" t="s">
        <v>65</v>
      </c>
      <c r="AU3" s="12" t="s">
        <v>66</v>
      </c>
      <c r="AV3" s="12" t="s">
        <v>67</v>
      </c>
      <c r="AW3" s="12" t="s">
        <v>68</v>
      </c>
      <c r="AX3" s="12" t="s">
        <v>69</v>
      </c>
      <c r="AY3" s="12" t="s">
        <v>70</v>
      </c>
      <c r="AZ3" s="12" t="s">
        <v>71</v>
      </c>
      <c r="BA3" s="12" t="s">
        <v>72</v>
      </c>
      <c r="BB3" s="12" t="s">
        <v>73</v>
      </c>
      <c r="BC3" s="12" t="s">
        <v>74</v>
      </c>
      <c r="BD3" s="12" t="s">
        <v>75</v>
      </c>
      <c r="BE3" s="12" t="s">
        <v>76</v>
      </c>
      <c r="BF3" s="12" t="s">
        <v>77</v>
      </c>
      <c r="BG3" s="12" t="s">
        <v>78</v>
      </c>
      <c r="BH3" s="12" t="s">
        <v>79</v>
      </c>
      <c r="BI3" s="12" t="s">
        <v>80</v>
      </c>
      <c r="BJ3" s="12" t="s">
        <v>81</v>
      </c>
      <c r="BK3" s="12" t="s">
        <v>82</v>
      </c>
      <c r="BL3" s="12" t="s">
        <v>83</v>
      </c>
      <c r="BM3" s="12" t="s">
        <v>84</v>
      </c>
      <c r="BN3" s="12" t="s">
        <v>85</v>
      </c>
      <c r="BO3" s="12" t="s">
        <v>86</v>
      </c>
      <c r="BP3" s="12" t="s">
        <v>87</v>
      </c>
      <c r="BQ3" s="12" t="s">
        <v>88</v>
      </c>
      <c r="BR3" s="12" t="s">
        <v>89</v>
      </c>
      <c r="BS3" s="12" t="s">
        <v>90</v>
      </c>
      <c r="BT3" s="12" t="s">
        <v>91</v>
      </c>
      <c r="BU3" s="12" t="s">
        <v>92</v>
      </c>
      <c r="BV3" s="12" t="s">
        <v>93</v>
      </c>
      <c r="BW3" s="12" t="s">
        <v>94</v>
      </c>
      <c r="BX3" s="12" t="s">
        <v>95</v>
      </c>
      <c r="BY3" s="12" t="s">
        <v>96</v>
      </c>
      <c r="BZ3" s="12" t="s">
        <v>97</v>
      </c>
      <c r="CA3" s="12" t="s">
        <v>98</v>
      </c>
      <c r="CB3" s="12" t="s">
        <v>99</v>
      </c>
      <c r="CC3" s="12" t="s">
        <v>100</v>
      </c>
      <c r="CD3" s="12" t="s">
        <v>101</v>
      </c>
      <c r="CE3" s="12" t="s">
        <v>102</v>
      </c>
      <c r="CF3" s="12" t="s">
        <v>103</v>
      </c>
      <c r="CG3" s="12" t="s">
        <v>104</v>
      </c>
      <c r="CH3" s="12" t="s">
        <v>105</v>
      </c>
      <c r="CI3" s="12" t="s">
        <v>106</v>
      </c>
      <c r="CJ3" s="12" t="s">
        <v>107</v>
      </c>
      <c r="CK3" s="12" t="s">
        <v>108</v>
      </c>
      <c r="CL3" s="12" t="s">
        <v>109</v>
      </c>
      <c r="CM3" s="12" t="s">
        <v>110</v>
      </c>
      <c r="CN3" s="12" t="s">
        <v>111</v>
      </c>
      <c r="CO3" s="12" t="s">
        <v>112</v>
      </c>
      <c r="CP3" s="12" t="s">
        <v>113</v>
      </c>
      <c r="CQ3" s="12" t="s">
        <v>114</v>
      </c>
      <c r="CR3" s="12" t="s">
        <v>115</v>
      </c>
      <c r="CS3" s="12" t="s">
        <v>116</v>
      </c>
      <c r="CT3" s="12" t="s">
        <v>117</v>
      </c>
      <c r="CU3" s="12" t="s">
        <v>118</v>
      </c>
      <c r="CV3" s="12" t="s">
        <v>119</v>
      </c>
      <c r="CW3" s="12" t="s">
        <v>120</v>
      </c>
      <c r="CX3" s="12" t="s">
        <v>121</v>
      </c>
      <c r="CY3" s="12" t="s">
        <v>122</v>
      </c>
      <c r="CZ3" s="12" t="s">
        <v>123</v>
      </c>
      <c r="DA3" s="12" t="s">
        <v>124</v>
      </c>
      <c r="DB3" s="12" t="s">
        <v>125</v>
      </c>
      <c r="DC3" s="12" t="s">
        <v>126</v>
      </c>
      <c r="DD3" s="12" t="s">
        <v>127</v>
      </c>
      <c r="DE3" s="12" t="s">
        <v>128</v>
      </c>
      <c r="DF3" s="12" t="s">
        <v>129</v>
      </c>
      <c r="DG3" s="12" t="s">
        <v>130</v>
      </c>
      <c r="DH3" s="12" t="s">
        <v>131</v>
      </c>
      <c r="DI3" s="12" t="s">
        <v>132</v>
      </c>
      <c r="DJ3" s="12" t="s">
        <v>133</v>
      </c>
      <c r="DK3" s="12" t="s">
        <v>134</v>
      </c>
      <c r="DL3" s="12" t="s">
        <v>135</v>
      </c>
      <c r="DM3" s="12" t="s">
        <v>136</v>
      </c>
      <c r="DN3" s="12" t="s">
        <v>137</v>
      </c>
      <c r="DO3" s="12" t="s">
        <v>138</v>
      </c>
      <c r="DP3" s="12" t="s">
        <v>139</v>
      </c>
      <c r="DQ3" s="12" t="s">
        <v>140</v>
      </c>
      <c r="DR3" s="12" t="s">
        <v>141</v>
      </c>
      <c r="DS3" s="12" t="s">
        <v>142</v>
      </c>
      <c r="DT3" s="12" t="s">
        <v>143</v>
      </c>
      <c r="DU3" s="12" t="s">
        <v>144</v>
      </c>
      <c r="DV3" s="12" t="s">
        <v>145</v>
      </c>
      <c r="DW3" s="12" t="s">
        <v>146</v>
      </c>
      <c r="DX3" s="12" t="s">
        <v>147</v>
      </c>
      <c r="DY3" s="12" t="s">
        <v>148</v>
      </c>
      <c r="DZ3" s="12" t="s">
        <v>149</v>
      </c>
      <c r="EA3" s="12" t="s">
        <v>150</v>
      </c>
      <c r="EB3" s="12" t="s">
        <v>151</v>
      </c>
      <c r="EC3" s="12" t="s">
        <v>152</v>
      </c>
      <c r="ED3" s="12" t="s">
        <v>153</v>
      </c>
      <c r="EE3" s="12" t="s">
        <v>154</v>
      </c>
      <c r="EF3" s="12" t="s">
        <v>155</v>
      </c>
      <c r="EG3" s="12" t="s">
        <v>156</v>
      </c>
      <c r="EH3" s="12" t="s">
        <v>157</v>
      </c>
      <c r="EI3" s="12" t="s">
        <v>158</v>
      </c>
      <c r="EJ3" s="12" t="s">
        <v>159</v>
      </c>
      <c r="EK3" s="12" t="s">
        <v>160</v>
      </c>
      <c r="EL3" s="12" t="s">
        <v>161</v>
      </c>
      <c r="EM3" s="12" t="s">
        <v>162</v>
      </c>
      <c r="EN3" s="12" t="s">
        <v>163</v>
      </c>
      <c r="EO3" s="12" t="s">
        <v>164</v>
      </c>
      <c r="EP3" s="12" t="s">
        <v>165</v>
      </c>
      <c r="EQ3" s="12" t="s">
        <v>166</v>
      </c>
      <c r="ER3" s="12" t="s">
        <v>167</v>
      </c>
      <c r="ES3" s="12" t="s">
        <v>168</v>
      </c>
      <c r="ET3" s="12" t="s">
        <v>169</v>
      </c>
      <c r="EU3" s="12" t="s">
        <v>170</v>
      </c>
      <c r="EV3" s="12" t="s">
        <v>171</v>
      </c>
      <c r="EW3" s="12" t="s">
        <v>172</v>
      </c>
      <c r="EX3" s="12" t="s">
        <v>173</v>
      </c>
      <c r="EY3" s="12" t="s">
        <v>174</v>
      </c>
      <c r="EZ3" s="12" t="s">
        <v>175</v>
      </c>
      <c r="FA3" s="12" t="s">
        <v>176</v>
      </c>
      <c r="FB3" s="12" t="s">
        <v>177</v>
      </c>
      <c r="FC3" s="12" t="s">
        <v>178</v>
      </c>
      <c r="FD3" s="12" t="s">
        <v>179</v>
      </c>
      <c r="FE3" s="12" t="s">
        <v>180</v>
      </c>
      <c r="FF3" s="12" t="s">
        <v>181</v>
      </c>
      <c r="FG3" s="12" t="s">
        <v>182</v>
      </c>
      <c r="FH3" s="12" t="s">
        <v>183</v>
      </c>
      <c r="FI3" s="12" t="s">
        <v>184</v>
      </c>
      <c r="FJ3" s="12" t="s">
        <v>185</v>
      </c>
      <c r="FK3" s="12" t="s">
        <v>186</v>
      </c>
      <c r="FL3" s="12" t="s">
        <v>187</v>
      </c>
      <c r="FM3" s="12" t="s">
        <v>188</v>
      </c>
      <c r="FN3" s="12" t="s">
        <v>189</v>
      </c>
      <c r="FO3" s="12" t="s">
        <v>190</v>
      </c>
      <c r="FP3" s="12" t="s">
        <v>191</v>
      </c>
      <c r="FQ3" s="12" t="s">
        <v>192</v>
      </c>
      <c r="FR3" s="12" t="s">
        <v>193</v>
      </c>
      <c r="FS3" s="12" t="s">
        <v>194</v>
      </c>
      <c r="FT3" s="12" t="s">
        <v>195</v>
      </c>
      <c r="FU3" s="12" t="s">
        <v>196</v>
      </c>
      <c r="FV3" s="12" t="s">
        <v>197</v>
      </c>
      <c r="FW3" s="12" t="s">
        <v>198</v>
      </c>
      <c r="FX3" s="12" t="s">
        <v>199</v>
      </c>
      <c r="FY3" s="12" t="s">
        <v>200</v>
      </c>
      <c r="FZ3" s="12"/>
      <c r="GA3" s="12"/>
      <c r="GB3" s="12"/>
      <c r="GC3" s="12"/>
      <c r="GD3" s="12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</row>
    <row r="4" spans="1:204" ht="15" customHeight="1" x14ac:dyDescent="0.35">
      <c r="A4" s="8" t="s">
        <v>201</v>
      </c>
      <c r="B4" s="14">
        <v>0.23</v>
      </c>
      <c r="C4" s="12" t="s">
        <v>202</v>
      </c>
      <c r="D4" s="12" t="s">
        <v>202</v>
      </c>
      <c r="E4" s="12" t="s">
        <v>202</v>
      </c>
      <c r="F4" s="12" t="s">
        <v>202</v>
      </c>
      <c r="G4" s="12" t="s">
        <v>202</v>
      </c>
      <c r="H4" s="12" t="s">
        <v>202</v>
      </c>
      <c r="I4" s="12" t="s">
        <v>202</v>
      </c>
      <c r="J4" s="12" t="s">
        <v>203</v>
      </c>
      <c r="K4" s="12" t="s">
        <v>203</v>
      </c>
      <c r="L4" s="12" t="s">
        <v>204</v>
      </c>
      <c r="M4" s="12" t="s">
        <v>204</v>
      </c>
      <c r="N4" s="12" t="s">
        <v>204</v>
      </c>
      <c r="O4" s="12" t="s">
        <v>204</v>
      </c>
      <c r="P4" s="12" t="s">
        <v>204</v>
      </c>
      <c r="Q4" s="12" t="s">
        <v>204</v>
      </c>
      <c r="R4" s="12" t="s">
        <v>204</v>
      </c>
      <c r="S4" s="12" t="s">
        <v>205</v>
      </c>
      <c r="T4" s="12" t="s">
        <v>206</v>
      </c>
      <c r="U4" s="12" t="s">
        <v>206</v>
      </c>
      <c r="V4" s="12" t="s">
        <v>206</v>
      </c>
      <c r="W4" s="12" t="s">
        <v>206</v>
      </c>
      <c r="X4" s="12" t="s">
        <v>206</v>
      </c>
      <c r="Y4" s="12" t="s">
        <v>207</v>
      </c>
      <c r="Z4" s="12" t="s">
        <v>207</v>
      </c>
      <c r="AA4" s="12" t="s">
        <v>208</v>
      </c>
      <c r="AB4" s="12" t="s">
        <v>208</v>
      </c>
      <c r="AC4" s="12" t="s">
        <v>209</v>
      </c>
      <c r="AD4" s="12" t="s">
        <v>209</v>
      </c>
      <c r="AE4" s="12" t="s">
        <v>210</v>
      </c>
      <c r="AF4" s="12" t="s">
        <v>210</v>
      </c>
      <c r="AG4" s="12" t="s">
        <v>211</v>
      </c>
      <c r="AH4" s="12" t="s">
        <v>212</v>
      </c>
      <c r="AI4" s="12" t="s">
        <v>212</v>
      </c>
      <c r="AJ4" s="12" t="s">
        <v>212</v>
      </c>
      <c r="AK4" s="12" t="s">
        <v>213</v>
      </c>
      <c r="AL4" s="12" t="s">
        <v>213</v>
      </c>
      <c r="AM4" s="12" t="s">
        <v>214</v>
      </c>
      <c r="AN4" s="12" t="s">
        <v>215</v>
      </c>
      <c r="AO4" s="12" t="s">
        <v>216</v>
      </c>
      <c r="AP4" s="12" t="s">
        <v>217</v>
      </c>
      <c r="AQ4" s="12" t="s">
        <v>218</v>
      </c>
      <c r="AR4" s="12" t="s">
        <v>219</v>
      </c>
      <c r="AS4" s="12" t="s">
        <v>220</v>
      </c>
      <c r="AT4" s="12" t="s">
        <v>221</v>
      </c>
      <c r="AU4" s="12" t="s">
        <v>221</v>
      </c>
      <c r="AV4" s="12" t="s">
        <v>221</v>
      </c>
      <c r="AW4" s="12" t="s">
        <v>221</v>
      </c>
      <c r="AX4" s="12" t="s">
        <v>221</v>
      </c>
      <c r="AY4" s="12" t="s">
        <v>222</v>
      </c>
      <c r="AZ4" s="12" t="s">
        <v>222</v>
      </c>
      <c r="BA4" s="12" t="s">
        <v>222</v>
      </c>
      <c r="BB4" s="12" t="s">
        <v>222</v>
      </c>
      <c r="BC4" s="12" t="s">
        <v>222</v>
      </c>
      <c r="BD4" s="12" t="s">
        <v>222</v>
      </c>
      <c r="BE4" s="12" t="s">
        <v>222</v>
      </c>
      <c r="BF4" s="12" t="s">
        <v>222</v>
      </c>
      <c r="BG4" s="12" t="s">
        <v>222</v>
      </c>
      <c r="BH4" s="12" t="s">
        <v>222</v>
      </c>
      <c r="BI4" s="12" t="s">
        <v>222</v>
      </c>
      <c r="BJ4" s="12" t="s">
        <v>222</v>
      </c>
      <c r="BK4" s="12" t="s">
        <v>222</v>
      </c>
      <c r="BL4" s="12" t="s">
        <v>222</v>
      </c>
      <c r="BM4" s="12" t="s">
        <v>222</v>
      </c>
      <c r="BN4" s="12" t="s">
        <v>223</v>
      </c>
      <c r="BO4" s="12" t="s">
        <v>223</v>
      </c>
      <c r="BP4" s="12" t="s">
        <v>223</v>
      </c>
      <c r="BQ4" s="12" t="s">
        <v>224</v>
      </c>
      <c r="BR4" s="12" t="s">
        <v>224</v>
      </c>
      <c r="BS4" s="12" t="s">
        <v>224</v>
      </c>
      <c r="BT4" s="12" t="s">
        <v>225</v>
      </c>
      <c r="BU4" s="12" t="s">
        <v>226</v>
      </c>
      <c r="BV4" s="12" t="s">
        <v>226</v>
      </c>
      <c r="BW4" s="12" t="s">
        <v>227</v>
      </c>
      <c r="BX4" s="12" t="s">
        <v>228</v>
      </c>
      <c r="BY4" s="12" t="s">
        <v>229</v>
      </c>
      <c r="BZ4" s="12" t="s">
        <v>229</v>
      </c>
      <c r="CA4" s="12" t="s">
        <v>230</v>
      </c>
      <c r="CB4" s="12" t="s">
        <v>231</v>
      </c>
      <c r="CC4" s="12" t="s">
        <v>232</v>
      </c>
      <c r="CD4" s="12" t="s">
        <v>232</v>
      </c>
      <c r="CE4" s="12" t="s">
        <v>233</v>
      </c>
      <c r="CF4" s="12" t="s">
        <v>233</v>
      </c>
      <c r="CG4" s="12" t="s">
        <v>233</v>
      </c>
      <c r="CH4" s="12" t="s">
        <v>233</v>
      </c>
      <c r="CI4" s="12" t="s">
        <v>233</v>
      </c>
      <c r="CJ4" s="12" t="s">
        <v>234</v>
      </c>
      <c r="CK4" s="12" t="s">
        <v>235</v>
      </c>
      <c r="CL4" s="12" t="s">
        <v>235</v>
      </c>
      <c r="CM4" s="12" t="s">
        <v>235</v>
      </c>
      <c r="CN4" s="12" t="s">
        <v>236</v>
      </c>
      <c r="CO4" s="12" t="s">
        <v>236</v>
      </c>
      <c r="CP4" s="12" t="s">
        <v>236</v>
      </c>
      <c r="CQ4" s="12" t="s">
        <v>237</v>
      </c>
      <c r="CR4" s="12" t="s">
        <v>237</v>
      </c>
      <c r="CS4" s="12" t="s">
        <v>237</v>
      </c>
      <c r="CT4" s="12" t="s">
        <v>237</v>
      </c>
      <c r="CU4" s="12" t="s">
        <v>237</v>
      </c>
      <c r="CV4" s="12" t="s">
        <v>237</v>
      </c>
      <c r="CW4" s="12" t="s">
        <v>238</v>
      </c>
      <c r="CX4" s="12" t="s">
        <v>238</v>
      </c>
      <c r="CY4" s="12" t="s">
        <v>238</v>
      </c>
      <c r="CZ4" s="12" t="s">
        <v>239</v>
      </c>
      <c r="DA4" s="12" t="s">
        <v>239</v>
      </c>
      <c r="DB4" s="12" t="s">
        <v>239</v>
      </c>
      <c r="DC4" s="12" t="s">
        <v>239</v>
      </c>
      <c r="DD4" s="12" t="s">
        <v>240</v>
      </c>
      <c r="DE4" s="12" t="s">
        <v>240</v>
      </c>
      <c r="DF4" s="12" t="s">
        <v>240</v>
      </c>
      <c r="DG4" s="12" t="s">
        <v>241</v>
      </c>
      <c r="DH4" s="12" t="s">
        <v>242</v>
      </c>
      <c r="DI4" s="12" t="s">
        <v>243</v>
      </c>
      <c r="DJ4" s="12" t="s">
        <v>243</v>
      </c>
      <c r="DK4" s="12" t="s">
        <v>243</v>
      </c>
      <c r="DL4" s="12" t="s">
        <v>244</v>
      </c>
      <c r="DM4" s="12" t="s">
        <v>244</v>
      </c>
      <c r="DN4" s="12" t="s">
        <v>245</v>
      </c>
      <c r="DO4" s="12" t="s">
        <v>245</v>
      </c>
      <c r="DP4" s="12" t="s">
        <v>245</v>
      </c>
      <c r="DQ4" s="12" t="s">
        <v>245</v>
      </c>
      <c r="DR4" s="12" t="s">
        <v>246</v>
      </c>
      <c r="DS4" s="12" t="s">
        <v>246</v>
      </c>
      <c r="DT4" s="12" t="s">
        <v>246</v>
      </c>
      <c r="DU4" s="12" t="s">
        <v>246</v>
      </c>
      <c r="DV4" s="12" t="s">
        <v>246</v>
      </c>
      <c r="DW4" s="12" t="s">
        <v>246</v>
      </c>
      <c r="DX4" s="12" t="s">
        <v>247</v>
      </c>
      <c r="DY4" s="12" t="s">
        <v>247</v>
      </c>
      <c r="DZ4" s="12" t="s">
        <v>248</v>
      </c>
      <c r="EA4" s="12" t="s">
        <v>248</v>
      </c>
      <c r="EB4" s="12" t="s">
        <v>249</v>
      </c>
      <c r="EC4" s="12" t="s">
        <v>249</v>
      </c>
      <c r="ED4" s="12" t="s">
        <v>250</v>
      </c>
      <c r="EE4" s="12" t="s">
        <v>251</v>
      </c>
      <c r="EF4" s="12" t="s">
        <v>251</v>
      </c>
      <c r="EG4" s="12" t="s">
        <v>251</v>
      </c>
      <c r="EH4" s="12" t="s">
        <v>251</v>
      </c>
      <c r="EI4" s="12" t="s">
        <v>252</v>
      </c>
      <c r="EJ4" s="12" t="s">
        <v>252</v>
      </c>
      <c r="EK4" s="12" t="s">
        <v>253</v>
      </c>
      <c r="EL4" s="12" t="s">
        <v>253</v>
      </c>
      <c r="EM4" s="12" t="s">
        <v>254</v>
      </c>
      <c r="EN4" s="12" t="s">
        <v>254</v>
      </c>
      <c r="EO4" s="12" t="s">
        <v>254</v>
      </c>
      <c r="EP4" s="12" t="s">
        <v>255</v>
      </c>
      <c r="EQ4" s="12" t="s">
        <v>255</v>
      </c>
      <c r="ER4" s="12" t="s">
        <v>255</v>
      </c>
      <c r="ES4" s="12" t="s">
        <v>256</v>
      </c>
      <c r="ET4" s="12" t="s">
        <v>256</v>
      </c>
      <c r="EU4" s="12" t="s">
        <v>256</v>
      </c>
      <c r="EV4" s="12" t="s">
        <v>257</v>
      </c>
      <c r="EW4" s="12" t="s">
        <v>258</v>
      </c>
      <c r="EX4" s="12" t="s">
        <v>258</v>
      </c>
      <c r="EY4" s="12" t="s">
        <v>259</v>
      </c>
      <c r="EZ4" s="12" t="s">
        <v>259</v>
      </c>
      <c r="FA4" s="12" t="s">
        <v>260</v>
      </c>
      <c r="FB4" s="12" t="s">
        <v>261</v>
      </c>
      <c r="FC4" s="12" t="s">
        <v>261</v>
      </c>
      <c r="FD4" s="12" t="s">
        <v>262</v>
      </c>
      <c r="FE4" s="12" t="s">
        <v>262</v>
      </c>
      <c r="FF4" s="12" t="s">
        <v>262</v>
      </c>
      <c r="FG4" s="12" t="s">
        <v>262</v>
      </c>
      <c r="FH4" s="12" t="s">
        <v>262</v>
      </c>
      <c r="FI4" s="12" t="s">
        <v>263</v>
      </c>
      <c r="FJ4" s="12" t="s">
        <v>263</v>
      </c>
      <c r="FK4" s="12" t="s">
        <v>263</v>
      </c>
      <c r="FL4" s="12" t="s">
        <v>263</v>
      </c>
      <c r="FM4" s="12" t="s">
        <v>263</v>
      </c>
      <c r="FN4" s="12" t="s">
        <v>263</v>
      </c>
      <c r="FO4" s="12" t="s">
        <v>263</v>
      </c>
      <c r="FP4" s="12" t="s">
        <v>263</v>
      </c>
      <c r="FQ4" s="12" t="s">
        <v>263</v>
      </c>
      <c r="FR4" s="12" t="s">
        <v>263</v>
      </c>
      <c r="FS4" s="12" t="s">
        <v>263</v>
      </c>
      <c r="FT4" s="12" t="s">
        <v>263</v>
      </c>
      <c r="FU4" s="12" t="s">
        <v>264</v>
      </c>
      <c r="FV4" s="12" t="s">
        <v>264</v>
      </c>
      <c r="FW4" s="12" t="s">
        <v>264</v>
      </c>
      <c r="FX4" s="12" t="s">
        <v>264</v>
      </c>
      <c r="FY4" s="12"/>
      <c r="FZ4" s="12"/>
      <c r="GA4" s="12"/>
      <c r="GB4" s="12"/>
      <c r="GC4" s="12"/>
      <c r="GD4" s="12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</row>
    <row r="5" spans="1:204" ht="15" customHeight="1" x14ac:dyDescent="0.35">
      <c r="A5" s="15"/>
      <c r="B5" s="15"/>
      <c r="C5" s="16" t="s">
        <v>265</v>
      </c>
      <c r="D5" s="16" t="s">
        <v>266</v>
      </c>
      <c r="E5" s="16" t="s">
        <v>267</v>
      </c>
      <c r="F5" s="17" t="s">
        <v>268</v>
      </c>
      <c r="G5" s="16" t="s">
        <v>269</v>
      </c>
      <c r="H5" s="16" t="s">
        <v>270</v>
      </c>
      <c r="I5" s="16" t="s">
        <v>271</v>
      </c>
      <c r="J5" s="16" t="s">
        <v>272</v>
      </c>
      <c r="K5" s="16" t="s">
        <v>273</v>
      </c>
      <c r="L5" s="16" t="s">
        <v>274</v>
      </c>
      <c r="M5" s="16" t="s">
        <v>275</v>
      </c>
      <c r="N5" s="16" t="s">
        <v>276</v>
      </c>
      <c r="O5" s="16" t="s">
        <v>277</v>
      </c>
      <c r="P5" s="16" t="s">
        <v>278</v>
      </c>
      <c r="Q5" s="16" t="s">
        <v>279</v>
      </c>
      <c r="R5" s="16" t="s">
        <v>280</v>
      </c>
      <c r="S5" s="16" t="s">
        <v>281</v>
      </c>
      <c r="T5" s="16" t="s">
        <v>282</v>
      </c>
      <c r="U5" s="16" t="s">
        <v>283</v>
      </c>
      <c r="V5" s="16" t="s">
        <v>284</v>
      </c>
      <c r="W5" s="16" t="s">
        <v>285</v>
      </c>
      <c r="X5" s="16" t="s">
        <v>286</v>
      </c>
      <c r="Y5" s="16" t="s">
        <v>287</v>
      </c>
      <c r="Z5" s="16" t="s">
        <v>288</v>
      </c>
      <c r="AA5" s="16" t="s">
        <v>289</v>
      </c>
      <c r="AB5" s="16" t="s">
        <v>290</v>
      </c>
      <c r="AC5" s="16" t="s">
        <v>291</v>
      </c>
      <c r="AD5" s="16" t="s">
        <v>292</v>
      </c>
      <c r="AE5" s="16" t="s">
        <v>293</v>
      </c>
      <c r="AF5" s="16" t="s">
        <v>294</v>
      </c>
      <c r="AG5" s="16" t="s">
        <v>295</v>
      </c>
      <c r="AH5" s="16" t="s">
        <v>296</v>
      </c>
      <c r="AI5" s="16" t="s">
        <v>297</v>
      </c>
      <c r="AJ5" s="16" t="s">
        <v>298</v>
      </c>
      <c r="AK5" s="16" t="s">
        <v>299</v>
      </c>
      <c r="AL5" s="16" t="s">
        <v>300</v>
      </c>
      <c r="AM5" s="16" t="s">
        <v>301</v>
      </c>
      <c r="AN5" s="16" t="s">
        <v>302</v>
      </c>
      <c r="AO5" s="16" t="s">
        <v>303</v>
      </c>
      <c r="AP5" s="16" t="s">
        <v>304</v>
      </c>
      <c r="AQ5" s="16" t="s">
        <v>305</v>
      </c>
      <c r="AR5" s="16" t="s">
        <v>306</v>
      </c>
      <c r="AS5" s="16" t="s">
        <v>307</v>
      </c>
      <c r="AT5" s="16" t="s">
        <v>308</v>
      </c>
      <c r="AU5" s="16" t="s">
        <v>309</v>
      </c>
      <c r="AV5" s="16" t="s">
        <v>310</v>
      </c>
      <c r="AW5" s="16" t="s">
        <v>311</v>
      </c>
      <c r="AX5" s="16" t="s">
        <v>312</v>
      </c>
      <c r="AY5" s="16" t="s">
        <v>313</v>
      </c>
      <c r="AZ5" s="16" t="s">
        <v>314</v>
      </c>
      <c r="BA5" s="16" t="s">
        <v>315</v>
      </c>
      <c r="BB5" s="16" t="s">
        <v>316</v>
      </c>
      <c r="BC5" s="16" t="s">
        <v>317</v>
      </c>
      <c r="BD5" s="16" t="s">
        <v>318</v>
      </c>
      <c r="BE5" s="16" t="s">
        <v>319</v>
      </c>
      <c r="BF5" s="16" t="s">
        <v>320</v>
      </c>
      <c r="BG5" s="16" t="s">
        <v>321</v>
      </c>
      <c r="BH5" s="16" t="s">
        <v>322</v>
      </c>
      <c r="BI5" s="16" t="s">
        <v>323</v>
      </c>
      <c r="BJ5" s="16" t="s">
        <v>324</v>
      </c>
      <c r="BK5" s="16" t="s">
        <v>325</v>
      </c>
      <c r="BL5" s="16" t="s">
        <v>326</v>
      </c>
      <c r="BM5" s="16" t="s">
        <v>327</v>
      </c>
      <c r="BN5" s="16" t="s">
        <v>328</v>
      </c>
      <c r="BO5" s="16" t="s">
        <v>329</v>
      </c>
      <c r="BP5" s="16" t="s">
        <v>330</v>
      </c>
      <c r="BQ5" s="16" t="s">
        <v>331</v>
      </c>
      <c r="BR5" s="16" t="s">
        <v>332</v>
      </c>
      <c r="BS5" s="16" t="s">
        <v>333</v>
      </c>
      <c r="BT5" s="16" t="s">
        <v>334</v>
      </c>
      <c r="BU5" s="16" t="s">
        <v>335</v>
      </c>
      <c r="BV5" s="16" t="s">
        <v>336</v>
      </c>
      <c r="BW5" s="16" t="s">
        <v>337</v>
      </c>
      <c r="BX5" s="16" t="s">
        <v>338</v>
      </c>
      <c r="BY5" s="16" t="s">
        <v>339</v>
      </c>
      <c r="BZ5" s="16" t="s">
        <v>340</v>
      </c>
      <c r="CA5" s="16" t="s">
        <v>341</v>
      </c>
      <c r="CB5" s="16" t="s">
        <v>342</v>
      </c>
      <c r="CC5" s="16" t="s">
        <v>343</v>
      </c>
      <c r="CD5" s="16" t="s">
        <v>344</v>
      </c>
      <c r="CE5" s="16" t="s">
        <v>345</v>
      </c>
      <c r="CF5" s="16" t="s">
        <v>346</v>
      </c>
      <c r="CG5" s="16" t="s">
        <v>347</v>
      </c>
      <c r="CH5" s="16" t="s">
        <v>348</v>
      </c>
      <c r="CI5" s="16" t="s">
        <v>349</v>
      </c>
      <c r="CJ5" s="16" t="s">
        <v>350</v>
      </c>
      <c r="CK5" s="16" t="s">
        <v>351</v>
      </c>
      <c r="CL5" s="16" t="s">
        <v>352</v>
      </c>
      <c r="CM5" s="16" t="s">
        <v>353</v>
      </c>
      <c r="CN5" s="16" t="s">
        <v>354</v>
      </c>
      <c r="CO5" s="16" t="s">
        <v>355</v>
      </c>
      <c r="CP5" s="16" t="s">
        <v>356</v>
      </c>
      <c r="CQ5" s="16" t="s">
        <v>357</v>
      </c>
      <c r="CR5" s="16" t="s">
        <v>358</v>
      </c>
      <c r="CS5" s="16" t="s">
        <v>359</v>
      </c>
      <c r="CT5" s="16" t="s">
        <v>360</v>
      </c>
      <c r="CU5" s="16" t="s">
        <v>361</v>
      </c>
      <c r="CV5" s="16" t="s">
        <v>362</v>
      </c>
      <c r="CW5" s="16" t="s">
        <v>363</v>
      </c>
      <c r="CX5" s="16" t="s">
        <v>364</v>
      </c>
      <c r="CY5" s="16" t="s">
        <v>365</v>
      </c>
      <c r="CZ5" s="16" t="s">
        <v>366</v>
      </c>
      <c r="DA5" s="16" t="s">
        <v>367</v>
      </c>
      <c r="DB5" s="16" t="s">
        <v>368</v>
      </c>
      <c r="DC5" s="16" t="s">
        <v>369</v>
      </c>
      <c r="DD5" s="16" t="s">
        <v>370</v>
      </c>
      <c r="DE5" s="16" t="s">
        <v>371</v>
      </c>
      <c r="DF5" s="16" t="s">
        <v>372</v>
      </c>
      <c r="DG5" s="16" t="s">
        <v>373</v>
      </c>
      <c r="DH5" s="16" t="s">
        <v>374</v>
      </c>
      <c r="DI5" s="16" t="s">
        <v>375</v>
      </c>
      <c r="DJ5" s="16" t="s">
        <v>376</v>
      </c>
      <c r="DK5" s="16" t="s">
        <v>377</v>
      </c>
      <c r="DL5" s="16" t="s">
        <v>378</v>
      </c>
      <c r="DM5" s="16" t="s">
        <v>379</v>
      </c>
      <c r="DN5" s="16" t="s">
        <v>380</v>
      </c>
      <c r="DO5" s="16" t="s">
        <v>381</v>
      </c>
      <c r="DP5" s="16" t="s">
        <v>382</v>
      </c>
      <c r="DQ5" s="16" t="s">
        <v>383</v>
      </c>
      <c r="DR5" s="16" t="s">
        <v>384</v>
      </c>
      <c r="DS5" s="16" t="s">
        <v>385</v>
      </c>
      <c r="DT5" s="16" t="s">
        <v>386</v>
      </c>
      <c r="DU5" s="16" t="s">
        <v>387</v>
      </c>
      <c r="DV5" s="16" t="s">
        <v>388</v>
      </c>
      <c r="DW5" s="16" t="s">
        <v>389</v>
      </c>
      <c r="DX5" s="16" t="s">
        <v>390</v>
      </c>
      <c r="DY5" s="16" t="s">
        <v>391</v>
      </c>
      <c r="DZ5" s="16" t="s">
        <v>392</v>
      </c>
      <c r="EA5" s="16" t="s">
        <v>393</v>
      </c>
      <c r="EB5" s="16" t="s">
        <v>394</v>
      </c>
      <c r="EC5" s="16" t="s">
        <v>395</v>
      </c>
      <c r="ED5" s="16" t="s">
        <v>396</v>
      </c>
      <c r="EE5" s="16" t="s">
        <v>397</v>
      </c>
      <c r="EF5" s="16" t="s">
        <v>398</v>
      </c>
      <c r="EG5" s="16" t="s">
        <v>399</v>
      </c>
      <c r="EH5" s="16" t="s">
        <v>400</v>
      </c>
      <c r="EI5" s="16" t="s">
        <v>401</v>
      </c>
      <c r="EJ5" s="16" t="s">
        <v>402</v>
      </c>
      <c r="EK5" s="16" t="s">
        <v>403</v>
      </c>
      <c r="EL5" s="16" t="s">
        <v>404</v>
      </c>
      <c r="EM5" s="16" t="s">
        <v>405</v>
      </c>
      <c r="EN5" s="16" t="s">
        <v>406</v>
      </c>
      <c r="EO5" s="16" t="s">
        <v>407</v>
      </c>
      <c r="EP5" s="7" t="s">
        <v>408</v>
      </c>
      <c r="EQ5" s="16" t="s">
        <v>409</v>
      </c>
      <c r="ER5" s="16" t="s">
        <v>410</v>
      </c>
      <c r="ES5" s="16" t="s">
        <v>411</v>
      </c>
      <c r="ET5" s="16" t="s">
        <v>412</v>
      </c>
      <c r="EU5" s="16" t="s">
        <v>413</v>
      </c>
      <c r="EV5" s="16" t="s">
        <v>414</v>
      </c>
      <c r="EW5" s="16" t="s">
        <v>415</v>
      </c>
      <c r="EX5" s="16" t="s">
        <v>416</v>
      </c>
      <c r="EY5" s="16" t="s">
        <v>417</v>
      </c>
      <c r="EZ5" s="16" t="s">
        <v>418</v>
      </c>
      <c r="FA5" s="16" t="s">
        <v>419</v>
      </c>
      <c r="FB5" s="16" t="s">
        <v>420</v>
      </c>
      <c r="FC5" s="16" t="s">
        <v>421</v>
      </c>
      <c r="FD5" s="16" t="s">
        <v>422</v>
      </c>
      <c r="FE5" s="16" t="s">
        <v>423</v>
      </c>
      <c r="FF5" s="16" t="s">
        <v>424</v>
      </c>
      <c r="FG5" s="16" t="s">
        <v>425</v>
      </c>
      <c r="FH5" s="16" t="s">
        <v>426</v>
      </c>
      <c r="FI5" s="16" t="s">
        <v>427</v>
      </c>
      <c r="FJ5" s="16" t="s">
        <v>428</v>
      </c>
      <c r="FK5" s="16" t="s">
        <v>429</v>
      </c>
      <c r="FL5" s="16" t="s">
        <v>430</v>
      </c>
      <c r="FM5" s="16" t="s">
        <v>431</v>
      </c>
      <c r="FN5" s="16" t="s">
        <v>432</v>
      </c>
      <c r="FO5" s="16" t="s">
        <v>433</v>
      </c>
      <c r="FP5" s="16" t="s">
        <v>434</v>
      </c>
      <c r="FQ5" s="16" t="s">
        <v>435</v>
      </c>
      <c r="FR5" s="16" t="s">
        <v>436</v>
      </c>
      <c r="FS5" s="16" t="s">
        <v>437</v>
      </c>
      <c r="FT5" s="16" t="s">
        <v>438</v>
      </c>
      <c r="FU5" s="16" t="s">
        <v>439</v>
      </c>
      <c r="FV5" s="16" t="s">
        <v>440</v>
      </c>
      <c r="FW5" s="16" t="s">
        <v>441</v>
      </c>
      <c r="FX5" s="16" t="s">
        <v>442</v>
      </c>
      <c r="FY5" s="16" t="s">
        <v>443</v>
      </c>
      <c r="FZ5" s="16" t="s">
        <v>444</v>
      </c>
      <c r="GA5" s="16"/>
      <c r="GB5" s="16"/>
      <c r="GC5" s="16"/>
      <c r="GD5" s="16"/>
      <c r="GE5" s="15"/>
      <c r="GF5" s="15"/>
      <c r="GG5" s="15"/>
      <c r="GH5" s="15"/>
      <c r="GI5" s="15"/>
      <c r="GJ5" s="15"/>
      <c r="GK5" s="15"/>
      <c r="GL5" s="15"/>
      <c r="GM5" s="15"/>
      <c r="GN5" s="18"/>
      <c r="GO5" s="18"/>
      <c r="GP5" s="18"/>
      <c r="GQ5" s="18"/>
      <c r="GR5" s="18"/>
      <c r="GS5" s="18"/>
      <c r="GT5" s="18"/>
      <c r="GU5" s="18"/>
      <c r="GV5" s="18"/>
    </row>
    <row r="6" spans="1:204" ht="15" customHeight="1" x14ac:dyDescent="0.35">
      <c r="A6" s="19" t="s">
        <v>445</v>
      </c>
      <c r="B6" s="20">
        <v>0.15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7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5"/>
      <c r="GF6" s="15"/>
      <c r="GG6" s="15"/>
      <c r="GH6" s="15"/>
      <c r="GI6" s="15"/>
      <c r="GJ6" s="15"/>
      <c r="GK6" s="15"/>
      <c r="GL6" s="15"/>
      <c r="GM6" s="15"/>
      <c r="GN6" s="18"/>
      <c r="GO6" s="18"/>
      <c r="GP6" s="18"/>
      <c r="GQ6" s="18"/>
      <c r="GR6" s="18"/>
      <c r="GS6" s="18"/>
      <c r="GT6" s="18"/>
      <c r="GU6" s="18"/>
      <c r="GV6" s="18"/>
    </row>
    <row r="7" spans="1:204" ht="15" customHeight="1" x14ac:dyDescent="0.35">
      <c r="A7" s="19" t="s">
        <v>446</v>
      </c>
      <c r="B7" s="21">
        <v>4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7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5"/>
      <c r="GF7" s="15"/>
      <c r="GG7" s="15"/>
      <c r="GH7" s="15"/>
      <c r="GI7" s="15"/>
      <c r="GJ7" s="15"/>
      <c r="GK7" s="15"/>
      <c r="GL7" s="15"/>
      <c r="GM7" s="15"/>
      <c r="GN7" s="18"/>
      <c r="GO7" s="18"/>
      <c r="GP7" s="18"/>
      <c r="GQ7" s="18"/>
      <c r="GR7" s="18"/>
      <c r="GS7" s="18"/>
      <c r="GT7" s="18"/>
      <c r="GU7" s="18"/>
      <c r="GV7" s="18"/>
    </row>
    <row r="8" spans="1:204" ht="15" customHeight="1" x14ac:dyDescent="0.35">
      <c r="A8" s="12" t="s">
        <v>447</v>
      </c>
      <c r="B8" s="7" t="s">
        <v>448</v>
      </c>
      <c r="C8" s="22">
        <v>6052.5</v>
      </c>
      <c r="D8" s="22">
        <v>30633.5</v>
      </c>
      <c r="E8" s="22">
        <v>4402.5</v>
      </c>
      <c r="F8" s="22">
        <v>21926.5</v>
      </c>
      <c r="G8" s="22">
        <v>1683</v>
      </c>
      <c r="H8" s="22">
        <v>996</v>
      </c>
      <c r="I8" s="22">
        <v>6581</v>
      </c>
      <c r="J8" s="22">
        <v>1852.5</v>
      </c>
      <c r="K8" s="22">
        <v>238.5</v>
      </c>
      <c r="L8" s="22">
        <v>1915</v>
      </c>
      <c r="M8" s="22">
        <v>801</v>
      </c>
      <c r="N8" s="22">
        <v>46607.5</v>
      </c>
      <c r="O8" s="22">
        <v>11609.5</v>
      </c>
      <c r="P8" s="22">
        <v>285</v>
      </c>
      <c r="Q8" s="22">
        <v>34654</v>
      </c>
      <c r="R8" s="22">
        <v>6940</v>
      </c>
      <c r="S8" s="22">
        <v>1459</v>
      </c>
      <c r="T8" s="22">
        <v>149</v>
      </c>
      <c r="U8" s="22">
        <v>48</v>
      </c>
      <c r="V8" s="22">
        <v>232</v>
      </c>
      <c r="W8" s="22">
        <v>45</v>
      </c>
      <c r="X8" s="22">
        <v>33</v>
      </c>
      <c r="Y8" s="22">
        <v>844.5</v>
      </c>
      <c r="Z8" s="22">
        <v>212</v>
      </c>
      <c r="AA8" s="22">
        <v>28572</v>
      </c>
      <c r="AB8" s="22">
        <v>25199.5</v>
      </c>
      <c r="AC8" s="22">
        <v>785.5</v>
      </c>
      <c r="AD8" s="22">
        <v>1203.5</v>
      </c>
      <c r="AE8" s="22">
        <v>91</v>
      </c>
      <c r="AF8" s="22">
        <v>157</v>
      </c>
      <c r="AG8" s="22">
        <v>537</v>
      </c>
      <c r="AH8" s="22">
        <v>850.5</v>
      </c>
      <c r="AI8" s="22">
        <v>363</v>
      </c>
      <c r="AJ8" s="22">
        <v>169.5</v>
      </c>
      <c r="AK8" s="22">
        <v>149</v>
      </c>
      <c r="AL8" s="22">
        <v>270.5</v>
      </c>
      <c r="AM8" s="22">
        <v>290</v>
      </c>
      <c r="AN8" s="22">
        <v>248</v>
      </c>
      <c r="AO8" s="22">
        <v>3797.5</v>
      </c>
      <c r="AP8" s="22">
        <v>77839</v>
      </c>
      <c r="AQ8" s="22">
        <v>232</v>
      </c>
      <c r="AR8" s="22">
        <v>54639.5</v>
      </c>
      <c r="AS8" s="22">
        <v>5616.5</v>
      </c>
      <c r="AT8" s="22">
        <v>2180</v>
      </c>
      <c r="AU8" s="22">
        <v>244</v>
      </c>
      <c r="AV8" s="22">
        <v>277</v>
      </c>
      <c r="AW8" s="22">
        <v>242</v>
      </c>
      <c r="AX8" s="22">
        <v>71</v>
      </c>
      <c r="AY8" s="22">
        <v>363.5</v>
      </c>
      <c r="AZ8" s="22">
        <v>10932.5</v>
      </c>
      <c r="BA8" s="22">
        <v>8424</v>
      </c>
      <c r="BB8" s="22">
        <v>6813.5</v>
      </c>
      <c r="BC8" s="22">
        <v>19749</v>
      </c>
      <c r="BD8" s="22">
        <v>3438.5</v>
      </c>
      <c r="BE8" s="22">
        <v>1055</v>
      </c>
      <c r="BF8" s="22">
        <v>24083.5</v>
      </c>
      <c r="BG8" s="22">
        <v>843</v>
      </c>
      <c r="BH8" s="22">
        <v>542</v>
      </c>
      <c r="BI8" s="22">
        <v>235.5</v>
      </c>
      <c r="BJ8" s="22">
        <v>5955</v>
      </c>
      <c r="BK8" s="22">
        <v>33128.5</v>
      </c>
      <c r="BL8" s="22">
        <v>67.5</v>
      </c>
      <c r="BM8" s="22">
        <v>324</v>
      </c>
      <c r="BN8" s="22">
        <v>2800</v>
      </c>
      <c r="BO8" s="22">
        <v>1098</v>
      </c>
      <c r="BP8" s="22">
        <v>126</v>
      </c>
      <c r="BQ8" s="22">
        <v>5216.5</v>
      </c>
      <c r="BR8" s="22">
        <v>4149</v>
      </c>
      <c r="BS8" s="22">
        <v>1060</v>
      </c>
      <c r="BT8" s="22">
        <v>324</v>
      </c>
      <c r="BU8" s="22">
        <v>360.5</v>
      </c>
      <c r="BV8" s="22">
        <v>1159</v>
      </c>
      <c r="BW8" s="22">
        <v>1873.5</v>
      </c>
      <c r="BX8" s="22">
        <v>55</v>
      </c>
      <c r="BY8" s="22">
        <v>369</v>
      </c>
      <c r="BZ8" s="22">
        <v>216</v>
      </c>
      <c r="CA8" s="22">
        <v>129.5</v>
      </c>
      <c r="CB8" s="22">
        <v>66247.5</v>
      </c>
      <c r="CC8" s="22">
        <v>174</v>
      </c>
      <c r="CD8" s="22">
        <v>27</v>
      </c>
      <c r="CE8" s="22">
        <v>144</v>
      </c>
      <c r="CF8" s="22">
        <v>94</v>
      </c>
      <c r="CG8" s="22">
        <v>182</v>
      </c>
      <c r="CH8" s="22">
        <v>85</v>
      </c>
      <c r="CI8" s="22">
        <v>631</v>
      </c>
      <c r="CJ8" s="22">
        <v>764</v>
      </c>
      <c r="CK8" s="22">
        <v>3908</v>
      </c>
      <c r="CL8" s="22">
        <v>1095</v>
      </c>
      <c r="CM8" s="22">
        <v>623</v>
      </c>
      <c r="CN8" s="22">
        <v>26610</v>
      </c>
      <c r="CO8" s="22">
        <v>13066</v>
      </c>
      <c r="CP8" s="22">
        <v>808</v>
      </c>
      <c r="CQ8" s="22">
        <v>701</v>
      </c>
      <c r="CR8" s="22">
        <v>176</v>
      </c>
      <c r="CS8" s="22">
        <v>243</v>
      </c>
      <c r="CT8" s="22">
        <v>102</v>
      </c>
      <c r="CU8" s="22">
        <v>447</v>
      </c>
      <c r="CV8" s="22">
        <v>21</v>
      </c>
      <c r="CW8" s="22">
        <v>175</v>
      </c>
      <c r="CX8" s="22">
        <v>418</v>
      </c>
      <c r="CY8" s="22">
        <v>23</v>
      </c>
      <c r="CZ8" s="22">
        <v>1631</v>
      </c>
      <c r="DA8" s="22">
        <v>190</v>
      </c>
      <c r="DB8" s="22">
        <v>290</v>
      </c>
      <c r="DC8" s="22">
        <v>174</v>
      </c>
      <c r="DD8" s="22">
        <v>165.5</v>
      </c>
      <c r="DE8" s="22">
        <v>264.5</v>
      </c>
      <c r="DF8" s="22">
        <v>17227.5</v>
      </c>
      <c r="DG8" s="22">
        <v>86</v>
      </c>
      <c r="DH8" s="22">
        <v>1552.5</v>
      </c>
      <c r="DI8" s="22">
        <v>2141.5</v>
      </c>
      <c r="DJ8" s="22">
        <v>566</v>
      </c>
      <c r="DK8" s="22">
        <v>437.5</v>
      </c>
      <c r="DL8" s="22">
        <v>5292.5</v>
      </c>
      <c r="DM8" s="22">
        <v>216</v>
      </c>
      <c r="DN8" s="22">
        <v>1197</v>
      </c>
      <c r="DO8" s="22">
        <v>3055</v>
      </c>
      <c r="DP8" s="22">
        <v>185</v>
      </c>
      <c r="DQ8" s="22">
        <v>828</v>
      </c>
      <c r="DR8" s="22">
        <v>1169.5</v>
      </c>
      <c r="DS8" s="22">
        <v>517</v>
      </c>
      <c r="DT8" s="22">
        <v>164</v>
      </c>
      <c r="DU8" s="22">
        <v>323</v>
      </c>
      <c r="DV8" s="22">
        <v>186</v>
      </c>
      <c r="DW8" s="22">
        <v>264</v>
      </c>
      <c r="DX8" s="22">
        <v>160</v>
      </c>
      <c r="DY8" s="22">
        <v>264</v>
      </c>
      <c r="DZ8" s="22">
        <v>558</v>
      </c>
      <c r="EA8" s="22">
        <v>460</v>
      </c>
      <c r="EB8" s="22">
        <v>463</v>
      </c>
      <c r="EC8" s="22">
        <v>245</v>
      </c>
      <c r="ED8" s="22">
        <v>1453</v>
      </c>
      <c r="EE8" s="22">
        <v>175.5</v>
      </c>
      <c r="EF8" s="22">
        <v>1175</v>
      </c>
      <c r="EG8" s="22">
        <v>235</v>
      </c>
      <c r="EH8" s="22">
        <v>228</v>
      </c>
      <c r="EI8" s="22">
        <v>12345</v>
      </c>
      <c r="EJ8" s="22">
        <v>9340.5</v>
      </c>
      <c r="EK8" s="22">
        <v>629.5</v>
      </c>
      <c r="EL8" s="22">
        <v>415</v>
      </c>
      <c r="EM8" s="22">
        <v>336.5</v>
      </c>
      <c r="EN8" s="22">
        <v>865.5</v>
      </c>
      <c r="EO8" s="22">
        <v>262</v>
      </c>
      <c r="EP8" s="22">
        <v>395.5</v>
      </c>
      <c r="EQ8" s="22">
        <v>2280.5</v>
      </c>
      <c r="ER8" s="22">
        <v>285</v>
      </c>
      <c r="ES8" s="22">
        <v>138.5</v>
      </c>
      <c r="ET8" s="22">
        <v>183.5</v>
      </c>
      <c r="EU8" s="22">
        <v>526.5</v>
      </c>
      <c r="EV8" s="22">
        <v>64</v>
      </c>
      <c r="EW8" s="22">
        <v>694.5</v>
      </c>
      <c r="EX8" s="22">
        <v>163.5</v>
      </c>
      <c r="EY8" s="22">
        <v>641</v>
      </c>
      <c r="EZ8" s="22">
        <v>119</v>
      </c>
      <c r="FA8" s="22">
        <v>3029.5</v>
      </c>
      <c r="FB8" s="22">
        <v>250.5</v>
      </c>
      <c r="FC8" s="22">
        <v>1503</v>
      </c>
      <c r="FD8" s="22">
        <v>365</v>
      </c>
      <c r="FE8" s="22">
        <v>66</v>
      </c>
      <c r="FF8" s="22">
        <v>162</v>
      </c>
      <c r="FG8" s="22">
        <v>107</v>
      </c>
      <c r="FH8" s="22">
        <v>62</v>
      </c>
      <c r="FI8" s="22">
        <v>1522.5</v>
      </c>
      <c r="FJ8" s="22">
        <v>1876.5</v>
      </c>
      <c r="FK8" s="22">
        <v>2279.5</v>
      </c>
      <c r="FL8" s="22">
        <v>7819.5</v>
      </c>
      <c r="FM8" s="22">
        <v>3685.5</v>
      </c>
      <c r="FN8" s="22">
        <v>21021</v>
      </c>
      <c r="FO8" s="22">
        <v>1038</v>
      </c>
      <c r="FP8" s="22">
        <v>2167</v>
      </c>
      <c r="FQ8" s="22">
        <v>919</v>
      </c>
      <c r="FR8" s="22">
        <v>149.5</v>
      </c>
      <c r="FS8" s="22">
        <v>148.5</v>
      </c>
      <c r="FT8" s="22">
        <v>50</v>
      </c>
      <c r="FU8" s="22">
        <v>699</v>
      </c>
      <c r="FV8" s="22">
        <v>638</v>
      </c>
      <c r="FW8" s="22">
        <v>121</v>
      </c>
      <c r="FX8" s="22">
        <v>58</v>
      </c>
      <c r="FY8" s="23"/>
      <c r="FZ8" s="23">
        <f>SUM(C8:FY8)</f>
        <v>758843</v>
      </c>
      <c r="GA8" s="23"/>
      <c r="GB8" s="23"/>
      <c r="GC8" s="12"/>
      <c r="GD8" s="23"/>
      <c r="GE8" s="23"/>
      <c r="GF8" s="23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</row>
    <row r="9" spans="1:204" ht="15" customHeight="1" x14ac:dyDescent="0.35">
      <c r="A9" s="12" t="s">
        <v>449</v>
      </c>
      <c r="B9" s="7" t="s">
        <v>450</v>
      </c>
      <c r="C9" s="24">
        <v>468</v>
      </c>
      <c r="D9" s="25">
        <v>2050.5</v>
      </c>
      <c r="E9" s="25">
        <v>299.5</v>
      </c>
      <c r="F9" s="25">
        <v>1579</v>
      </c>
      <c r="G9" s="25">
        <v>162</v>
      </c>
      <c r="H9" s="25">
        <v>75</v>
      </c>
      <c r="I9" s="25">
        <v>460</v>
      </c>
      <c r="J9" s="25">
        <v>135.5</v>
      </c>
      <c r="K9" s="25">
        <v>10</v>
      </c>
      <c r="L9" s="25">
        <v>170</v>
      </c>
      <c r="M9" s="25">
        <v>52</v>
      </c>
      <c r="N9" s="25">
        <v>3139.5</v>
      </c>
      <c r="O9" s="25">
        <v>758</v>
      </c>
      <c r="P9" s="25">
        <v>28</v>
      </c>
      <c r="Q9" s="25">
        <v>2910</v>
      </c>
      <c r="R9" s="25">
        <v>160</v>
      </c>
      <c r="S9" s="25">
        <v>100.5</v>
      </c>
      <c r="T9" s="25">
        <v>11</v>
      </c>
      <c r="U9" s="25">
        <v>6</v>
      </c>
      <c r="V9" s="25">
        <v>21</v>
      </c>
      <c r="W9" s="25">
        <v>2</v>
      </c>
      <c r="X9" s="25">
        <v>4.5</v>
      </c>
      <c r="Y9" s="25">
        <v>26</v>
      </c>
      <c r="Z9" s="25">
        <v>19</v>
      </c>
      <c r="AA9" s="25">
        <v>2101</v>
      </c>
      <c r="AB9" s="25">
        <v>1586</v>
      </c>
      <c r="AC9" s="25">
        <v>62</v>
      </c>
      <c r="AD9" s="25">
        <v>84</v>
      </c>
      <c r="AE9" s="25">
        <v>6</v>
      </c>
      <c r="AF9" s="25">
        <v>7</v>
      </c>
      <c r="AG9" s="25">
        <v>48.5</v>
      </c>
      <c r="AH9" s="25">
        <v>57.5</v>
      </c>
      <c r="AI9" s="25">
        <v>20</v>
      </c>
      <c r="AJ9" s="25">
        <v>12</v>
      </c>
      <c r="AK9" s="25">
        <v>13.5</v>
      </c>
      <c r="AL9" s="25">
        <v>18</v>
      </c>
      <c r="AM9" s="25">
        <v>16</v>
      </c>
      <c r="AN9" s="25">
        <v>20</v>
      </c>
      <c r="AO9" s="25">
        <v>254</v>
      </c>
      <c r="AP9" s="25">
        <v>6477.5</v>
      </c>
      <c r="AQ9" s="25">
        <v>19</v>
      </c>
      <c r="AR9" s="25">
        <v>4138.5</v>
      </c>
      <c r="AS9" s="25">
        <v>355</v>
      </c>
      <c r="AT9" s="25">
        <v>181</v>
      </c>
      <c r="AU9" s="25">
        <v>24</v>
      </c>
      <c r="AV9" s="25">
        <v>19</v>
      </c>
      <c r="AW9" s="25">
        <v>15</v>
      </c>
      <c r="AX9" s="25">
        <v>10</v>
      </c>
      <c r="AY9" s="25">
        <v>28</v>
      </c>
      <c r="AZ9" s="25">
        <v>945</v>
      </c>
      <c r="BA9" s="25">
        <v>666</v>
      </c>
      <c r="BB9" s="25">
        <v>637.5</v>
      </c>
      <c r="BC9" s="25">
        <v>1742</v>
      </c>
      <c r="BD9" s="25">
        <v>199</v>
      </c>
      <c r="BE9" s="25">
        <v>37</v>
      </c>
      <c r="BF9" s="25">
        <v>1488.5</v>
      </c>
      <c r="BG9" s="25">
        <v>76.5</v>
      </c>
      <c r="BH9" s="25">
        <v>32</v>
      </c>
      <c r="BI9" s="25">
        <v>19</v>
      </c>
      <c r="BJ9" s="25">
        <v>356.5</v>
      </c>
      <c r="BK9" s="25">
        <v>1966</v>
      </c>
      <c r="BL9" s="25">
        <v>5</v>
      </c>
      <c r="BM9" s="25">
        <v>25</v>
      </c>
      <c r="BN9" s="25">
        <v>238.5</v>
      </c>
      <c r="BO9" s="25">
        <v>91</v>
      </c>
      <c r="BP9" s="25">
        <v>11</v>
      </c>
      <c r="BQ9" s="25">
        <v>368</v>
      </c>
      <c r="BR9" s="25">
        <v>325.5</v>
      </c>
      <c r="BS9" s="25">
        <v>98</v>
      </c>
      <c r="BT9" s="25">
        <v>29</v>
      </c>
      <c r="BU9" s="25">
        <v>21.5</v>
      </c>
      <c r="BV9" s="25">
        <v>84</v>
      </c>
      <c r="BW9" s="25">
        <v>144</v>
      </c>
      <c r="BX9" s="25">
        <v>2</v>
      </c>
      <c r="BY9" s="25">
        <v>23.5</v>
      </c>
      <c r="BZ9" s="25">
        <v>12</v>
      </c>
      <c r="CA9" s="25">
        <v>12</v>
      </c>
      <c r="CB9" s="25">
        <v>5027.5</v>
      </c>
      <c r="CC9" s="25">
        <v>12</v>
      </c>
      <c r="CD9" s="25">
        <v>3</v>
      </c>
      <c r="CE9" s="25">
        <v>14</v>
      </c>
      <c r="CF9" s="25">
        <v>6</v>
      </c>
      <c r="CG9" s="25">
        <v>9</v>
      </c>
      <c r="CH9" s="25">
        <v>5</v>
      </c>
      <c r="CI9" s="25">
        <v>52</v>
      </c>
      <c r="CJ9" s="25">
        <v>58.5</v>
      </c>
      <c r="CK9" s="25">
        <v>304</v>
      </c>
      <c r="CL9" s="25">
        <v>62.5</v>
      </c>
      <c r="CM9" s="25">
        <v>54.5</v>
      </c>
      <c r="CN9" s="25">
        <v>1807</v>
      </c>
      <c r="CO9" s="25">
        <v>924</v>
      </c>
      <c r="CP9" s="25">
        <v>53.5</v>
      </c>
      <c r="CQ9" s="25">
        <v>58</v>
      </c>
      <c r="CR9" s="25">
        <v>19</v>
      </c>
      <c r="CS9" s="25">
        <v>2.5</v>
      </c>
      <c r="CT9" s="25">
        <v>10</v>
      </c>
      <c r="CU9" s="25">
        <v>18</v>
      </c>
      <c r="CV9" s="25">
        <v>3</v>
      </c>
      <c r="CW9" s="25">
        <v>12</v>
      </c>
      <c r="CX9" s="25">
        <v>39</v>
      </c>
      <c r="CY9" s="25">
        <v>2</v>
      </c>
      <c r="CZ9" s="25">
        <v>137</v>
      </c>
      <c r="DA9" s="25">
        <v>13.5</v>
      </c>
      <c r="DB9" s="25">
        <v>20.5</v>
      </c>
      <c r="DC9" s="25">
        <v>19</v>
      </c>
      <c r="DD9" s="25">
        <v>9</v>
      </c>
      <c r="DE9" s="25">
        <v>15</v>
      </c>
      <c r="DF9" s="25">
        <v>1262.5</v>
      </c>
      <c r="DG9" s="25">
        <v>7.5</v>
      </c>
      <c r="DH9" s="25">
        <v>131.5</v>
      </c>
      <c r="DI9" s="25">
        <v>151.5</v>
      </c>
      <c r="DJ9" s="25">
        <v>35</v>
      </c>
      <c r="DK9" s="25">
        <v>36</v>
      </c>
      <c r="DL9" s="25">
        <v>323.5</v>
      </c>
      <c r="DM9" s="25">
        <v>19</v>
      </c>
      <c r="DN9" s="25">
        <v>99</v>
      </c>
      <c r="DO9" s="25">
        <v>235</v>
      </c>
      <c r="DP9" s="25">
        <v>14</v>
      </c>
      <c r="DQ9" s="25">
        <v>60</v>
      </c>
      <c r="DR9" s="25">
        <v>96.5</v>
      </c>
      <c r="DS9" s="25">
        <v>28</v>
      </c>
      <c r="DT9" s="25">
        <v>11</v>
      </c>
      <c r="DU9" s="25">
        <v>23</v>
      </c>
      <c r="DV9" s="25">
        <v>12</v>
      </c>
      <c r="DW9" s="25">
        <v>21</v>
      </c>
      <c r="DX9" s="25">
        <v>8</v>
      </c>
      <c r="DY9" s="25">
        <v>16</v>
      </c>
      <c r="DZ9" s="25">
        <v>49.5</v>
      </c>
      <c r="EA9" s="25">
        <v>27.5</v>
      </c>
      <c r="EB9" s="25">
        <v>35</v>
      </c>
      <c r="EC9" s="25">
        <v>15</v>
      </c>
      <c r="ED9" s="25">
        <v>93.5</v>
      </c>
      <c r="EE9" s="25">
        <v>10</v>
      </c>
      <c r="EF9" s="25">
        <v>87</v>
      </c>
      <c r="EG9" s="25">
        <v>15</v>
      </c>
      <c r="EH9" s="25">
        <v>18</v>
      </c>
      <c r="EI9" s="25">
        <v>938</v>
      </c>
      <c r="EJ9" s="25">
        <v>647</v>
      </c>
      <c r="EK9" s="25">
        <v>34</v>
      </c>
      <c r="EL9" s="25">
        <v>32</v>
      </c>
      <c r="EM9" s="25">
        <v>18.5</v>
      </c>
      <c r="EN9" s="25">
        <v>54</v>
      </c>
      <c r="EO9" s="25">
        <v>25</v>
      </c>
      <c r="EP9" s="25">
        <v>33</v>
      </c>
      <c r="EQ9" s="25">
        <v>126.5</v>
      </c>
      <c r="ER9" s="25">
        <v>23.5</v>
      </c>
      <c r="ES9" s="25">
        <v>17</v>
      </c>
      <c r="ET9" s="25">
        <v>14</v>
      </c>
      <c r="EU9" s="25">
        <v>41.5</v>
      </c>
      <c r="EV9" s="25">
        <v>2</v>
      </c>
      <c r="EW9" s="25">
        <v>52</v>
      </c>
      <c r="EX9" s="25">
        <v>10</v>
      </c>
      <c r="EY9" s="25">
        <v>10</v>
      </c>
      <c r="EZ9" s="25">
        <v>8</v>
      </c>
      <c r="FA9" s="25">
        <v>227.5</v>
      </c>
      <c r="FB9" s="25">
        <v>25</v>
      </c>
      <c r="FC9" s="25">
        <v>141</v>
      </c>
      <c r="FD9" s="25">
        <v>34</v>
      </c>
      <c r="FE9" s="25">
        <v>4</v>
      </c>
      <c r="FF9" s="25">
        <v>13</v>
      </c>
      <c r="FG9" s="25">
        <v>7</v>
      </c>
      <c r="FH9" s="25">
        <v>7</v>
      </c>
      <c r="FI9" s="25">
        <v>122.5</v>
      </c>
      <c r="FJ9" s="25">
        <v>140</v>
      </c>
      <c r="FK9" s="25">
        <v>202.5</v>
      </c>
      <c r="FL9" s="25">
        <v>718</v>
      </c>
      <c r="FM9" s="25">
        <v>296</v>
      </c>
      <c r="FN9" s="25">
        <v>1682.5</v>
      </c>
      <c r="FO9" s="25">
        <v>81</v>
      </c>
      <c r="FP9" s="25">
        <v>174.5</v>
      </c>
      <c r="FQ9" s="25">
        <v>63.5</v>
      </c>
      <c r="FR9" s="25">
        <v>13</v>
      </c>
      <c r="FS9" s="25">
        <v>12</v>
      </c>
      <c r="FT9" s="25">
        <v>4</v>
      </c>
      <c r="FU9" s="25">
        <v>61</v>
      </c>
      <c r="FV9" s="25">
        <v>55</v>
      </c>
      <c r="FW9" s="25">
        <v>9</v>
      </c>
      <c r="FX9" s="25">
        <v>6</v>
      </c>
      <c r="FY9" s="23"/>
      <c r="FZ9" s="23">
        <f t="shared" ref="FZ9:FZ13" si="0">SUM(C9:FX9)</f>
        <v>55770</v>
      </c>
      <c r="GA9" s="23"/>
      <c r="GB9" s="23"/>
      <c r="GC9" s="12"/>
      <c r="GD9" s="23"/>
      <c r="GE9" s="23"/>
      <c r="GF9" s="23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</row>
    <row r="10" spans="1:204" ht="15" customHeight="1" x14ac:dyDescent="0.35">
      <c r="A10" s="12" t="s">
        <v>451</v>
      </c>
      <c r="B10" s="7" t="s">
        <v>452</v>
      </c>
      <c r="C10" s="24">
        <v>0</v>
      </c>
      <c r="D10" s="25">
        <v>0.5</v>
      </c>
      <c r="E10" s="25">
        <v>1.5</v>
      </c>
      <c r="F10" s="25">
        <v>17.5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29</v>
      </c>
      <c r="O10" s="25">
        <v>2</v>
      </c>
      <c r="P10" s="25">
        <v>0</v>
      </c>
      <c r="Q10" s="25">
        <v>47</v>
      </c>
      <c r="R10" s="25">
        <v>0</v>
      </c>
      <c r="S10" s="25">
        <v>3</v>
      </c>
      <c r="T10" s="25">
        <v>0</v>
      </c>
      <c r="U10" s="25">
        <v>0</v>
      </c>
      <c r="V10" s="25">
        <v>0</v>
      </c>
      <c r="W10" s="25">
        <v>0</v>
      </c>
      <c r="X10" s="25">
        <v>2.5</v>
      </c>
      <c r="Y10" s="25">
        <v>0</v>
      </c>
      <c r="Z10" s="25">
        <v>0</v>
      </c>
      <c r="AA10" s="25">
        <v>27</v>
      </c>
      <c r="AB10" s="25">
        <v>1</v>
      </c>
      <c r="AC10" s="25">
        <v>0</v>
      </c>
      <c r="AD10" s="25">
        <v>0.5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4</v>
      </c>
      <c r="AP10" s="25">
        <v>0.5</v>
      </c>
      <c r="AQ10" s="25">
        <v>0</v>
      </c>
      <c r="AR10" s="25">
        <v>81.5</v>
      </c>
      <c r="AS10" s="25">
        <v>0</v>
      </c>
      <c r="AT10" s="25">
        <v>14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15</v>
      </c>
      <c r="BA10" s="25">
        <v>0</v>
      </c>
      <c r="BB10" s="25">
        <v>1</v>
      </c>
      <c r="BC10" s="25">
        <v>40.5</v>
      </c>
      <c r="BD10" s="25">
        <v>0</v>
      </c>
      <c r="BE10" s="25">
        <v>0</v>
      </c>
      <c r="BF10" s="25">
        <v>210.5</v>
      </c>
      <c r="BG10" s="25">
        <v>0.5</v>
      </c>
      <c r="BH10" s="25">
        <v>0</v>
      </c>
      <c r="BI10" s="25">
        <v>0</v>
      </c>
      <c r="BJ10" s="25">
        <v>21.5</v>
      </c>
      <c r="BK10" s="25">
        <v>326</v>
      </c>
      <c r="BL10" s="25">
        <v>0</v>
      </c>
      <c r="BM10" s="25">
        <v>0</v>
      </c>
      <c r="BN10" s="25">
        <v>0.5</v>
      </c>
      <c r="BO10" s="25">
        <v>0</v>
      </c>
      <c r="BP10" s="25">
        <v>0</v>
      </c>
      <c r="BQ10" s="25">
        <v>0</v>
      </c>
      <c r="BR10" s="25">
        <v>0</v>
      </c>
      <c r="BS10" s="25">
        <v>0.5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0.5</v>
      </c>
      <c r="BZ10" s="25">
        <v>0</v>
      </c>
      <c r="CA10" s="25">
        <v>0</v>
      </c>
      <c r="CB10" s="25">
        <v>74.5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12.5</v>
      </c>
      <c r="CL10" s="25">
        <v>0</v>
      </c>
      <c r="CM10" s="25">
        <v>7</v>
      </c>
      <c r="CN10" s="25">
        <v>102</v>
      </c>
      <c r="CO10" s="25">
        <v>29</v>
      </c>
      <c r="CP10" s="25">
        <v>5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1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23.5</v>
      </c>
      <c r="DG10" s="25">
        <v>0</v>
      </c>
      <c r="DH10" s="25">
        <v>0</v>
      </c>
      <c r="DI10" s="25">
        <v>0.5</v>
      </c>
      <c r="DJ10" s="25">
        <v>0</v>
      </c>
      <c r="DK10" s="25">
        <v>0</v>
      </c>
      <c r="DL10" s="25">
        <v>0.5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0.5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1</v>
      </c>
      <c r="ER10" s="25">
        <v>0</v>
      </c>
      <c r="ES10" s="25">
        <v>9.5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5.5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6</v>
      </c>
      <c r="FM10" s="25">
        <v>0</v>
      </c>
      <c r="FN10" s="25">
        <v>11.5</v>
      </c>
      <c r="FO10" s="25">
        <v>1</v>
      </c>
      <c r="FP10" s="25">
        <v>0</v>
      </c>
      <c r="FQ10" s="25">
        <v>0</v>
      </c>
      <c r="FR10" s="25">
        <v>0</v>
      </c>
      <c r="FS10" s="25">
        <v>0</v>
      </c>
      <c r="FT10" s="25">
        <v>0</v>
      </c>
      <c r="FU10" s="25">
        <v>0</v>
      </c>
      <c r="FV10" s="25">
        <v>0</v>
      </c>
      <c r="FW10" s="25">
        <v>0</v>
      </c>
      <c r="FX10" s="25">
        <v>0</v>
      </c>
      <c r="FY10" s="23"/>
      <c r="FZ10" s="23">
        <f t="shared" si="0"/>
        <v>1138.5</v>
      </c>
      <c r="GA10" s="23"/>
      <c r="GB10" s="23"/>
      <c r="GC10" s="12"/>
      <c r="GD10" s="23"/>
      <c r="GE10" s="23"/>
      <c r="GF10" s="23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</row>
    <row r="11" spans="1:204" ht="15" customHeight="1" x14ac:dyDescent="0.35">
      <c r="A11" s="12" t="s">
        <v>453</v>
      </c>
      <c r="B11" s="7" t="s">
        <v>454</v>
      </c>
      <c r="C11" s="26">
        <f t="shared" ref="C11:FX11" si="1">C8+C9</f>
        <v>6520.5</v>
      </c>
      <c r="D11" s="26">
        <f t="shared" si="1"/>
        <v>32684</v>
      </c>
      <c r="E11" s="26">
        <f t="shared" si="1"/>
        <v>4702</v>
      </c>
      <c r="F11" s="26">
        <f t="shared" si="1"/>
        <v>23505.5</v>
      </c>
      <c r="G11" s="26">
        <f t="shared" si="1"/>
        <v>1845</v>
      </c>
      <c r="H11" s="26">
        <f t="shared" si="1"/>
        <v>1071</v>
      </c>
      <c r="I11" s="26">
        <f t="shared" si="1"/>
        <v>7041</v>
      </c>
      <c r="J11" s="26">
        <f t="shared" si="1"/>
        <v>1988</v>
      </c>
      <c r="K11" s="26">
        <f t="shared" si="1"/>
        <v>248.5</v>
      </c>
      <c r="L11" s="26">
        <f t="shared" si="1"/>
        <v>2085</v>
      </c>
      <c r="M11" s="26">
        <f t="shared" si="1"/>
        <v>853</v>
      </c>
      <c r="N11" s="26">
        <f t="shared" si="1"/>
        <v>49747</v>
      </c>
      <c r="O11" s="26">
        <f t="shared" si="1"/>
        <v>12367.5</v>
      </c>
      <c r="P11" s="26">
        <f t="shared" si="1"/>
        <v>313</v>
      </c>
      <c r="Q11" s="26">
        <f t="shared" si="1"/>
        <v>37564</v>
      </c>
      <c r="R11" s="26">
        <f t="shared" si="1"/>
        <v>7100</v>
      </c>
      <c r="S11" s="26">
        <f t="shared" si="1"/>
        <v>1559.5</v>
      </c>
      <c r="T11" s="26">
        <f t="shared" si="1"/>
        <v>160</v>
      </c>
      <c r="U11" s="26">
        <f t="shared" si="1"/>
        <v>54</v>
      </c>
      <c r="V11" s="26">
        <f t="shared" si="1"/>
        <v>253</v>
      </c>
      <c r="W11" s="26">
        <f t="shared" si="1"/>
        <v>47</v>
      </c>
      <c r="X11" s="26">
        <f t="shared" si="1"/>
        <v>37.5</v>
      </c>
      <c r="Y11" s="26">
        <f t="shared" si="1"/>
        <v>870.5</v>
      </c>
      <c r="Z11" s="26">
        <f t="shared" si="1"/>
        <v>231</v>
      </c>
      <c r="AA11" s="26">
        <f t="shared" si="1"/>
        <v>30673</v>
      </c>
      <c r="AB11" s="26">
        <f t="shared" si="1"/>
        <v>26785.5</v>
      </c>
      <c r="AC11" s="26">
        <f t="shared" si="1"/>
        <v>847.5</v>
      </c>
      <c r="AD11" s="26">
        <f t="shared" si="1"/>
        <v>1287.5</v>
      </c>
      <c r="AE11" s="26">
        <f t="shared" si="1"/>
        <v>97</v>
      </c>
      <c r="AF11" s="26">
        <f t="shared" si="1"/>
        <v>164</v>
      </c>
      <c r="AG11" s="26">
        <f t="shared" si="1"/>
        <v>585.5</v>
      </c>
      <c r="AH11" s="26">
        <f t="shared" si="1"/>
        <v>908</v>
      </c>
      <c r="AI11" s="26">
        <f t="shared" si="1"/>
        <v>383</v>
      </c>
      <c r="AJ11" s="26">
        <f t="shared" si="1"/>
        <v>181.5</v>
      </c>
      <c r="AK11" s="26">
        <f t="shared" si="1"/>
        <v>162.5</v>
      </c>
      <c r="AL11" s="26">
        <f t="shared" si="1"/>
        <v>288.5</v>
      </c>
      <c r="AM11" s="26">
        <f t="shared" si="1"/>
        <v>306</v>
      </c>
      <c r="AN11" s="26">
        <f t="shared" si="1"/>
        <v>268</v>
      </c>
      <c r="AO11" s="26">
        <f t="shared" si="1"/>
        <v>4051.5</v>
      </c>
      <c r="AP11" s="26">
        <f t="shared" si="1"/>
        <v>84316.5</v>
      </c>
      <c r="AQ11" s="26">
        <f t="shared" si="1"/>
        <v>251</v>
      </c>
      <c r="AR11" s="26">
        <f t="shared" si="1"/>
        <v>58778</v>
      </c>
      <c r="AS11" s="26">
        <f t="shared" si="1"/>
        <v>5971.5</v>
      </c>
      <c r="AT11" s="26">
        <f t="shared" si="1"/>
        <v>2361</v>
      </c>
      <c r="AU11" s="26">
        <f t="shared" si="1"/>
        <v>268</v>
      </c>
      <c r="AV11" s="26">
        <f t="shared" si="1"/>
        <v>296</v>
      </c>
      <c r="AW11" s="26">
        <f t="shared" si="1"/>
        <v>257</v>
      </c>
      <c r="AX11" s="26">
        <f t="shared" si="1"/>
        <v>81</v>
      </c>
      <c r="AY11" s="26">
        <f t="shared" si="1"/>
        <v>391.5</v>
      </c>
      <c r="AZ11" s="26">
        <f t="shared" si="1"/>
        <v>11877.5</v>
      </c>
      <c r="BA11" s="26">
        <f t="shared" si="1"/>
        <v>9090</v>
      </c>
      <c r="BB11" s="26">
        <f t="shared" si="1"/>
        <v>7451</v>
      </c>
      <c r="BC11" s="26">
        <f t="shared" si="1"/>
        <v>21491</v>
      </c>
      <c r="BD11" s="26">
        <f t="shared" si="1"/>
        <v>3637.5</v>
      </c>
      <c r="BE11" s="26">
        <f t="shared" si="1"/>
        <v>1092</v>
      </c>
      <c r="BF11" s="26">
        <f t="shared" si="1"/>
        <v>25572</v>
      </c>
      <c r="BG11" s="26">
        <f t="shared" si="1"/>
        <v>919.5</v>
      </c>
      <c r="BH11" s="26">
        <f t="shared" si="1"/>
        <v>574</v>
      </c>
      <c r="BI11" s="26">
        <f t="shared" si="1"/>
        <v>254.5</v>
      </c>
      <c r="BJ11" s="26">
        <f t="shared" si="1"/>
        <v>6311.5</v>
      </c>
      <c r="BK11" s="26">
        <f t="shared" si="1"/>
        <v>35094.5</v>
      </c>
      <c r="BL11" s="26">
        <f t="shared" si="1"/>
        <v>72.5</v>
      </c>
      <c r="BM11" s="26">
        <f t="shared" si="1"/>
        <v>349</v>
      </c>
      <c r="BN11" s="26">
        <f t="shared" si="1"/>
        <v>3038.5</v>
      </c>
      <c r="BO11" s="26">
        <f t="shared" si="1"/>
        <v>1189</v>
      </c>
      <c r="BP11" s="26">
        <f t="shared" si="1"/>
        <v>137</v>
      </c>
      <c r="BQ11" s="26">
        <f t="shared" si="1"/>
        <v>5584.5</v>
      </c>
      <c r="BR11" s="26">
        <f t="shared" si="1"/>
        <v>4474.5</v>
      </c>
      <c r="BS11" s="26">
        <f t="shared" si="1"/>
        <v>1158</v>
      </c>
      <c r="BT11" s="26">
        <f t="shared" si="1"/>
        <v>353</v>
      </c>
      <c r="BU11" s="26">
        <f t="shared" si="1"/>
        <v>382</v>
      </c>
      <c r="BV11" s="26">
        <f t="shared" si="1"/>
        <v>1243</v>
      </c>
      <c r="BW11" s="26">
        <f t="shared" si="1"/>
        <v>2017.5</v>
      </c>
      <c r="BX11" s="26">
        <f t="shared" si="1"/>
        <v>57</v>
      </c>
      <c r="BY11" s="26">
        <f t="shared" si="1"/>
        <v>392.5</v>
      </c>
      <c r="BZ11" s="26">
        <f t="shared" si="1"/>
        <v>228</v>
      </c>
      <c r="CA11" s="26">
        <f t="shared" si="1"/>
        <v>141.5</v>
      </c>
      <c r="CB11" s="26">
        <f t="shared" si="1"/>
        <v>71275</v>
      </c>
      <c r="CC11" s="26">
        <f t="shared" si="1"/>
        <v>186</v>
      </c>
      <c r="CD11" s="26">
        <f t="shared" si="1"/>
        <v>30</v>
      </c>
      <c r="CE11" s="26">
        <f t="shared" si="1"/>
        <v>158</v>
      </c>
      <c r="CF11" s="26">
        <f t="shared" si="1"/>
        <v>100</v>
      </c>
      <c r="CG11" s="26">
        <f t="shared" si="1"/>
        <v>191</v>
      </c>
      <c r="CH11" s="26">
        <f t="shared" si="1"/>
        <v>90</v>
      </c>
      <c r="CI11" s="26">
        <f t="shared" si="1"/>
        <v>683</v>
      </c>
      <c r="CJ11" s="26">
        <f t="shared" si="1"/>
        <v>822.5</v>
      </c>
      <c r="CK11" s="26">
        <f t="shared" si="1"/>
        <v>4212</v>
      </c>
      <c r="CL11" s="26">
        <f t="shared" si="1"/>
        <v>1157.5</v>
      </c>
      <c r="CM11" s="26">
        <f t="shared" si="1"/>
        <v>677.5</v>
      </c>
      <c r="CN11" s="26">
        <f t="shared" si="1"/>
        <v>28417</v>
      </c>
      <c r="CO11" s="26">
        <f t="shared" si="1"/>
        <v>13990</v>
      </c>
      <c r="CP11" s="26">
        <f t="shared" si="1"/>
        <v>861.5</v>
      </c>
      <c r="CQ11" s="26">
        <f t="shared" si="1"/>
        <v>759</v>
      </c>
      <c r="CR11" s="26">
        <f t="shared" si="1"/>
        <v>195</v>
      </c>
      <c r="CS11" s="26">
        <f t="shared" si="1"/>
        <v>245.5</v>
      </c>
      <c r="CT11" s="26">
        <f t="shared" si="1"/>
        <v>112</v>
      </c>
      <c r="CU11" s="26">
        <f t="shared" si="1"/>
        <v>465</v>
      </c>
      <c r="CV11" s="26">
        <f t="shared" si="1"/>
        <v>24</v>
      </c>
      <c r="CW11" s="26">
        <f t="shared" si="1"/>
        <v>187</v>
      </c>
      <c r="CX11" s="26">
        <f t="shared" si="1"/>
        <v>457</v>
      </c>
      <c r="CY11" s="26">
        <f t="shared" si="1"/>
        <v>25</v>
      </c>
      <c r="CZ11" s="26">
        <f t="shared" si="1"/>
        <v>1768</v>
      </c>
      <c r="DA11" s="26">
        <f t="shared" si="1"/>
        <v>203.5</v>
      </c>
      <c r="DB11" s="26">
        <f t="shared" si="1"/>
        <v>310.5</v>
      </c>
      <c r="DC11" s="26">
        <f t="shared" si="1"/>
        <v>193</v>
      </c>
      <c r="DD11" s="26">
        <f t="shared" si="1"/>
        <v>174.5</v>
      </c>
      <c r="DE11" s="26">
        <f t="shared" si="1"/>
        <v>279.5</v>
      </c>
      <c r="DF11" s="26">
        <f t="shared" si="1"/>
        <v>18490</v>
      </c>
      <c r="DG11" s="26">
        <f t="shared" si="1"/>
        <v>93.5</v>
      </c>
      <c r="DH11" s="26">
        <f t="shared" si="1"/>
        <v>1684</v>
      </c>
      <c r="DI11" s="26">
        <f t="shared" si="1"/>
        <v>2293</v>
      </c>
      <c r="DJ11" s="26">
        <f t="shared" si="1"/>
        <v>601</v>
      </c>
      <c r="DK11" s="26">
        <f t="shared" si="1"/>
        <v>473.5</v>
      </c>
      <c r="DL11" s="26">
        <f t="shared" si="1"/>
        <v>5616</v>
      </c>
      <c r="DM11" s="26">
        <f t="shared" si="1"/>
        <v>235</v>
      </c>
      <c r="DN11" s="26">
        <f t="shared" si="1"/>
        <v>1296</v>
      </c>
      <c r="DO11" s="26">
        <f t="shared" si="1"/>
        <v>3290</v>
      </c>
      <c r="DP11" s="26">
        <f t="shared" si="1"/>
        <v>199</v>
      </c>
      <c r="DQ11" s="26">
        <f t="shared" si="1"/>
        <v>888</v>
      </c>
      <c r="DR11" s="26">
        <f t="shared" si="1"/>
        <v>1266</v>
      </c>
      <c r="DS11" s="26">
        <f t="shared" si="1"/>
        <v>545</v>
      </c>
      <c r="DT11" s="26">
        <f t="shared" si="1"/>
        <v>175</v>
      </c>
      <c r="DU11" s="26">
        <f t="shared" si="1"/>
        <v>346</v>
      </c>
      <c r="DV11" s="26">
        <f t="shared" si="1"/>
        <v>198</v>
      </c>
      <c r="DW11" s="26">
        <f t="shared" si="1"/>
        <v>285</v>
      </c>
      <c r="DX11" s="26">
        <f t="shared" si="1"/>
        <v>168</v>
      </c>
      <c r="DY11" s="26">
        <f t="shared" si="1"/>
        <v>280</v>
      </c>
      <c r="DZ11" s="26">
        <f t="shared" si="1"/>
        <v>607.5</v>
      </c>
      <c r="EA11" s="26">
        <f t="shared" si="1"/>
        <v>487.5</v>
      </c>
      <c r="EB11" s="26">
        <f t="shared" si="1"/>
        <v>498</v>
      </c>
      <c r="EC11" s="26">
        <f t="shared" si="1"/>
        <v>260</v>
      </c>
      <c r="ED11" s="26">
        <f t="shared" si="1"/>
        <v>1546.5</v>
      </c>
      <c r="EE11" s="26">
        <f t="shared" si="1"/>
        <v>185.5</v>
      </c>
      <c r="EF11" s="26">
        <f t="shared" si="1"/>
        <v>1262</v>
      </c>
      <c r="EG11" s="26">
        <f t="shared" si="1"/>
        <v>250</v>
      </c>
      <c r="EH11" s="26">
        <f t="shared" si="1"/>
        <v>246</v>
      </c>
      <c r="EI11" s="26">
        <f t="shared" si="1"/>
        <v>13283</v>
      </c>
      <c r="EJ11" s="26">
        <f t="shared" si="1"/>
        <v>9987.5</v>
      </c>
      <c r="EK11" s="26">
        <f t="shared" si="1"/>
        <v>663.5</v>
      </c>
      <c r="EL11" s="26">
        <f t="shared" si="1"/>
        <v>447</v>
      </c>
      <c r="EM11" s="26">
        <f t="shared" si="1"/>
        <v>355</v>
      </c>
      <c r="EN11" s="26">
        <f t="shared" si="1"/>
        <v>919.5</v>
      </c>
      <c r="EO11" s="26">
        <f t="shared" si="1"/>
        <v>287</v>
      </c>
      <c r="EP11" s="26">
        <f t="shared" si="1"/>
        <v>428.5</v>
      </c>
      <c r="EQ11" s="26">
        <f t="shared" si="1"/>
        <v>2407</v>
      </c>
      <c r="ER11" s="26">
        <f t="shared" si="1"/>
        <v>308.5</v>
      </c>
      <c r="ES11" s="26">
        <f t="shared" si="1"/>
        <v>155.5</v>
      </c>
      <c r="ET11" s="26">
        <f t="shared" si="1"/>
        <v>197.5</v>
      </c>
      <c r="EU11" s="26">
        <f t="shared" si="1"/>
        <v>568</v>
      </c>
      <c r="EV11" s="26">
        <f t="shared" si="1"/>
        <v>66</v>
      </c>
      <c r="EW11" s="26">
        <f t="shared" si="1"/>
        <v>746.5</v>
      </c>
      <c r="EX11" s="26">
        <f t="shared" si="1"/>
        <v>173.5</v>
      </c>
      <c r="EY11" s="26">
        <f t="shared" si="1"/>
        <v>651</v>
      </c>
      <c r="EZ11" s="26">
        <f t="shared" si="1"/>
        <v>127</v>
      </c>
      <c r="FA11" s="26">
        <f t="shared" si="1"/>
        <v>3257</v>
      </c>
      <c r="FB11" s="26">
        <f t="shared" si="1"/>
        <v>275.5</v>
      </c>
      <c r="FC11" s="26">
        <f t="shared" si="1"/>
        <v>1644</v>
      </c>
      <c r="FD11" s="26">
        <f t="shared" si="1"/>
        <v>399</v>
      </c>
      <c r="FE11" s="26">
        <f t="shared" si="1"/>
        <v>70</v>
      </c>
      <c r="FF11" s="26">
        <f t="shared" si="1"/>
        <v>175</v>
      </c>
      <c r="FG11" s="26">
        <f t="shared" si="1"/>
        <v>114</v>
      </c>
      <c r="FH11" s="26">
        <f t="shared" si="1"/>
        <v>69</v>
      </c>
      <c r="FI11" s="26">
        <f t="shared" si="1"/>
        <v>1645</v>
      </c>
      <c r="FJ11" s="26">
        <f t="shared" si="1"/>
        <v>2016.5</v>
      </c>
      <c r="FK11" s="26">
        <f t="shared" si="1"/>
        <v>2482</v>
      </c>
      <c r="FL11" s="26">
        <f t="shared" si="1"/>
        <v>8537.5</v>
      </c>
      <c r="FM11" s="26">
        <f t="shared" si="1"/>
        <v>3981.5</v>
      </c>
      <c r="FN11" s="26">
        <f t="shared" si="1"/>
        <v>22703.5</v>
      </c>
      <c r="FO11" s="26">
        <f t="shared" si="1"/>
        <v>1119</v>
      </c>
      <c r="FP11" s="26">
        <f t="shared" si="1"/>
        <v>2341.5</v>
      </c>
      <c r="FQ11" s="26">
        <f t="shared" si="1"/>
        <v>982.5</v>
      </c>
      <c r="FR11" s="26">
        <f t="shared" si="1"/>
        <v>162.5</v>
      </c>
      <c r="FS11" s="26">
        <f t="shared" si="1"/>
        <v>160.5</v>
      </c>
      <c r="FT11" s="26">
        <f t="shared" si="1"/>
        <v>54</v>
      </c>
      <c r="FU11" s="26">
        <f t="shared" si="1"/>
        <v>760</v>
      </c>
      <c r="FV11" s="26">
        <f t="shared" si="1"/>
        <v>693</v>
      </c>
      <c r="FW11" s="26">
        <f t="shared" si="1"/>
        <v>130</v>
      </c>
      <c r="FX11" s="26">
        <f t="shared" si="1"/>
        <v>64</v>
      </c>
      <c r="FY11" s="23"/>
      <c r="FZ11" s="23">
        <f t="shared" si="0"/>
        <v>814613</v>
      </c>
      <c r="GA11" s="23"/>
      <c r="GB11" s="23"/>
      <c r="GC11" s="23"/>
      <c r="GD11" s="23"/>
      <c r="GE11" s="23"/>
      <c r="GF11" s="23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</row>
    <row r="12" spans="1:204" ht="15" customHeight="1" x14ac:dyDescent="0.35">
      <c r="A12" s="12" t="s">
        <v>455</v>
      </c>
      <c r="B12" s="7" t="s">
        <v>456</v>
      </c>
      <c r="C12" s="27">
        <v>152</v>
      </c>
      <c r="D12" s="26">
        <v>499</v>
      </c>
      <c r="E12" s="26">
        <v>0</v>
      </c>
      <c r="F12" s="26">
        <v>2031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6618</v>
      </c>
      <c r="S12" s="26">
        <v>14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473.5</v>
      </c>
      <c r="Z12" s="26">
        <v>0</v>
      </c>
      <c r="AA12" s="26">
        <v>336.5</v>
      </c>
      <c r="AB12" s="26">
        <v>224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370.5</v>
      </c>
      <c r="AP12" s="26">
        <v>595.5</v>
      </c>
      <c r="AQ12" s="26">
        <v>0</v>
      </c>
      <c r="AR12" s="26">
        <v>1303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98</v>
      </c>
      <c r="BA12" s="26">
        <v>240</v>
      </c>
      <c r="BB12" s="26">
        <v>0</v>
      </c>
      <c r="BC12" s="26">
        <v>475</v>
      </c>
      <c r="BD12" s="26">
        <v>0</v>
      </c>
      <c r="BE12" s="26">
        <v>0</v>
      </c>
      <c r="BF12" s="26">
        <v>1194.5</v>
      </c>
      <c r="BG12" s="26">
        <v>0</v>
      </c>
      <c r="BH12" s="26">
        <v>28</v>
      </c>
      <c r="BI12" s="26">
        <v>0</v>
      </c>
      <c r="BJ12" s="26">
        <v>0</v>
      </c>
      <c r="BK12" s="26">
        <v>13175.5</v>
      </c>
      <c r="BL12" s="26">
        <v>0</v>
      </c>
      <c r="BM12" s="26">
        <v>0</v>
      </c>
      <c r="BN12" s="26"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815.5</v>
      </c>
      <c r="CC12" s="26"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v>0</v>
      </c>
      <c r="CK12" s="26">
        <v>23.5</v>
      </c>
      <c r="CL12" s="26">
        <v>5.5</v>
      </c>
      <c r="CM12" s="26">
        <v>2</v>
      </c>
      <c r="CN12" s="26">
        <v>254</v>
      </c>
      <c r="CO12" s="26">
        <v>0</v>
      </c>
      <c r="CP12" s="26">
        <v>0</v>
      </c>
      <c r="CQ12" s="26">
        <v>0</v>
      </c>
      <c r="CR12" s="26">
        <v>0</v>
      </c>
      <c r="CS12" s="26">
        <v>0</v>
      </c>
      <c r="CT12" s="26">
        <v>0</v>
      </c>
      <c r="CU12" s="26">
        <v>396</v>
      </c>
      <c r="CV12" s="26">
        <v>0</v>
      </c>
      <c r="CW12" s="26">
        <v>0</v>
      </c>
      <c r="CX12" s="26">
        <v>0</v>
      </c>
      <c r="CY12" s="26"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v>0</v>
      </c>
      <c r="DG12" s="26">
        <v>0</v>
      </c>
      <c r="DH12" s="26">
        <v>0</v>
      </c>
      <c r="DI12" s="26">
        <v>4</v>
      </c>
      <c r="DJ12" s="26">
        <v>1</v>
      </c>
      <c r="DK12" s="26">
        <v>1</v>
      </c>
      <c r="DL12" s="26">
        <v>0</v>
      </c>
      <c r="DM12" s="26">
        <v>0</v>
      </c>
      <c r="DN12" s="26"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v>0</v>
      </c>
      <c r="EA12" s="26"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v>0</v>
      </c>
      <c r="EI12" s="26">
        <v>0</v>
      </c>
      <c r="EJ12" s="26">
        <v>207.5</v>
      </c>
      <c r="EK12" s="26">
        <v>0</v>
      </c>
      <c r="EL12" s="26">
        <v>0</v>
      </c>
      <c r="EM12" s="26">
        <v>0</v>
      </c>
      <c r="EN12" s="26">
        <v>43</v>
      </c>
      <c r="EO12" s="26">
        <v>0</v>
      </c>
      <c r="EP12" s="26">
        <v>0</v>
      </c>
      <c r="EQ12" s="26">
        <v>0</v>
      </c>
      <c r="ER12" s="26">
        <v>0</v>
      </c>
      <c r="ES12" s="26">
        <v>0</v>
      </c>
      <c r="ET12" s="26">
        <v>0</v>
      </c>
      <c r="EU12" s="26">
        <v>0</v>
      </c>
      <c r="EV12" s="26">
        <v>0</v>
      </c>
      <c r="EW12" s="26">
        <v>0</v>
      </c>
      <c r="EX12" s="26">
        <v>0</v>
      </c>
      <c r="EY12" s="26">
        <v>450</v>
      </c>
      <c r="EZ12" s="26">
        <v>0</v>
      </c>
      <c r="FA12" s="26">
        <v>0</v>
      </c>
      <c r="FB12" s="26">
        <v>0</v>
      </c>
      <c r="FC12" s="26">
        <v>0</v>
      </c>
      <c r="FD12" s="26">
        <v>0</v>
      </c>
      <c r="FE12" s="26">
        <v>0</v>
      </c>
      <c r="FF12" s="26">
        <v>0</v>
      </c>
      <c r="FG12" s="26">
        <v>0</v>
      </c>
      <c r="FH12" s="26">
        <v>0</v>
      </c>
      <c r="FI12" s="26">
        <v>0</v>
      </c>
      <c r="FJ12" s="26">
        <v>0</v>
      </c>
      <c r="FK12" s="26">
        <v>0</v>
      </c>
      <c r="FL12" s="26">
        <v>0</v>
      </c>
      <c r="FM12" s="26">
        <v>0</v>
      </c>
      <c r="FN12" s="26">
        <v>254.5</v>
      </c>
      <c r="FO12" s="26">
        <v>0</v>
      </c>
      <c r="FP12" s="26">
        <v>0</v>
      </c>
      <c r="FQ12" s="26">
        <v>0</v>
      </c>
      <c r="FR12" s="26">
        <v>0</v>
      </c>
      <c r="FS12" s="26">
        <v>0</v>
      </c>
      <c r="FT12" s="26">
        <v>0</v>
      </c>
      <c r="FU12" s="26">
        <v>0</v>
      </c>
      <c r="FV12" s="26">
        <v>0</v>
      </c>
      <c r="FW12" s="26">
        <v>0</v>
      </c>
      <c r="FX12" s="26">
        <v>0</v>
      </c>
      <c r="FY12" s="25"/>
      <c r="FZ12" s="23">
        <f t="shared" si="0"/>
        <v>30285.5</v>
      </c>
      <c r="GA12" s="23"/>
      <c r="GB12" s="23"/>
      <c r="GC12" s="23"/>
      <c r="GD12" s="23"/>
      <c r="GE12" s="23"/>
      <c r="GF12" s="23"/>
      <c r="GG12" s="7"/>
      <c r="GH12" s="7"/>
      <c r="GI12" s="7"/>
      <c r="GJ12" s="7"/>
      <c r="GK12" s="7"/>
      <c r="GL12" s="7"/>
      <c r="GM12" s="7"/>
      <c r="GN12" s="23"/>
      <c r="GO12" s="23"/>
      <c r="GP12" s="23"/>
      <c r="GQ12" s="23"/>
      <c r="GR12" s="23"/>
      <c r="GS12" s="23"/>
      <c r="GT12" s="23"/>
      <c r="GU12" s="23"/>
      <c r="GV12" s="23"/>
    </row>
    <row r="13" spans="1:204" ht="15" customHeight="1" x14ac:dyDescent="0.35">
      <c r="A13" s="12" t="s">
        <v>457</v>
      </c>
      <c r="B13" s="7" t="s">
        <v>458</v>
      </c>
      <c r="C13" s="28">
        <v>0</v>
      </c>
      <c r="D13" s="29">
        <v>38</v>
      </c>
      <c r="E13" s="29">
        <v>0</v>
      </c>
      <c r="F13" s="29">
        <v>1</v>
      </c>
      <c r="G13" s="29">
        <v>0</v>
      </c>
      <c r="H13" s="29">
        <v>0</v>
      </c>
      <c r="I13" s="29">
        <v>5</v>
      </c>
      <c r="J13" s="29">
        <v>0</v>
      </c>
      <c r="K13" s="29">
        <v>0</v>
      </c>
      <c r="L13" s="29">
        <v>0</v>
      </c>
      <c r="M13" s="29">
        <v>0</v>
      </c>
      <c r="N13" s="29">
        <v>30.5</v>
      </c>
      <c r="O13" s="29">
        <v>6</v>
      </c>
      <c r="P13" s="29">
        <v>0</v>
      </c>
      <c r="Q13" s="29">
        <v>3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45</v>
      </c>
      <c r="AB13" s="29">
        <v>1</v>
      </c>
      <c r="AC13" s="29">
        <v>0</v>
      </c>
      <c r="AD13" s="29">
        <v>0</v>
      </c>
      <c r="AE13" s="29">
        <v>0</v>
      </c>
      <c r="AF13" s="29">
        <v>0</v>
      </c>
      <c r="AG13" s="29">
        <v>0</v>
      </c>
      <c r="AH13" s="29">
        <v>0</v>
      </c>
      <c r="AI13" s="29">
        <v>0</v>
      </c>
      <c r="AJ13" s="29">
        <v>0</v>
      </c>
      <c r="AK13" s="29">
        <v>0</v>
      </c>
      <c r="AL13" s="29">
        <v>0</v>
      </c>
      <c r="AM13" s="29">
        <v>0</v>
      </c>
      <c r="AN13" s="29">
        <v>0</v>
      </c>
      <c r="AO13" s="29">
        <v>0</v>
      </c>
      <c r="AP13" s="29">
        <v>7.5</v>
      </c>
      <c r="AQ13" s="29">
        <v>0</v>
      </c>
      <c r="AR13" s="29">
        <v>8</v>
      </c>
      <c r="AS13" s="29">
        <v>1</v>
      </c>
      <c r="AT13" s="29">
        <v>0</v>
      </c>
      <c r="AU13" s="29">
        <v>0</v>
      </c>
      <c r="AV13" s="29">
        <v>0</v>
      </c>
      <c r="AW13" s="29">
        <v>0</v>
      </c>
      <c r="AX13" s="29">
        <v>0</v>
      </c>
      <c r="AY13" s="29">
        <v>0</v>
      </c>
      <c r="AZ13" s="29">
        <v>0</v>
      </c>
      <c r="BA13" s="29">
        <v>0</v>
      </c>
      <c r="BB13" s="29">
        <v>1</v>
      </c>
      <c r="BC13" s="29">
        <v>17.5</v>
      </c>
      <c r="BD13" s="29">
        <v>0</v>
      </c>
      <c r="BE13" s="29">
        <v>0</v>
      </c>
      <c r="BF13" s="29">
        <v>2</v>
      </c>
      <c r="BG13" s="29">
        <v>0</v>
      </c>
      <c r="BH13" s="29">
        <v>0</v>
      </c>
      <c r="BI13" s="29">
        <v>0</v>
      </c>
      <c r="BJ13" s="29">
        <v>2</v>
      </c>
      <c r="BK13" s="29">
        <v>23.5</v>
      </c>
      <c r="BL13" s="29">
        <v>0.5</v>
      </c>
      <c r="BM13" s="29">
        <v>0</v>
      </c>
      <c r="BN13" s="29">
        <v>12</v>
      </c>
      <c r="BO13" s="29">
        <v>0</v>
      </c>
      <c r="BP13" s="29">
        <v>0</v>
      </c>
      <c r="BQ13" s="29">
        <v>0.5</v>
      </c>
      <c r="BR13" s="29">
        <v>0</v>
      </c>
      <c r="BS13" s="29">
        <v>0</v>
      </c>
      <c r="BT13" s="29">
        <v>0</v>
      </c>
      <c r="BU13" s="29">
        <v>0</v>
      </c>
      <c r="BV13" s="29">
        <v>0</v>
      </c>
      <c r="BW13" s="29">
        <v>0</v>
      </c>
      <c r="BX13" s="29">
        <v>0</v>
      </c>
      <c r="BY13" s="29">
        <v>0</v>
      </c>
      <c r="BZ13" s="29">
        <v>0</v>
      </c>
      <c r="CA13" s="29">
        <v>0</v>
      </c>
      <c r="CB13" s="29">
        <v>17</v>
      </c>
      <c r="CC13" s="29">
        <v>0</v>
      </c>
      <c r="CD13" s="29">
        <v>0</v>
      </c>
      <c r="CE13" s="29">
        <v>0</v>
      </c>
      <c r="CF13" s="29">
        <v>0</v>
      </c>
      <c r="CG13" s="29">
        <v>0</v>
      </c>
      <c r="CH13" s="29">
        <v>0</v>
      </c>
      <c r="CI13" s="29">
        <v>0</v>
      </c>
      <c r="CJ13" s="29">
        <v>0</v>
      </c>
      <c r="CK13" s="29">
        <v>0</v>
      </c>
      <c r="CL13" s="29">
        <v>0</v>
      </c>
      <c r="CM13" s="29">
        <v>0</v>
      </c>
      <c r="CN13" s="29">
        <v>25.5</v>
      </c>
      <c r="CO13" s="29">
        <v>1</v>
      </c>
      <c r="CP13" s="29">
        <v>2</v>
      </c>
      <c r="CQ13" s="29">
        <v>0</v>
      </c>
      <c r="CR13" s="29">
        <v>0</v>
      </c>
      <c r="CS13" s="29">
        <v>0</v>
      </c>
      <c r="CT13" s="29">
        <v>0</v>
      </c>
      <c r="CU13" s="29">
        <v>0</v>
      </c>
      <c r="CV13" s="29">
        <v>0</v>
      </c>
      <c r="CW13" s="29">
        <v>0</v>
      </c>
      <c r="CX13" s="29">
        <v>0</v>
      </c>
      <c r="CY13" s="29">
        <v>0</v>
      </c>
      <c r="CZ13" s="29">
        <v>0</v>
      </c>
      <c r="DA13" s="29">
        <v>0</v>
      </c>
      <c r="DB13" s="29">
        <v>0</v>
      </c>
      <c r="DC13" s="29">
        <v>0</v>
      </c>
      <c r="DD13" s="29">
        <v>0</v>
      </c>
      <c r="DE13" s="29">
        <v>0</v>
      </c>
      <c r="DF13" s="29">
        <v>26</v>
      </c>
      <c r="DG13" s="29">
        <v>0</v>
      </c>
      <c r="DH13" s="29">
        <v>0</v>
      </c>
      <c r="DI13" s="29">
        <v>0</v>
      </c>
      <c r="DJ13" s="29">
        <v>0</v>
      </c>
      <c r="DK13" s="29">
        <v>0</v>
      </c>
      <c r="DL13" s="29">
        <v>0</v>
      </c>
      <c r="DM13" s="29">
        <v>0</v>
      </c>
      <c r="DN13" s="29">
        <v>0.5</v>
      </c>
      <c r="DO13" s="29">
        <v>0</v>
      </c>
      <c r="DP13" s="29">
        <v>0</v>
      </c>
      <c r="DQ13" s="29">
        <v>0</v>
      </c>
      <c r="DR13" s="29">
        <v>0</v>
      </c>
      <c r="DS13" s="29">
        <v>0</v>
      </c>
      <c r="DT13" s="29">
        <v>0</v>
      </c>
      <c r="DU13" s="29">
        <v>0</v>
      </c>
      <c r="DV13" s="29">
        <v>0</v>
      </c>
      <c r="DW13" s="29">
        <v>0</v>
      </c>
      <c r="DX13" s="29">
        <v>0</v>
      </c>
      <c r="DY13" s="29">
        <v>0</v>
      </c>
      <c r="DZ13" s="29">
        <v>0</v>
      </c>
      <c r="EA13" s="29">
        <v>0</v>
      </c>
      <c r="EB13" s="29">
        <v>0</v>
      </c>
      <c r="EC13" s="29">
        <v>0</v>
      </c>
      <c r="ED13" s="29">
        <v>0</v>
      </c>
      <c r="EE13" s="29">
        <v>0</v>
      </c>
      <c r="EF13" s="29">
        <v>0</v>
      </c>
      <c r="EG13" s="29">
        <v>0</v>
      </c>
      <c r="EH13" s="29">
        <v>0</v>
      </c>
      <c r="EI13" s="29">
        <v>0</v>
      </c>
      <c r="EJ13" s="29">
        <v>2</v>
      </c>
      <c r="EK13" s="29">
        <v>0</v>
      </c>
      <c r="EL13" s="29">
        <v>0</v>
      </c>
      <c r="EM13" s="29">
        <v>0</v>
      </c>
      <c r="EN13" s="29">
        <v>0</v>
      </c>
      <c r="EO13" s="29">
        <v>0</v>
      </c>
      <c r="EP13" s="29">
        <v>0</v>
      </c>
      <c r="EQ13" s="29">
        <v>0</v>
      </c>
      <c r="ER13" s="29">
        <v>0</v>
      </c>
      <c r="ES13" s="29">
        <v>0</v>
      </c>
      <c r="ET13" s="29">
        <v>0</v>
      </c>
      <c r="EU13" s="29">
        <v>0</v>
      </c>
      <c r="EV13" s="29">
        <v>0</v>
      </c>
      <c r="EW13" s="29">
        <v>0</v>
      </c>
      <c r="EX13" s="29">
        <v>0</v>
      </c>
      <c r="EY13" s="29">
        <v>0</v>
      </c>
      <c r="EZ13" s="29">
        <v>0</v>
      </c>
      <c r="FA13" s="29">
        <v>0</v>
      </c>
      <c r="FB13" s="29">
        <v>0</v>
      </c>
      <c r="FC13" s="29">
        <v>0</v>
      </c>
      <c r="FD13" s="29">
        <v>0</v>
      </c>
      <c r="FE13" s="29">
        <v>0</v>
      </c>
      <c r="FF13" s="29">
        <v>0</v>
      </c>
      <c r="FG13" s="29">
        <v>0</v>
      </c>
      <c r="FH13" s="29">
        <v>0</v>
      </c>
      <c r="FI13" s="29">
        <v>0</v>
      </c>
      <c r="FJ13" s="29">
        <v>0</v>
      </c>
      <c r="FK13" s="29">
        <v>0</v>
      </c>
      <c r="FL13" s="29">
        <v>0</v>
      </c>
      <c r="FM13" s="29">
        <v>0</v>
      </c>
      <c r="FN13" s="29">
        <v>13</v>
      </c>
      <c r="FO13" s="29">
        <v>2</v>
      </c>
      <c r="FP13" s="29">
        <v>0</v>
      </c>
      <c r="FQ13" s="29">
        <v>0</v>
      </c>
      <c r="FR13" s="29">
        <v>0</v>
      </c>
      <c r="FS13" s="29">
        <v>0</v>
      </c>
      <c r="FT13" s="29">
        <v>0</v>
      </c>
      <c r="FU13" s="29">
        <v>0</v>
      </c>
      <c r="FV13" s="29">
        <v>0</v>
      </c>
      <c r="FW13" s="29">
        <v>0</v>
      </c>
      <c r="FX13" s="29">
        <v>0</v>
      </c>
      <c r="FY13" s="29"/>
      <c r="FZ13" s="23">
        <f t="shared" si="0"/>
        <v>294</v>
      </c>
      <c r="GA13" s="23"/>
      <c r="GB13" s="23"/>
      <c r="GC13" s="23"/>
      <c r="GD13" s="23"/>
      <c r="GE13" s="23"/>
      <c r="GF13" s="23"/>
      <c r="GG13" s="7"/>
      <c r="GH13" s="7"/>
      <c r="GI13" s="7"/>
      <c r="GJ13" s="7"/>
      <c r="GK13" s="7"/>
      <c r="GL13" s="7"/>
      <c r="GM13" s="7"/>
      <c r="GN13" s="23"/>
      <c r="GO13" s="23"/>
      <c r="GP13" s="23"/>
      <c r="GQ13" s="23"/>
      <c r="GR13" s="23"/>
      <c r="GS13" s="23"/>
      <c r="GT13" s="23"/>
      <c r="GU13" s="23"/>
      <c r="GV13" s="23"/>
    </row>
    <row r="14" spans="1:204" ht="15" customHeight="1" x14ac:dyDescent="0.35">
      <c r="A14" s="12" t="s">
        <v>459</v>
      </c>
      <c r="B14" s="7" t="s">
        <v>460</v>
      </c>
      <c r="C14" s="28">
        <v>0</v>
      </c>
      <c r="D14" s="29">
        <v>1.5</v>
      </c>
      <c r="E14" s="29">
        <v>0</v>
      </c>
      <c r="F14" s="29">
        <v>2</v>
      </c>
      <c r="G14" s="29">
        <v>0</v>
      </c>
      <c r="H14" s="29">
        <v>0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5</v>
      </c>
      <c r="O14" s="29">
        <v>2</v>
      </c>
      <c r="P14" s="29">
        <v>0</v>
      </c>
      <c r="Q14" s="29">
        <v>5.5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3.5</v>
      </c>
      <c r="AB14" s="29">
        <v>1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7</v>
      </c>
      <c r="AQ14" s="29">
        <v>0.5</v>
      </c>
      <c r="AR14" s="29">
        <v>2</v>
      </c>
      <c r="AS14" s="29">
        <v>0</v>
      </c>
      <c r="AT14" s="29">
        <v>1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4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2.5</v>
      </c>
      <c r="BL14" s="29">
        <v>1.5</v>
      </c>
      <c r="BM14" s="29">
        <v>0</v>
      </c>
      <c r="BN14" s="29">
        <v>3</v>
      </c>
      <c r="BO14" s="29">
        <v>0</v>
      </c>
      <c r="BP14" s="29">
        <v>0</v>
      </c>
      <c r="BQ14" s="29">
        <v>0.5</v>
      </c>
      <c r="BR14" s="29">
        <v>0</v>
      </c>
      <c r="BS14" s="29">
        <v>0</v>
      </c>
      <c r="BT14" s="29">
        <v>0</v>
      </c>
      <c r="BU14" s="29">
        <v>0</v>
      </c>
      <c r="BV14" s="29">
        <v>0</v>
      </c>
      <c r="BW14" s="29">
        <v>0</v>
      </c>
      <c r="BX14" s="29">
        <v>0</v>
      </c>
      <c r="BY14" s="29">
        <v>3</v>
      </c>
      <c r="BZ14" s="29">
        <v>0</v>
      </c>
      <c r="CA14" s="29">
        <v>0</v>
      </c>
      <c r="CB14" s="29">
        <v>1.5</v>
      </c>
      <c r="CC14" s="29">
        <v>0</v>
      </c>
      <c r="CD14" s="29">
        <v>0</v>
      </c>
      <c r="CE14" s="29">
        <v>0</v>
      </c>
      <c r="CF14" s="29">
        <v>0</v>
      </c>
      <c r="CG14" s="29">
        <v>0</v>
      </c>
      <c r="CH14" s="29">
        <v>0</v>
      </c>
      <c r="CI14" s="29">
        <v>0</v>
      </c>
      <c r="CJ14" s="29">
        <v>1</v>
      </c>
      <c r="CK14" s="29">
        <v>0</v>
      </c>
      <c r="CL14" s="29">
        <v>0</v>
      </c>
      <c r="CM14" s="29">
        <v>0</v>
      </c>
      <c r="CN14" s="29">
        <v>5</v>
      </c>
      <c r="CO14" s="29">
        <v>2</v>
      </c>
      <c r="CP14" s="29">
        <v>0</v>
      </c>
      <c r="CQ14" s="29">
        <v>0</v>
      </c>
      <c r="CR14" s="29">
        <v>0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</v>
      </c>
      <c r="CY14" s="29">
        <v>0</v>
      </c>
      <c r="CZ14" s="29">
        <v>0</v>
      </c>
      <c r="DA14" s="29">
        <v>0</v>
      </c>
      <c r="DB14" s="29">
        <v>0</v>
      </c>
      <c r="DC14" s="29">
        <v>0</v>
      </c>
      <c r="DD14" s="29">
        <v>0</v>
      </c>
      <c r="DE14" s="29">
        <v>0</v>
      </c>
      <c r="DF14" s="29">
        <v>4</v>
      </c>
      <c r="DG14" s="29">
        <v>0</v>
      </c>
      <c r="DH14" s="29">
        <v>0</v>
      </c>
      <c r="DI14" s="29">
        <v>0</v>
      </c>
      <c r="DJ14" s="29">
        <v>0</v>
      </c>
      <c r="DK14" s="29">
        <v>0</v>
      </c>
      <c r="DL14" s="29">
        <v>0</v>
      </c>
      <c r="DM14" s="29">
        <v>0</v>
      </c>
      <c r="DN14" s="29">
        <v>0</v>
      </c>
      <c r="DO14" s="29">
        <v>1</v>
      </c>
      <c r="DP14" s="29">
        <v>0</v>
      </c>
      <c r="DQ14" s="29">
        <v>0</v>
      </c>
      <c r="DR14" s="29">
        <v>0</v>
      </c>
      <c r="DS14" s="29">
        <v>0</v>
      </c>
      <c r="DT14" s="29">
        <v>0</v>
      </c>
      <c r="DU14" s="29">
        <v>0</v>
      </c>
      <c r="DV14" s="29">
        <v>0</v>
      </c>
      <c r="DW14" s="29">
        <v>0</v>
      </c>
      <c r="DX14" s="29">
        <v>0</v>
      </c>
      <c r="DY14" s="29">
        <v>0</v>
      </c>
      <c r="DZ14" s="29">
        <v>0</v>
      </c>
      <c r="EA14" s="29">
        <v>0</v>
      </c>
      <c r="EB14" s="29">
        <v>0</v>
      </c>
      <c r="EC14" s="29">
        <v>0</v>
      </c>
      <c r="ED14" s="29">
        <v>0</v>
      </c>
      <c r="EE14" s="29">
        <v>0</v>
      </c>
      <c r="EF14" s="29">
        <v>0</v>
      </c>
      <c r="EG14" s="29">
        <v>0</v>
      </c>
      <c r="EH14" s="29">
        <v>0</v>
      </c>
      <c r="EI14" s="29">
        <v>1</v>
      </c>
      <c r="EJ14" s="29">
        <v>1</v>
      </c>
      <c r="EK14" s="29">
        <v>0</v>
      </c>
      <c r="EL14" s="29">
        <v>0</v>
      </c>
      <c r="EM14" s="29">
        <v>0</v>
      </c>
      <c r="EN14" s="29">
        <v>0</v>
      </c>
      <c r="EO14" s="29">
        <v>0</v>
      </c>
      <c r="EP14" s="29">
        <v>0</v>
      </c>
      <c r="EQ14" s="29">
        <v>0</v>
      </c>
      <c r="ER14" s="29">
        <v>0</v>
      </c>
      <c r="ES14" s="29">
        <v>0</v>
      </c>
      <c r="ET14" s="29">
        <v>0</v>
      </c>
      <c r="EU14" s="29">
        <v>0</v>
      </c>
      <c r="EV14" s="29">
        <v>0</v>
      </c>
      <c r="EW14" s="29">
        <v>0</v>
      </c>
      <c r="EX14" s="29">
        <v>0</v>
      </c>
      <c r="EY14" s="29">
        <v>0</v>
      </c>
      <c r="EZ14" s="29">
        <v>0</v>
      </c>
      <c r="FA14" s="29">
        <v>0</v>
      </c>
      <c r="FB14" s="29">
        <v>0</v>
      </c>
      <c r="FC14" s="29">
        <v>0</v>
      </c>
      <c r="FD14" s="29">
        <v>0</v>
      </c>
      <c r="FE14" s="29">
        <v>0</v>
      </c>
      <c r="FF14" s="29">
        <v>0</v>
      </c>
      <c r="FG14" s="29">
        <v>0</v>
      </c>
      <c r="FH14" s="29">
        <v>0</v>
      </c>
      <c r="FI14" s="29">
        <v>0</v>
      </c>
      <c r="FJ14" s="29">
        <v>0</v>
      </c>
      <c r="FK14" s="29">
        <v>0</v>
      </c>
      <c r="FL14" s="29">
        <v>0</v>
      </c>
      <c r="FM14" s="29">
        <v>0</v>
      </c>
      <c r="FN14" s="29">
        <v>0</v>
      </c>
      <c r="FO14" s="29">
        <v>0</v>
      </c>
      <c r="FP14" s="29">
        <v>0</v>
      </c>
      <c r="FQ14" s="29">
        <v>0</v>
      </c>
      <c r="FR14" s="29">
        <v>0</v>
      </c>
      <c r="FS14" s="29">
        <v>0</v>
      </c>
      <c r="FT14" s="29">
        <v>0</v>
      </c>
      <c r="FU14" s="29">
        <v>0</v>
      </c>
      <c r="FV14" s="29">
        <v>0</v>
      </c>
      <c r="FW14" s="29">
        <v>0</v>
      </c>
      <c r="FX14" s="29">
        <v>0</v>
      </c>
      <c r="FY14" s="29"/>
      <c r="FZ14" s="23">
        <f t="shared" ref="FZ14:FZ15" si="2">SUM(C14:FY14)</f>
        <v>63</v>
      </c>
      <c r="GA14" s="23"/>
      <c r="GB14" s="23"/>
      <c r="GC14" s="23"/>
      <c r="GD14" s="23"/>
      <c r="GE14" s="23"/>
      <c r="GF14" s="23"/>
      <c r="GG14" s="7"/>
      <c r="GH14" s="7"/>
      <c r="GI14" s="7"/>
      <c r="GJ14" s="7"/>
      <c r="GK14" s="7"/>
      <c r="GL14" s="7"/>
      <c r="GM14" s="7"/>
      <c r="GN14" s="23"/>
      <c r="GO14" s="23"/>
      <c r="GP14" s="23"/>
      <c r="GQ14" s="23"/>
      <c r="GR14" s="23"/>
      <c r="GS14" s="23"/>
      <c r="GT14" s="23"/>
      <c r="GU14" s="23"/>
      <c r="GV14" s="23"/>
    </row>
    <row r="15" spans="1:204" ht="15" customHeight="1" x14ac:dyDescent="0.35">
      <c r="A15" s="12" t="s">
        <v>461</v>
      </c>
      <c r="B15" s="7" t="s">
        <v>462</v>
      </c>
      <c r="C15" s="28">
        <v>4</v>
      </c>
      <c r="D15" s="29">
        <v>58</v>
      </c>
      <c r="E15" s="29">
        <v>11</v>
      </c>
      <c r="F15" s="29">
        <v>11</v>
      </c>
      <c r="G15" s="29">
        <v>1</v>
      </c>
      <c r="H15" s="29">
        <v>1</v>
      </c>
      <c r="I15" s="29">
        <v>9</v>
      </c>
      <c r="J15" s="29">
        <v>0</v>
      </c>
      <c r="K15" s="29">
        <v>0</v>
      </c>
      <c r="L15" s="29">
        <v>23</v>
      </c>
      <c r="M15" s="29">
        <v>14</v>
      </c>
      <c r="N15" s="29">
        <v>159.5</v>
      </c>
      <c r="O15" s="29">
        <v>98</v>
      </c>
      <c r="P15" s="29">
        <v>0</v>
      </c>
      <c r="Q15" s="29">
        <v>209</v>
      </c>
      <c r="R15" s="29">
        <v>1</v>
      </c>
      <c r="S15" s="29">
        <v>0</v>
      </c>
      <c r="T15" s="29">
        <v>0</v>
      </c>
      <c r="U15" s="29">
        <v>0</v>
      </c>
      <c r="V15" s="29">
        <v>0</v>
      </c>
      <c r="W15" s="29">
        <v>1</v>
      </c>
      <c r="X15" s="29">
        <v>0</v>
      </c>
      <c r="Y15" s="29">
        <v>0</v>
      </c>
      <c r="Z15" s="29">
        <v>0</v>
      </c>
      <c r="AA15" s="29">
        <v>37</v>
      </c>
      <c r="AB15" s="29">
        <v>46.5</v>
      </c>
      <c r="AC15" s="29">
        <v>0</v>
      </c>
      <c r="AD15" s="29">
        <v>6.5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1</v>
      </c>
      <c r="AO15" s="29">
        <v>0</v>
      </c>
      <c r="AP15" s="29">
        <v>191</v>
      </c>
      <c r="AQ15" s="29">
        <v>0</v>
      </c>
      <c r="AR15" s="29">
        <v>155</v>
      </c>
      <c r="AS15" s="29">
        <v>16</v>
      </c>
      <c r="AT15" s="29">
        <v>3</v>
      </c>
      <c r="AU15" s="29">
        <v>0</v>
      </c>
      <c r="AV15" s="29">
        <v>0</v>
      </c>
      <c r="AW15" s="29">
        <v>2</v>
      </c>
      <c r="AX15" s="29">
        <v>0</v>
      </c>
      <c r="AY15" s="29">
        <v>0</v>
      </c>
      <c r="AZ15" s="29">
        <v>1</v>
      </c>
      <c r="BA15" s="29">
        <v>0.5</v>
      </c>
      <c r="BB15" s="29">
        <v>9</v>
      </c>
      <c r="BC15" s="29">
        <v>30</v>
      </c>
      <c r="BD15" s="29">
        <v>4</v>
      </c>
      <c r="BE15" s="29">
        <v>0</v>
      </c>
      <c r="BF15" s="29">
        <v>31.5</v>
      </c>
      <c r="BG15" s="29">
        <v>0</v>
      </c>
      <c r="BH15" s="29">
        <v>12</v>
      </c>
      <c r="BI15" s="29">
        <v>0</v>
      </c>
      <c r="BJ15" s="29">
        <v>15.5</v>
      </c>
      <c r="BK15" s="29">
        <v>83</v>
      </c>
      <c r="BL15" s="29">
        <v>2.5</v>
      </c>
      <c r="BM15" s="29">
        <v>18.5</v>
      </c>
      <c r="BN15" s="29">
        <v>33.5</v>
      </c>
      <c r="BO15" s="29">
        <v>3</v>
      </c>
      <c r="BP15" s="29">
        <v>0</v>
      </c>
      <c r="BQ15" s="29">
        <v>2</v>
      </c>
      <c r="BR15" s="29">
        <v>0</v>
      </c>
      <c r="BS15" s="29">
        <v>0</v>
      </c>
      <c r="BT15" s="29">
        <v>0</v>
      </c>
      <c r="BU15" s="29">
        <v>0</v>
      </c>
      <c r="BV15" s="29">
        <v>0</v>
      </c>
      <c r="BW15" s="29">
        <v>0</v>
      </c>
      <c r="BX15" s="29">
        <v>0</v>
      </c>
      <c r="BY15" s="29">
        <v>0</v>
      </c>
      <c r="BZ15" s="29">
        <v>0</v>
      </c>
      <c r="CA15" s="29">
        <v>0</v>
      </c>
      <c r="CB15" s="29">
        <v>235</v>
      </c>
      <c r="CC15" s="29">
        <v>0</v>
      </c>
      <c r="CD15" s="29">
        <v>0</v>
      </c>
      <c r="CE15" s="29">
        <v>0</v>
      </c>
      <c r="CF15" s="29">
        <v>0</v>
      </c>
      <c r="CG15" s="29">
        <v>0</v>
      </c>
      <c r="CH15" s="29">
        <v>0</v>
      </c>
      <c r="CI15" s="29">
        <v>0</v>
      </c>
      <c r="CJ15" s="29">
        <v>0</v>
      </c>
      <c r="CK15" s="29">
        <v>0</v>
      </c>
      <c r="CL15" s="29">
        <v>4</v>
      </c>
      <c r="CM15" s="29">
        <v>0</v>
      </c>
      <c r="CN15" s="29">
        <v>232</v>
      </c>
      <c r="CO15" s="29">
        <v>69.5</v>
      </c>
      <c r="CP15" s="29">
        <v>3</v>
      </c>
      <c r="CQ15" s="29">
        <v>0</v>
      </c>
      <c r="CR15" s="29">
        <v>0</v>
      </c>
      <c r="CS15" s="29">
        <v>0</v>
      </c>
      <c r="CT15" s="29">
        <v>0</v>
      </c>
      <c r="CU15" s="29">
        <v>2</v>
      </c>
      <c r="CV15" s="29">
        <v>0</v>
      </c>
      <c r="CW15" s="29">
        <v>0</v>
      </c>
      <c r="CX15" s="29">
        <v>0</v>
      </c>
      <c r="CY15" s="29">
        <v>0</v>
      </c>
      <c r="CZ15" s="29">
        <v>0</v>
      </c>
      <c r="DA15" s="29">
        <v>0</v>
      </c>
      <c r="DB15" s="29">
        <v>0</v>
      </c>
      <c r="DC15" s="29">
        <v>0</v>
      </c>
      <c r="DD15" s="29">
        <v>0</v>
      </c>
      <c r="DE15" s="29">
        <v>0</v>
      </c>
      <c r="DF15" s="29">
        <v>18.5</v>
      </c>
      <c r="DG15" s="29">
        <v>0</v>
      </c>
      <c r="DH15" s="29">
        <v>0</v>
      </c>
      <c r="DI15" s="29">
        <v>0</v>
      </c>
      <c r="DJ15" s="29">
        <v>0</v>
      </c>
      <c r="DK15" s="29">
        <v>0</v>
      </c>
      <c r="DL15" s="29">
        <v>0</v>
      </c>
      <c r="DM15" s="29">
        <v>0</v>
      </c>
      <c r="DN15" s="29">
        <v>1</v>
      </c>
      <c r="DO15" s="29">
        <v>0</v>
      </c>
      <c r="DP15" s="29">
        <v>0</v>
      </c>
      <c r="DQ15" s="29">
        <v>1</v>
      </c>
      <c r="DR15" s="29">
        <v>0</v>
      </c>
      <c r="DS15" s="29">
        <v>0</v>
      </c>
      <c r="DT15" s="29">
        <v>0</v>
      </c>
      <c r="DU15" s="29">
        <v>0</v>
      </c>
      <c r="DV15" s="29">
        <v>0</v>
      </c>
      <c r="DW15" s="29">
        <v>0</v>
      </c>
      <c r="DX15" s="29">
        <v>0</v>
      </c>
      <c r="DY15" s="29">
        <v>0</v>
      </c>
      <c r="DZ15" s="29">
        <v>1</v>
      </c>
      <c r="EA15" s="29">
        <v>0</v>
      </c>
      <c r="EB15" s="29">
        <v>0</v>
      </c>
      <c r="EC15" s="29">
        <v>0</v>
      </c>
      <c r="ED15" s="29">
        <v>0</v>
      </c>
      <c r="EE15" s="29">
        <v>0</v>
      </c>
      <c r="EF15" s="29">
        <v>2</v>
      </c>
      <c r="EG15" s="29">
        <v>0</v>
      </c>
      <c r="EH15" s="29">
        <v>0</v>
      </c>
      <c r="EI15" s="29">
        <v>24.5</v>
      </c>
      <c r="EJ15" s="29">
        <v>26</v>
      </c>
      <c r="EK15" s="29">
        <v>0</v>
      </c>
      <c r="EL15" s="29">
        <v>0</v>
      </c>
      <c r="EM15" s="29">
        <v>0</v>
      </c>
      <c r="EN15" s="29">
        <v>0</v>
      </c>
      <c r="EO15" s="29">
        <v>0</v>
      </c>
      <c r="EP15" s="29">
        <v>0</v>
      </c>
      <c r="EQ15" s="29">
        <v>2</v>
      </c>
      <c r="ER15" s="29">
        <v>2</v>
      </c>
      <c r="ES15" s="29">
        <v>0</v>
      </c>
      <c r="ET15" s="29">
        <v>0</v>
      </c>
      <c r="EU15" s="29">
        <v>0</v>
      </c>
      <c r="EV15" s="29">
        <v>0</v>
      </c>
      <c r="EW15" s="29">
        <v>0</v>
      </c>
      <c r="EX15" s="29">
        <v>0</v>
      </c>
      <c r="EY15" s="29">
        <v>0</v>
      </c>
      <c r="EZ15" s="29">
        <v>0</v>
      </c>
      <c r="FA15" s="29">
        <v>12</v>
      </c>
      <c r="FB15" s="29">
        <v>0</v>
      </c>
      <c r="FC15" s="29">
        <v>4</v>
      </c>
      <c r="FD15" s="29">
        <v>0</v>
      </c>
      <c r="FE15" s="29">
        <v>0</v>
      </c>
      <c r="FF15" s="29">
        <v>0</v>
      </c>
      <c r="FG15" s="29">
        <v>0</v>
      </c>
      <c r="FH15" s="29">
        <v>0</v>
      </c>
      <c r="FI15" s="29">
        <v>0</v>
      </c>
      <c r="FJ15" s="29">
        <v>0</v>
      </c>
      <c r="FK15" s="29">
        <v>0</v>
      </c>
      <c r="FL15" s="29">
        <v>0</v>
      </c>
      <c r="FM15" s="29">
        <v>0</v>
      </c>
      <c r="FN15" s="29">
        <v>15.5</v>
      </c>
      <c r="FO15" s="29">
        <v>0</v>
      </c>
      <c r="FP15" s="29">
        <v>0</v>
      </c>
      <c r="FQ15" s="29">
        <v>0</v>
      </c>
      <c r="FR15" s="29">
        <v>0</v>
      </c>
      <c r="FS15" s="29">
        <v>0</v>
      </c>
      <c r="FT15" s="29">
        <v>0</v>
      </c>
      <c r="FU15" s="29">
        <v>0</v>
      </c>
      <c r="FV15" s="29">
        <v>1</v>
      </c>
      <c r="FW15" s="29">
        <v>2</v>
      </c>
      <c r="FX15" s="29">
        <v>0</v>
      </c>
      <c r="FY15" s="29"/>
      <c r="FZ15" s="23">
        <f t="shared" si="2"/>
        <v>1962.5</v>
      </c>
      <c r="GA15" s="23"/>
      <c r="GB15" s="23"/>
      <c r="GC15" s="23"/>
      <c r="GD15" s="23"/>
      <c r="GE15" s="23"/>
      <c r="GF15" s="23"/>
      <c r="GG15" s="7"/>
      <c r="GH15" s="7"/>
      <c r="GI15" s="7"/>
      <c r="GJ15" s="7"/>
      <c r="GK15" s="7"/>
      <c r="GL15" s="7"/>
      <c r="GM15" s="7"/>
      <c r="GN15" s="23"/>
      <c r="GO15" s="23"/>
      <c r="GP15" s="23"/>
      <c r="GQ15" s="23"/>
      <c r="GR15" s="23"/>
      <c r="GS15" s="23"/>
      <c r="GT15" s="23"/>
      <c r="GU15" s="23"/>
      <c r="GV15" s="23"/>
    </row>
    <row r="16" spans="1:204" ht="15" customHeight="1" x14ac:dyDescent="0.35">
      <c r="A16" s="12" t="s">
        <v>463</v>
      </c>
      <c r="B16" s="7" t="s">
        <v>464</v>
      </c>
      <c r="C16" s="23">
        <f t="shared" ref="C16:FX16" si="3">ROUND(C11-C12-C13-C15,1)</f>
        <v>6364.5</v>
      </c>
      <c r="D16" s="23">
        <f t="shared" si="3"/>
        <v>32089</v>
      </c>
      <c r="E16" s="23">
        <f t="shared" si="3"/>
        <v>4691</v>
      </c>
      <c r="F16" s="23">
        <f t="shared" si="3"/>
        <v>21462.5</v>
      </c>
      <c r="G16" s="23">
        <f t="shared" si="3"/>
        <v>1844</v>
      </c>
      <c r="H16" s="23">
        <f t="shared" si="3"/>
        <v>1070</v>
      </c>
      <c r="I16" s="23">
        <f t="shared" si="3"/>
        <v>7027</v>
      </c>
      <c r="J16" s="23">
        <f t="shared" si="3"/>
        <v>1988</v>
      </c>
      <c r="K16" s="23">
        <f t="shared" si="3"/>
        <v>248.5</v>
      </c>
      <c r="L16" s="23">
        <f t="shared" si="3"/>
        <v>2062</v>
      </c>
      <c r="M16" s="23">
        <f t="shared" si="3"/>
        <v>839</v>
      </c>
      <c r="N16" s="23">
        <f t="shared" si="3"/>
        <v>49557</v>
      </c>
      <c r="O16" s="23">
        <f t="shared" si="3"/>
        <v>12263.5</v>
      </c>
      <c r="P16" s="23">
        <f t="shared" si="3"/>
        <v>313</v>
      </c>
      <c r="Q16" s="23">
        <f t="shared" si="3"/>
        <v>37352</v>
      </c>
      <c r="R16" s="23">
        <f t="shared" si="3"/>
        <v>481</v>
      </c>
      <c r="S16" s="23">
        <f t="shared" si="3"/>
        <v>1545.5</v>
      </c>
      <c r="T16" s="23">
        <f t="shared" si="3"/>
        <v>160</v>
      </c>
      <c r="U16" s="23">
        <f t="shared" si="3"/>
        <v>54</v>
      </c>
      <c r="V16" s="23">
        <f t="shared" si="3"/>
        <v>253</v>
      </c>
      <c r="W16" s="23">
        <f t="shared" si="3"/>
        <v>46</v>
      </c>
      <c r="X16" s="23">
        <f t="shared" si="3"/>
        <v>37.5</v>
      </c>
      <c r="Y16" s="23">
        <f t="shared" si="3"/>
        <v>397</v>
      </c>
      <c r="Z16" s="23">
        <f t="shared" si="3"/>
        <v>231</v>
      </c>
      <c r="AA16" s="23">
        <f t="shared" si="3"/>
        <v>30254.5</v>
      </c>
      <c r="AB16" s="23">
        <f t="shared" si="3"/>
        <v>26514</v>
      </c>
      <c r="AC16" s="23">
        <f t="shared" si="3"/>
        <v>847.5</v>
      </c>
      <c r="AD16" s="23">
        <f t="shared" si="3"/>
        <v>1281</v>
      </c>
      <c r="AE16" s="23">
        <f t="shared" si="3"/>
        <v>97</v>
      </c>
      <c r="AF16" s="23">
        <f t="shared" si="3"/>
        <v>164</v>
      </c>
      <c r="AG16" s="23">
        <f t="shared" si="3"/>
        <v>585.5</v>
      </c>
      <c r="AH16" s="23">
        <f t="shared" si="3"/>
        <v>908</v>
      </c>
      <c r="AI16" s="23">
        <f t="shared" si="3"/>
        <v>383</v>
      </c>
      <c r="AJ16" s="23">
        <f t="shared" si="3"/>
        <v>181.5</v>
      </c>
      <c r="AK16" s="23">
        <f t="shared" si="3"/>
        <v>162.5</v>
      </c>
      <c r="AL16" s="23">
        <f t="shared" si="3"/>
        <v>288.5</v>
      </c>
      <c r="AM16" s="23">
        <f t="shared" si="3"/>
        <v>306</v>
      </c>
      <c r="AN16" s="23">
        <f t="shared" si="3"/>
        <v>267</v>
      </c>
      <c r="AO16" s="23">
        <f t="shared" si="3"/>
        <v>3681</v>
      </c>
      <c r="AP16" s="23">
        <f t="shared" si="3"/>
        <v>83522.5</v>
      </c>
      <c r="AQ16" s="23">
        <f t="shared" si="3"/>
        <v>251</v>
      </c>
      <c r="AR16" s="23">
        <f t="shared" si="3"/>
        <v>57312</v>
      </c>
      <c r="AS16" s="23">
        <f t="shared" si="3"/>
        <v>5954.5</v>
      </c>
      <c r="AT16" s="23">
        <f t="shared" si="3"/>
        <v>2358</v>
      </c>
      <c r="AU16" s="23">
        <f t="shared" si="3"/>
        <v>268</v>
      </c>
      <c r="AV16" s="23">
        <f t="shared" si="3"/>
        <v>296</v>
      </c>
      <c r="AW16" s="23">
        <f t="shared" si="3"/>
        <v>255</v>
      </c>
      <c r="AX16" s="23">
        <f t="shared" si="3"/>
        <v>81</v>
      </c>
      <c r="AY16" s="23">
        <f t="shared" si="3"/>
        <v>391.5</v>
      </c>
      <c r="AZ16" s="23">
        <f t="shared" si="3"/>
        <v>11778.5</v>
      </c>
      <c r="BA16" s="23">
        <f t="shared" si="3"/>
        <v>8849.5</v>
      </c>
      <c r="BB16" s="23">
        <f t="shared" si="3"/>
        <v>7441</v>
      </c>
      <c r="BC16" s="23">
        <f t="shared" si="3"/>
        <v>20968.5</v>
      </c>
      <c r="BD16" s="23">
        <f t="shared" si="3"/>
        <v>3633.5</v>
      </c>
      <c r="BE16" s="23">
        <f t="shared" si="3"/>
        <v>1092</v>
      </c>
      <c r="BF16" s="23">
        <f t="shared" si="3"/>
        <v>24344</v>
      </c>
      <c r="BG16" s="23">
        <f t="shared" si="3"/>
        <v>919.5</v>
      </c>
      <c r="BH16" s="23">
        <f t="shared" si="3"/>
        <v>534</v>
      </c>
      <c r="BI16" s="23">
        <f t="shared" si="3"/>
        <v>254.5</v>
      </c>
      <c r="BJ16" s="23">
        <f t="shared" si="3"/>
        <v>6294</v>
      </c>
      <c r="BK16" s="23">
        <f t="shared" si="3"/>
        <v>21812.5</v>
      </c>
      <c r="BL16" s="23">
        <f t="shared" si="3"/>
        <v>69.5</v>
      </c>
      <c r="BM16" s="23">
        <f t="shared" si="3"/>
        <v>330.5</v>
      </c>
      <c r="BN16" s="23">
        <f t="shared" si="3"/>
        <v>2993</v>
      </c>
      <c r="BO16" s="23">
        <f t="shared" si="3"/>
        <v>1186</v>
      </c>
      <c r="BP16" s="23">
        <f t="shared" si="3"/>
        <v>137</v>
      </c>
      <c r="BQ16" s="23">
        <f t="shared" si="3"/>
        <v>5582</v>
      </c>
      <c r="BR16" s="23">
        <f t="shared" si="3"/>
        <v>4474.5</v>
      </c>
      <c r="BS16" s="23">
        <f t="shared" si="3"/>
        <v>1158</v>
      </c>
      <c r="BT16" s="23">
        <f t="shared" si="3"/>
        <v>353</v>
      </c>
      <c r="BU16" s="23">
        <f t="shared" si="3"/>
        <v>382</v>
      </c>
      <c r="BV16" s="23">
        <f t="shared" si="3"/>
        <v>1243</v>
      </c>
      <c r="BW16" s="23">
        <f t="shared" si="3"/>
        <v>2017.5</v>
      </c>
      <c r="BX16" s="23">
        <f t="shared" si="3"/>
        <v>57</v>
      </c>
      <c r="BY16" s="23">
        <f t="shared" si="3"/>
        <v>392.5</v>
      </c>
      <c r="BZ16" s="23">
        <f t="shared" si="3"/>
        <v>228</v>
      </c>
      <c r="CA16" s="23">
        <f t="shared" si="3"/>
        <v>141.5</v>
      </c>
      <c r="CB16" s="23">
        <f t="shared" si="3"/>
        <v>70207.5</v>
      </c>
      <c r="CC16" s="23">
        <f t="shared" si="3"/>
        <v>186</v>
      </c>
      <c r="CD16" s="23">
        <f t="shared" si="3"/>
        <v>30</v>
      </c>
      <c r="CE16" s="23">
        <f t="shared" si="3"/>
        <v>158</v>
      </c>
      <c r="CF16" s="23">
        <f t="shared" si="3"/>
        <v>100</v>
      </c>
      <c r="CG16" s="23">
        <f t="shared" si="3"/>
        <v>191</v>
      </c>
      <c r="CH16" s="23">
        <f t="shared" si="3"/>
        <v>90</v>
      </c>
      <c r="CI16" s="23">
        <f t="shared" si="3"/>
        <v>683</v>
      </c>
      <c r="CJ16" s="23">
        <f t="shared" si="3"/>
        <v>822.5</v>
      </c>
      <c r="CK16" s="23">
        <f t="shared" si="3"/>
        <v>4188.5</v>
      </c>
      <c r="CL16" s="23">
        <f t="shared" si="3"/>
        <v>1148</v>
      </c>
      <c r="CM16" s="23">
        <f t="shared" si="3"/>
        <v>675.5</v>
      </c>
      <c r="CN16" s="23">
        <f t="shared" si="3"/>
        <v>27905.5</v>
      </c>
      <c r="CO16" s="23">
        <f t="shared" si="3"/>
        <v>13919.5</v>
      </c>
      <c r="CP16" s="23">
        <f t="shared" si="3"/>
        <v>856.5</v>
      </c>
      <c r="CQ16" s="23">
        <f t="shared" si="3"/>
        <v>759</v>
      </c>
      <c r="CR16" s="23">
        <f t="shared" si="3"/>
        <v>195</v>
      </c>
      <c r="CS16" s="23">
        <f t="shared" si="3"/>
        <v>245.5</v>
      </c>
      <c r="CT16" s="23">
        <f t="shared" si="3"/>
        <v>112</v>
      </c>
      <c r="CU16" s="23">
        <f t="shared" si="3"/>
        <v>67</v>
      </c>
      <c r="CV16" s="23">
        <f t="shared" si="3"/>
        <v>24</v>
      </c>
      <c r="CW16" s="23">
        <f t="shared" si="3"/>
        <v>187</v>
      </c>
      <c r="CX16" s="23">
        <f t="shared" si="3"/>
        <v>457</v>
      </c>
      <c r="CY16" s="23">
        <f t="shared" si="3"/>
        <v>25</v>
      </c>
      <c r="CZ16" s="23">
        <f t="shared" si="3"/>
        <v>1768</v>
      </c>
      <c r="DA16" s="23">
        <f t="shared" si="3"/>
        <v>203.5</v>
      </c>
      <c r="DB16" s="23">
        <f t="shared" si="3"/>
        <v>310.5</v>
      </c>
      <c r="DC16" s="23">
        <f t="shared" si="3"/>
        <v>193</v>
      </c>
      <c r="DD16" s="23">
        <f t="shared" si="3"/>
        <v>174.5</v>
      </c>
      <c r="DE16" s="23">
        <f t="shared" si="3"/>
        <v>279.5</v>
      </c>
      <c r="DF16" s="23">
        <f t="shared" si="3"/>
        <v>18445.5</v>
      </c>
      <c r="DG16" s="23">
        <f t="shared" si="3"/>
        <v>93.5</v>
      </c>
      <c r="DH16" s="23">
        <f t="shared" si="3"/>
        <v>1684</v>
      </c>
      <c r="DI16" s="23">
        <f t="shared" si="3"/>
        <v>2289</v>
      </c>
      <c r="DJ16" s="23">
        <f t="shared" si="3"/>
        <v>600</v>
      </c>
      <c r="DK16" s="23">
        <f t="shared" si="3"/>
        <v>472.5</v>
      </c>
      <c r="DL16" s="23">
        <f t="shared" si="3"/>
        <v>5616</v>
      </c>
      <c r="DM16" s="23">
        <f t="shared" si="3"/>
        <v>235</v>
      </c>
      <c r="DN16" s="23">
        <f t="shared" si="3"/>
        <v>1294.5</v>
      </c>
      <c r="DO16" s="23">
        <f t="shared" si="3"/>
        <v>3290</v>
      </c>
      <c r="DP16" s="23">
        <f t="shared" si="3"/>
        <v>199</v>
      </c>
      <c r="DQ16" s="23">
        <f t="shared" si="3"/>
        <v>887</v>
      </c>
      <c r="DR16" s="23">
        <f t="shared" si="3"/>
        <v>1266</v>
      </c>
      <c r="DS16" s="23">
        <f t="shared" si="3"/>
        <v>545</v>
      </c>
      <c r="DT16" s="23">
        <f t="shared" si="3"/>
        <v>175</v>
      </c>
      <c r="DU16" s="23">
        <f t="shared" si="3"/>
        <v>346</v>
      </c>
      <c r="DV16" s="23">
        <f t="shared" si="3"/>
        <v>198</v>
      </c>
      <c r="DW16" s="23">
        <f t="shared" si="3"/>
        <v>285</v>
      </c>
      <c r="DX16" s="23">
        <f t="shared" si="3"/>
        <v>168</v>
      </c>
      <c r="DY16" s="23">
        <f t="shared" si="3"/>
        <v>280</v>
      </c>
      <c r="DZ16" s="23">
        <f t="shared" si="3"/>
        <v>606.5</v>
      </c>
      <c r="EA16" s="23">
        <f t="shared" si="3"/>
        <v>487.5</v>
      </c>
      <c r="EB16" s="23">
        <f t="shared" si="3"/>
        <v>498</v>
      </c>
      <c r="EC16" s="23">
        <f t="shared" si="3"/>
        <v>260</v>
      </c>
      <c r="ED16" s="23">
        <f t="shared" si="3"/>
        <v>1546.5</v>
      </c>
      <c r="EE16" s="23">
        <f t="shared" si="3"/>
        <v>185.5</v>
      </c>
      <c r="EF16" s="23">
        <f t="shared" si="3"/>
        <v>1260</v>
      </c>
      <c r="EG16" s="23">
        <f t="shared" si="3"/>
        <v>250</v>
      </c>
      <c r="EH16" s="23">
        <f t="shared" si="3"/>
        <v>246</v>
      </c>
      <c r="EI16" s="23">
        <f t="shared" si="3"/>
        <v>13258.5</v>
      </c>
      <c r="EJ16" s="23">
        <f t="shared" si="3"/>
        <v>9752</v>
      </c>
      <c r="EK16" s="23">
        <f t="shared" si="3"/>
        <v>663.5</v>
      </c>
      <c r="EL16" s="23">
        <f t="shared" si="3"/>
        <v>447</v>
      </c>
      <c r="EM16" s="23">
        <f t="shared" si="3"/>
        <v>355</v>
      </c>
      <c r="EN16" s="23">
        <f t="shared" si="3"/>
        <v>876.5</v>
      </c>
      <c r="EO16" s="23">
        <f t="shared" si="3"/>
        <v>287</v>
      </c>
      <c r="EP16" s="23">
        <f t="shared" si="3"/>
        <v>428.5</v>
      </c>
      <c r="EQ16" s="23">
        <f t="shared" si="3"/>
        <v>2405</v>
      </c>
      <c r="ER16" s="23">
        <f t="shared" si="3"/>
        <v>306.5</v>
      </c>
      <c r="ES16" s="23">
        <f t="shared" si="3"/>
        <v>155.5</v>
      </c>
      <c r="ET16" s="23">
        <f t="shared" si="3"/>
        <v>197.5</v>
      </c>
      <c r="EU16" s="23">
        <f t="shared" si="3"/>
        <v>568</v>
      </c>
      <c r="EV16" s="23">
        <f t="shared" si="3"/>
        <v>66</v>
      </c>
      <c r="EW16" s="23">
        <f t="shared" si="3"/>
        <v>746.5</v>
      </c>
      <c r="EX16" s="23">
        <f t="shared" si="3"/>
        <v>173.5</v>
      </c>
      <c r="EY16" s="23">
        <f t="shared" si="3"/>
        <v>201</v>
      </c>
      <c r="EZ16" s="23">
        <f t="shared" si="3"/>
        <v>127</v>
      </c>
      <c r="FA16" s="23">
        <f t="shared" si="3"/>
        <v>3245</v>
      </c>
      <c r="FB16" s="23">
        <f t="shared" si="3"/>
        <v>275.5</v>
      </c>
      <c r="FC16" s="23">
        <f t="shared" si="3"/>
        <v>1640</v>
      </c>
      <c r="FD16" s="23">
        <f t="shared" si="3"/>
        <v>399</v>
      </c>
      <c r="FE16" s="23">
        <f t="shared" si="3"/>
        <v>70</v>
      </c>
      <c r="FF16" s="23">
        <f t="shared" si="3"/>
        <v>175</v>
      </c>
      <c r="FG16" s="23">
        <f t="shared" si="3"/>
        <v>114</v>
      </c>
      <c r="FH16" s="23">
        <f t="shared" si="3"/>
        <v>69</v>
      </c>
      <c r="FI16" s="23">
        <f t="shared" si="3"/>
        <v>1645</v>
      </c>
      <c r="FJ16" s="23">
        <f t="shared" si="3"/>
        <v>2016.5</v>
      </c>
      <c r="FK16" s="23">
        <f t="shared" si="3"/>
        <v>2482</v>
      </c>
      <c r="FL16" s="23">
        <f t="shared" si="3"/>
        <v>8537.5</v>
      </c>
      <c r="FM16" s="23">
        <f t="shared" si="3"/>
        <v>3981.5</v>
      </c>
      <c r="FN16" s="23">
        <f t="shared" si="3"/>
        <v>22420.5</v>
      </c>
      <c r="FO16" s="23">
        <f t="shared" si="3"/>
        <v>1117</v>
      </c>
      <c r="FP16" s="23">
        <f t="shared" si="3"/>
        <v>2341.5</v>
      </c>
      <c r="FQ16" s="23">
        <f t="shared" si="3"/>
        <v>982.5</v>
      </c>
      <c r="FR16" s="23">
        <f t="shared" si="3"/>
        <v>162.5</v>
      </c>
      <c r="FS16" s="23">
        <f t="shared" si="3"/>
        <v>160.5</v>
      </c>
      <c r="FT16" s="23">
        <f t="shared" si="3"/>
        <v>54</v>
      </c>
      <c r="FU16" s="23">
        <f t="shared" si="3"/>
        <v>760</v>
      </c>
      <c r="FV16" s="23">
        <f t="shared" si="3"/>
        <v>692</v>
      </c>
      <c r="FW16" s="23">
        <f t="shared" si="3"/>
        <v>128</v>
      </c>
      <c r="FX16" s="23">
        <f t="shared" si="3"/>
        <v>64</v>
      </c>
      <c r="FY16" s="23"/>
      <c r="FZ16" s="23">
        <f t="shared" ref="FZ16:FZ18" si="4">SUM(C16:FX16)</f>
        <v>782071</v>
      </c>
      <c r="GA16" s="30"/>
      <c r="GB16" s="23">
        <f>FZ16-GA16</f>
        <v>782071</v>
      </c>
      <c r="GC16" s="23"/>
      <c r="GD16" s="23"/>
      <c r="GE16" s="23"/>
      <c r="GF16" s="23"/>
      <c r="GG16" s="7"/>
      <c r="GH16" s="7"/>
      <c r="GI16" s="7"/>
      <c r="GJ16" s="7"/>
      <c r="GK16" s="7"/>
      <c r="GL16" s="7"/>
      <c r="GM16" s="7"/>
      <c r="GN16" s="31"/>
      <c r="GO16" s="31"/>
      <c r="GP16" s="7"/>
      <c r="GQ16" s="7"/>
      <c r="GR16" s="7"/>
      <c r="GS16" s="7"/>
      <c r="GT16" s="7"/>
      <c r="GU16" s="7"/>
      <c r="GV16" s="7"/>
    </row>
    <row r="17" spans="1:204" ht="15" customHeight="1" x14ac:dyDescent="0.35">
      <c r="A17" s="12" t="s">
        <v>465</v>
      </c>
      <c r="B17" s="23" t="s">
        <v>466</v>
      </c>
      <c r="C17" s="23">
        <v>2311</v>
      </c>
      <c r="D17" s="23">
        <v>9785</v>
      </c>
      <c r="E17" s="23">
        <v>2809</v>
      </c>
      <c r="F17" s="23">
        <v>3989</v>
      </c>
      <c r="G17" s="23">
        <v>189</v>
      </c>
      <c r="H17" s="23">
        <v>169</v>
      </c>
      <c r="I17" s="23">
        <v>4032</v>
      </c>
      <c r="J17" s="23">
        <v>831</v>
      </c>
      <c r="K17" s="23">
        <v>83</v>
      </c>
      <c r="L17" s="23">
        <v>732</v>
      </c>
      <c r="M17" s="23">
        <v>521</v>
      </c>
      <c r="N17" s="23">
        <v>8671</v>
      </c>
      <c r="O17" s="23">
        <v>1022</v>
      </c>
      <c r="P17" s="23">
        <v>65</v>
      </c>
      <c r="Q17" s="23">
        <v>17070</v>
      </c>
      <c r="R17" s="23">
        <v>839</v>
      </c>
      <c r="S17" s="23">
        <v>529</v>
      </c>
      <c r="T17" s="23">
        <v>57</v>
      </c>
      <c r="U17" s="23">
        <v>22</v>
      </c>
      <c r="V17" s="23">
        <v>100</v>
      </c>
      <c r="W17" s="23">
        <v>50</v>
      </c>
      <c r="X17" s="23">
        <v>14</v>
      </c>
      <c r="Y17" s="23">
        <v>276</v>
      </c>
      <c r="Z17" s="23">
        <v>60</v>
      </c>
      <c r="AA17" s="23">
        <v>5295</v>
      </c>
      <c r="AB17" s="23">
        <v>3397</v>
      </c>
      <c r="AC17" s="23">
        <v>123</v>
      </c>
      <c r="AD17" s="23">
        <v>283</v>
      </c>
      <c r="AE17" s="23">
        <v>20</v>
      </c>
      <c r="AF17" s="23">
        <v>34</v>
      </c>
      <c r="AG17" s="23">
        <v>74</v>
      </c>
      <c r="AH17" s="23">
        <v>356</v>
      </c>
      <c r="AI17" s="23">
        <v>129</v>
      </c>
      <c r="AJ17" s="23">
        <v>71</v>
      </c>
      <c r="AK17" s="23">
        <v>106</v>
      </c>
      <c r="AL17" s="23">
        <v>109</v>
      </c>
      <c r="AM17" s="23">
        <v>175</v>
      </c>
      <c r="AN17" s="23">
        <v>98</v>
      </c>
      <c r="AO17" s="23">
        <v>1189</v>
      </c>
      <c r="AP17" s="23">
        <v>30699</v>
      </c>
      <c r="AQ17" s="23">
        <v>74</v>
      </c>
      <c r="AR17" s="23">
        <v>3849</v>
      </c>
      <c r="AS17" s="23">
        <v>1103</v>
      </c>
      <c r="AT17" s="23">
        <v>221</v>
      </c>
      <c r="AU17" s="23">
        <v>48</v>
      </c>
      <c r="AV17" s="23">
        <v>107</v>
      </c>
      <c r="AW17" s="23">
        <v>42</v>
      </c>
      <c r="AX17" s="23">
        <v>0</v>
      </c>
      <c r="AY17" s="23">
        <v>133</v>
      </c>
      <c r="AZ17" s="23">
        <v>5157</v>
      </c>
      <c r="BA17" s="23">
        <v>2278</v>
      </c>
      <c r="BB17" s="23">
        <v>2184</v>
      </c>
      <c r="BC17" s="23">
        <v>8604</v>
      </c>
      <c r="BD17" s="23">
        <v>170</v>
      </c>
      <c r="BE17" s="23">
        <v>210</v>
      </c>
      <c r="BF17" s="23">
        <v>1507</v>
      </c>
      <c r="BG17" s="23">
        <v>224</v>
      </c>
      <c r="BH17" s="23">
        <v>65</v>
      </c>
      <c r="BI17" s="23">
        <v>101</v>
      </c>
      <c r="BJ17" s="23">
        <v>387</v>
      </c>
      <c r="BK17" s="23">
        <v>3764</v>
      </c>
      <c r="BL17" s="23">
        <v>24</v>
      </c>
      <c r="BM17" s="23">
        <v>92</v>
      </c>
      <c r="BN17" s="23">
        <v>1087</v>
      </c>
      <c r="BO17" s="23">
        <v>366</v>
      </c>
      <c r="BP17" s="23">
        <v>82</v>
      </c>
      <c r="BQ17" s="23">
        <v>1279</v>
      </c>
      <c r="BR17" s="23">
        <v>1093</v>
      </c>
      <c r="BS17" s="23">
        <v>465</v>
      </c>
      <c r="BT17" s="23">
        <v>61</v>
      </c>
      <c r="BU17" s="23">
        <v>78</v>
      </c>
      <c r="BV17" s="23">
        <v>206</v>
      </c>
      <c r="BW17" s="23">
        <v>217</v>
      </c>
      <c r="BX17" s="23">
        <v>14</v>
      </c>
      <c r="BY17" s="23">
        <v>256</v>
      </c>
      <c r="BZ17" s="23">
        <v>55</v>
      </c>
      <c r="CA17" s="23">
        <v>33</v>
      </c>
      <c r="CB17" s="23">
        <v>13384</v>
      </c>
      <c r="CC17" s="23">
        <v>49</v>
      </c>
      <c r="CD17" s="23">
        <v>7</v>
      </c>
      <c r="CE17" s="23">
        <v>25</v>
      </c>
      <c r="CF17" s="23">
        <v>41</v>
      </c>
      <c r="CG17" s="23">
        <v>63</v>
      </c>
      <c r="CH17" s="23">
        <v>36</v>
      </c>
      <c r="CI17" s="23">
        <v>281</v>
      </c>
      <c r="CJ17" s="23">
        <v>280</v>
      </c>
      <c r="CK17" s="23">
        <v>852</v>
      </c>
      <c r="CL17" s="23">
        <v>250</v>
      </c>
      <c r="CM17" s="23">
        <v>180</v>
      </c>
      <c r="CN17" s="23">
        <v>4931</v>
      </c>
      <c r="CO17" s="23">
        <v>2428</v>
      </c>
      <c r="CP17" s="23">
        <v>198</v>
      </c>
      <c r="CQ17" s="23">
        <v>352</v>
      </c>
      <c r="CR17" s="23">
        <v>62</v>
      </c>
      <c r="CS17" s="23">
        <v>80</v>
      </c>
      <c r="CT17" s="23">
        <v>54</v>
      </c>
      <c r="CU17" s="23">
        <v>68</v>
      </c>
      <c r="CV17" s="23">
        <v>3</v>
      </c>
      <c r="CW17" s="23">
        <v>53</v>
      </c>
      <c r="CX17" s="23">
        <v>117</v>
      </c>
      <c r="CY17" s="23">
        <v>13.2</v>
      </c>
      <c r="CZ17" s="23">
        <v>677</v>
      </c>
      <c r="DA17" s="23">
        <v>36</v>
      </c>
      <c r="DB17" s="23">
        <v>59</v>
      </c>
      <c r="DC17" s="23">
        <v>28</v>
      </c>
      <c r="DD17" s="23">
        <v>41</v>
      </c>
      <c r="DE17" s="23">
        <v>34</v>
      </c>
      <c r="DF17" s="23">
        <v>5994</v>
      </c>
      <c r="DG17" s="23">
        <v>20</v>
      </c>
      <c r="DH17" s="23">
        <v>548</v>
      </c>
      <c r="DI17" s="23">
        <v>1006</v>
      </c>
      <c r="DJ17" s="23">
        <v>126</v>
      </c>
      <c r="DK17" s="23">
        <v>132</v>
      </c>
      <c r="DL17" s="23">
        <v>1818</v>
      </c>
      <c r="DM17" s="23">
        <v>81</v>
      </c>
      <c r="DN17" s="23">
        <v>418</v>
      </c>
      <c r="DO17" s="23">
        <v>925</v>
      </c>
      <c r="DP17" s="23">
        <v>47</v>
      </c>
      <c r="DQ17" s="23">
        <v>162</v>
      </c>
      <c r="DR17" s="23">
        <v>640</v>
      </c>
      <c r="DS17" s="23">
        <v>342</v>
      </c>
      <c r="DT17" s="23">
        <v>72</v>
      </c>
      <c r="DU17" s="23">
        <v>128</v>
      </c>
      <c r="DV17" s="23">
        <v>56</v>
      </c>
      <c r="DW17" s="23">
        <v>91</v>
      </c>
      <c r="DX17" s="23">
        <v>24</v>
      </c>
      <c r="DY17" s="23">
        <v>27</v>
      </c>
      <c r="DZ17" s="23">
        <v>74</v>
      </c>
      <c r="EA17" s="23">
        <v>130</v>
      </c>
      <c r="EB17" s="23">
        <v>172</v>
      </c>
      <c r="EC17" s="23">
        <v>68</v>
      </c>
      <c r="ED17" s="23">
        <v>24</v>
      </c>
      <c r="EE17" s="23">
        <v>69</v>
      </c>
      <c r="EF17" s="23">
        <v>603</v>
      </c>
      <c r="EG17" s="23">
        <v>100</v>
      </c>
      <c r="EH17" s="23">
        <v>68</v>
      </c>
      <c r="EI17" s="23">
        <v>6981</v>
      </c>
      <c r="EJ17" s="23">
        <v>2957</v>
      </c>
      <c r="EK17" s="23">
        <v>147</v>
      </c>
      <c r="EL17" s="23">
        <v>123</v>
      </c>
      <c r="EM17" s="23">
        <v>111</v>
      </c>
      <c r="EN17" s="23">
        <v>401</v>
      </c>
      <c r="EO17" s="23">
        <v>68</v>
      </c>
      <c r="EP17" s="23">
        <v>53</v>
      </c>
      <c r="EQ17" s="23">
        <v>54</v>
      </c>
      <c r="ER17" s="23">
        <v>52</v>
      </c>
      <c r="ES17" s="23">
        <v>45</v>
      </c>
      <c r="ET17" s="23">
        <v>105</v>
      </c>
      <c r="EU17" s="23">
        <v>308</v>
      </c>
      <c r="EV17" s="23">
        <v>32</v>
      </c>
      <c r="EW17" s="23">
        <v>111</v>
      </c>
      <c r="EX17" s="23">
        <v>40</v>
      </c>
      <c r="EY17" s="23">
        <v>163</v>
      </c>
      <c r="EZ17" s="23">
        <v>39</v>
      </c>
      <c r="FA17" s="23">
        <v>619</v>
      </c>
      <c r="FB17" s="23">
        <v>87</v>
      </c>
      <c r="FC17" s="23">
        <v>275</v>
      </c>
      <c r="FD17" s="23">
        <v>127</v>
      </c>
      <c r="FE17" s="23">
        <v>25</v>
      </c>
      <c r="FF17" s="23">
        <v>63</v>
      </c>
      <c r="FG17" s="23">
        <v>16</v>
      </c>
      <c r="FH17" s="23">
        <v>18</v>
      </c>
      <c r="FI17" s="23">
        <v>453</v>
      </c>
      <c r="FJ17" s="23">
        <v>369</v>
      </c>
      <c r="FK17" s="23">
        <v>506</v>
      </c>
      <c r="FL17" s="23">
        <v>657</v>
      </c>
      <c r="FM17" s="23">
        <v>275</v>
      </c>
      <c r="FN17" s="23">
        <v>8885</v>
      </c>
      <c r="FO17" s="23">
        <v>307</v>
      </c>
      <c r="FP17" s="23">
        <v>752</v>
      </c>
      <c r="FQ17" s="23">
        <v>184</v>
      </c>
      <c r="FR17" s="23">
        <v>31</v>
      </c>
      <c r="FS17" s="23">
        <v>18</v>
      </c>
      <c r="FT17" s="23">
        <v>16</v>
      </c>
      <c r="FU17" s="23">
        <v>332</v>
      </c>
      <c r="FV17" s="23">
        <v>237</v>
      </c>
      <c r="FW17" s="23">
        <v>50</v>
      </c>
      <c r="FX17" s="23">
        <v>16</v>
      </c>
      <c r="FY17" s="32"/>
      <c r="FZ17" s="23">
        <f t="shared" si="4"/>
        <v>196775.2</v>
      </c>
      <c r="GA17" s="23"/>
      <c r="GB17" s="23"/>
      <c r="GC17" s="23"/>
      <c r="GD17" s="23"/>
      <c r="GE17" s="23"/>
      <c r="GF17" s="23"/>
      <c r="GG17" s="7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</row>
    <row r="18" spans="1:204" ht="15" customHeight="1" x14ac:dyDescent="0.35">
      <c r="A18" s="12" t="s">
        <v>467</v>
      </c>
      <c r="B18" s="23" t="s">
        <v>468</v>
      </c>
      <c r="C18" s="23">
        <v>4792.3</v>
      </c>
      <c r="D18" s="23">
        <v>19193</v>
      </c>
      <c r="E18" s="23">
        <v>4709.3</v>
      </c>
      <c r="F18" s="23">
        <v>12549.4</v>
      </c>
      <c r="G18" s="23">
        <v>812.2</v>
      </c>
      <c r="H18" s="23">
        <v>438.2</v>
      </c>
      <c r="I18" s="23">
        <v>6388</v>
      </c>
      <c r="J18" s="23">
        <v>1579.5</v>
      </c>
      <c r="K18" s="23">
        <v>152.1</v>
      </c>
      <c r="L18" s="23">
        <v>1348.7</v>
      </c>
      <c r="M18" s="23">
        <v>729.9</v>
      </c>
      <c r="N18" s="23">
        <v>18867.900000000001</v>
      </c>
      <c r="O18" s="23">
        <v>3029.6</v>
      </c>
      <c r="P18" s="23">
        <v>163.6</v>
      </c>
      <c r="Q18" s="23">
        <v>31548.1</v>
      </c>
      <c r="R18" s="23">
        <v>3944.3</v>
      </c>
      <c r="S18" s="23">
        <v>938.6</v>
      </c>
      <c r="T18" s="23">
        <v>118.5</v>
      </c>
      <c r="U18" s="23">
        <v>36.5</v>
      </c>
      <c r="V18" s="23">
        <v>188.9</v>
      </c>
      <c r="W18" s="23">
        <v>37.200000000000003</v>
      </c>
      <c r="X18" s="23">
        <v>22.6</v>
      </c>
      <c r="Y18" s="23">
        <v>735.2</v>
      </c>
      <c r="Z18" s="23">
        <v>90.1</v>
      </c>
      <c r="AA18" s="23">
        <v>11330.4</v>
      </c>
      <c r="AB18" s="23">
        <v>7389</v>
      </c>
      <c r="AC18" s="23">
        <v>311.89999999999998</v>
      </c>
      <c r="AD18" s="23">
        <v>559.29999999999995</v>
      </c>
      <c r="AE18" s="23">
        <v>67.7</v>
      </c>
      <c r="AF18" s="23">
        <v>89.6</v>
      </c>
      <c r="AG18" s="23">
        <v>188.1</v>
      </c>
      <c r="AH18" s="23">
        <v>624.1</v>
      </c>
      <c r="AI18" s="23">
        <v>234.2</v>
      </c>
      <c r="AJ18" s="23">
        <v>153.69999999999999</v>
      </c>
      <c r="AK18" s="23">
        <v>148.5</v>
      </c>
      <c r="AL18" s="23">
        <v>237.9</v>
      </c>
      <c r="AM18" s="23">
        <v>201</v>
      </c>
      <c r="AN18" s="23">
        <v>139.6</v>
      </c>
      <c r="AO18" s="23">
        <v>2493.1</v>
      </c>
      <c r="AP18" s="23">
        <v>52878.5</v>
      </c>
      <c r="AQ18" s="23">
        <v>151.5</v>
      </c>
      <c r="AR18" s="23">
        <v>10739.2</v>
      </c>
      <c r="AS18" s="23">
        <v>2678</v>
      </c>
      <c r="AT18" s="23">
        <v>605.20000000000005</v>
      </c>
      <c r="AU18" s="23">
        <v>108.3</v>
      </c>
      <c r="AV18" s="23">
        <v>187.1</v>
      </c>
      <c r="AW18" s="23">
        <v>88.3</v>
      </c>
      <c r="AX18" s="23">
        <v>44.4</v>
      </c>
      <c r="AY18" s="23">
        <v>210.6</v>
      </c>
      <c r="AZ18" s="23">
        <v>8114.5</v>
      </c>
      <c r="BA18" s="23">
        <v>4395.8</v>
      </c>
      <c r="BB18" s="23">
        <v>3664.6</v>
      </c>
      <c r="BC18" s="23">
        <v>14233.5</v>
      </c>
      <c r="BD18" s="23">
        <v>795.2</v>
      </c>
      <c r="BE18" s="23">
        <v>415.3</v>
      </c>
      <c r="BF18" s="23">
        <v>5915.8</v>
      </c>
      <c r="BG18" s="23">
        <v>551.29999999999995</v>
      </c>
      <c r="BH18" s="23">
        <v>170.4</v>
      </c>
      <c r="BI18" s="23">
        <v>190.9</v>
      </c>
      <c r="BJ18" s="23">
        <v>1101</v>
      </c>
      <c r="BK18" s="23">
        <v>14155.7</v>
      </c>
      <c r="BL18" s="23">
        <v>55.7</v>
      </c>
      <c r="BM18" s="23">
        <v>229</v>
      </c>
      <c r="BN18" s="23">
        <v>1807.7</v>
      </c>
      <c r="BO18" s="23">
        <v>683.1</v>
      </c>
      <c r="BP18" s="23">
        <v>87.6</v>
      </c>
      <c r="BQ18" s="23">
        <v>2928.7</v>
      </c>
      <c r="BR18" s="23">
        <v>2231.5</v>
      </c>
      <c r="BS18" s="23">
        <v>772.3</v>
      </c>
      <c r="BT18" s="23">
        <v>162.69999999999999</v>
      </c>
      <c r="BU18" s="23">
        <v>166.7</v>
      </c>
      <c r="BV18" s="23">
        <v>413.7</v>
      </c>
      <c r="BW18" s="23">
        <v>715</v>
      </c>
      <c r="BX18" s="23">
        <v>22.5</v>
      </c>
      <c r="BY18" s="23">
        <v>343.9</v>
      </c>
      <c r="BZ18" s="23">
        <v>163.6</v>
      </c>
      <c r="CA18" s="23">
        <v>45.4</v>
      </c>
      <c r="CB18" s="23">
        <v>22526.7</v>
      </c>
      <c r="CC18" s="23">
        <v>121.6</v>
      </c>
      <c r="CD18" s="23">
        <v>12.2</v>
      </c>
      <c r="CE18" s="23">
        <v>73.8</v>
      </c>
      <c r="CF18" s="23">
        <v>50</v>
      </c>
      <c r="CG18" s="23">
        <v>86.8</v>
      </c>
      <c r="CH18" s="23">
        <v>68</v>
      </c>
      <c r="CI18" s="23">
        <v>430.8</v>
      </c>
      <c r="CJ18" s="23">
        <v>511.5</v>
      </c>
      <c r="CK18" s="23">
        <v>1796.8</v>
      </c>
      <c r="CL18" s="23">
        <v>493.5</v>
      </c>
      <c r="CM18" s="23">
        <v>352.2</v>
      </c>
      <c r="CN18" s="23">
        <v>9777.4</v>
      </c>
      <c r="CO18" s="23">
        <v>4698.3999999999996</v>
      </c>
      <c r="CP18" s="23">
        <v>426.6</v>
      </c>
      <c r="CQ18" s="23">
        <v>574.20000000000005</v>
      </c>
      <c r="CR18" s="23">
        <v>73.3</v>
      </c>
      <c r="CS18" s="23">
        <v>99.5</v>
      </c>
      <c r="CT18" s="23">
        <v>90.6</v>
      </c>
      <c r="CU18" s="23">
        <v>208.7</v>
      </c>
      <c r="CV18" s="23">
        <v>9.1</v>
      </c>
      <c r="CW18" s="23">
        <v>105.2</v>
      </c>
      <c r="CX18" s="23">
        <v>231.2</v>
      </c>
      <c r="CY18" s="23">
        <v>13.2</v>
      </c>
      <c r="CZ18" s="23">
        <v>1003.3</v>
      </c>
      <c r="DA18" s="23">
        <v>50.5</v>
      </c>
      <c r="DB18" s="23">
        <v>91</v>
      </c>
      <c r="DC18" s="23">
        <v>50.6</v>
      </c>
      <c r="DD18" s="23">
        <v>109.8</v>
      </c>
      <c r="DE18" s="23">
        <v>129.5</v>
      </c>
      <c r="DF18" s="23">
        <v>11723.2</v>
      </c>
      <c r="DG18" s="23">
        <v>37.6</v>
      </c>
      <c r="DH18" s="23">
        <v>977.3</v>
      </c>
      <c r="DI18" s="23">
        <v>1568.7</v>
      </c>
      <c r="DJ18" s="23">
        <v>338.6</v>
      </c>
      <c r="DK18" s="23">
        <v>196.6</v>
      </c>
      <c r="DL18" s="23">
        <v>3187.1</v>
      </c>
      <c r="DM18" s="23">
        <v>137.1</v>
      </c>
      <c r="DN18" s="23">
        <v>851</v>
      </c>
      <c r="DO18" s="23">
        <v>2012.2</v>
      </c>
      <c r="DP18" s="23">
        <v>66.3</v>
      </c>
      <c r="DQ18" s="23">
        <v>373.1</v>
      </c>
      <c r="DR18" s="23">
        <v>982.1</v>
      </c>
      <c r="DS18" s="23">
        <v>453.9</v>
      </c>
      <c r="DT18" s="23">
        <v>152.19999999999999</v>
      </c>
      <c r="DU18" s="23">
        <v>207.3</v>
      </c>
      <c r="DV18" s="23">
        <v>92.1</v>
      </c>
      <c r="DW18" s="23">
        <v>151.30000000000001</v>
      </c>
      <c r="DX18" s="23">
        <v>56.7</v>
      </c>
      <c r="DY18" s="23">
        <v>71.2</v>
      </c>
      <c r="DZ18" s="23">
        <v>240.2</v>
      </c>
      <c r="EA18" s="23">
        <v>222.4</v>
      </c>
      <c r="EB18" s="23">
        <v>314.8</v>
      </c>
      <c r="EC18" s="23">
        <v>96.6</v>
      </c>
      <c r="ED18" s="23">
        <v>103</v>
      </c>
      <c r="EE18" s="23">
        <v>132.30000000000001</v>
      </c>
      <c r="EF18" s="23">
        <v>963.2</v>
      </c>
      <c r="EG18" s="23">
        <v>161.30000000000001</v>
      </c>
      <c r="EH18" s="23">
        <v>130.69999999999999</v>
      </c>
      <c r="EI18" s="23">
        <v>10751.4</v>
      </c>
      <c r="EJ18" s="23">
        <v>5234</v>
      </c>
      <c r="EK18" s="23">
        <v>254.2</v>
      </c>
      <c r="EL18" s="23">
        <v>215.9</v>
      </c>
      <c r="EM18" s="23">
        <v>208.5</v>
      </c>
      <c r="EN18" s="23">
        <v>680</v>
      </c>
      <c r="EO18" s="23">
        <v>138.19999999999999</v>
      </c>
      <c r="EP18" s="23">
        <v>118</v>
      </c>
      <c r="EQ18" s="23">
        <v>480.4</v>
      </c>
      <c r="ER18" s="23">
        <v>87.7</v>
      </c>
      <c r="ES18" s="23">
        <v>124.4</v>
      </c>
      <c r="ET18" s="23">
        <v>153.1</v>
      </c>
      <c r="EU18" s="23">
        <v>532.79999999999995</v>
      </c>
      <c r="EV18" s="23">
        <v>40.299999999999997</v>
      </c>
      <c r="EW18" s="23">
        <v>229.6</v>
      </c>
      <c r="EX18" s="23">
        <v>92.2</v>
      </c>
      <c r="EY18" s="23">
        <v>427.7</v>
      </c>
      <c r="EZ18" s="23">
        <v>69.900000000000006</v>
      </c>
      <c r="FA18" s="23">
        <v>1285.8</v>
      </c>
      <c r="FB18" s="23">
        <v>214.1</v>
      </c>
      <c r="FC18" s="23">
        <v>618.70000000000005</v>
      </c>
      <c r="FD18" s="23">
        <v>228</v>
      </c>
      <c r="FE18" s="23">
        <v>47.7</v>
      </c>
      <c r="FF18" s="23">
        <v>102.8</v>
      </c>
      <c r="FG18" s="23">
        <v>52.6</v>
      </c>
      <c r="FH18" s="23">
        <v>32.1</v>
      </c>
      <c r="FI18" s="23">
        <v>1032.5</v>
      </c>
      <c r="FJ18" s="23">
        <v>747.8</v>
      </c>
      <c r="FK18" s="23">
        <v>1374.3</v>
      </c>
      <c r="FL18" s="23">
        <v>2171.9</v>
      </c>
      <c r="FM18" s="23">
        <v>1300.2</v>
      </c>
      <c r="FN18" s="23">
        <v>15884.6</v>
      </c>
      <c r="FO18" s="23">
        <v>578.4</v>
      </c>
      <c r="FP18" s="23">
        <v>1343.2</v>
      </c>
      <c r="FQ18" s="23">
        <v>354</v>
      </c>
      <c r="FR18" s="23">
        <v>44.2</v>
      </c>
      <c r="FS18" s="23">
        <v>45</v>
      </c>
      <c r="FT18" s="23">
        <v>32.1</v>
      </c>
      <c r="FU18" s="23">
        <v>485.3</v>
      </c>
      <c r="FV18" s="23">
        <v>434.2</v>
      </c>
      <c r="FW18" s="23">
        <v>81.7</v>
      </c>
      <c r="FX18" s="23">
        <v>29.3</v>
      </c>
      <c r="FY18" s="23"/>
      <c r="FZ18" s="23">
        <f t="shared" si="4"/>
        <v>387430.89999999997</v>
      </c>
      <c r="GA18" s="23"/>
      <c r="GB18" s="23"/>
      <c r="GC18" s="23"/>
      <c r="GD18" s="23"/>
      <c r="GE18" s="23"/>
      <c r="GF18" s="23"/>
      <c r="GG18" s="7"/>
      <c r="GH18" s="23"/>
      <c r="GI18" s="23"/>
      <c r="GJ18" s="23"/>
      <c r="GK18" s="23"/>
      <c r="GL18" s="23"/>
      <c r="GM18" s="23"/>
      <c r="GN18" s="33"/>
      <c r="GO18" s="23"/>
      <c r="GP18" s="23"/>
      <c r="GQ18" s="23"/>
      <c r="GR18" s="23"/>
      <c r="GS18" s="23"/>
      <c r="GT18" s="23"/>
      <c r="GU18" s="23"/>
      <c r="GV18" s="23"/>
    </row>
    <row r="19" spans="1:204" ht="15" customHeight="1" x14ac:dyDescent="0.35">
      <c r="A19" s="12" t="s">
        <v>469</v>
      </c>
      <c r="B19" s="7" t="s">
        <v>470</v>
      </c>
      <c r="C19" s="31">
        <f t="shared" ref="C19:FX19" si="5">ROUND($FZ$94/$FZ$21,4)</f>
        <v>0.46529999999999999</v>
      </c>
      <c r="D19" s="31">
        <f t="shared" si="5"/>
        <v>0.46529999999999999</v>
      </c>
      <c r="E19" s="31">
        <f t="shared" si="5"/>
        <v>0.46529999999999999</v>
      </c>
      <c r="F19" s="31">
        <f t="shared" si="5"/>
        <v>0.46529999999999999</v>
      </c>
      <c r="G19" s="31">
        <f t="shared" si="5"/>
        <v>0.46529999999999999</v>
      </c>
      <c r="H19" s="31">
        <f t="shared" si="5"/>
        <v>0.46529999999999999</v>
      </c>
      <c r="I19" s="31">
        <f t="shared" si="5"/>
        <v>0.46529999999999999</v>
      </c>
      <c r="J19" s="31">
        <f t="shared" si="5"/>
        <v>0.46529999999999999</v>
      </c>
      <c r="K19" s="31">
        <f t="shared" si="5"/>
        <v>0.46529999999999999</v>
      </c>
      <c r="L19" s="31">
        <f t="shared" si="5"/>
        <v>0.46529999999999999</v>
      </c>
      <c r="M19" s="31">
        <f t="shared" si="5"/>
        <v>0.46529999999999999</v>
      </c>
      <c r="N19" s="31">
        <f t="shared" si="5"/>
        <v>0.46529999999999999</v>
      </c>
      <c r="O19" s="31">
        <f t="shared" si="5"/>
        <v>0.46529999999999999</v>
      </c>
      <c r="P19" s="31">
        <f t="shared" si="5"/>
        <v>0.46529999999999999</v>
      </c>
      <c r="Q19" s="31">
        <f t="shared" si="5"/>
        <v>0.46529999999999999</v>
      </c>
      <c r="R19" s="31">
        <f t="shared" si="5"/>
        <v>0.46529999999999999</v>
      </c>
      <c r="S19" s="31">
        <f t="shared" si="5"/>
        <v>0.46529999999999999</v>
      </c>
      <c r="T19" s="31">
        <f t="shared" si="5"/>
        <v>0.46529999999999999</v>
      </c>
      <c r="U19" s="31">
        <f t="shared" si="5"/>
        <v>0.46529999999999999</v>
      </c>
      <c r="V19" s="31">
        <f t="shared" si="5"/>
        <v>0.46529999999999999</v>
      </c>
      <c r="W19" s="31">
        <f t="shared" si="5"/>
        <v>0.46529999999999999</v>
      </c>
      <c r="X19" s="31">
        <f t="shared" si="5"/>
        <v>0.46529999999999999</v>
      </c>
      <c r="Y19" s="31">
        <f t="shared" si="5"/>
        <v>0.46529999999999999</v>
      </c>
      <c r="Z19" s="31">
        <f t="shared" si="5"/>
        <v>0.46529999999999999</v>
      </c>
      <c r="AA19" s="31">
        <f t="shared" si="5"/>
        <v>0.46529999999999999</v>
      </c>
      <c r="AB19" s="31">
        <f t="shared" si="5"/>
        <v>0.46529999999999999</v>
      </c>
      <c r="AC19" s="31">
        <f t="shared" si="5"/>
        <v>0.46529999999999999</v>
      </c>
      <c r="AD19" s="31">
        <f t="shared" si="5"/>
        <v>0.46529999999999999</v>
      </c>
      <c r="AE19" s="31">
        <f t="shared" si="5"/>
        <v>0.46529999999999999</v>
      </c>
      <c r="AF19" s="31">
        <f t="shared" si="5"/>
        <v>0.46529999999999999</v>
      </c>
      <c r="AG19" s="31">
        <f t="shared" si="5"/>
        <v>0.46529999999999999</v>
      </c>
      <c r="AH19" s="31">
        <f t="shared" si="5"/>
        <v>0.46529999999999999</v>
      </c>
      <c r="AI19" s="31">
        <f t="shared" si="5"/>
        <v>0.46529999999999999</v>
      </c>
      <c r="AJ19" s="31">
        <f t="shared" si="5"/>
        <v>0.46529999999999999</v>
      </c>
      <c r="AK19" s="31">
        <f t="shared" si="5"/>
        <v>0.46529999999999999</v>
      </c>
      <c r="AL19" s="31">
        <f t="shared" si="5"/>
        <v>0.46529999999999999</v>
      </c>
      <c r="AM19" s="31">
        <f t="shared" si="5"/>
        <v>0.46529999999999999</v>
      </c>
      <c r="AN19" s="31">
        <f t="shared" si="5"/>
        <v>0.46529999999999999</v>
      </c>
      <c r="AO19" s="31">
        <f t="shared" si="5"/>
        <v>0.46529999999999999</v>
      </c>
      <c r="AP19" s="31">
        <f t="shared" si="5"/>
        <v>0.46529999999999999</v>
      </c>
      <c r="AQ19" s="31">
        <f t="shared" si="5"/>
        <v>0.46529999999999999</v>
      </c>
      <c r="AR19" s="31">
        <f t="shared" si="5"/>
        <v>0.46529999999999999</v>
      </c>
      <c r="AS19" s="31">
        <f t="shared" si="5"/>
        <v>0.46529999999999999</v>
      </c>
      <c r="AT19" s="31">
        <f t="shared" si="5"/>
        <v>0.46529999999999999</v>
      </c>
      <c r="AU19" s="31">
        <f t="shared" si="5"/>
        <v>0.46529999999999999</v>
      </c>
      <c r="AV19" s="31">
        <f t="shared" si="5"/>
        <v>0.46529999999999999</v>
      </c>
      <c r="AW19" s="31">
        <f t="shared" si="5"/>
        <v>0.46529999999999999</v>
      </c>
      <c r="AX19" s="31">
        <f t="shared" si="5"/>
        <v>0.46529999999999999</v>
      </c>
      <c r="AY19" s="31">
        <f t="shared" si="5"/>
        <v>0.46529999999999999</v>
      </c>
      <c r="AZ19" s="31">
        <f t="shared" si="5"/>
        <v>0.46529999999999999</v>
      </c>
      <c r="BA19" s="31">
        <f t="shared" si="5"/>
        <v>0.46529999999999999</v>
      </c>
      <c r="BB19" s="31">
        <f t="shared" si="5"/>
        <v>0.46529999999999999</v>
      </c>
      <c r="BC19" s="31">
        <f t="shared" si="5"/>
        <v>0.46529999999999999</v>
      </c>
      <c r="BD19" s="31">
        <f t="shared" si="5"/>
        <v>0.46529999999999999</v>
      </c>
      <c r="BE19" s="31">
        <f t="shared" si="5"/>
        <v>0.46529999999999999</v>
      </c>
      <c r="BF19" s="31">
        <f t="shared" si="5"/>
        <v>0.46529999999999999</v>
      </c>
      <c r="BG19" s="31">
        <f t="shared" si="5"/>
        <v>0.46529999999999999</v>
      </c>
      <c r="BH19" s="31">
        <f t="shared" si="5"/>
        <v>0.46529999999999999</v>
      </c>
      <c r="BI19" s="31">
        <f t="shared" si="5"/>
        <v>0.46529999999999999</v>
      </c>
      <c r="BJ19" s="31">
        <f t="shared" si="5"/>
        <v>0.46529999999999999</v>
      </c>
      <c r="BK19" s="31">
        <f t="shared" si="5"/>
        <v>0.46529999999999999</v>
      </c>
      <c r="BL19" s="31">
        <f t="shared" si="5"/>
        <v>0.46529999999999999</v>
      </c>
      <c r="BM19" s="31">
        <f t="shared" si="5"/>
        <v>0.46529999999999999</v>
      </c>
      <c r="BN19" s="31">
        <f t="shared" si="5"/>
        <v>0.46529999999999999</v>
      </c>
      <c r="BO19" s="31">
        <f t="shared" si="5"/>
        <v>0.46529999999999999</v>
      </c>
      <c r="BP19" s="31">
        <f t="shared" si="5"/>
        <v>0.46529999999999999</v>
      </c>
      <c r="BQ19" s="31">
        <f t="shared" si="5"/>
        <v>0.46529999999999999</v>
      </c>
      <c r="BR19" s="31">
        <f t="shared" si="5"/>
        <v>0.46529999999999999</v>
      </c>
      <c r="BS19" s="31">
        <f t="shared" si="5"/>
        <v>0.46529999999999999</v>
      </c>
      <c r="BT19" s="31">
        <f t="shared" si="5"/>
        <v>0.46529999999999999</v>
      </c>
      <c r="BU19" s="31">
        <f t="shared" si="5"/>
        <v>0.46529999999999999</v>
      </c>
      <c r="BV19" s="31">
        <f t="shared" si="5"/>
        <v>0.46529999999999999</v>
      </c>
      <c r="BW19" s="31">
        <f t="shared" si="5"/>
        <v>0.46529999999999999</v>
      </c>
      <c r="BX19" s="31">
        <f t="shared"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s="31">
        <f t="shared" si="5"/>
        <v>0.46529999999999999</v>
      </c>
      <c r="CB19" s="31">
        <f t="shared" si="5"/>
        <v>0.46529999999999999</v>
      </c>
      <c r="CC19" s="31">
        <f t="shared" si="5"/>
        <v>0.46529999999999999</v>
      </c>
      <c r="CD19" s="31">
        <f t="shared" si="5"/>
        <v>0.46529999999999999</v>
      </c>
      <c r="CE19" s="31">
        <f t="shared" si="5"/>
        <v>0.46529999999999999</v>
      </c>
      <c r="CF19" s="31">
        <f t="shared" si="5"/>
        <v>0.46529999999999999</v>
      </c>
      <c r="CG19" s="31">
        <f t="shared" si="5"/>
        <v>0.46529999999999999</v>
      </c>
      <c r="CH19" s="31">
        <f t="shared" si="5"/>
        <v>0.46529999999999999</v>
      </c>
      <c r="CI19" s="31">
        <f t="shared" si="5"/>
        <v>0.46529999999999999</v>
      </c>
      <c r="CJ19" s="31">
        <f t="shared" si="5"/>
        <v>0.46529999999999999</v>
      </c>
      <c r="CK19" s="31">
        <f t="shared" si="5"/>
        <v>0.46529999999999999</v>
      </c>
      <c r="CL19" s="31">
        <f t="shared" si="5"/>
        <v>0.46529999999999999</v>
      </c>
      <c r="CM19" s="31">
        <f t="shared" si="5"/>
        <v>0.46529999999999999</v>
      </c>
      <c r="CN19" s="31">
        <f t="shared" si="5"/>
        <v>0.46529999999999999</v>
      </c>
      <c r="CO19" s="31">
        <f t="shared" si="5"/>
        <v>0.46529999999999999</v>
      </c>
      <c r="CP19" s="31">
        <f t="shared" si="5"/>
        <v>0.46529999999999999</v>
      </c>
      <c r="CQ19" s="31">
        <f t="shared" si="5"/>
        <v>0.46529999999999999</v>
      </c>
      <c r="CR19" s="31">
        <f t="shared" si="5"/>
        <v>0.46529999999999999</v>
      </c>
      <c r="CS19" s="31">
        <f t="shared" si="5"/>
        <v>0.46529999999999999</v>
      </c>
      <c r="CT19" s="31">
        <f t="shared" si="5"/>
        <v>0.46529999999999999</v>
      </c>
      <c r="CU19" s="31">
        <f t="shared" si="5"/>
        <v>0.46529999999999999</v>
      </c>
      <c r="CV19" s="31">
        <f t="shared" si="5"/>
        <v>0.46529999999999999</v>
      </c>
      <c r="CW19" s="31">
        <f t="shared" si="5"/>
        <v>0.46529999999999999</v>
      </c>
      <c r="CX19" s="31">
        <f t="shared" si="5"/>
        <v>0.46529999999999999</v>
      </c>
      <c r="CY19" s="31">
        <f t="shared" si="5"/>
        <v>0.46529999999999999</v>
      </c>
      <c r="CZ19" s="31">
        <f t="shared" si="5"/>
        <v>0.46529999999999999</v>
      </c>
      <c r="DA19" s="31">
        <f t="shared" si="5"/>
        <v>0.46529999999999999</v>
      </c>
      <c r="DB19" s="31">
        <f t="shared" si="5"/>
        <v>0.46529999999999999</v>
      </c>
      <c r="DC19" s="31">
        <f t="shared" si="5"/>
        <v>0.46529999999999999</v>
      </c>
      <c r="DD19" s="31">
        <f t="shared" si="5"/>
        <v>0.46529999999999999</v>
      </c>
      <c r="DE19" s="31">
        <f t="shared" si="5"/>
        <v>0.46529999999999999</v>
      </c>
      <c r="DF19" s="31">
        <f t="shared" si="5"/>
        <v>0.46529999999999999</v>
      </c>
      <c r="DG19" s="31">
        <f t="shared" si="5"/>
        <v>0.46529999999999999</v>
      </c>
      <c r="DH19" s="31">
        <f t="shared" si="5"/>
        <v>0.46529999999999999</v>
      </c>
      <c r="DI19" s="31">
        <f t="shared" si="5"/>
        <v>0.46529999999999999</v>
      </c>
      <c r="DJ19" s="31">
        <f t="shared" si="5"/>
        <v>0.46529999999999999</v>
      </c>
      <c r="DK19" s="31">
        <f t="shared" si="5"/>
        <v>0.46529999999999999</v>
      </c>
      <c r="DL19" s="31">
        <f t="shared" si="5"/>
        <v>0.46529999999999999</v>
      </c>
      <c r="DM19" s="31">
        <f t="shared" si="5"/>
        <v>0.46529999999999999</v>
      </c>
      <c r="DN19" s="31">
        <f t="shared" si="5"/>
        <v>0.46529999999999999</v>
      </c>
      <c r="DO19" s="31">
        <f t="shared" si="5"/>
        <v>0.46529999999999999</v>
      </c>
      <c r="DP19" s="31">
        <f t="shared" si="5"/>
        <v>0.46529999999999999</v>
      </c>
      <c r="DQ19" s="31">
        <f t="shared" si="5"/>
        <v>0.46529999999999999</v>
      </c>
      <c r="DR19" s="31">
        <f t="shared" si="5"/>
        <v>0.46529999999999999</v>
      </c>
      <c r="DS19" s="31">
        <f t="shared" si="5"/>
        <v>0.46529999999999999</v>
      </c>
      <c r="DT19" s="31">
        <f t="shared" si="5"/>
        <v>0.46529999999999999</v>
      </c>
      <c r="DU19" s="31">
        <f t="shared" si="5"/>
        <v>0.46529999999999999</v>
      </c>
      <c r="DV19" s="31">
        <f t="shared" si="5"/>
        <v>0.46529999999999999</v>
      </c>
      <c r="DW19" s="31">
        <f t="shared" si="5"/>
        <v>0.46529999999999999</v>
      </c>
      <c r="DX19" s="31">
        <f t="shared" si="5"/>
        <v>0.46529999999999999</v>
      </c>
      <c r="DY19" s="31">
        <f t="shared" si="5"/>
        <v>0.46529999999999999</v>
      </c>
      <c r="DZ19" s="31">
        <f t="shared" si="5"/>
        <v>0.46529999999999999</v>
      </c>
      <c r="EA19" s="31">
        <f t="shared" si="5"/>
        <v>0.46529999999999999</v>
      </c>
      <c r="EB19" s="31">
        <f t="shared" si="5"/>
        <v>0.46529999999999999</v>
      </c>
      <c r="EC19" s="31">
        <f t="shared" si="5"/>
        <v>0.46529999999999999</v>
      </c>
      <c r="ED19" s="31">
        <f t="shared" si="5"/>
        <v>0.46529999999999999</v>
      </c>
      <c r="EE19" s="31">
        <f t="shared" si="5"/>
        <v>0.46529999999999999</v>
      </c>
      <c r="EF19" s="31">
        <f t="shared" si="5"/>
        <v>0.46529999999999999</v>
      </c>
      <c r="EG19" s="31">
        <f t="shared" si="5"/>
        <v>0.46529999999999999</v>
      </c>
      <c r="EH19" s="31">
        <f t="shared" si="5"/>
        <v>0.46529999999999999</v>
      </c>
      <c r="EI19" s="31">
        <f t="shared" si="5"/>
        <v>0.46529999999999999</v>
      </c>
      <c r="EJ19" s="31">
        <f t="shared" si="5"/>
        <v>0.46529999999999999</v>
      </c>
      <c r="EK19" s="31">
        <f t="shared" si="5"/>
        <v>0.46529999999999999</v>
      </c>
      <c r="EL19" s="31">
        <f t="shared" si="5"/>
        <v>0.46529999999999999</v>
      </c>
      <c r="EM19" s="31">
        <f t="shared" si="5"/>
        <v>0.46529999999999999</v>
      </c>
      <c r="EN19" s="31">
        <f t="shared" si="5"/>
        <v>0.46529999999999999</v>
      </c>
      <c r="EO19" s="31">
        <f t="shared" si="5"/>
        <v>0.46529999999999999</v>
      </c>
      <c r="EP19" s="31">
        <f t="shared" si="5"/>
        <v>0.46529999999999999</v>
      </c>
      <c r="EQ19" s="31">
        <f t="shared" si="5"/>
        <v>0.46529999999999999</v>
      </c>
      <c r="ER19" s="31">
        <f t="shared" si="5"/>
        <v>0.46529999999999999</v>
      </c>
      <c r="ES19" s="31">
        <f t="shared" si="5"/>
        <v>0.46529999999999999</v>
      </c>
      <c r="ET19" s="31">
        <f t="shared" si="5"/>
        <v>0.46529999999999999</v>
      </c>
      <c r="EU19" s="31">
        <f t="shared" si="5"/>
        <v>0.46529999999999999</v>
      </c>
      <c r="EV19" s="31">
        <f t="shared" si="5"/>
        <v>0.46529999999999999</v>
      </c>
      <c r="EW19" s="31">
        <f t="shared" si="5"/>
        <v>0.46529999999999999</v>
      </c>
      <c r="EX19" s="31">
        <f t="shared" si="5"/>
        <v>0.46529999999999999</v>
      </c>
      <c r="EY19" s="31">
        <f t="shared" si="5"/>
        <v>0.46529999999999999</v>
      </c>
      <c r="EZ19" s="31">
        <f t="shared" si="5"/>
        <v>0.46529999999999999</v>
      </c>
      <c r="FA19" s="31">
        <f t="shared" si="5"/>
        <v>0.46529999999999999</v>
      </c>
      <c r="FB19" s="31">
        <f t="shared" si="5"/>
        <v>0.46529999999999999</v>
      </c>
      <c r="FC19" s="31">
        <f t="shared" si="5"/>
        <v>0.46529999999999999</v>
      </c>
      <c r="FD19" s="31">
        <f t="shared" si="5"/>
        <v>0.46529999999999999</v>
      </c>
      <c r="FE19" s="31">
        <f t="shared" si="5"/>
        <v>0.46529999999999999</v>
      </c>
      <c r="FF19" s="31">
        <f t="shared" si="5"/>
        <v>0.46529999999999999</v>
      </c>
      <c r="FG19" s="31">
        <f t="shared" si="5"/>
        <v>0.46529999999999999</v>
      </c>
      <c r="FH19" s="31">
        <f t="shared" si="5"/>
        <v>0.46529999999999999</v>
      </c>
      <c r="FI19" s="31">
        <f t="shared" si="5"/>
        <v>0.46529999999999999</v>
      </c>
      <c r="FJ19" s="31">
        <f t="shared" si="5"/>
        <v>0.46529999999999999</v>
      </c>
      <c r="FK19" s="31">
        <f t="shared" si="5"/>
        <v>0.46529999999999999</v>
      </c>
      <c r="FL19" s="31">
        <f t="shared" si="5"/>
        <v>0.46529999999999999</v>
      </c>
      <c r="FM19" s="31">
        <f t="shared" si="5"/>
        <v>0.46529999999999999</v>
      </c>
      <c r="FN19" s="31">
        <f t="shared" si="5"/>
        <v>0.46529999999999999</v>
      </c>
      <c r="FO19" s="31">
        <f t="shared" si="5"/>
        <v>0.46529999999999999</v>
      </c>
      <c r="FP19" s="31">
        <f t="shared" si="5"/>
        <v>0.46529999999999999</v>
      </c>
      <c r="FQ19" s="31">
        <f t="shared" si="5"/>
        <v>0.46529999999999999</v>
      </c>
      <c r="FR19" s="31">
        <f t="shared" si="5"/>
        <v>0.46529999999999999</v>
      </c>
      <c r="FS19" s="31">
        <f t="shared" si="5"/>
        <v>0.46529999999999999</v>
      </c>
      <c r="FT19" s="31">
        <f t="shared" si="5"/>
        <v>0.46529999999999999</v>
      </c>
      <c r="FU19" s="31">
        <f t="shared" si="5"/>
        <v>0.46529999999999999</v>
      </c>
      <c r="FV19" s="31">
        <f t="shared" si="5"/>
        <v>0.46529999999999999</v>
      </c>
      <c r="FW19" s="31">
        <f t="shared" si="5"/>
        <v>0.46529999999999999</v>
      </c>
      <c r="FX19" s="31">
        <f t="shared" si="5"/>
        <v>0.46529999999999999</v>
      </c>
      <c r="FY19" s="31"/>
      <c r="FZ19" s="31">
        <f>FX19</f>
        <v>0.46529999999999999</v>
      </c>
      <c r="GA19" s="31"/>
      <c r="GB19" s="31"/>
      <c r="GC19" s="31"/>
      <c r="GD19" s="31"/>
      <c r="GE19" s="31"/>
      <c r="GF19" s="31"/>
      <c r="GG19" s="7"/>
      <c r="GH19" s="31"/>
      <c r="GI19" s="31"/>
      <c r="GJ19" s="31"/>
      <c r="GK19" s="31"/>
      <c r="GL19" s="31"/>
      <c r="GM19" s="31"/>
      <c r="GN19" s="7"/>
      <c r="GO19" s="7"/>
      <c r="GP19" s="7"/>
      <c r="GQ19" s="7"/>
      <c r="GR19" s="7"/>
      <c r="GS19" s="7"/>
      <c r="GT19" s="7"/>
      <c r="GU19" s="7"/>
      <c r="GV19" s="7"/>
    </row>
    <row r="20" spans="1:204" ht="15" customHeight="1" x14ac:dyDescent="0.35">
      <c r="A20" s="12" t="s">
        <v>471</v>
      </c>
      <c r="B20" s="23" t="s">
        <v>472</v>
      </c>
      <c r="C20" s="32">
        <v>5936.4</v>
      </c>
      <c r="D20" s="32">
        <v>28893.599999999999</v>
      </c>
      <c r="E20" s="32">
        <v>4468.8</v>
      </c>
      <c r="F20" s="32">
        <v>15351.599999999999</v>
      </c>
      <c r="G20" s="32">
        <v>850.8</v>
      </c>
      <c r="H20" s="32">
        <v>794.4</v>
      </c>
      <c r="I20" s="32">
        <v>6464.4</v>
      </c>
      <c r="J20" s="32">
        <v>1663.2</v>
      </c>
      <c r="K20" s="32">
        <v>186</v>
      </c>
      <c r="L20" s="32">
        <v>1503.6</v>
      </c>
      <c r="M20" s="32">
        <v>685.19999999999993</v>
      </c>
      <c r="N20" s="32">
        <v>36894</v>
      </c>
      <c r="O20" s="32">
        <v>9018</v>
      </c>
      <c r="P20" s="32">
        <v>188.4</v>
      </c>
      <c r="Q20" s="32">
        <v>28060.799999999999</v>
      </c>
      <c r="R20" s="32">
        <v>3002.4</v>
      </c>
      <c r="S20" s="32">
        <v>1274.3999999999999</v>
      </c>
      <c r="T20" s="32">
        <v>124.8</v>
      </c>
      <c r="U20" s="32">
        <v>37.199999999999996</v>
      </c>
      <c r="V20" s="32">
        <v>208.79999999999998</v>
      </c>
      <c r="W20" s="32">
        <v>181.2</v>
      </c>
      <c r="X20" s="32">
        <v>36</v>
      </c>
      <c r="Y20" s="32">
        <v>460.79999999999995</v>
      </c>
      <c r="Z20" s="32">
        <v>170.4</v>
      </c>
      <c r="AA20" s="32">
        <v>22339.200000000001</v>
      </c>
      <c r="AB20" s="32">
        <v>19311.599999999999</v>
      </c>
      <c r="AC20" s="32">
        <v>718.8</v>
      </c>
      <c r="AD20" s="32">
        <v>1010.4</v>
      </c>
      <c r="AE20" s="32">
        <v>67.2</v>
      </c>
      <c r="AF20" s="32">
        <v>141.6</v>
      </c>
      <c r="AG20" s="32">
        <v>415.2</v>
      </c>
      <c r="AH20" s="32">
        <v>710.4</v>
      </c>
      <c r="AI20" s="32">
        <v>262.8</v>
      </c>
      <c r="AJ20" s="32">
        <v>108</v>
      </c>
      <c r="AK20" s="32">
        <v>139.19999999999999</v>
      </c>
      <c r="AL20" s="32">
        <v>169.2</v>
      </c>
      <c r="AM20" s="32">
        <v>295.2</v>
      </c>
      <c r="AN20" s="32">
        <v>248.39999999999998</v>
      </c>
      <c r="AO20" s="32">
        <v>3228</v>
      </c>
      <c r="AP20" s="32">
        <v>60844.799999999996</v>
      </c>
      <c r="AQ20" s="32">
        <v>171.6</v>
      </c>
      <c r="AR20" s="32">
        <v>45588</v>
      </c>
      <c r="AS20" s="32">
        <v>4693.2</v>
      </c>
      <c r="AT20" s="32">
        <v>1702.8</v>
      </c>
      <c r="AU20" s="32">
        <v>177.6</v>
      </c>
      <c r="AV20" s="32">
        <v>230.39999999999998</v>
      </c>
      <c r="AW20" s="32">
        <v>178.79999999999998</v>
      </c>
      <c r="AX20" s="32">
        <v>61.199999999999996</v>
      </c>
      <c r="AY20" s="32">
        <v>319.2</v>
      </c>
      <c r="AZ20" s="32">
        <v>10087.199999999999</v>
      </c>
      <c r="BA20" s="32">
        <v>6768</v>
      </c>
      <c r="BB20" s="32">
        <v>6028.8</v>
      </c>
      <c r="BC20" s="32">
        <v>19404</v>
      </c>
      <c r="BD20" s="32">
        <v>2425.1999999999998</v>
      </c>
      <c r="BE20" s="32">
        <v>919.19999999999993</v>
      </c>
      <c r="BF20" s="32">
        <v>18489.599999999999</v>
      </c>
      <c r="BG20" s="32">
        <v>656.4</v>
      </c>
      <c r="BH20" s="32">
        <v>358.8</v>
      </c>
      <c r="BI20" s="32">
        <v>177.6</v>
      </c>
      <c r="BJ20" s="32">
        <v>4314</v>
      </c>
      <c r="BK20" s="32">
        <v>14372.4</v>
      </c>
      <c r="BL20" s="32">
        <v>57.599999999999994</v>
      </c>
      <c r="BM20" s="32">
        <v>207.6</v>
      </c>
      <c r="BN20" s="32">
        <v>2450.4</v>
      </c>
      <c r="BO20" s="32">
        <v>1017.5999999999999</v>
      </c>
      <c r="BP20" s="32">
        <v>153.6</v>
      </c>
      <c r="BQ20" s="32">
        <v>4099.2</v>
      </c>
      <c r="BR20" s="32">
        <v>3291.6</v>
      </c>
      <c r="BS20" s="32">
        <v>853.19999999999993</v>
      </c>
      <c r="BT20" s="32">
        <v>291.59999999999997</v>
      </c>
      <c r="BU20" s="32">
        <v>290.39999999999998</v>
      </c>
      <c r="BV20" s="32">
        <v>890.4</v>
      </c>
      <c r="BW20" s="32">
        <v>1508.3999999999999</v>
      </c>
      <c r="BX20" s="32">
        <v>45.6</v>
      </c>
      <c r="BY20" s="32">
        <v>372</v>
      </c>
      <c r="BZ20" s="32">
        <v>128.4</v>
      </c>
      <c r="CA20" s="32">
        <v>106.8</v>
      </c>
      <c r="CB20" s="32">
        <v>54669.599999999999</v>
      </c>
      <c r="CC20" s="32">
        <v>139.19999999999999</v>
      </c>
      <c r="CD20" s="32">
        <v>122.39999999999999</v>
      </c>
      <c r="CE20" s="32">
        <v>96</v>
      </c>
      <c r="CF20" s="32">
        <v>99.6</v>
      </c>
      <c r="CG20" s="32">
        <v>148.79999999999998</v>
      </c>
      <c r="CH20" s="32">
        <v>66</v>
      </c>
      <c r="CI20" s="32">
        <v>511.2</v>
      </c>
      <c r="CJ20" s="32">
        <v>643.19999999999993</v>
      </c>
      <c r="CK20" s="32">
        <v>4425.5999999999995</v>
      </c>
      <c r="CL20" s="32">
        <v>985.19999999999993</v>
      </c>
      <c r="CM20" s="32">
        <v>456</v>
      </c>
      <c r="CN20" s="32">
        <v>23926.799999999999</v>
      </c>
      <c r="CO20" s="32">
        <v>10768.8</v>
      </c>
      <c r="CP20" s="32">
        <v>679.19999999999993</v>
      </c>
      <c r="CQ20" s="32">
        <v>577.19999999999993</v>
      </c>
      <c r="CR20" s="32">
        <v>177.6</v>
      </c>
      <c r="CS20" s="32">
        <v>240</v>
      </c>
      <c r="CT20" s="32">
        <v>80.399999999999991</v>
      </c>
      <c r="CU20" s="32">
        <v>340.8</v>
      </c>
      <c r="CV20" s="32">
        <v>14.399999999999999</v>
      </c>
      <c r="CW20" s="32">
        <v>150</v>
      </c>
      <c r="CX20" s="32">
        <v>315.59999999999997</v>
      </c>
      <c r="CY20" s="32">
        <v>26.4</v>
      </c>
      <c r="CZ20" s="32">
        <v>1434</v>
      </c>
      <c r="DA20" s="32">
        <v>154.79999999999998</v>
      </c>
      <c r="DB20" s="32">
        <v>228</v>
      </c>
      <c r="DC20" s="32">
        <v>115.19999999999999</v>
      </c>
      <c r="DD20" s="32">
        <v>126</v>
      </c>
      <c r="DE20" s="32">
        <v>177.6</v>
      </c>
      <c r="DF20" s="32">
        <v>15525.599999999999</v>
      </c>
      <c r="DG20" s="32">
        <v>56.4</v>
      </c>
      <c r="DH20" s="32">
        <v>1485.6</v>
      </c>
      <c r="DI20" s="32">
        <v>1899.6</v>
      </c>
      <c r="DJ20" s="32">
        <v>543.6</v>
      </c>
      <c r="DK20" s="32">
        <v>338.4</v>
      </c>
      <c r="DL20" s="32">
        <v>4126.8</v>
      </c>
      <c r="DM20" s="32">
        <v>174</v>
      </c>
      <c r="DN20" s="32">
        <v>985.19999999999993</v>
      </c>
      <c r="DO20" s="32">
        <v>2394</v>
      </c>
      <c r="DP20" s="32">
        <v>163.19999999999999</v>
      </c>
      <c r="DQ20" s="32">
        <v>570</v>
      </c>
      <c r="DR20" s="32">
        <v>1002</v>
      </c>
      <c r="DS20" s="32">
        <v>495.59999999999997</v>
      </c>
      <c r="DT20" s="32">
        <v>106.8</v>
      </c>
      <c r="DU20" s="32">
        <v>266.39999999999998</v>
      </c>
      <c r="DV20" s="32">
        <v>160.79999999999998</v>
      </c>
      <c r="DW20" s="32">
        <v>235.2</v>
      </c>
      <c r="DX20" s="32">
        <v>136.79999999999998</v>
      </c>
      <c r="DY20" s="32">
        <v>223.2</v>
      </c>
      <c r="DZ20" s="32">
        <v>536.4</v>
      </c>
      <c r="EA20" s="32">
        <v>430.8</v>
      </c>
      <c r="EB20" s="32">
        <v>394.8</v>
      </c>
      <c r="EC20" s="32">
        <v>222</v>
      </c>
      <c r="ED20" s="32">
        <v>1160.3999999999999</v>
      </c>
      <c r="EE20" s="32">
        <v>122.39999999999999</v>
      </c>
      <c r="EF20" s="32">
        <v>1033.2</v>
      </c>
      <c r="EG20" s="32">
        <v>186</v>
      </c>
      <c r="EH20" s="32">
        <v>198</v>
      </c>
      <c r="EI20" s="32">
        <v>10844.4</v>
      </c>
      <c r="EJ20" s="32">
        <v>7365.5999999999995</v>
      </c>
      <c r="EK20" s="32">
        <v>490.79999999999995</v>
      </c>
      <c r="EL20" s="32">
        <v>357.59999999999997</v>
      </c>
      <c r="EM20" s="32">
        <v>310.8</v>
      </c>
      <c r="EN20" s="32">
        <v>699.6</v>
      </c>
      <c r="EO20" s="32">
        <v>244.79999999999998</v>
      </c>
      <c r="EP20" s="32">
        <v>316.8</v>
      </c>
      <c r="EQ20" s="32">
        <v>1966.8</v>
      </c>
      <c r="ER20" s="32">
        <v>212.4</v>
      </c>
      <c r="ES20" s="32">
        <v>134.4</v>
      </c>
      <c r="ET20" s="32">
        <v>158.4</v>
      </c>
      <c r="EU20" s="32">
        <v>408</v>
      </c>
      <c r="EV20" s="32">
        <v>60</v>
      </c>
      <c r="EW20" s="32">
        <v>604.79999999999995</v>
      </c>
      <c r="EX20" s="32">
        <v>140.4</v>
      </c>
      <c r="EY20" s="32">
        <v>393.59999999999997</v>
      </c>
      <c r="EZ20" s="32">
        <v>99.6</v>
      </c>
      <c r="FA20" s="32">
        <v>2515.1999999999998</v>
      </c>
      <c r="FB20" s="32">
        <v>220.79999999999998</v>
      </c>
      <c r="FC20" s="32">
        <v>1204.8</v>
      </c>
      <c r="FD20" s="32">
        <v>306</v>
      </c>
      <c r="FE20" s="32">
        <v>56.4</v>
      </c>
      <c r="FF20" s="32">
        <v>146.4</v>
      </c>
      <c r="FG20" s="32">
        <v>92.399999999999991</v>
      </c>
      <c r="FH20" s="32">
        <v>57.599999999999994</v>
      </c>
      <c r="FI20" s="32">
        <v>1282.8</v>
      </c>
      <c r="FJ20" s="32">
        <v>1510.8</v>
      </c>
      <c r="FK20" s="32">
        <v>1927.1999999999998</v>
      </c>
      <c r="FL20" s="32">
        <v>5967.5999999999995</v>
      </c>
      <c r="FM20" s="32">
        <v>2769.6</v>
      </c>
      <c r="FN20" s="32">
        <v>15997.199999999999</v>
      </c>
      <c r="FO20" s="32">
        <v>782.4</v>
      </c>
      <c r="FP20" s="32">
        <v>1665.6</v>
      </c>
      <c r="FQ20" s="32">
        <v>739.19999999999993</v>
      </c>
      <c r="FR20" s="32">
        <v>116.39999999999999</v>
      </c>
      <c r="FS20" s="32">
        <v>141.6</v>
      </c>
      <c r="FT20" s="32">
        <v>48</v>
      </c>
      <c r="FU20" s="32">
        <v>598.79999999999995</v>
      </c>
      <c r="FV20" s="32">
        <v>510</v>
      </c>
      <c r="FW20" s="32">
        <v>120</v>
      </c>
      <c r="FX20" s="32">
        <v>50.4</v>
      </c>
      <c r="FY20" s="32"/>
      <c r="FZ20" s="23">
        <f t="shared" ref="FZ20:FZ36" si="6">SUM(C20:FX20)</f>
        <v>610058.40000000037</v>
      </c>
      <c r="GA20" s="23"/>
      <c r="GB20" s="23"/>
      <c r="GC20" s="23"/>
      <c r="GD20" s="23"/>
      <c r="GE20" s="23"/>
      <c r="GF20" s="23"/>
      <c r="GG20" s="7"/>
      <c r="GH20" s="23"/>
      <c r="GI20" s="23"/>
      <c r="GJ20" s="23"/>
      <c r="GK20" s="23"/>
      <c r="GL20" s="23"/>
      <c r="GM20" s="23"/>
      <c r="GN20" s="7"/>
      <c r="GO20" s="7"/>
      <c r="GP20" s="7"/>
      <c r="GQ20" s="7"/>
      <c r="GR20" s="7"/>
      <c r="GS20" s="7"/>
      <c r="GT20" s="7"/>
      <c r="GU20" s="7"/>
      <c r="GV20" s="7"/>
    </row>
    <row r="21" spans="1:204" ht="15.5" x14ac:dyDescent="0.35">
      <c r="A21" s="12" t="s">
        <v>473</v>
      </c>
      <c r="B21" s="23" t="s">
        <v>474</v>
      </c>
      <c r="C21" s="34">
        <v>6521.9</v>
      </c>
      <c r="D21" s="35">
        <v>37131</v>
      </c>
      <c r="E21" s="35">
        <v>5325.4</v>
      </c>
      <c r="F21" s="35">
        <v>24415.1</v>
      </c>
      <c r="G21" s="35">
        <v>1843.9</v>
      </c>
      <c r="H21" s="35">
        <v>1071</v>
      </c>
      <c r="I21" s="35">
        <v>7793.9</v>
      </c>
      <c r="J21" s="35">
        <v>1989</v>
      </c>
      <c r="K21" s="35">
        <v>249</v>
      </c>
      <c r="L21" s="35">
        <v>2088</v>
      </c>
      <c r="M21" s="35">
        <v>849.1</v>
      </c>
      <c r="N21" s="35">
        <v>50247.4</v>
      </c>
      <c r="O21" s="35">
        <v>12370.9</v>
      </c>
      <c r="P21" s="35">
        <v>312</v>
      </c>
      <c r="Q21" s="35">
        <v>40045.800000000003</v>
      </c>
      <c r="R21" s="35">
        <v>7394.8</v>
      </c>
      <c r="S21" s="35">
        <v>1584.6</v>
      </c>
      <c r="T21" s="35">
        <v>160</v>
      </c>
      <c r="U21" s="35">
        <v>54</v>
      </c>
      <c r="V21" s="35">
        <v>253.5</v>
      </c>
      <c r="W21" s="35">
        <v>47.5</v>
      </c>
      <c r="X21" s="35">
        <v>40.1</v>
      </c>
      <c r="Y21" s="35">
        <v>873.5</v>
      </c>
      <c r="Z21" s="35">
        <v>231</v>
      </c>
      <c r="AA21" s="35">
        <v>31076.5</v>
      </c>
      <c r="AB21" s="35">
        <v>26859.5</v>
      </c>
      <c r="AC21" s="35">
        <v>847.5</v>
      </c>
      <c r="AD21" s="35">
        <v>1446.7</v>
      </c>
      <c r="AE21" s="35">
        <v>97</v>
      </c>
      <c r="AF21" s="35">
        <v>164.5</v>
      </c>
      <c r="AG21" s="35">
        <v>585.5</v>
      </c>
      <c r="AH21" s="35">
        <v>908</v>
      </c>
      <c r="AI21" s="35">
        <v>383</v>
      </c>
      <c r="AJ21" s="35">
        <v>181.5</v>
      </c>
      <c r="AK21" s="35">
        <v>159.5</v>
      </c>
      <c r="AL21" s="35">
        <v>285.5</v>
      </c>
      <c r="AM21" s="35">
        <v>306.89999999999998</v>
      </c>
      <c r="AN21" s="35">
        <v>270.5</v>
      </c>
      <c r="AO21" s="35">
        <v>4120.8999999999996</v>
      </c>
      <c r="AP21" s="35">
        <v>84094.399999999994</v>
      </c>
      <c r="AQ21" s="35">
        <v>251.5</v>
      </c>
      <c r="AR21" s="35">
        <v>61239.4</v>
      </c>
      <c r="AS21" s="35">
        <v>6270.2</v>
      </c>
      <c r="AT21" s="35">
        <v>2557</v>
      </c>
      <c r="AU21" s="35">
        <v>268</v>
      </c>
      <c r="AV21" s="35">
        <v>296</v>
      </c>
      <c r="AW21" s="35">
        <v>257</v>
      </c>
      <c r="AX21" s="35">
        <v>81</v>
      </c>
      <c r="AY21" s="35">
        <v>391.5</v>
      </c>
      <c r="AZ21" s="35">
        <v>12089.4</v>
      </c>
      <c r="BA21" s="35">
        <v>9089.7999999999993</v>
      </c>
      <c r="BB21" s="35">
        <v>7468.1</v>
      </c>
      <c r="BC21" s="35">
        <v>24680.9</v>
      </c>
      <c r="BD21" s="35">
        <v>3641</v>
      </c>
      <c r="BE21" s="35">
        <v>1092</v>
      </c>
      <c r="BF21" s="35">
        <v>26268.9</v>
      </c>
      <c r="BG21" s="35">
        <v>921</v>
      </c>
      <c r="BH21" s="35">
        <v>577.79999999999995</v>
      </c>
      <c r="BI21" s="35">
        <v>254.5</v>
      </c>
      <c r="BJ21" s="35">
        <v>6427.3</v>
      </c>
      <c r="BK21" s="35">
        <v>27836.5</v>
      </c>
      <c r="BL21" s="35">
        <v>90.2</v>
      </c>
      <c r="BM21" s="35">
        <v>360</v>
      </c>
      <c r="BN21" s="35">
        <v>3048.4</v>
      </c>
      <c r="BO21" s="35">
        <v>1189</v>
      </c>
      <c r="BP21" s="35">
        <v>137</v>
      </c>
      <c r="BQ21" s="35">
        <v>5703.4</v>
      </c>
      <c r="BR21" s="35">
        <v>4382.3999999999996</v>
      </c>
      <c r="BS21" s="35">
        <v>1140.9000000000001</v>
      </c>
      <c r="BT21" s="35">
        <v>353.5</v>
      </c>
      <c r="BU21" s="35">
        <v>383</v>
      </c>
      <c r="BV21" s="35">
        <v>1244.5</v>
      </c>
      <c r="BW21" s="35">
        <v>2022.5</v>
      </c>
      <c r="BX21" s="35">
        <v>57</v>
      </c>
      <c r="BY21" s="35">
        <v>393.5</v>
      </c>
      <c r="BZ21" s="35">
        <v>228</v>
      </c>
      <c r="CA21" s="35">
        <v>141.5</v>
      </c>
      <c r="CB21" s="35">
        <v>73091.199999999997</v>
      </c>
      <c r="CC21" s="35">
        <v>186</v>
      </c>
      <c r="CD21" s="35">
        <v>30</v>
      </c>
      <c r="CE21" s="35">
        <v>159.5</v>
      </c>
      <c r="CF21" s="35">
        <v>100</v>
      </c>
      <c r="CG21" s="35">
        <v>192.5</v>
      </c>
      <c r="CH21" s="35">
        <v>90</v>
      </c>
      <c r="CI21" s="35">
        <v>683</v>
      </c>
      <c r="CJ21" s="35">
        <v>823</v>
      </c>
      <c r="CK21" s="35">
        <v>4858.6000000000004</v>
      </c>
      <c r="CL21" s="35">
        <v>1155.0999999999999</v>
      </c>
      <c r="CM21" s="35">
        <v>617</v>
      </c>
      <c r="CN21" s="35">
        <v>30506.799999999999</v>
      </c>
      <c r="CO21" s="35">
        <v>14126.2</v>
      </c>
      <c r="CP21" s="35">
        <v>898.4</v>
      </c>
      <c r="CQ21" s="35">
        <v>759</v>
      </c>
      <c r="CR21" s="35">
        <v>195.5</v>
      </c>
      <c r="CS21" s="35">
        <v>246.4</v>
      </c>
      <c r="CT21" s="35">
        <v>112</v>
      </c>
      <c r="CU21" s="35">
        <v>465</v>
      </c>
      <c r="CV21" s="35">
        <v>24</v>
      </c>
      <c r="CW21" s="35">
        <v>186.1</v>
      </c>
      <c r="CX21" s="35">
        <v>457.5</v>
      </c>
      <c r="CY21" s="35">
        <v>25.5</v>
      </c>
      <c r="CZ21" s="35">
        <v>1771</v>
      </c>
      <c r="DA21" s="35">
        <v>204</v>
      </c>
      <c r="DB21" s="35">
        <v>310.5</v>
      </c>
      <c r="DC21" s="35">
        <v>193</v>
      </c>
      <c r="DD21" s="35">
        <v>175.5</v>
      </c>
      <c r="DE21" s="35">
        <v>280</v>
      </c>
      <c r="DF21" s="35">
        <v>20837.599999999999</v>
      </c>
      <c r="DG21" s="35">
        <v>93.5</v>
      </c>
      <c r="DH21" s="35">
        <v>1688</v>
      </c>
      <c r="DI21" s="35">
        <v>2353</v>
      </c>
      <c r="DJ21" s="35">
        <v>599</v>
      </c>
      <c r="DK21" s="35">
        <v>472.5</v>
      </c>
      <c r="DL21" s="35">
        <v>5635.8</v>
      </c>
      <c r="DM21" s="35">
        <v>236</v>
      </c>
      <c r="DN21" s="35">
        <v>1282.8</v>
      </c>
      <c r="DO21" s="35">
        <v>3281.4</v>
      </c>
      <c r="DP21" s="35">
        <v>199</v>
      </c>
      <c r="DQ21" s="35">
        <v>876.4</v>
      </c>
      <c r="DR21" s="35">
        <v>1266.5</v>
      </c>
      <c r="DS21" s="35">
        <v>545</v>
      </c>
      <c r="DT21" s="35">
        <v>176</v>
      </c>
      <c r="DU21" s="35">
        <v>346</v>
      </c>
      <c r="DV21" s="35">
        <v>198.5</v>
      </c>
      <c r="DW21" s="35">
        <v>285.5</v>
      </c>
      <c r="DX21" s="35">
        <v>168</v>
      </c>
      <c r="DY21" s="35">
        <v>280</v>
      </c>
      <c r="DZ21" s="35">
        <v>606.5</v>
      </c>
      <c r="EA21" s="35">
        <v>508.5</v>
      </c>
      <c r="EB21" s="35">
        <v>499.5</v>
      </c>
      <c r="EC21" s="35">
        <v>260.5</v>
      </c>
      <c r="ED21" s="35">
        <v>1550</v>
      </c>
      <c r="EE21" s="35">
        <v>185.5</v>
      </c>
      <c r="EF21" s="35">
        <v>1262</v>
      </c>
      <c r="EG21" s="35">
        <v>250</v>
      </c>
      <c r="EH21" s="35">
        <v>246</v>
      </c>
      <c r="EI21" s="35">
        <v>13296.3</v>
      </c>
      <c r="EJ21" s="35">
        <v>10001.9</v>
      </c>
      <c r="EK21" s="35">
        <v>666.1</v>
      </c>
      <c r="EL21" s="35">
        <v>447</v>
      </c>
      <c r="EM21" s="35">
        <v>350.1</v>
      </c>
      <c r="EN21" s="35">
        <v>920.3</v>
      </c>
      <c r="EO21" s="35">
        <v>287</v>
      </c>
      <c r="EP21" s="35">
        <v>429</v>
      </c>
      <c r="EQ21" s="35">
        <v>2516.4</v>
      </c>
      <c r="ER21" s="35">
        <v>309.5</v>
      </c>
      <c r="ES21" s="35">
        <v>206.6</v>
      </c>
      <c r="ET21" s="35">
        <v>200.1</v>
      </c>
      <c r="EU21" s="35">
        <v>568</v>
      </c>
      <c r="EV21" s="35">
        <v>66</v>
      </c>
      <c r="EW21" s="35">
        <v>746.5</v>
      </c>
      <c r="EX21" s="35">
        <v>173.5</v>
      </c>
      <c r="EY21" s="35">
        <v>649.70000000000005</v>
      </c>
      <c r="EZ21" s="35">
        <v>127</v>
      </c>
      <c r="FA21" s="35">
        <v>3261.9</v>
      </c>
      <c r="FB21" s="35">
        <v>268.5</v>
      </c>
      <c r="FC21" s="35">
        <v>1694.6</v>
      </c>
      <c r="FD21" s="35">
        <v>399</v>
      </c>
      <c r="FE21" s="35">
        <v>70</v>
      </c>
      <c r="FF21" s="35">
        <v>175</v>
      </c>
      <c r="FG21" s="35">
        <v>114</v>
      </c>
      <c r="FH21" s="35">
        <v>69</v>
      </c>
      <c r="FI21" s="35">
        <v>1642.5</v>
      </c>
      <c r="FJ21" s="35">
        <v>2007.5</v>
      </c>
      <c r="FK21" s="35">
        <v>2477</v>
      </c>
      <c r="FL21" s="35">
        <v>8544.1</v>
      </c>
      <c r="FM21" s="35">
        <v>3967.8</v>
      </c>
      <c r="FN21" s="35">
        <v>22829.200000000001</v>
      </c>
      <c r="FO21" s="35">
        <v>1120</v>
      </c>
      <c r="FP21" s="35">
        <v>2343</v>
      </c>
      <c r="FQ21" s="35">
        <v>984</v>
      </c>
      <c r="FR21" s="35">
        <v>157.1</v>
      </c>
      <c r="FS21" s="35">
        <v>160.5</v>
      </c>
      <c r="FT21" s="35">
        <v>54</v>
      </c>
      <c r="FU21" s="35">
        <v>760.5</v>
      </c>
      <c r="FV21" s="35">
        <v>696.5</v>
      </c>
      <c r="FW21" s="35">
        <v>130</v>
      </c>
      <c r="FX21" s="35">
        <v>64</v>
      </c>
      <c r="FY21" s="23"/>
      <c r="FZ21" s="23">
        <f t="shared" si="6"/>
        <v>832575.40000000014</v>
      </c>
      <c r="GA21" s="23"/>
      <c r="GB21" s="23"/>
      <c r="GC21" s="23"/>
      <c r="GD21" s="23"/>
      <c r="GE21" s="33"/>
      <c r="GF21" s="33"/>
      <c r="GG21" s="7"/>
      <c r="GH21" s="33"/>
      <c r="GI21" s="33"/>
      <c r="GJ21" s="33"/>
      <c r="GK21" s="33"/>
      <c r="GL21" s="33"/>
      <c r="GM21" s="33"/>
      <c r="GN21" s="7"/>
      <c r="GO21" s="7"/>
      <c r="GP21" s="7"/>
      <c r="GQ21" s="7"/>
      <c r="GR21" s="7"/>
      <c r="GS21" s="7"/>
      <c r="GT21" s="7"/>
      <c r="GU21" s="7"/>
      <c r="GV21" s="7"/>
    </row>
    <row r="22" spans="1:204" ht="15.5" x14ac:dyDescent="0.35">
      <c r="A22" s="12" t="s">
        <v>475</v>
      </c>
      <c r="B22" s="7" t="s">
        <v>476</v>
      </c>
      <c r="C22" s="23">
        <v>0</v>
      </c>
      <c r="D22" s="23">
        <v>3770</v>
      </c>
      <c r="E22" s="23">
        <v>0</v>
      </c>
      <c r="F22" s="23">
        <v>4259</v>
      </c>
      <c r="G22" s="23">
        <v>495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1133</v>
      </c>
      <c r="O22" s="23">
        <v>922</v>
      </c>
      <c r="P22" s="23">
        <v>0</v>
      </c>
      <c r="Q22" s="23">
        <v>5887</v>
      </c>
      <c r="R22" s="23">
        <v>0</v>
      </c>
      <c r="S22" s="23">
        <v>110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3209</v>
      </c>
      <c r="AB22" s="23">
        <v>2379.5</v>
      </c>
      <c r="AC22" s="23">
        <v>0</v>
      </c>
      <c r="AD22" s="23">
        <v>0</v>
      </c>
      <c r="AE22" s="23">
        <v>0</v>
      </c>
      <c r="AF22" s="23">
        <v>0</v>
      </c>
      <c r="AG22" s="23">
        <v>69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370.5</v>
      </c>
      <c r="AP22" s="23">
        <v>20182</v>
      </c>
      <c r="AQ22" s="23">
        <v>0</v>
      </c>
      <c r="AR22" s="23">
        <v>15630.5</v>
      </c>
      <c r="AS22" s="23">
        <v>360</v>
      </c>
      <c r="AT22" s="23">
        <v>490.5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4118.5</v>
      </c>
      <c r="BA22" s="23">
        <v>72</v>
      </c>
      <c r="BB22" s="23">
        <v>0</v>
      </c>
      <c r="BC22" s="23">
        <v>2369.5</v>
      </c>
      <c r="BD22" s="23">
        <v>0</v>
      </c>
      <c r="BE22" s="23">
        <v>0</v>
      </c>
      <c r="BF22" s="23">
        <v>4104.5</v>
      </c>
      <c r="BG22" s="23">
        <v>0</v>
      </c>
      <c r="BH22" s="23">
        <v>0</v>
      </c>
      <c r="BI22" s="23">
        <v>0</v>
      </c>
      <c r="BJ22" s="23">
        <v>1099</v>
      </c>
      <c r="BK22" s="23">
        <v>12574</v>
      </c>
      <c r="BL22" s="23">
        <v>0</v>
      </c>
      <c r="BM22" s="23">
        <v>0</v>
      </c>
      <c r="BN22" s="23">
        <v>250</v>
      </c>
      <c r="BO22" s="23">
        <v>0</v>
      </c>
      <c r="BP22" s="23">
        <v>0</v>
      </c>
      <c r="BQ22" s="23">
        <v>531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34</v>
      </c>
      <c r="BX22" s="23">
        <v>0</v>
      </c>
      <c r="BY22" s="23">
        <v>71.5</v>
      </c>
      <c r="BZ22" s="23">
        <v>0</v>
      </c>
      <c r="CA22" s="23">
        <v>0</v>
      </c>
      <c r="CB22" s="23">
        <v>7842.5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171</v>
      </c>
      <c r="CL22" s="23">
        <v>0</v>
      </c>
      <c r="CM22" s="23">
        <v>0</v>
      </c>
      <c r="CN22" s="23">
        <v>2843.5</v>
      </c>
      <c r="CO22" s="23">
        <v>2019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3">
        <v>0</v>
      </c>
      <c r="CY22" s="23">
        <v>0</v>
      </c>
      <c r="CZ22" s="23">
        <v>0</v>
      </c>
      <c r="DA22" s="23">
        <v>0</v>
      </c>
      <c r="DB22" s="23">
        <v>0</v>
      </c>
      <c r="DC22" s="23">
        <v>0</v>
      </c>
      <c r="DD22" s="23">
        <v>0</v>
      </c>
      <c r="DE22" s="23">
        <v>0</v>
      </c>
      <c r="DF22" s="23">
        <v>1074</v>
      </c>
      <c r="DG22" s="23">
        <v>0</v>
      </c>
      <c r="DH22" s="23">
        <v>0</v>
      </c>
      <c r="DI22" s="23">
        <v>386</v>
      </c>
      <c r="DJ22" s="23">
        <v>0</v>
      </c>
      <c r="DK22" s="23">
        <v>0</v>
      </c>
      <c r="DL22" s="23">
        <v>172</v>
      </c>
      <c r="DM22" s="23">
        <v>0</v>
      </c>
      <c r="DN22" s="23">
        <v>0</v>
      </c>
      <c r="DO22" s="23">
        <v>0</v>
      </c>
      <c r="DP22" s="23">
        <v>0</v>
      </c>
      <c r="DQ22" s="23">
        <v>0</v>
      </c>
      <c r="DR22" s="23">
        <v>0</v>
      </c>
      <c r="DS22" s="23">
        <v>0</v>
      </c>
      <c r="DT22" s="23">
        <v>0</v>
      </c>
      <c r="DU22" s="23">
        <v>0</v>
      </c>
      <c r="DV22" s="23">
        <v>0</v>
      </c>
      <c r="DW22" s="23">
        <v>0</v>
      </c>
      <c r="DX22" s="23">
        <v>0</v>
      </c>
      <c r="DY22" s="23">
        <v>0</v>
      </c>
      <c r="DZ22" s="23">
        <v>0</v>
      </c>
      <c r="EA22" s="23">
        <v>161</v>
      </c>
      <c r="EB22" s="23">
        <v>0</v>
      </c>
      <c r="EC22" s="23">
        <v>0</v>
      </c>
      <c r="ED22" s="23">
        <v>135</v>
      </c>
      <c r="EE22" s="23">
        <v>0</v>
      </c>
      <c r="EF22" s="23">
        <v>133</v>
      </c>
      <c r="EG22" s="23">
        <v>0</v>
      </c>
      <c r="EH22" s="23">
        <v>0</v>
      </c>
      <c r="EI22" s="23">
        <v>1491</v>
      </c>
      <c r="EJ22" s="23">
        <v>1546</v>
      </c>
      <c r="EK22" s="23">
        <v>0</v>
      </c>
      <c r="EL22" s="23">
        <v>0</v>
      </c>
      <c r="EM22" s="23">
        <v>0</v>
      </c>
      <c r="EN22" s="23">
        <v>0</v>
      </c>
      <c r="EO22" s="23">
        <v>0</v>
      </c>
      <c r="EP22" s="23">
        <v>0</v>
      </c>
      <c r="EQ22" s="23">
        <v>85.5</v>
      </c>
      <c r="ER22" s="23">
        <v>0</v>
      </c>
      <c r="ES22" s="23">
        <v>0</v>
      </c>
      <c r="ET22" s="23">
        <v>100</v>
      </c>
      <c r="EU22" s="23">
        <v>0</v>
      </c>
      <c r="EV22" s="23">
        <v>0</v>
      </c>
      <c r="EW22" s="23">
        <v>0</v>
      </c>
      <c r="EX22" s="23">
        <v>0</v>
      </c>
      <c r="EY22" s="23">
        <v>0</v>
      </c>
      <c r="EZ22" s="23">
        <v>0</v>
      </c>
      <c r="FA22" s="23">
        <v>0</v>
      </c>
      <c r="FB22" s="23">
        <v>0</v>
      </c>
      <c r="FC22" s="23">
        <v>452</v>
      </c>
      <c r="FD22" s="23">
        <v>0</v>
      </c>
      <c r="FE22" s="23">
        <v>0</v>
      </c>
      <c r="FF22" s="23">
        <v>0</v>
      </c>
      <c r="FG22" s="23">
        <v>0</v>
      </c>
      <c r="FH22" s="23">
        <v>0</v>
      </c>
      <c r="FI22" s="23">
        <v>0</v>
      </c>
      <c r="FJ22" s="23">
        <v>0</v>
      </c>
      <c r="FK22" s="23">
        <v>182</v>
      </c>
      <c r="FL22" s="23">
        <v>2030</v>
      </c>
      <c r="FM22" s="23">
        <v>551</v>
      </c>
      <c r="FN22" s="23">
        <v>4978</v>
      </c>
      <c r="FO22" s="23">
        <v>0</v>
      </c>
      <c r="FP22" s="23">
        <v>0</v>
      </c>
      <c r="FQ22" s="23">
        <v>0</v>
      </c>
      <c r="FR22" s="23">
        <v>0</v>
      </c>
      <c r="FS22" s="23">
        <v>0</v>
      </c>
      <c r="FT22" s="23">
        <v>0</v>
      </c>
      <c r="FU22" s="23">
        <v>0</v>
      </c>
      <c r="FV22" s="23">
        <v>0</v>
      </c>
      <c r="FW22" s="23">
        <v>0</v>
      </c>
      <c r="FX22" s="23">
        <v>0</v>
      </c>
      <c r="FY22" s="23"/>
      <c r="FZ22" s="23">
        <f t="shared" si="6"/>
        <v>110843.5</v>
      </c>
      <c r="GA22" s="23"/>
      <c r="GB22" s="23"/>
      <c r="GC22" s="23"/>
      <c r="GD22" s="23"/>
      <c r="GE22" s="23"/>
      <c r="GF22" s="23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</row>
    <row r="23" spans="1:204" ht="15.5" x14ac:dyDescent="0.35">
      <c r="A23" s="12" t="s">
        <v>477</v>
      </c>
      <c r="B23" s="7" t="s">
        <v>478</v>
      </c>
      <c r="C23" s="35">
        <v>6556</v>
      </c>
      <c r="D23" s="35">
        <v>39211.699999999997</v>
      </c>
      <c r="E23" s="35">
        <v>6031.7</v>
      </c>
      <c r="F23" s="35">
        <v>23565.3</v>
      </c>
      <c r="G23" s="35">
        <v>1550.5</v>
      </c>
      <c r="H23" s="35">
        <v>1112</v>
      </c>
      <c r="I23" s="35">
        <v>8326</v>
      </c>
      <c r="J23" s="35">
        <v>2101.4</v>
      </c>
      <c r="K23" s="35">
        <v>270</v>
      </c>
      <c r="L23" s="35">
        <v>2192.6</v>
      </c>
      <c r="M23" s="35">
        <v>1008.8</v>
      </c>
      <c r="N23" s="35">
        <v>50909.1</v>
      </c>
      <c r="O23" s="35">
        <v>13189.5</v>
      </c>
      <c r="P23" s="35">
        <v>347</v>
      </c>
      <c r="Q23" s="35">
        <v>37905.300000000003</v>
      </c>
      <c r="R23" s="35">
        <v>6074.5</v>
      </c>
      <c r="S23" s="35">
        <v>1606.3</v>
      </c>
      <c r="T23" s="35">
        <v>162.80000000000001</v>
      </c>
      <c r="U23" s="35">
        <v>51.7</v>
      </c>
      <c r="V23" s="35">
        <v>260.60000000000002</v>
      </c>
      <c r="W23" s="35">
        <v>208.9</v>
      </c>
      <c r="X23" s="35">
        <v>50</v>
      </c>
      <c r="Y23" s="35">
        <v>948.7</v>
      </c>
      <c r="Z23" s="35">
        <v>230.5</v>
      </c>
      <c r="AA23" s="35">
        <v>31024.400000000001</v>
      </c>
      <c r="AB23" s="35">
        <v>27406</v>
      </c>
      <c r="AC23" s="35">
        <v>932.5</v>
      </c>
      <c r="AD23" s="35">
        <v>1411.6</v>
      </c>
      <c r="AE23" s="35">
        <v>94</v>
      </c>
      <c r="AF23" s="35">
        <v>172</v>
      </c>
      <c r="AG23" s="35">
        <v>612.29999999999995</v>
      </c>
      <c r="AH23" s="35">
        <v>977.5</v>
      </c>
      <c r="AI23" s="35">
        <v>400</v>
      </c>
      <c r="AJ23" s="35">
        <v>166</v>
      </c>
      <c r="AK23" s="35">
        <v>170.4</v>
      </c>
      <c r="AL23" s="35">
        <v>282</v>
      </c>
      <c r="AM23" s="35">
        <v>371.8</v>
      </c>
      <c r="AN23" s="35">
        <v>314.3</v>
      </c>
      <c r="AO23" s="35">
        <v>4353.3999999999996</v>
      </c>
      <c r="AP23" s="35">
        <v>83844</v>
      </c>
      <c r="AQ23" s="35">
        <v>237.8</v>
      </c>
      <c r="AR23" s="35">
        <v>62998.26</v>
      </c>
      <c r="AS23" s="35">
        <v>6617.4</v>
      </c>
      <c r="AT23" s="35">
        <v>2651.4</v>
      </c>
      <c r="AU23" s="35">
        <v>305.5</v>
      </c>
      <c r="AV23" s="35">
        <v>307.5</v>
      </c>
      <c r="AW23" s="35">
        <v>255.8</v>
      </c>
      <c r="AX23" s="35">
        <v>66.3</v>
      </c>
      <c r="AY23" s="35">
        <v>424.3</v>
      </c>
      <c r="AZ23" s="35">
        <v>12382</v>
      </c>
      <c r="BA23" s="35">
        <v>9172.2999999999993</v>
      </c>
      <c r="BB23" s="35">
        <v>7569.5</v>
      </c>
      <c r="BC23" s="35">
        <v>25829.3</v>
      </c>
      <c r="BD23" s="35">
        <v>3635</v>
      </c>
      <c r="BE23" s="35">
        <v>1259.2</v>
      </c>
      <c r="BF23" s="35">
        <v>25664.7</v>
      </c>
      <c r="BG23" s="35">
        <v>899.7</v>
      </c>
      <c r="BH23" s="35">
        <v>590.29999999999995</v>
      </c>
      <c r="BI23" s="35">
        <v>257.10000000000002</v>
      </c>
      <c r="BJ23" s="35">
        <v>6303.3</v>
      </c>
      <c r="BK23" s="35">
        <v>30973.9</v>
      </c>
      <c r="BL23" s="35">
        <v>96.7</v>
      </c>
      <c r="BM23" s="35">
        <v>420</v>
      </c>
      <c r="BN23" s="35">
        <v>3202.6</v>
      </c>
      <c r="BO23" s="35">
        <v>1287.2</v>
      </c>
      <c r="BP23" s="35">
        <v>169.6</v>
      </c>
      <c r="BQ23" s="35">
        <v>5970.6</v>
      </c>
      <c r="BR23" s="35">
        <v>4499.6000000000004</v>
      </c>
      <c r="BS23" s="35">
        <v>1116.0999999999999</v>
      </c>
      <c r="BT23" s="35">
        <v>386.6</v>
      </c>
      <c r="BU23" s="35">
        <v>417</v>
      </c>
      <c r="BV23" s="35">
        <v>1232.5999999999999</v>
      </c>
      <c r="BW23" s="35">
        <v>1992.9</v>
      </c>
      <c r="BX23" s="35">
        <v>69.2</v>
      </c>
      <c r="BY23" s="35">
        <v>459.3</v>
      </c>
      <c r="BZ23" s="35">
        <v>203.7</v>
      </c>
      <c r="CA23" s="35">
        <v>150.6</v>
      </c>
      <c r="CB23" s="35">
        <v>74887.399999999994</v>
      </c>
      <c r="CC23" s="35">
        <v>188</v>
      </c>
      <c r="CD23" s="35">
        <v>211.3</v>
      </c>
      <c r="CE23" s="35">
        <v>151.80000000000001</v>
      </c>
      <c r="CF23" s="35">
        <v>114.9</v>
      </c>
      <c r="CG23" s="35">
        <v>201.5</v>
      </c>
      <c r="CH23" s="35">
        <v>100.2</v>
      </c>
      <c r="CI23" s="35">
        <v>697.5</v>
      </c>
      <c r="CJ23" s="35">
        <v>896.7</v>
      </c>
      <c r="CK23" s="35">
        <v>5676.9</v>
      </c>
      <c r="CL23" s="35">
        <v>1281.3</v>
      </c>
      <c r="CM23" s="35">
        <v>732.7</v>
      </c>
      <c r="CN23" s="35">
        <v>32581.3</v>
      </c>
      <c r="CO23" s="35">
        <v>14539.6</v>
      </c>
      <c r="CP23" s="35">
        <v>971.7</v>
      </c>
      <c r="CQ23" s="35">
        <v>773</v>
      </c>
      <c r="CR23" s="35">
        <v>233.2</v>
      </c>
      <c r="CS23" s="35">
        <v>301.60000000000002</v>
      </c>
      <c r="CT23" s="35">
        <v>103.8</v>
      </c>
      <c r="CU23" s="35">
        <v>406.4</v>
      </c>
      <c r="CV23" s="35">
        <v>50</v>
      </c>
      <c r="CW23" s="35">
        <v>206</v>
      </c>
      <c r="CX23" s="35">
        <v>462.5</v>
      </c>
      <c r="CY23" s="35">
        <v>50</v>
      </c>
      <c r="CZ23" s="35">
        <v>1843.3</v>
      </c>
      <c r="DA23" s="35">
        <v>199.5</v>
      </c>
      <c r="DB23" s="35">
        <v>320.5</v>
      </c>
      <c r="DC23" s="35">
        <v>183</v>
      </c>
      <c r="DD23" s="35">
        <v>156</v>
      </c>
      <c r="DE23" s="35">
        <v>297.89999999999998</v>
      </c>
      <c r="DF23" s="35">
        <v>21065.599999999999</v>
      </c>
      <c r="DG23" s="35">
        <v>104</v>
      </c>
      <c r="DH23" s="35">
        <v>1860.6</v>
      </c>
      <c r="DI23" s="35">
        <v>2486.8000000000002</v>
      </c>
      <c r="DJ23" s="35">
        <v>639.5</v>
      </c>
      <c r="DK23" s="35">
        <v>500</v>
      </c>
      <c r="DL23" s="35">
        <v>5726.4</v>
      </c>
      <c r="DM23" s="35">
        <v>232.8</v>
      </c>
      <c r="DN23" s="35">
        <v>1320</v>
      </c>
      <c r="DO23" s="35">
        <v>3248</v>
      </c>
      <c r="DP23" s="35">
        <v>198.3</v>
      </c>
      <c r="DQ23" s="35">
        <v>834</v>
      </c>
      <c r="DR23" s="35">
        <v>1343.6</v>
      </c>
      <c r="DS23" s="35">
        <v>639</v>
      </c>
      <c r="DT23" s="35">
        <v>175</v>
      </c>
      <c r="DU23" s="35">
        <v>361</v>
      </c>
      <c r="DV23" s="35">
        <v>214</v>
      </c>
      <c r="DW23" s="35">
        <v>307.7</v>
      </c>
      <c r="DX23" s="35">
        <v>164.2</v>
      </c>
      <c r="DY23" s="35">
        <v>305.3</v>
      </c>
      <c r="DZ23" s="35">
        <v>716.4</v>
      </c>
      <c r="EA23" s="35">
        <v>531.29999999999995</v>
      </c>
      <c r="EB23" s="35">
        <v>569.1</v>
      </c>
      <c r="EC23" s="35">
        <v>297.10000000000002</v>
      </c>
      <c r="ED23" s="35">
        <v>1562.4</v>
      </c>
      <c r="EE23" s="35">
        <v>190.2</v>
      </c>
      <c r="EF23" s="35">
        <v>1404.7</v>
      </c>
      <c r="EG23" s="35">
        <v>249.9</v>
      </c>
      <c r="EH23" s="35">
        <v>248</v>
      </c>
      <c r="EI23" s="35">
        <v>14178.9</v>
      </c>
      <c r="EJ23" s="35">
        <v>10282</v>
      </c>
      <c r="EK23" s="35">
        <v>682.8</v>
      </c>
      <c r="EL23" s="35">
        <v>474.5</v>
      </c>
      <c r="EM23" s="35">
        <v>384.9</v>
      </c>
      <c r="EN23" s="35">
        <v>979.8</v>
      </c>
      <c r="EO23" s="35">
        <v>314.2</v>
      </c>
      <c r="EP23" s="35">
        <v>419.7</v>
      </c>
      <c r="EQ23" s="35">
        <v>2658.9</v>
      </c>
      <c r="ER23" s="35">
        <v>316</v>
      </c>
      <c r="ES23" s="35">
        <v>181.4</v>
      </c>
      <c r="ET23" s="35">
        <v>191.2</v>
      </c>
      <c r="EU23" s="35">
        <v>574.6</v>
      </c>
      <c r="EV23" s="35">
        <v>78.8</v>
      </c>
      <c r="EW23" s="35">
        <v>839</v>
      </c>
      <c r="EX23" s="35">
        <v>169.3</v>
      </c>
      <c r="EY23" s="35">
        <v>779</v>
      </c>
      <c r="EZ23" s="35">
        <v>128.5</v>
      </c>
      <c r="FA23" s="35">
        <v>3455.1</v>
      </c>
      <c r="FB23" s="35">
        <v>295.5</v>
      </c>
      <c r="FC23" s="35">
        <v>1964.2</v>
      </c>
      <c r="FD23" s="35">
        <v>405.3</v>
      </c>
      <c r="FE23" s="35">
        <v>83.4</v>
      </c>
      <c r="FF23" s="35">
        <v>195.4</v>
      </c>
      <c r="FG23" s="35">
        <v>126.8</v>
      </c>
      <c r="FH23" s="35">
        <v>69.7</v>
      </c>
      <c r="FI23" s="35">
        <v>1739.1</v>
      </c>
      <c r="FJ23" s="35">
        <v>2033</v>
      </c>
      <c r="FK23" s="35">
        <v>2573.5</v>
      </c>
      <c r="FL23" s="35">
        <v>8294</v>
      </c>
      <c r="FM23" s="35">
        <v>3886</v>
      </c>
      <c r="FN23" s="35">
        <v>22184.9</v>
      </c>
      <c r="FO23" s="35">
        <v>1089.0999999999999</v>
      </c>
      <c r="FP23" s="35">
        <v>2280</v>
      </c>
      <c r="FQ23" s="35">
        <v>986.9</v>
      </c>
      <c r="FR23" s="35">
        <v>169.4</v>
      </c>
      <c r="FS23" s="35">
        <v>179.9</v>
      </c>
      <c r="FT23" s="35">
        <v>59</v>
      </c>
      <c r="FU23" s="35">
        <v>813.7</v>
      </c>
      <c r="FV23" s="35">
        <v>784</v>
      </c>
      <c r="FW23" s="35">
        <v>159.19999999999999</v>
      </c>
      <c r="FX23" s="35">
        <v>57.2</v>
      </c>
      <c r="FY23" s="26"/>
      <c r="FZ23" s="23">
        <f t="shared" si="6"/>
        <v>850310.15999999992</v>
      </c>
      <c r="GA23" s="23"/>
      <c r="GB23" s="23"/>
      <c r="GC23" s="23"/>
      <c r="GD23" s="23"/>
      <c r="GE23" s="23"/>
      <c r="GF23" s="23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</row>
    <row r="24" spans="1:204" ht="15.5" x14ac:dyDescent="0.35">
      <c r="A24" s="12" t="s">
        <v>479</v>
      </c>
      <c r="B24" s="36" t="s">
        <v>480</v>
      </c>
      <c r="C24" s="23">
        <f>IF($B$7&lt;3,0,VLOOKUP(C3,PriorYR_FTE2!$A$3:$E$181,2))</f>
        <v>6404.5</v>
      </c>
      <c r="D24" s="23">
        <f>IF($B$7&lt;3,0,VLOOKUP(D3,PriorYR_FTE2!$A$3:$E$181,2))</f>
        <v>32699.5</v>
      </c>
      <c r="E24" s="23">
        <f>IF($B$7&lt;3,0,VLOOKUP(E3,PriorYR_FTE2!$A$3:$E$181,2))</f>
        <v>4867</v>
      </c>
      <c r="F24" s="23">
        <f>IF($B$7&lt;3,0,VLOOKUP(F3,PriorYR_FTE2!$A$3:$E$181,2))</f>
        <v>21051.5</v>
      </c>
      <c r="G24" s="23">
        <f>IF($B$7&lt;3,0,VLOOKUP(G3,PriorYR_FTE2!$A$3:$E$181,2))</f>
        <v>1709</v>
      </c>
      <c r="H24" s="23">
        <f>IF($B$7&lt;3,0,VLOOKUP(H3,PriorYR_FTE2!$A$3:$E$181,2))</f>
        <v>1089</v>
      </c>
      <c r="I24" s="23">
        <f>IF($B$7&lt;3,0,VLOOKUP(I3,PriorYR_FTE2!$A$3:$E$181,2))</f>
        <v>7236</v>
      </c>
      <c r="J24" s="23">
        <f>IF($B$7&lt;3,0,VLOOKUP(J3,PriorYR_FTE2!$A$3:$E$181,2))</f>
        <v>2024</v>
      </c>
      <c r="K24" s="23">
        <f>IF($B$7&lt;3,0,VLOOKUP(K3,PriorYR_FTE2!$A$3:$E$181,2))</f>
        <v>243.5</v>
      </c>
      <c r="L24" s="23">
        <f>IF($B$7&lt;3,0,VLOOKUP(L3,PriorYR_FTE2!$A$3:$E$181,2))</f>
        <v>2087</v>
      </c>
      <c r="M24" s="23">
        <f>IF($B$7&lt;3,0,VLOOKUP(M3,PriorYR_FTE2!$A$3:$E$181,2))</f>
        <v>866</v>
      </c>
      <c r="N24" s="23">
        <f>IF($B$7&lt;3,0,VLOOKUP(N3,PriorYR_FTE2!$A$3:$E$181,2))</f>
        <v>50007.5</v>
      </c>
      <c r="O24" s="23">
        <f>IF($B$7&lt;3,0,VLOOKUP(O3,PriorYR_FTE2!$A$3:$E$181,2))</f>
        <v>12583.5</v>
      </c>
      <c r="P24" s="23">
        <f>IF($B$7&lt;3,0,VLOOKUP(P3,PriorYR_FTE2!$A$3:$E$181,2))</f>
        <v>303</v>
      </c>
      <c r="Q24" s="23">
        <f>IF($B$7&lt;3,0,VLOOKUP(Q3,PriorYR_FTE2!$A$3:$E$181,2))</f>
        <v>37010</v>
      </c>
      <c r="R24" s="23">
        <f>IF($B$7&lt;3,0,VLOOKUP(R3,PriorYR_FTE2!$A$3:$E$181,2))</f>
        <v>467.5</v>
      </c>
      <c r="S24" s="23">
        <f>IF($B$7&lt;3,0,VLOOKUP(S3,PriorYR_FTE2!$A$3:$E$181,2))</f>
        <v>1535</v>
      </c>
      <c r="T24" s="23">
        <f>IF($B$7&lt;3,0,VLOOKUP(T3,PriorYR_FTE2!$A$3:$E$181,2))</f>
        <v>158</v>
      </c>
      <c r="U24" s="23">
        <f>IF($B$7&lt;3,0,VLOOKUP(U3,PriorYR_FTE2!$A$3:$E$181,2))</f>
        <v>57</v>
      </c>
      <c r="V24" s="23">
        <f>IF($B$7&lt;3,0,VLOOKUP(V3,PriorYR_FTE2!$A$3:$E$181,2))</f>
        <v>245.5</v>
      </c>
      <c r="W24" s="23">
        <f>IF($B$7&lt;3,0,VLOOKUP(W3,PriorYR_FTE2!$A$3:$E$181,2))</f>
        <v>49.5</v>
      </c>
      <c r="X24" s="23">
        <f>IF($B$7&lt;3,0,VLOOKUP(X3,PriorYR_FTE2!$A$3:$E$181,2))</f>
        <v>36.5</v>
      </c>
      <c r="Y24" s="23">
        <f>IF($B$7&lt;3,0,VLOOKUP(Y3,PriorYR_FTE2!$A$3:$E$181,2))</f>
        <v>404</v>
      </c>
      <c r="Z24" s="23">
        <f>IF($B$7&lt;3,0,VLOOKUP(Z3,PriorYR_FTE2!$A$3:$E$181,2))</f>
        <v>231</v>
      </c>
      <c r="AA24" s="23">
        <f>IF($B$7&lt;3,0,VLOOKUP(AA3,PriorYR_FTE2!$A$3:$E$181,2))</f>
        <v>30258.5</v>
      </c>
      <c r="AB24" s="23">
        <f>IF($B$7&lt;3,0,VLOOKUP(AB3,PriorYR_FTE2!$A$3:$E$181,2))</f>
        <v>26784.5</v>
      </c>
      <c r="AC24" s="23">
        <f>IF($B$7&lt;3,0,VLOOKUP(AC3,PriorYR_FTE2!$A$3:$E$181,2))</f>
        <v>864</v>
      </c>
      <c r="AD24" s="23">
        <f>IF($B$7&lt;3,0,VLOOKUP(AD3,PriorYR_FTE2!$A$3:$E$181,2))</f>
        <v>1269.5</v>
      </c>
      <c r="AE24" s="23">
        <f>IF($B$7&lt;3,0,VLOOKUP(AE3,PriorYR_FTE2!$A$3:$E$181,2))</f>
        <v>97</v>
      </c>
      <c r="AF24" s="23">
        <f>IF($B$7&lt;3,0,VLOOKUP(AF3,PriorYR_FTE2!$A$3:$E$181,2))</f>
        <v>164.5</v>
      </c>
      <c r="AG24" s="23">
        <f>IF($B$7&lt;3,0,VLOOKUP(AG3,PriorYR_FTE2!$A$3:$E$181,2))</f>
        <v>589</v>
      </c>
      <c r="AH24" s="23">
        <f>IF($B$7&lt;3,0,VLOOKUP(AH3,PriorYR_FTE2!$A$3:$E$181,2))</f>
        <v>927</v>
      </c>
      <c r="AI24" s="23">
        <f>IF($B$7&lt;3,0,VLOOKUP(AI3,PriorYR_FTE2!$A$3:$E$181,2))</f>
        <v>363</v>
      </c>
      <c r="AJ24" s="23">
        <f>IF($B$7&lt;3,0,VLOOKUP(AJ3,PriorYR_FTE2!$A$3:$E$181,2))</f>
        <v>176</v>
      </c>
      <c r="AK24" s="23">
        <f>IF($B$7&lt;3,0,VLOOKUP(AK3,PriorYR_FTE2!$A$3:$E$181,2))</f>
        <v>163</v>
      </c>
      <c r="AL24" s="23">
        <f>IF($B$7&lt;3,0,VLOOKUP(AL3,PriorYR_FTE2!$A$3:$E$181,2))</f>
        <v>286</v>
      </c>
      <c r="AM24" s="23">
        <f>IF($B$7&lt;3,0,VLOOKUP(AM3,PriorYR_FTE2!$A$3:$E$181,2))</f>
        <v>331</v>
      </c>
      <c r="AN24" s="23">
        <f>IF($B$7&lt;3,0,VLOOKUP(AN3,PriorYR_FTE2!$A$3:$E$181,2))</f>
        <v>271.5</v>
      </c>
      <c r="AO24" s="23">
        <f>IF($B$7&lt;3,0,VLOOKUP(AO3,PriorYR_FTE2!$A$3:$E$181,2))</f>
        <v>3767</v>
      </c>
      <c r="AP24" s="23">
        <f>IF($B$7&lt;3,0,VLOOKUP(AP3,PriorYR_FTE2!$A$3:$E$181,2))</f>
        <v>84396.5</v>
      </c>
      <c r="AQ24" s="23">
        <f>IF($B$7&lt;3,0,VLOOKUP(AQ3,PriorYR_FTE2!$A$3:$E$181,2))</f>
        <v>242.5</v>
      </c>
      <c r="AR24" s="23">
        <f>IF($B$7&lt;3,0,VLOOKUP(AR3,PriorYR_FTE2!$A$3:$E$181,2))</f>
        <v>57877.5</v>
      </c>
      <c r="AS24" s="23">
        <f>IF($B$7&lt;3,0,VLOOKUP(AS3,PriorYR_FTE2!$A$3:$E$181,2))</f>
        <v>6025</v>
      </c>
      <c r="AT24" s="23">
        <f>IF($B$7&lt;3,0,VLOOKUP(AT3,PriorYR_FTE2!$A$3:$E$181,2))</f>
        <v>2340.5</v>
      </c>
      <c r="AU24" s="23">
        <f>IF($B$7&lt;3,0,VLOOKUP(AU3,PriorYR_FTE2!$A$3:$E$181,2))</f>
        <v>250</v>
      </c>
      <c r="AV24" s="23">
        <f>IF($B$7&lt;3,0,VLOOKUP(AV3,PriorYR_FTE2!$A$3:$E$181,2))</f>
        <v>299</v>
      </c>
      <c r="AW24" s="23">
        <f>IF($B$7&lt;3,0,VLOOKUP(AW3,PriorYR_FTE2!$A$3:$E$181,2))</f>
        <v>250</v>
      </c>
      <c r="AX24" s="23">
        <f>IF($B$7&lt;3,0,VLOOKUP(AX3,PriorYR_FTE2!$A$3:$E$181,2))</f>
        <v>73</v>
      </c>
      <c r="AY24" s="23">
        <f>IF($B$7&lt;3,0,VLOOKUP(AY3,PriorYR_FTE2!$A$3:$E$181,2))</f>
        <v>392</v>
      </c>
      <c r="AZ24" s="23">
        <f>IF($B$7&lt;3,0,VLOOKUP(AZ3,PriorYR_FTE2!$A$3:$E$181,2))</f>
        <v>11891</v>
      </c>
      <c r="BA24" s="23">
        <f>IF($B$7&lt;3,0,VLOOKUP(BA3,PriorYR_FTE2!$A$3:$E$181,2))</f>
        <v>8667</v>
      </c>
      <c r="BB24" s="23">
        <f>IF($B$7&lt;3,0,VLOOKUP(BB3,PriorYR_FTE2!$A$3:$E$181,2))</f>
        <v>7399</v>
      </c>
      <c r="BC24" s="23">
        <f>IF($B$7&lt;3,0,VLOOKUP(BC3,PriorYR_FTE2!$A$3:$E$181,2))</f>
        <v>21443</v>
      </c>
      <c r="BD24" s="23">
        <f>IF($B$7&lt;3,0,VLOOKUP(BD3,PriorYR_FTE2!$A$3:$E$181,2))</f>
        <v>3598.5</v>
      </c>
      <c r="BE24" s="23">
        <f>IF($B$7&lt;3,0,VLOOKUP(BE3,PriorYR_FTE2!$A$3:$E$181,2))</f>
        <v>1113</v>
      </c>
      <c r="BF24" s="23">
        <f>IF($B$7&lt;3,0,VLOOKUP(BF3,PriorYR_FTE2!$A$3:$E$181,2))</f>
        <v>24230</v>
      </c>
      <c r="BG24" s="23">
        <f>IF($B$7&lt;3,0,VLOOKUP(BG3,PriorYR_FTE2!$A$3:$E$181,2))</f>
        <v>921.5</v>
      </c>
      <c r="BH24" s="23">
        <f>IF($B$7&lt;3,0,VLOOKUP(BH3,PriorYR_FTE2!$A$3:$E$181,2))</f>
        <v>529</v>
      </c>
      <c r="BI24" s="23">
        <f>IF($B$7&lt;3,0,VLOOKUP(BI3,PriorYR_FTE2!$A$3:$E$181,2))</f>
        <v>251</v>
      </c>
      <c r="BJ24" s="23">
        <f>IF($B$7&lt;3,0,VLOOKUP(BJ3,PriorYR_FTE2!$A$3:$E$181,2))</f>
        <v>6198.5</v>
      </c>
      <c r="BK24" s="23">
        <f>IF($B$7&lt;3,0,VLOOKUP(BK3,PriorYR_FTE2!$A$3:$E$181,2))</f>
        <v>21041</v>
      </c>
      <c r="BL24" s="23">
        <f>IF($B$7&lt;3,0,VLOOKUP(BL3,PriorYR_FTE2!$A$3:$E$181,2))</f>
        <v>64.5</v>
      </c>
      <c r="BM24" s="23">
        <f>IF($B$7&lt;3,0,VLOOKUP(BM3,PriorYR_FTE2!$A$3:$E$181,2))</f>
        <v>331.5</v>
      </c>
      <c r="BN24" s="23">
        <f>IF($B$7&lt;3,0,VLOOKUP(BN3,PriorYR_FTE2!$A$3:$E$181,2))</f>
        <v>3018.5</v>
      </c>
      <c r="BO24" s="23">
        <f>IF($B$7&lt;3,0,VLOOKUP(BO3,PriorYR_FTE2!$A$3:$E$181,2))</f>
        <v>1190</v>
      </c>
      <c r="BP24" s="23">
        <f>IF($B$7&lt;3,0,VLOOKUP(BP3,PriorYR_FTE2!$A$3:$E$181,2))</f>
        <v>144</v>
      </c>
      <c r="BQ24" s="23">
        <f>IF($B$7&lt;3,0,VLOOKUP(BQ3,PriorYR_FTE2!$A$3:$E$181,2))</f>
        <v>5632</v>
      </c>
      <c r="BR24" s="23">
        <f>IF($B$7&lt;3,0,VLOOKUP(BR3,PriorYR_FTE2!$A$3:$E$181,2))</f>
        <v>4471</v>
      </c>
      <c r="BS24" s="23">
        <f>IF($B$7&lt;3,0,VLOOKUP(BS3,PriorYR_FTE2!$A$3:$E$181,2))</f>
        <v>1151</v>
      </c>
      <c r="BT24" s="23">
        <f>IF($B$7&lt;3,0,VLOOKUP(BT3,PriorYR_FTE2!$A$3:$E$181,2))</f>
        <v>355.5</v>
      </c>
      <c r="BU24" s="23">
        <f>IF($B$7&lt;3,0,VLOOKUP(BU3,PriorYR_FTE2!$A$3:$E$181,2))</f>
        <v>383</v>
      </c>
      <c r="BV24" s="23">
        <f>IF($B$7&lt;3,0,VLOOKUP(BV3,PriorYR_FTE2!$A$3:$E$181,2))</f>
        <v>1247.5</v>
      </c>
      <c r="BW24" s="23">
        <f>IF($B$7&lt;3,0,VLOOKUP(BW3,PriorYR_FTE2!$A$3:$E$181,2))</f>
        <v>2017</v>
      </c>
      <c r="BX24" s="23">
        <f>IF($B$7&lt;3,0,VLOOKUP(BX3,PriorYR_FTE2!$A$3:$E$181,2))</f>
        <v>67</v>
      </c>
      <c r="BY24" s="23">
        <f>IF($B$7&lt;3,0,VLOOKUP(BY3,PriorYR_FTE2!$A$3:$E$181,2))</f>
        <v>404</v>
      </c>
      <c r="BZ24" s="23">
        <f>IF($B$7&lt;3,0,VLOOKUP(BZ3,PriorYR_FTE2!$A$3:$E$181,2))</f>
        <v>224</v>
      </c>
      <c r="CA24" s="23">
        <f>IF($B$7&lt;3,0,VLOOKUP(CA3,PriorYR_FTE2!$A$3:$E$181,2))</f>
        <v>130</v>
      </c>
      <c r="CB24" s="23">
        <f>IF($B$7&lt;3,0,VLOOKUP(CB3,PriorYR_FTE2!$A$3:$E$181,2))</f>
        <v>70467</v>
      </c>
      <c r="CC24" s="23">
        <f>IF($B$7&lt;3,0,VLOOKUP(CC3,PriorYR_FTE2!$A$3:$E$181,2))</f>
        <v>190</v>
      </c>
      <c r="CD24" s="23">
        <f>IF($B$7&lt;3,0,VLOOKUP(CD3,PriorYR_FTE2!$A$3:$E$181,2))</f>
        <v>27</v>
      </c>
      <c r="CE24" s="23">
        <f>IF($B$7&lt;3,0,VLOOKUP(CE3,PriorYR_FTE2!$A$3:$E$181,2))</f>
        <v>158.5</v>
      </c>
      <c r="CF24" s="23">
        <f>IF($B$7&lt;3,0,VLOOKUP(CF3,PriorYR_FTE2!$A$3:$E$181,2))</f>
        <v>92</v>
      </c>
      <c r="CG24" s="23">
        <f>IF($B$7&lt;3,0,VLOOKUP(CG3,PriorYR_FTE2!$A$3:$E$181,2))</f>
        <v>195.5</v>
      </c>
      <c r="CH24" s="23">
        <f>IF($B$7&lt;3,0,VLOOKUP(CH3,PriorYR_FTE2!$A$3:$E$181,2))</f>
        <v>90</v>
      </c>
      <c r="CI24" s="23">
        <f>IF($B$7&lt;3,0,VLOOKUP(CI3,PriorYR_FTE2!$A$3:$E$181,2))</f>
        <v>662</v>
      </c>
      <c r="CJ24" s="23">
        <f>IF($B$7&lt;3,0,VLOOKUP(CJ3,PriorYR_FTE2!$A$3:$E$181,2))</f>
        <v>855.5</v>
      </c>
      <c r="CK24" s="23">
        <f>IF($B$7&lt;3,0,VLOOKUP(CK3,PriorYR_FTE2!$A$3:$E$181,2))</f>
        <v>4231.5</v>
      </c>
      <c r="CL24" s="23">
        <f>IF($B$7&lt;3,0,VLOOKUP(CL3,PriorYR_FTE2!$A$3:$E$181,2))</f>
        <v>1169</v>
      </c>
      <c r="CM24" s="23">
        <f>IF($B$7&lt;3,0,VLOOKUP(CM3,PriorYR_FTE2!$A$3:$E$181,2))</f>
        <v>659</v>
      </c>
      <c r="CN24" s="23">
        <f>IF($B$7&lt;3,0,VLOOKUP(CN3,PriorYR_FTE2!$A$3:$E$181,2))</f>
        <v>28020.5</v>
      </c>
      <c r="CO24" s="23">
        <f>IF($B$7&lt;3,0,VLOOKUP(CO3,PriorYR_FTE2!$A$3:$E$181,2))</f>
        <v>14006.5</v>
      </c>
      <c r="CP24" s="23">
        <f>IF($B$7&lt;3,0,VLOOKUP(CP3,PriorYR_FTE2!$A$3:$E$181,2))</f>
        <v>869.5</v>
      </c>
      <c r="CQ24" s="23">
        <f>IF($B$7&lt;3,0,VLOOKUP(CQ3,PriorYR_FTE2!$A$3:$E$181,2))</f>
        <v>763</v>
      </c>
      <c r="CR24" s="23">
        <f>IF($B$7&lt;3,0,VLOOKUP(CR3,PriorYR_FTE2!$A$3:$E$181,2))</f>
        <v>199.5</v>
      </c>
      <c r="CS24" s="23">
        <f>IF($B$7&lt;3,0,VLOOKUP(CS3,PriorYR_FTE2!$A$3:$E$181,2))</f>
        <v>270</v>
      </c>
      <c r="CT24" s="23">
        <f>IF($B$7&lt;3,0,VLOOKUP(CT3,PriorYR_FTE2!$A$3:$E$181,2))</f>
        <v>115</v>
      </c>
      <c r="CU24" s="23">
        <f>IF($B$7&lt;3,0,VLOOKUP(CU3,PriorYR_FTE2!$A$3:$E$181,2))</f>
        <v>67</v>
      </c>
      <c r="CV24" s="23">
        <f>IF($B$7&lt;3,0,VLOOKUP(CV3,PriorYR_FTE2!$A$3:$E$181,2))</f>
        <v>22</v>
      </c>
      <c r="CW24" s="23">
        <f>IF($B$7&lt;3,0,VLOOKUP(CW3,PriorYR_FTE2!$A$3:$E$181,2))</f>
        <v>204</v>
      </c>
      <c r="CX24" s="23">
        <f>IF($B$7&lt;3,0,VLOOKUP(CX3,PriorYR_FTE2!$A$3:$E$181,2))</f>
        <v>450.5</v>
      </c>
      <c r="CY24" s="23">
        <f>IF($B$7&lt;3,0,VLOOKUP(CY3,PriorYR_FTE2!$A$3:$E$181,2))</f>
        <v>26.5</v>
      </c>
      <c r="CZ24" s="23">
        <f>IF($B$7&lt;3,0,VLOOKUP(CZ3,PriorYR_FTE2!$A$3:$E$181,2))</f>
        <v>1773</v>
      </c>
      <c r="DA24" s="23">
        <f>IF($B$7&lt;3,0,VLOOKUP(DA3,PriorYR_FTE2!$A$3:$E$181,2))</f>
        <v>197.5</v>
      </c>
      <c r="DB24" s="23">
        <f>IF($B$7&lt;3,0,VLOOKUP(DB3,PriorYR_FTE2!$A$3:$E$181,2))</f>
        <v>314</v>
      </c>
      <c r="DC24" s="23">
        <f>IF($B$7&lt;3,0,VLOOKUP(DC3,PriorYR_FTE2!$A$3:$E$181,2))</f>
        <v>183</v>
      </c>
      <c r="DD24" s="23">
        <f>IF($B$7&lt;3,0,VLOOKUP(DD3,PriorYR_FTE2!$A$3:$E$181,2))</f>
        <v>170</v>
      </c>
      <c r="DE24" s="23">
        <f>IF($B$7&lt;3,0,VLOOKUP(DE3,PriorYR_FTE2!$A$3:$E$181,2))</f>
        <v>280.5</v>
      </c>
      <c r="DF24" s="23">
        <f>IF($B$7&lt;3,0,VLOOKUP(DF3,PriorYR_FTE2!$A$3:$E$181,2))</f>
        <v>18900.5</v>
      </c>
      <c r="DG24" s="23">
        <f>IF($B$7&lt;3,0,VLOOKUP(DG3,PriorYR_FTE2!$A$3:$E$181,2))</f>
        <v>92</v>
      </c>
      <c r="DH24" s="23">
        <f>IF($B$7&lt;3,0,VLOOKUP(DH3,PriorYR_FTE2!$A$3:$E$181,2))</f>
        <v>1689</v>
      </c>
      <c r="DI24" s="23">
        <f>IF($B$7&lt;3,0,VLOOKUP(DI3,PriorYR_FTE2!$A$3:$E$181,2))</f>
        <v>2308</v>
      </c>
      <c r="DJ24" s="23">
        <f>IF($B$7&lt;3,0,VLOOKUP(DJ3,PriorYR_FTE2!$A$3:$E$181,2))</f>
        <v>598</v>
      </c>
      <c r="DK24" s="23">
        <f>IF($B$7&lt;3,0,VLOOKUP(DK3,PriorYR_FTE2!$A$3:$E$181,2))</f>
        <v>475</v>
      </c>
      <c r="DL24" s="23">
        <f>IF($B$7&lt;3,0,VLOOKUP(DL3,PriorYR_FTE2!$A$3:$E$181,2))</f>
        <v>5671</v>
      </c>
      <c r="DM24" s="23">
        <f>IF($B$7&lt;3,0,VLOOKUP(DM3,PriorYR_FTE2!$A$3:$E$181,2))</f>
        <v>228</v>
      </c>
      <c r="DN24" s="23">
        <f>IF($B$7&lt;3,0,VLOOKUP(DN3,PriorYR_FTE2!$A$3:$E$181,2))</f>
        <v>1275.5</v>
      </c>
      <c r="DO24" s="23">
        <f>IF($B$7&lt;3,0,VLOOKUP(DO3,PriorYR_FTE2!$A$3:$E$181,2))</f>
        <v>3255.5</v>
      </c>
      <c r="DP24" s="23">
        <f>IF($B$7&lt;3,0,VLOOKUP(DP3,PriorYR_FTE2!$A$3:$E$181,2))</f>
        <v>198</v>
      </c>
      <c r="DQ24" s="23">
        <f>IF($B$7&lt;3,0,VLOOKUP(DQ3,PriorYR_FTE2!$A$3:$E$181,2))</f>
        <v>843</v>
      </c>
      <c r="DR24" s="23">
        <f>IF($B$7&lt;3,0,VLOOKUP(DR3,PriorYR_FTE2!$A$3:$E$181,2))</f>
        <v>1280.5</v>
      </c>
      <c r="DS24" s="23">
        <f>IF($B$7&lt;3,0,VLOOKUP(DS3,PriorYR_FTE2!$A$3:$E$181,2))</f>
        <v>554</v>
      </c>
      <c r="DT24" s="23">
        <f>IF($B$7&lt;3,0,VLOOKUP(DT3,PriorYR_FTE2!$A$3:$E$181,2))</f>
        <v>174</v>
      </c>
      <c r="DU24" s="23">
        <f>IF($B$7&lt;3,0,VLOOKUP(DU3,PriorYR_FTE2!$A$3:$E$181,2))</f>
        <v>342</v>
      </c>
      <c r="DV24" s="23">
        <f>IF($B$7&lt;3,0,VLOOKUP(DV3,PriorYR_FTE2!$A$3:$E$181,2))</f>
        <v>200.5</v>
      </c>
      <c r="DW24" s="23">
        <f>IF($B$7&lt;3,0,VLOOKUP(DW3,PriorYR_FTE2!$A$3:$E$181,2))</f>
        <v>289.5</v>
      </c>
      <c r="DX24" s="23">
        <f>IF($B$7&lt;3,0,VLOOKUP(DX3,PriorYR_FTE2!$A$3:$E$181,2))</f>
        <v>166</v>
      </c>
      <c r="DY24" s="23">
        <f>IF($B$7&lt;3,0,VLOOKUP(DY3,PriorYR_FTE2!$A$3:$E$181,2))</f>
        <v>287</v>
      </c>
      <c r="DZ24" s="23">
        <f>IF($B$7&lt;3,0,VLOOKUP(DZ3,PriorYR_FTE2!$A$3:$E$181,2))</f>
        <v>634</v>
      </c>
      <c r="EA24" s="23">
        <f>IF($B$7&lt;3,0,VLOOKUP(EA3,PriorYR_FTE2!$A$3:$E$181,2))</f>
        <v>496</v>
      </c>
      <c r="EB24" s="23">
        <f>IF($B$7&lt;3,0,VLOOKUP(EB3,PriorYR_FTE2!$A$3:$E$181,2))</f>
        <v>508.5</v>
      </c>
      <c r="EC24" s="23">
        <f>IF($B$7&lt;3,0,VLOOKUP(EC3,PriorYR_FTE2!$A$3:$E$181,2))</f>
        <v>266.5</v>
      </c>
      <c r="ED24" s="23">
        <f>IF($B$7&lt;3,0,VLOOKUP(ED3,PriorYR_FTE2!$A$3:$E$181,2))</f>
        <v>1551.5</v>
      </c>
      <c r="EE24" s="23">
        <f>IF($B$7&lt;3,0,VLOOKUP(EE3,PriorYR_FTE2!$A$3:$E$181,2))</f>
        <v>194</v>
      </c>
      <c r="EF24" s="23">
        <f>IF($B$7&lt;3,0,VLOOKUP(EF3,PriorYR_FTE2!$A$3:$E$181,2))</f>
        <v>1271</v>
      </c>
      <c r="EG24" s="23">
        <f>IF($B$7&lt;3,0,VLOOKUP(EG3,PriorYR_FTE2!$A$3:$E$181,2))</f>
        <v>257</v>
      </c>
      <c r="EH24" s="23">
        <f>IF($B$7&lt;3,0,VLOOKUP(EH3,PriorYR_FTE2!$A$3:$E$181,2))</f>
        <v>245</v>
      </c>
      <c r="EI24" s="23">
        <f>IF($B$7&lt;3,0,VLOOKUP(EI3,PriorYR_FTE2!$A$3:$E$181,2))</f>
        <v>13446</v>
      </c>
      <c r="EJ24" s="23">
        <f>IF($B$7&lt;3,0,VLOOKUP(EJ3,PriorYR_FTE2!$A$3:$E$181,2))</f>
        <v>9802</v>
      </c>
      <c r="EK24" s="23">
        <f>IF($B$7&lt;3,0,VLOOKUP(EK3,PriorYR_FTE2!$A$3:$E$181,2))</f>
        <v>639.5</v>
      </c>
      <c r="EL24" s="23">
        <f>IF($B$7&lt;3,0,VLOOKUP(EL3,PriorYR_FTE2!$A$3:$E$181,2))</f>
        <v>457</v>
      </c>
      <c r="EM24" s="23">
        <f>IF($B$7&lt;3,0,VLOOKUP(EM3,PriorYR_FTE2!$A$3:$E$181,2))</f>
        <v>365</v>
      </c>
      <c r="EN24" s="23">
        <f>IF($B$7&lt;3,0,VLOOKUP(EN3,PriorYR_FTE2!$A$3:$E$181,2))</f>
        <v>882.5</v>
      </c>
      <c r="EO24" s="23">
        <f>IF($B$7&lt;3,0,VLOOKUP(EO3,PriorYR_FTE2!$A$3:$E$181,2))</f>
        <v>293</v>
      </c>
      <c r="EP24" s="23">
        <f>IF($B$7&lt;3,0,VLOOKUP(EP3,PriorYR_FTE2!$A$3:$E$181,2))</f>
        <v>417.5</v>
      </c>
      <c r="EQ24" s="23">
        <f>IF($B$7&lt;3,0,VLOOKUP(EQ3,PriorYR_FTE2!$A$3:$E$181,2))</f>
        <v>2460</v>
      </c>
      <c r="ER24" s="23">
        <f>IF($B$7&lt;3,0,VLOOKUP(ER3,PriorYR_FTE2!$A$3:$E$181,2))</f>
        <v>297</v>
      </c>
      <c r="ES24" s="23">
        <f>IF($B$7&lt;3,0,VLOOKUP(ES3,PriorYR_FTE2!$A$3:$E$181,2))</f>
        <v>147.5</v>
      </c>
      <c r="ET24" s="23">
        <f>IF($B$7&lt;3,0,VLOOKUP(ET3,PriorYR_FTE2!$A$3:$E$181,2))</f>
        <v>193.5</v>
      </c>
      <c r="EU24" s="23">
        <f>IF($B$7&lt;3,0,VLOOKUP(EU3,PriorYR_FTE2!$A$3:$E$181,2))</f>
        <v>576</v>
      </c>
      <c r="EV24" s="23">
        <f>IF($B$7&lt;3,0,VLOOKUP(EV3,PriorYR_FTE2!$A$3:$E$181,2))</f>
        <v>72</v>
      </c>
      <c r="EW24" s="23">
        <f>IF($B$7&lt;3,0,VLOOKUP(EW3,PriorYR_FTE2!$A$3:$E$181,2))</f>
        <v>799</v>
      </c>
      <c r="EX24" s="23">
        <f>IF($B$7&lt;3,0,VLOOKUP(EX3,PriorYR_FTE2!$A$3:$E$181,2))</f>
        <v>170</v>
      </c>
      <c r="EY24" s="23">
        <f>IF($B$7&lt;3,0,VLOOKUP(EY3,PriorYR_FTE2!$A$3:$E$181,2))</f>
        <v>196.5</v>
      </c>
      <c r="EZ24" s="23">
        <f>IF($B$7&lt;3,0,VLOOKUP(EZ3,PriorYR_FTE2!$A$3:$E$181,2))</f>
        <v>130</v>
      </c>
      <c r="FA24" s="23">
        <f>IF($B$7&lt;3,0,VLOOKUP(FA3,PriorYR_FTE2!$A$3:$E$181,2))</f>
        <v>3294</v>
      </c>
      <c r="FB24" s="23">
        <f>IF($B$7&lt;3,0,VLOOKUP(FB3,PriorYR_FTE2!$A$3:$E$181,2))</f>
        <v>276</v>
      </c>
      <c r="FC24" s="23">
        <f>IF($B$7&lt;3,0,VLOOKUP(FC3,PriorYR_FTE2!$A$3:$E$181,2))</f>
        <v>1684</v>
      </c>
      <c r="FD24" s="23">
        <f>IF($B$7&lt;3,0,VLOOKUP(FD3,PriorYR_FTE2!$A$3:$E$181,2))</f>
        <v>395</v>
      </c>
      <c r="FE24" s="23">
        <f>IF($B$7&lt;3,0,VLOOKUP(FE3,PriorYR_FTE2!$A$3:$E$181,2))</f>
        <v>75</v>
      </c>
      <c r="FF24" s="23">
        <f>IF($B$7&lt;3,0,VLOOKUP(FF3,PriorYR_FTE2!$A$3:$E$181,2))</f>
        <v>178</v>
      </c>
      <c r="FG24" s="23">
        <f>IF($B$7&lt;3,0,VLOOKUP(FG3,PriorYR_FTE2!$A$3:$E$181,2))</f>
        <v>117</v>
      </c>
      <c r="FH24" s="23">
        <f>IF($B$7&lt;3,0,VLOOKUP(FH3,PriorYR_FTE2!$A$3:$E$181,2))</f>
        <v>71</v>
      </c>
      <c r="FI24" s="23">
        <f>IF($B$7&lt;3,0,VLOOKUP(FI3,PriorYR_FTE2!$A$3:$E$181,2))</f>
        <v>1639.5</v>
      </c>
      <c r="FJ24" s="23">
        <f>IF($B$7&lt;3,0,VLOOKUP(FJ3,PriorYR_FTE2!$A$3:$E$181,2))</f>
        <v>2009</v>
      </c>
      <c r="FK24" s="23">
        <f>IF($B$7&lt;3,0,VLOOKUP(FK3,PriorYR_FTE2!$A$3:$E$181,2))</f>
        <v>2481</v>
      </c>
      <c r="FL24" s="23">
        <f>IF($B$7&lt;3,0,VLOOKUP(FL3,PriorYR_FTE2!$A$3:$E$181,2))</f>
        <v>8455.5</v>
      </c>
      <c r="FM24" s="23">
        <f>IF($B$7&lt;3,0,VLOOKUP(FM3,PriorYR_FTE2!$A$3:$E$181,2))</f>
        <v>3910.5</v>
      </c>
      <c r="FN24" s="23">
        <f>IF($B$7&lt;3,0,VLOOKUP(FN3,PriorYR_FTE2!$A$3:$E$181,2))</f>
        <v>22092.5</v>
      </c>
      <c r="FO24" s="23">
        <f>IF($B$7&lt;3,0,VLOOKUP(FO3,PriorYR_FTE2!$A$3:$E$181,2))</f>
        <v>1111</v>
      </c>
      <c r="FP24" s="23">
        <f>IF($B$7&lt;3,0,VLOOKUP(FP3,PriorYR_FTE2!$A$3:$E$181,2))</f>
        <v>2307.5</v>
      </c>
      <c r="FQ24" s="23">
        <f>IF($B$7&lt;3,0,VLOOKUP(FQ3,PriorYR_FTE2!$A$3:$E$181,2))</f>
        <v>974.5</v>
      </c>
      <c r="FR24" s="23">
        <f>IF($B$7&lt;3,0,VLOOKUP(FR3,PriorYR_FTE2!$A$3:$E$181,2))</f>
        <v>165.5</v>
      </c>
      <c r="FS24" s="23">
        <f>IF($B$7&lt;3,0,VLOOKUP(FS3,PriorYR_FTE2!$A$3:$E$181,2))</f>
        <v>151</v>
      </c>
      <c r="FT24" s="23">
        <f>IF($B$7&lt;3,0,VLOOKUP(FT3,PriorYR_FTE2!$A$3:$E$181,2))</f>
        <v>53</v>
      </c>
      <c r="FU24" s="23">
        <f>IF($B$7&lt;3,0,VLOOKUP(FU3,PriorYR_FTE2!$A$3:$E$181,2))</f>
        <v>759.5</v>
      </c>
      <c r="FV24" s="23">
        <f>IF($B$7&lt;3,0,VLOOKUP(FV3,PriorYR_FTE2!$A$3:$E$181,2))</f>
        <v>690.5</v>
      </c>
      <c r="FW24" s="23">
        <f>IF($B$7&lt;3,0,VLOOKUP(FW3,PriorYR_FTE2!$A$3:$E$181,2))</f>
        <v>134</v>
      </c>
      <c r="FX24" s="23">
        <f>IF($B$7&lt;3,0,VLOOKUP(FX3,PriorYR_FTE2!$A$3:$E$181,2))</f>
        <v>65</v>
      </c>
      <c r="FY24" s="23"/>
      <c r="FZ24" s="23">
        <f t="shared" si="6"/>
        <v>785348.5</v>
      </c>
      <c r="GA24" s="23"/>
      <c r="GB24" s="23"/>
      <c r="GC24" s="23"/>
      <c r="GD24" s="23"/>
      <c r="GE24" s="23"/>
      <c r="GF24" s="23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</row>
    <row r="25" spans="1:204" ht="15.5" x14ac:dyDescent="0.35">
      <c r="A25" s="12" t="s">
        <v>481</v>
      </c>
      <c r="B25" s="36" t="s">
        <v>482</v>
      </c>
      <c r="C25" s="23">
        <f>IF($B$7&lt;3,0,VLOOKUP(C3,PriorYR_FTE2!$A$3:$E$181,3))</f>
        <v>6332.5</v>
      </c>
      <c r="D25" s="23">
        <f>IF($B$7&lt;3,0,VLOOKUP(D3,PriorYR_FTE2!$A$3:$E$181,3))</f>
        <v>33220</v>
      </c>
      <c r="E25" s="23">
        <f>IF($B$7&lt;3,0,VLOOKUP(E3,PriorYR_FTE2!$A$3:$E$181,3))</f>
        <v>4999.5</v>
      </c>
      <c r="F25" s="23">
        <f>IF($B$7&lt;3,0,VLOOKUP(F3,PriorYR_FTE2!$A$3:$E$181,3))</f>
        <v>20597.5</v>
      </c>
      <c r="G25" s="23">
        <f>IF($B$7&lt;3,0,VLOOKUP(G3,PriorYR_FTE2!$A$3:$E$181,3))</f>
        <v>1573</v>
      </c>
      <c r="H25" s="23">
        <f>IF($B$7&lt;3,0,VLOOKUP(H3,PriorYR_FTE2!$A$3:$E$181,3))</f>
        <v>1094</v>
      </c>
      <c r="I25" s="23">
        <f>IF($B$7&lt;3,0,VLOOKUP(I3,PriorYR_FTE2!$A$3:$E$181,3))</f>
        <v>7057.5</v>
      </c>
      <c r="J25" s="23">
        <f>IF($B$7&lt;3,0,VLOOKUP(J3,PriorYR_FTE2!$A$3:$E$181,3))</f>
        <v>2039</v>
      </c>
      <c r="K25" s="23">
        <f>IF($B$7&lt;3,0,VLOOKUP(K3,PriorYR_FTE2!$A$3:$E$181,3))</f>
        <v>263</v>
      </c>
      <c r="L25" s="23">
        <f>IF($B$7&lt;3,0,VLOOKUP(L3,PriorYR_FTE2!$A$3:$E$181,3))</f>
        <v>2102</v>
      </c>
      <c r="M25" s="23">
        <f>IF($B$7&lt;3,0,VLOOKUP(M3,PriorYR_FTE2!$A$3:$E$181,3))</f>
        <v>933</v>
      </c>
      <c r="N25" s="23">
        <f>IF($B$7&lt;3,0,VLOOKUP(N3,PriorYR_FTE2!$A$3:$E$181,3))</f>
        <v>49949</v>
      </c>
      <c r="O25" s="23">
        <f>IF($B$7&lt;3,0,VLOOKUP(O3,PriorYR_FTE2!$A$3:$E$181,3))</f>
        <v>12783.5</v>
      </c>
      <c r="P25" s="23">
        <f>IF($B$7&lt;3,0,VLOOKUP(P3,PriorYR_FTE2!$A$3:$E$181,3))</f>
        <v>330</v>
      </c>
      <c r="Q25" s="23">
        <f>IF($B$7&lt;3,0,VLOOKUP(Q3,PriorYR_FTE2!$A$3:$E$181,3))</f>
        <v>36546</v>
      </c>
      <c r="R25" s="23">
        <f>IF($B$7&lt;3,0,VLOOKUP(R3,PriorYR_FTE2!$A$3:$E$181,3))</f>
        <v>497</v>
      </c>
      <c r="S25" s="23">
        <f>IF($B$7&lt;3,0,VLOOKUP(S3,PriorYR_FTE2!$A$3:$E$181,3))</f>
        <v>1567.5</v>
      </c>
      <c r="T25" s="23">
        <f>IF($B$7&lt;3,0,VLOOKUP(T3,PriorYR_FTE2!$A$3:$E$181,3))</f>
        <v>160</v>
      </c>
      <c r="U25" s="23">
        <f>IF($B$7&lt;3,0,VLOOKUP(U3,PriorYR_FTE2!$A$3:$E$181,3))</f>
        <v>50</v>
      </c>
      <c r="V25" s="23">
        <f>IF($B$7&lt;3,0,VLOOKUP(V3,PriorYR_FTE2!$A$3:$E$181,3))</f>
        <v>261.5</v>
      </c>
      <c r="W25" s="23">
        <f>IF($B$7&lt;3,0,VLOOKUP(W3,PriorYR_FTE2!$A$3:$E$181,3))</f>
        <v>58.5</v>
      </c>
      <c r="X25" s="23">
        <f>IF($B$7&lt;3,0,VLOOKUP(X3,PriorYR_FTE2!$A$3:$E$181,3))</f>
        <v>27</v>
      </c>
      <c r="Y25" s="23">
        <f>IF($B$7&lt;3,0,VLOOKUP(Y3,PriorYR_FTE2!$A$3:$E$181,3))</f>
        <v>428</v>
      </c>
      <c r="Z25" s="23">
        <f>IF($B$7&lt;3,0,VLOOKUP(Z3,PriorYR_FTE2!$A$3:$E$181,3))</f>
        <v>227</v>
      </c>
      <c r="AA25" s="23">
        <f>IF($B$7&lt;3,0,VLOOKUP(AA3,PriorYR_FTE2!$A$3:$E$181,3))</f>
        <v>30394.5</v>
      </c>
      <c r="AB25" s="23">
        <f>IF($B$7&lt;3,0,VLOOKUP(AB3,PriorYR_FTE2!$A$3:$E$181,3))</f>
        <v>26932</v>
      </c>
      <c r="AC25" s="23">
        <f>IF($B$7&lt;3,0,VLOOKUP(AC3,PriorYR_FTE2!$A$3:$E$181,3))</f>
        <v>909</v>
      </c>
      <c r="AD25" s="23">
        <f>IF($B$7&lt;3,0,VLOOKUP(AD3,PriorYR_FTE2!$A$3:$E$181,3))</f>
        <v>1255</v>
      </c>
      <c r="AE25" s="23">
        <f>IF($B$7&lt;3,0,VLOOKUP(AE3,PriorYR_FTE2!$A$3:$E$181,3))</f>
        <v>94</v>
      </c>
      <c r="AF25" s="23">
        <f>IF($B$7&lt;3,0,VLOOKUP(AF3,PriorYR_FTE2!$A$3:$E$181,3))</f>
        <v>162.5</v>
      </c>
      <c r="AG25" s="23">
        <f>IF($B$7&lt;3,0,VLOOKUP(AG3,PriorYR_FTE2!$A$3:$E$181,3))</f>
        <v>590</v>
      </c>
      <c r="AH25" s="23">
        <f>IF($B$7&lt;3,0,VLOOKUP(AH3,PriorYR_FTE2!$A$3:$E$181,3))</f>
        <v>955</v>
      </c>
      <c r="AI25" s="23">
        <f>IF($B$7&lt;3,0,VLOOKUP(AI3,PriorYR_FTE2!$A$3:$E$181,3))</f>
        <v>385.5</v>
      </c>
      <c r="AJ25" s="23">
        <f>IF($B$7&lt;3,0,VLOOKUP(AJ3,PriorYR_FTE2!$A$3:$E$181,3))</f>
        <v>164</v>
      </c>
      <c r="AK25" s="23">
        <f>IF($B$7&lt;3,0,VLOOKUP(AK3,PriorYR_FTE2!$A$3:$E$181,3))</f>
        <v>159</v>
      </c>
      <c r="AL25" s="23">
        <f>IF($B$7&lt;3,0,VLOOKUP(AL3,PriorYR_FTE2!$A$3:$E$181,3))</f>
        <v>276</v>
      </c>
      <c r="AM25" s="23">
        <f>IF($B$7&lt;3,0,VLOOKUP(AM3,PriorYR_FTE2!$A$3:$E$181,3))</f>
        <v>343</v>
      </c>
      <c r="AN25" s="23">
        <f>IF($B$7&lt;3,0,VLOOKUP(AN3,PriorYR_FTE2!$A$3:$E$181,3))</f>
        <v>309</v>
      </c>
      <c r="AO25" s="23">
        <f>IF($B$7&lt;3,0,VLOOKUP(AO3,PriorYR_FTE2!$A$3:$E$181,3))</f>
        <v>4127.5</v>
      </c>
      <c r="AP25" s="23">
        <f>IF($B$7&lt;3,0,VLOOKUP(AP3,PriorYR_FTE2!$A$3:$E$181,3))</f>
        <v>82476.5</v>
      </c>
      <c r="AQ25" s="23">
        <f>IF($B$7&lt;3,0,VLOOKUP(AQ3,PriorYR_FTE2!$A$3:$E$181,3))</f>
        <v>232</v>
      </c>
      <c r="AR25" s="23">
        <f>IF($B$7&lt;3,0,VLOOKUP(AR3,PriorYR_FTE2!$A$3:$E$181,3))</f>
        <v>58489.5</v>
      </c>
      <c r="AS25" s="23">
        <f>IF($B$7&lt;3,0,VLOOKUP(AS3,PriorYR_FTE2!$A$3:$E$181,3))</f>
        <v>6165</v>
      </c>
      <c r="AT25" s="23">
        <f>IF($B$7&lt;3,0,VLOOKUP(AT3,PriorYR_FTE2!$A$3:$E$181,3))</f>
        <v>2332.5</v>
      </c>
      <c r="AU25" s="23">
        <f>IF($B$7&lt;3,0,VLOOKUP(AU3,PriorYR_FTE2!$A$3:$E$181,3))</f>
        <v>291</v>
      </c>
      <c r="AV25" s="23">
        <f>IF($B$7&lt;3,0,VLOOKUP(AV3,PriorYR_FTE2!$A$3:$E$181,3))</f>
        <v>297</v>
      </c>
      <c r="AW25" s="23">
        <f>IF($B$7&lt;3,0,VLOOKUP(AW3,PriorYR_FTE2!$A$3:$E$181,3))</f>
        <v>256</v>
      </c>
      <c r="AX25" s="23">
        <f>IF($B$7&lt;3,0,VLOOKUP(AX3,PriorYR_FTE2!$A$3:$E$181,3))</f>
        <v>63</v>
      </c>
      <c r="AY25" s="23">
        <f>IF($B$7&lt;3,0,VLOOKUP(AY3,PriorYR_FTE2!$A$3:$E$181,3))</f>
        <v>415</v>
      </c>
      <c r="AZ25" s="23">
        <f>IF($B$7&lt;3,0,VLOOKUP(AZ3,PriorYR_FTE2!$A$3:$E$181,3))</f>
        <v>12050</v>
      </c>
      <c r="BA25" s="23">
        <f>IF($B$7&lt;3,0,VLOOKUP(BA3,PriorYR_FTE2!$A$3:$E$181,3))</f>
        <v>8756</v>
      </c>
      <c r="BB25" s="23">
        <f>IF($B$7&lt;3,0,VLOOKUP(BB3,PriorYR_FTE2!$A$3:$E$181,3))</f>
        <v>7341</v>
      </c>
      <c r="BC25" s="23">
        <f>IF($B$7&lt;3,0,VLOOKUP(BC3,PriorYR_FTE2!$A$3:$E$181,3))</f>
        <v>20943.5</v>
      </c>
      <c r="BD25" s="23">
        <f>IF($B$7&lt;3,0,VLOOKUP(BD3,PriorYR_FTE2!$A$3:$E$181,3))</f>
        <v>3609.5</v>
      </c>
      <c r="BE25" s="23">
        <f>IF($B$7&lt;3,0,VLOOKUP(BE3,PriorYR_FTE2!$A$3:$E$181,3))</f>
        <v>1207</v>
      </c>
      <c r="BF25" s="23">
        <f>IF($B$7&lt;3,0,VLOOKUP(BF3,PriorYR_FTE2!$A$3:$E$181,3))</f>
        <v>24346</v>
      </c>
      <c r="BG25" s="23">
        <f>IF($B$7&lt;3,0,VLOOKUP(BG3,PriorYR_FTE2!$A$3:$E$181,3))</f>
        <v>884.5</v>
      </c>
      <c r="BH25" s="23">
        <f>IF($B$7&lt;3,0,VLOOKUP(BH3,PriorYR_FTE2!$A$3:$E$181,3))</f>
        <v>542</v>
      </c>
      <c r="BI25" s="23">
        <f>IF($B$7&lt;3,0,VLOOKUP(BI3,PriorYR_FTE2!$A$3:$E$181,3))</f>
        <v>253.5</v>
      </c>
      <c r="BJ25" s="23">
        <f>IF($B$7&lt;3,0,VLOOKUP(BJ3,PriorYR_FTE2!$A$3:$E$181,3))</f>
        <v>6224.5</v>
      </c>
      <c r="BK25" s="23">
        <f>IF($B$7&lt;3,0,VLOOKUP(BK3,PriorYR_FTE2!$A$3:$E$181,3))</f>
        <v>19735</v>
      </c>
      <c r="BL25" s="23">
        <f>IF($B$7&lt;3,0,VLOOKUP(BL3,PriorYR_FTE2!$A$3:$E$181,3))</f>
        <v>58</v>
      </c>
      <c r="BM25" s="23">
        <f>IF($B$7&lt;3,0,VLOOKUP(BM3,PriorYR_FTE2!$A$3:$E$181,3))</f>
        <v>360.5</v>
      </c>
      <c r="BN25" s="23">
        <f>IF($B$7&lt;3,0,VLOOKUP(BN3,PriorYR_FTE2!$A$3:$E$181,3))</f>
        <v>3019.5</v>
      </c>
      <c r="BO25" s="23">
        <f>IF($B$7&lt;3,0,VLOOKUP(BO3,PriorYR_FTE2!$A$3:$E$181,3))</f>
        <v>1251</v>
      </c>
      <c r="BP25" s="23">
        <f>IF($B$7&lt;3,0,VLOOKUP(BP3,PriorYR_FTE2!$A$3:$E$181,3))</f>
        <v>152</v>
      </c>
      <c r="BQ25" s="23">
        <f>IF($B$7&lt;3,0,VLOOKUP(BQ3,PriorYR_FTE2!$A$3:$E$181,3))</f>
        <v>5653</v>
      </c>
      <c r="BR25" s="23">
        <f>IF($B$7&lt;3,0,VLOOKUP(BR3,PriorYR_FTE2!$A$3:$E$181,3))</f>
        <v>4483</v>
      </c>
      <c r="BS25" s="23">
        <f>IF($B$7&lt;3,0,VLOOKUP(BS3,PriorYR_FTE2!$A$3:$E$181,3))</f>
        <v>1106</v>
      </c>
      <c r="BT25" s="23">
        <f>IF($B$7&lt;3,0,VLOOKUP(BT3,PriorYR_FTE2!$A$3:$E$181,3))</f>
        <v>362</v>
      </c>
      <c r="BU25" s="23">
        <f>IF($B$7&lt;3,0,VLOOKUP(BU3,PriorYR_FTE2!$A$3:$E$181,3))</f>
        <v>410</v>
      </c>
      <c r="BV25" s="23">
        <f>IF($B$7&lt;3,0,VLOOKUP(BV3,PriorYR_FTE2!$A$3:$E$181,3))</f>
        <v>1223</v>
      </c>
      <c r="BW25" s="23">
        <f>IF($B$7&lt;3,0,VLOOKUP(BW3,PriorYR_FTE2!$A$3:$E$181,3))</f>
        <v>1985.5</v>
      </c>
      <c r="BX25" s="23">
        <f>IF($B$7&lt;3,0,VLOOKUP(BX3,PriorYR_FTE2!$A$3:$E$181,3))</f>
        <v>67</v>
      </c>
      <c r="BY25" s="23">
        <f>IF($B$7&lt;3,0,VLOOKUP(BY3,PriorYR_FTE2!$A$3:$E$181,3))</f>
        <v>439.5</v>
      </c>
      <c r="BZ25" s="23">
        <f>IF($B$7&lt;3,0,VLOOKUP(BZ3,PriorYR_FTE2!$A$3:$E$181,3))</f>
        <v>195</v>
      </c>
      <c r="CA25" s="23">
        <f>IF($B$7&lt;3,0,VLOOKUP(CA3,PriorYR_FTE2!$A$3:$E$181,3))</f>
        <v>139</v>
      </c>
      <c r="CB25" s="23">
        <f>IF($B$7&lt;3,0,VLOOKUP(CB3,PriorYR_FTE2!$A$3:$E$181,3))</f>
        <v>71260.5</v>
      </c>
      <c r="CC25" s="23">
        <f>IF($B$7&lt;3,0,VLOOKUP(CC3,PriorYR_FTE2!$A$3:$E$181,3))</f>
        <v>192</v>
      </c>
      <c r="CD25" s="23">
        <f>IF($B$7&lt;3,0,VLOOKUP(CD3,PriorYR_FTE2!$A$3:$E$181,3))</f>
        <v>23</v>
      </c>
      <c r="CE25" s="23">
        <f>IF($B$7&lt;3,0,VLOOKUP(CE3,PriorYR_FTE2!$A$3:$E$181,3))</f>
        <v>151</v>
      </c>
      <c r="CF25" s="23">
        <f>IF($B$7&lt;3,0,VLOOKUP(CF3,PriorYR_FTE2!$A$3:$E$181,3))</f>
        <v>110</v>
      </c>
      <c r="CG25" s="23">
        <f>IF($B$7&lt;3,0,VLOOKUP(CG3,PriorYR_FTE2!$A$3:$E$181,3))</f>
        <v>201.5</v>
      </c>
      <c r="CH25" s="23">
        <f>IF($B$7&lt;3,0,VLOOKUP(CH3,PriorYR_FTE2!$A$3:$E$181,3))</f>
        <v>99</v>
      </c>
      <c r="CI25" s="23">
        <f>IF($B$7&lt;3,0,VLOOKUP(CI3,PriorYR_FTE2!$A$3:$E$181,3))</f>
        <v>691</v>
      </c>
      <c r="CJ25" s="23">
        <f>IF($B$7&lt;3,0,VLOOKUP(CJ3,PriorYR_FTE2!$A$3:$E$181,3))</f>
        <v>873</v>
      </c>
      <c r="CK25" s="23">
        <f>IF($B$7&lt;3,0,VLOOKUP(CK3,PriorYR_FTE2!$A$3:$E$181,3))</f>
        <v>4272.5</v>
      </c>
      <c r="CL25" s="23">
        <f>IF($B$7&lt;3,0,VLOOKUP(CL3,PriorYR_FTE2!$A$3:$E$181,3))</f>
        <v>1244.5</v>
      </c>
      <c r="CM25" s="23">
        <f>IF($B$7&lt;3,0,VLOOKUP(CM3,PriorYR_FTE2!$A$3:$E$181,3))</f>
        <v>701</v>
      </c>
      <c r="CN25" s="23">
        <f>IF($B$7&lt;3,0,VLOOKUP(CN3,PriorYR_FTE2!$A$3:$E$181,3))</f>
        <v>28337.5</v>
      </c>
      <c r="CO25" s="23">
        <f>IF($B$7&lt;3,0,VLOOKUP(CO3,PriorYR_FTE2!$A$3:$E$181,3))</f>
        <v>14308.5</v>
      </c>
      <c r="CP25" s="23">
        <f>IF($B$7&lt;3,0,VLOOKUP(CP3,PriorYR_FTE2!$A$3:$E$181,3))</f>
        <v>937</v>
      </c>
      <c r="CQ25" s="23">
        <f>IF($B$7&lt;3,0,VLOOKUP(CQ3,PriorYR_FTE2!$A$3:$E$181,3))</f>
        <v>740</v>
      </c>
      <c r="CR25" s="23">
        <f>IF($B$7&lt;3,0,VLOOKUP(CR3,PriorYR_FTE2!$A$3:$E$181,3))</f>
        <v>230.5</v>
      </c>
      <c r="CS25" s="23">
        <f>IF($B$7&lt;3,0,VLOOKUP(CS3,PriorYR_FTE2!$A$3:$E$181,3))</f>
        <v>290</v>
      </c>
      <c r="CT25" s="23">
        <f>IF($B$7&lt;3,0,VLOOKUP(CT3,PriorYR_FTE2!$A$3:$E$181,3))</f>
        <v>101</v>
      </c>
      <c r="CU25" s="23">
        <f>IF($B$7&lt;3,0,VLOOKUP(CU3,PriorYR_FTE2!$A$3:$E$181,3))</f>
        <v>73</v>
      </c>
      <c r="CV25" s="23">
        <f>IF($B$7&lt;3,0,VLOOKUP(CV3,PriorYR_FTE2!$A$3:$E$181,3))</f>
        <v>23.5</v>
      </c>
      <c r="CW25" s="23">
        <f>IF($B$7&lt;3,0,VLOOKUP(CW3,PriorYR_FTE2!$A$3:$E$181,3))</f>
        <v>205</v>
      </c>
      <c r="CX25" s="23">
        <f>IF($B$7&lt;3,0,VLOOKUP(CX3,PriorYR_FTE2!$A$3:$E$181,3))</f>
        <v>470.5</v>
      </c>
      <c r="CY25" s="23">
        <f>IF($B$7&lt;3,0,VLOOKUP(CY3,PriorYR_FTE2!$A$3:$E$181,3))</f>
        <v>29.5</v>
      </c>
      <c r="CZ25" s="23">
        <f>IF($B$7&lt;3,0,VLOOKUP(CZ3,PriorYR_FTE2!$A$3:$E$181,3))</f>
        <v>1759</v>
      </c>
      <c r="DA25" s="23">
        <f>IF($B$7&lt;3,0,VLOOKUP(DA3,PriorYR_FTE2!$A$3:$E$181,3))</f>
        <v>201</v>
      </c>
      <c r="DB25" s="23">
        <f>IF($B$7&lt;3,0,VLOOKUP(DB3,PriorYR_FTE2!$A$3:$E$181,3))</f>
        <v>322.5</v>
      </c>
      <c r="DC25" s="23">
        <f>IF($B$7&lt;3,0,VLOOKUP(DC3,PriorYR_FTE2!$A$3:$E$181,3))</f>
        <v>182</v>
      </c>
      <c r="DD25" s="23">
        <f>IF($B$7&lt;3,0,VLOOKUP(DD3,PriorYR_FTE2!$A$3:$E$181,3))</f>
        <v>156</v>
      </c>
      <c r="DE25" s="23">
        <f>IF($B$7&lt;3,0,VLOOKUP(DE3,PriorYR_FTE2!$A$3:$E$181,3))</f>
        <v>287.5</v>
      </c>
      <c r="DF25" s="23">
        <f>IF($B$7&lt;3,0,VLOOKUP(DF3,PriorYR_FTE2!$A$3:$E$181,3))</f>
        <v>19273</v>
      </c>
      <c r="DG25" s="23">
        <f>IF($B$7&lt;3,0,VLOOKUP(DG3,PriorYR_FTE2!$A$3:$E$181,3))</f>
        <v>95</v>
      </c>
      <c r="DH25" s="23">
        <f>IF($B$7&lt;3,0,VLOOKUP(DH3,PriorYR_FTE2!$A$3:$E$181,3))</f>
        <v>1764</v>
      </c>
      <c r="DI25" s="23">
        <f>IF($B$7&lt;3,0,VLOOKUP(DI3,PriorYR_FTE2!$A$3:$E$181,3))</f>
        <v>2394.5</v>
      </c>
      <c r="DJ25" s="23">
        <f>IF($B$7&lt;3,0,VLOOKUP(DJ3,PriorYR_FTE2!$A$3:$E$181,3))</f>
        <v>623</v>
      </c>
      <c r="DK25" s="23">
        <f>IF($B$7&lt;3,0,VLOOKUP(DK3,PriorYR_FTE2!$A$3:$E$181,3))</f>
        <v>485.5</v>
      </c>
      <c r="DL25" s="23">
        <f>IF($B$7&lt;3,0,VLOOKUP(DL3,PriorYR_FTE2!$A$3:$E$181,3))</f>
        <v>5690.5</v>
      </c>
      <c r="DM25" s="23">
        <f>IF($B$7&lt;3,0,VLOOKUP(DM3,PriorYR_FTE2!$A$3:$E$181,3))</f>
        <v>228.5</v>
      </c>
      <c r="DN25" s="23">
        <f>IF($B$7&lt;3,0,VLOOKUP(DN3,PriorYR_FTE2!$A$3:$E$181,3))</f>
        <v>1263.5</v>
      </c>
      <c r="DO25" s="23">
        <f>IF($B$7&lt;3,0,VLOOKUP(DO3,PriorYR_FTE2!$A$3:$E$181,3))</f>
        <v>3230</v>
      </c>
      <c r="DP25" s="23">
        <f>IF($B$7&lt;3,0,VLOOKUP(DP3,PriorYR_FTE2!$A$3:$E$181,3))</f>
        <v>191</v>
      </c>
      <c r="DQ25" s="23">
        <f>IF($B$7&lt;3,0,VLOOKUP(DQ3,PriorYR_FTE2!$A$3:$E$181,3))</f>
        <v>817</v>
      </c>
      <c r="DR25" s="23">
        <f>IF($B$7&lt;3,0,VLOOKUP(DR3,PriorYR_FTE2!$A$3:$E$181,3))</f>
        <v>1318.5</v>
      </c>
      <c r="DS25" s="23">
        <f>IF($B$7&lt;3,0,VLOOKUP(DS3,PriorYR_FTE2!$A$3:$E$181,3))</f>
        <v>589</v>
      </c>
      <c r="DT25" s="23">
        <f>IF($B$7&lt;3,0,VLOOKUP(DT3,PriorYR_FTE2!$A$3:$E$181,3))</f>
        <v>180.5</v>
      </c>
      <c r="DU25" s="23">
        <f>IF($B$7&lt;3,0,VLOOKUP(DU3,PriorYR_FTE2!$A$3:$E$181,3))</f>
        <v>355</v>
      </c>
      <c r="DV25" s="23">
        <f>IF($B$7&lt;3,0,VLOOKUP(DV3,PriorYR_FTE2!$A$3:$E$181,3))</f>
        <v>206.5</v>
      </c>
      <c r="DW25" s="23">
        <f>IF($B$7&lt;3,0,VLOOKUP(DW3,PriorYR_FTE2!$A$3:$E$181,3))</f>
        <v>301</v>
      </c>
      <c r="DX25" s="23">
        <f>IF($B$7&lt;3,0,VLOOKUP(DX3,PriorYR_FTE2!$A$3:$E$181,3))</f>
        <v>159</v>
      </c>
      <c r="DY25" s="23">
        <f>IF($B$7&lt;3,0,VLOOKUP(DY3,PriorYR_FTE2!$A$3:$E$181,3))</f>
        <v>296</v>
      </c>
      <c r="DZ25" s="23">
        <f>IF($B$7&lt;3,0,VLOOKUP(DZ3,PriorYR_FTE2!$A$3:$E$181,3))</f>
        <v>675</v>
      </c>
      <c r="EA25" s="23">
        <f>IF($B$7&lt;3,0,VLOOKUP(EA3,PriorYR_FTE2!$A$3:$E$181,3))</f>
        <v>510.5</v>
      </c>
      <c r="EB25" s="23">
        <f>IF($B$7&lt;3,0,VLOOKUP(EB3,PriorYR_FTE2!$A$3:$E$181,3))</f>
        <v>527</v>
      </c>
      <c r="EC25" s="23">
        <f>IF($B$7&lt;3,0,VLOOKUP(EC3,PriorYR_FTE2!$A$3:$E$181,3))</f>
        <v>281.5</v>
      </c>
      <c r="ED25" s="23">
        <f>IF($B$7&lt;3,0,VLOOKUP(ED3,PriorYR_FTE2!$A$3:$E$181,3))</f>
        <v>1523</v>
      </c>
      <c r="EE25" s="23">
        <f>IF($B$7&lt;3,0,VLOOKUP(EE3,PriorYR_FTE2!$A$3:$E$181,3))</f>
        <v>189</v>
      </c>
      <c r="EF25" s="23">
        <f>IF($B$7&lt;3,0,VLOOKUP(EF3,PriorYR_FTE2!$A$3:$E$181,3))</f>
        <v>1350</v>
      </c>
      <c r="EG25" s="23">
        <f>IF($B$7&lt;3,0,VLOOKUP(EG3,PriorYR_FTE2!$A$3:$E$181,3))</f>
        <v>246</v>
      </c>
      <c r="EH25" s="23">
        <f>IF($B$7&lt;3,0,VLOOKUP(EH3,PriorYR_FTE2!$A$3:$E$181,3))</f>
        <v>250</v>
      </c>
      <c r="EI25" s="23">
        <f>IF($B$7&lt;3,0,VLOOKUP(EI3,PriorYR_FTE2!$A$3:$E$181,3))</f>
        <v>13862.5</v>
      </c>
      <c r="EJ25" s="23">
        <f>IF($B$7&lt;3,0,VLOOKUP(EJ3,PriorYR_FTE2!$A$3:$E$181,3))</f>
        <v>10059</v>
      </c>
      <c r="EK25" s="23">
        <f>IF($B$7&lt;3,0,VLOOKUP(EK3,PriorYR_FTE2!$A$3:$E$181,3))</f>
        <v>686</v>
      </c>
      <c r="EL25" s="23">
        <f>IF($B$7&lt;3,0,VLOOKUP(EL3,PriorYR_FTE2!$A$3:$E$181,3))</f>
        <v>467.5</v>
      </c>
      <c r="EM25" s="23">
        <f>IF($B$7&lt;3,0,VLOOKUP(EM3,PriorYR_FTE2!$A$3:$E$181,3))</f>
        <v>373</v>
      </c>
      <c r="EN25" s="23">
        <f>IF($B$7&lt;3,0,VLOOKUP(EN3,PriorYR_FTE2!$A$3:$E$181,3))</f>
        <v>899</v>
      </c>
      <c r="EO25" s="23">
        <f>IF($B$7&lt;3,0,VLOOKUP(EO3,PriorYR_FTE2!$A$3:$E$181,3))</f>
        <v>296</v>
      </c>
      <c r="EP25" s="23">
        <f>IF($B$7&lt;3,0,VLOOKUP(EP3,PriorYR_FTE2!$A$3:$E$181,3))</f>
        <v>417.5</v>
      </c>
      <c r="EQ25" s="23">
        <f>IF($B$7&lt;3,0,VLOOKUP(EQ3,PriorYR_FTE2!$A$3:$E$181,3))</f>
        <v>2509</v>
      </c>
      <c r="ER25" s="23">
        <f>IF($B$7&lt;3,0,VLOOKUP(ER3,PriorYR_FTE2!$A$3:$E$181,3))</f>
        <v>310.5</v>
      </c>
      <c r="ES25" s="23">
        <f>IF($B$7&lt;3,0,VLOOKUP(ES3,PriorYR_FTE2!$A$3:$E$181,3))</f>
        <v>174.5</v>
      </c>
      <c r="ET25" s="23">
        <f>IF($B$7&lt;3,0,VLOOKUP(ET3,PriorYR_FTE2!$A$3:$E$181,3))</f>
        <v>182</v>
      </c>
      <c r="EU25" s="23">
        <f>IF($B$7&lt;3,0,VLOOKUP(EU3,PriorYR_FTE2!$A$3:$E$181,3))</f>
        <v>569</v>
      </c>
      <c r="EV25" s="23">
        <f>IF($B$7&lt;3,0,VLOOKUP(EV3,PriorYR_FTE2!$A$3:$E$181,3))</f>
        <v>71</v>
      </c>
      <c r="EW25" s="23">
        <f>IF($B$7&lt;3,0,VLOOKUP(EW3,PriorYR_FTE2!$A$3:$E$181,3))</f>
        <v>801</v>
      </c>
      <c r="EX25" s="23">
        <f>IF($B$7&lt;3,0,VLOOKUP(EX3,PriorYR_FTE2!$A$3:$E$181,3))</f>
        <v>170</v>
      </c>
      <c r="EY25" s="23">
        <f>IF($B$7&lt;3,0,VLOOKUP(EY3,PriorYR_FTE2!$A$3:$E$181,3))</f>
        <v>216</v>
      </c>
      <c r="EZ25" s="23">
        <f>IF($B$7&lt;3,0,VLOOKUP(EZ3,PriorYR_FTE2!$A$3:$E$181,3))</f>
        <v>131</v>
      </c>
      <c r="FA25" s="23">
        <f>IF($B$7&lt;3,0,VLOOKUP(FA3,PriorYR_FTE2!$A$3:$E$181,3))</f>
        <v>3409</v>
      </c>
      <c r="FB25" s="23">
        <f>IF($B$7&lt;3,0,VLOOKUP(FB3,PriorYR_FTE2!$A$3:$E$181,3))</f>
        <v>266.5</v>
      </c>
      <c r="FC25" s="23">
        <f>IF($B$7&lt;3,0,VLOOKUP(FC3,PriorYR_FTE2!$A$3:$E$181,3))</f>
        <v>1815</v>
      </c>
      <c r="FD25" s="23">
        <f>IF($B$7&lt;3,0,VLOOKUP(FD3,PriorYR_FTE2!$A$3:$E$181,3))</f>
        <v>399</v>
      </c>
      <c r="FE25" s="23">
        <f>IF($B$7&lt;3,0,VLOOKUP(FE3,PriorYR_FTE2!$A$3:$E$181,3))</f>
        <v>82</v>
      </c>
      <c r="FF25" s="23">
        <f>IF($B$7&lt;3,0,VLOOKUP(FF3,PriorYR_FTE2!$A$3:$E$181,3))</f>
        <v>183</v>
      </c>
      <c r="FG25" s="23">
        <f>IF($B$7&lt;3,0,VLOOKUP(FG3,PriorYR_FTE2!$A$3:$E$181,3))</f>
        <v>124</v>
      </c>
      <c r="FH25" s="23">
        <f>IF($B$7&lt;3,0,VLOOKUP(FH3,PriorYR_FTE2!$A$3:$E$181,3))</f>
        <v>68</v>
      </c>
      <c r="FI25" s="23">
        <f>IF($B$7&lt;3,0,VLOOKUP(FI3,PriorYR_FTE2!$A$3:$E$181,3))</f>
        <v>1691</v>
      </c>
      <c r="FJ25" s="23">
        <f>IF($B$7&lt;3,0,VLOOKUP(FJ3,PriorYR_FTE2!$A$3:$E$181,3))</f>
        <v>2017</v>
      </c>
      <c r="FK25" s="23">
        <f>IF($B$7&lt;3,0,VLOOKUP(FK3,PriorYR_FTE2!$A$3:$E$181,3))</f>
        <v>2536</v>
      </c>
      <c r="FL25" s="23">
        <f>IF($B$7&lt;3,0,VLOOKUP(FL3,PriorYR_FTE2!$A$3:$E$181,3))</f>
        <v>8175.5</v>
      </c>
      <c r="FM25" s="23">
        <f>IF($B$7&lt;3,0,VLOOKUP(FM3,PriorYR_FTE2!$A$3:$E$181,3))</f>
        <v>3824.5</v>
      </c>
      <c r="FN25" s="23">
        <f>IF($B$7&lt;3,0,VLOOKUP(FN3,PriorYR_FTE2!$A$3:$E$181,3))</f>
        <v>21727</v>
      </c>
      <c r="FO25" s="23">
        <f>IF($B$7&lt;3,0,VLOOKUP(FO3,PriorYR_FTE2!$A$3:$E$181,3))</f>
        <v>1082</v>
      </c>
      <c r="FP25" s="23">
        <f>IF($B$7&lt;3,0,VLOOKUP(FP3,PriorYR_FTE2!$A$3:$E$181,3))</f>
        <v>2224.5</v>
      </c>
      <c r="FQ25" s="23">
        <f>IF($B$7&lt;3,0,VLOOKUP(FQ3,PriorYR_FTE2!$A$3:$E$181,3))</f>
        <v>956.5</v>
      </c>
      <c r="FR25" s="23">
        <f>IF($B$7&lt;3,0,VLOOKUP(FR3,PriorYR_FTE2!$A$3:$E$181,3))</f>
        <v>164</v>
      </c>
      <c r="FS25" s="23">
        <f>IF($B$7&lt;3,0,VLOOKUP(FS3,PriorYR_FTE2!$A$3:$E$181,3))</f>
        <v>168</v>
      </c>
      <c r="FT25" s="23">
        <f>IF($B$7&lt;3,0,VLOOKUP(FT3,PriorYR_FTE2!$A$3:$E$181,3))</f>
        <v>58</v>
      </c>
      <c r="FU25" s="23">
        <f>IF($B$7&lt;3,0,VLOOKUP(FU3,PriorYR_FTE2!$A$3:$E$181,3))</f>
        <v>785</v>
      </c>
      <c r="FV25" s="23">
        <f>IF($B$7&lt;3,0,VLOOKUP(FV3,PriorYR_FTE2!$A$3:$E$181,3))</f>
        <v>691.5</v>
      </c>
      <c r="FW25" s="23">
        <f>IF($B$7&lt;3,0,VLOOKUP(FW3,PriorYR_FTE2!$A$3:$E$181,3))</f>
        <v>147</v>
      </c>
      <c r="FX25" s="23">
        <f>IF($B$7&lt;3,0,VLOOKUP(FX3,PriorYR_FTE2!$A$3:$E$181,3))</f>
        <v>57.5</v>
      </c>
      <c r="FY25" s="23"/>
      <c r="FZ25" s="23">
        <f t="shared" si="6"/>
        <v>786298</v>
      </c>
      <c r="GA25" s="23"/>
      <c r="GB25" s="23"/>
      <c r="GC25" s="23"/>
      <c r="GD25" s="23"/>
      <c r="GE25" s="23"/>
      <c r="GF25" s="23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</row>
    <row r="26" spans="1:204" ht="15.5" x14ac:dyDescent="0.35">
      <c r="A26" s="12" t="s">
        <v>483</v>
      </c>
      <c r="B26" s="36" t="s">
        <v>484</v>
      </c>
      <c r="C26" s="23">
        <f>IF($B$7&lt;4,0,VLOOKUP(C3,PriorYR_FTE2!$A$3:$E$181,4))</f>
        <v>6372</v>
      </c>
      <c r="D26" s="23">
        <f>IF($B$7&lt;4,0,VLOOKUP(D3,PriorYR_FTE2!$A$3:$E$181,4))</f>
        <v>34363.5</v>
      </c>
      <c r="E26" s="23">
        <f>IF($B$7&lt;4,0,VLOOKUP(E3,PriorYR_FTE2!$A$3:$E$181,4))</f>
        <v>5274</v>
      </c>
      <c r="F26" s="23">
        <f>IF($B$7&lt;4,0,VLOOKUP(F3,PriorYR_FTE2!$A$3:$E$181,4))</f>
        <v>20215.5</v>
      </c>
      <c r="G26" s="23">
        <f>IF($B$7&lt;4,0,VLOOKUP(G3,PriorYR_FTE2!$A$3:$E$181,4))</f>
        <v>1234</v>
      </c>
      <c r="H26" s="23">
        <f>IF($B$7&lt;4,0,VLOOKUP(H3,PriorYR_FTE2!$A$3:$E$181,4))</f>
        <v>1129</v>
      </c>
      <c r="I26" s="23">
        <f>IF($B$7&lt;4,0,VLOOKUP(I3,PriorYR_FTE2!$A$3:$E$181,4))</f>
        <v>7427.5</v>
      </c>
      <c r="J26" s="23">
        <f>IF($B$7&lt;4,0,VLOOKUP(J3,PriorYR_FTE2!$A$3:$E$181,4))</f>
        <v>2111.5</v>
      </c>
      <c r="K26" s="23">
        <f>IF($B$7&lt;4,0,VLOOKUP(K3,PriorYR_FTE2!$A$3:$E$181,4))</f>
        <v>249</v>
      </c>
      <c r="L26" s="23">
        <f>IF($B$7&lt;4,0,VLOOKUP(L3,PriorYR_FTE2!$A$3:$E$181,4))</f>
        <v>2195</v>
      </c>
      <c r="M26" s="23">
        <f>IF($B$7&lt;4,0,VLOOKUP(M3,PriorYR_FTE2!$A$3:$E$181,4))</f>
        <v>998.5</v>
      </c>
      <c r="N26" s="23">
        <f>IF($B$7&lt;4,0,VLOOKUP(N3,PriorYR_FTE2!$A$3:$E$181,4))</f>
        <v>50787.5</v>
      </c>
      <c r="O26" s="23">
        <f>IF($B$7&lt;4,0,VLOOKUP(O3,PriorYR_FTE2!$A$3:$E$181,4))</f>
        <v>13067.5</v>
      </c>
      <c r="P26" s="23">
        <f>IF($B$7&lt;4,0,VLOOKUP(P3,PriorYR_FTE2!$A$3:$E$181,4))</f>
        <v>303.5</v>
      </c>
      <c r="Q26" s="23">
        <f>IF($B$7&lt;4,0,VLOOKUP(Q3,PriorYR_FTE2!$A$3:$E$181,4))</f>
        <v>36575</v>
      </c>
      <c r="R26" s="23">
        <f>IF($B$7&lt;4,0,VLOOKUP(R3,PriorYR_FTE2!$A$3:$E$181,4))</f>
        <v>477.5</v>
      </c>
      <c r="S26" s="23">
        <f>IF($B$7&lt;4,0,VLOOKUP(S3,PriorYR_FTE2!$A$3:$E$181,4))</f>
        <v>1644</v>
      </c>
      <c r="T26" s="23">
        <f>IF($B$7&lt;4,0,VLOOKUP(T3,PriorYR_FTE2!$A$3:$E$181,4))</f>
        <v>166.5</v>
      </c>
      <c r="U26" s="23">
        <f>IF($B$7&lt;4,0,VLOOKUP(U3,PriorYR_FTE2!$A$3:$E$181,4))</f>
        <v>48.5</v>
      </c>
      <c r="V26" s="23">
        <f>IF($B$7&lt;4,0,VLOOKUP(V3,PriorYR_FTE2!$A$3:$E$181,4))</f>
        <v>265.5</v>
      </c>
      <c r="W26" s="23">
        <f>IF($B$7&lt;4,0,VLOOKUP(W3,PriorYR_FTE2!$A$3:$E$181,4))</f>
        <v>66</v>
      </c>
      <c r="X26" s="23">
        <f>IF($B$7&lt;4,0,VLOOKUP(X3,PriorYR_FTE2!$A$3:$E$181,4))</f>
        <v>30</v>
      </c>
      <c r="Y26" s="23">
        <f>IF($B$7&lt;4,0,VLOOKUP(Y3,PriorYR_FTE2!$A$3:$E$181,4))</f>
        <v>456</v>
      </c>
      <c r="Z26" s="23">
        <f>IF($B$7&lt;4,0,VLOOKUP(Z3,PriorYR_FTE2!$A$3:$E$181,4))</f>
        <v>235.5</v>
      </c>
      <c r="AA26" s="23">
        <f>IF($B$7&lt;4,0,VLOOKUP(AA3,PriorYR_FTE2!$A$3:$E$181,4))</f>
        <v>30979.5</v>
      </c>
      <c r="AB26" s="23">
        <f>IF($B$7&lt;4,0,VLOOKUP(AB3,PriorYR_FTE2!$A$3:$E$181,4))</f>
        <v>27171.5</v>
      </c>
      <c r="AC26" s="23">
        <f>IF($B$7&lt;4,0,VLOOKUP(AC3,PriorYR_FTE2!$A$3:$E$181,4))</f>
        <v>951</v>
      </c>
      <c r="AD26" s="23">
        <f>IF($B$7&lt;4,0,VLOOKUP(AD3,PriorYR_FTE2!$A$3:$E$181,4))</f>
        <v>1259.5</v>
      </c>
      <c r="AE26" s="23">
        <f>IF($B$7&lt;4,0,VLOOKUP(AE3,PriorYR_FTE2!$A$3:$E$181,4))</f>
        <v>92</v>
      </c>
      <c r="AF26" s="23">
        <f>IF($B$7&lt;4,0,VLOOKUP(AF3,PriorYR_FTE2!$A$3:$E$181,4))</f>
        <v>172</v>
      </c>
      <c r="AG26" s="23">
        <f>IF($B$7&lt;4,0,VLOOKUP(AG3,PriorYR_FTE2!$A$3:$E$181,4))</f>
        <v>609</v>
      </c>
      <c r="AH26" s="23">
        <f>IF($B$7&lt;4,0,VLOOKUP(AH3,PriorYR_FTE2!$A$3:$E$181,4))</f>
        <v>991.5</v>
      </c>
      <c r="AI26" s="23">
        <f>IF($B$7&lt;4,0,VLOOKUP(AI3,PriorYR_FTE2!$A$3:$E$181,4))</f>
        <v>365.5</v>
      </c>
      <c r="AJ26" s="23">
        <f>IF($B$7&lt;4,0,VLOOKUP(AJ3,PriorYR_FTE2!$A$3:$E$181,4))</f>
        <v>153</v>
      </c>
      <c r="AK26" s="23">
        <f>IF($B$7&lt;4,0,VLOOKUP(AK3,PriorYR_FTE2!$A$3:$E$181,4))</f>
        <v>166.5</v>
      </c>
      <c r="AL26" s="23">
        <f>IF($B$7&lt;4,0,VLOOKUP(AL3,PriorYR_FTE2!$A$3:$E$181,4))</f>
        <v>259.5</v>
      </c>
      <c r="AM26" s="23">
        <f>IF($B$7&lt;4,0,VLOOKUP(AM3,PriorYR_FTE2!$A$3:$E$181,4))</f>
        <v>380</v>
      </c>
      <c r="AN26" s="23">
        <f>IF($B$7&lt;4,0,VLOOKUP(AN3,PriorYR_FTE2!$A$3:$E$181,4))</f>
        <v>318.5</v>
      </c>
      <c r="AO26" s="23">
        <f>IF($B$7&lt;4,0,VLOOKUP(AO3,PriorYR_FTE2!$A$3:$E$181,4))</f>
        <v>4241</v>
      </c>
      <c r="AP26" s="23">
        <f>IF($B$7&lt;4,0,VLOOKUP(AP3,PriorYR_FTE2!$A$3:$E$181,4))</f>
        <v>82330</v>
      </c>
      <c r="AQ26" s="23">
        <f>IF($B$7&lt;4,0,VLOOKUP(AQ3,PriorYR_FTE2!$A$3:$E$181,4))</f>
        <v>244.5</v>
      </c>
      <c r="AR26" s="23">
        <f>IF($B$7&lt;4,0,VLOOKUP(AR3,PriorYR_FTE2!$A$3:$E$181,4))</f>
        <v>59455.5</v>
      </c>
      <c r="AS26" s="23">
        <f>IF($B$7&lt;4,0,VLOOKUP(AS3,PriorYR_FTE2!$A$3:$E$181,4))</f>
        <v>6343.5</v>
      </c>
      <c r="AT26" s="23">
        <f>IF($B$7&lt;4,0,VLOOKUP(AT3,PriorYR_FTE2!$A$3:$E$181,4))</f>
        <v>2293.5</v>
      </c>
      <c r="AU26" s="23">
        <f>IF($B$7&lt;4,0,VLOOKUP(AU3,PriorYR_FTE2!$A$3:$E$181,4))</f>
        <v>275</v>
      </c>
      <c r="AV26" s="23">
        <f>IF($B$7&lt;4,0,VLOOKUP(AV3,PriorYR_FTE2!$A$3:$E$181,4))</f>
        <v>329.5</v>
      </c>
      <c r="AW26" s="23">
        <f>IF($B$7&lt;4,0,VLOOKUP(AW3,PriorYR_FTE2!$A$3:$E$181,4))</f>
        <v>248.5</v>
      </c>
      <c r="AX26" s="23">
        <f>IF($B$7&lt;4,0,VLOOKUP(AX3,PriorYR_FTE2!$A$3:$E$181,4))</f>
        <v>69.5</v>
      </c>
      <c r="AY26" s="23">
        <f>IF($B$7&lt;4,0,VLOOKUP(AY3,PriorYR_FTE2!$A$3:$E$181,4))</f>
        <v>409.5</v>
      </c>
      <c r="AZ26" s="23">
        <f>IF($B$7&lt;4,0,VLOOKUP(AZ3,PriorYR_FTE2!$A$3:$E$181,4))</f>
        <v>12298.5</v>
      </c>
      <c r="BA26" s="23">
        <f>IF($B$7&lt;4,0,VLOOKUP(BA3,PriorYR_FTE2!$A$3:$E$181,4))</f>
        <v>9225.5</v>
      </c>
      <c r="BB26" s="23">
        <f>IF($B$7&lt;4,0,VLOOKUP(BB3,PriorYR_FTE2!$A$3:$E$181,4))</f>
        <v>7727</v>
      </c>
      <c r="BC26" s="23">
        <f>IF($B$7&lt;4,0,VLOOKUP(BC3,PriorYR_FTE2!$A$3:$E$181,4))</f>
        <v>21009</v>
      </c>
      <c r="BD26" s="23">
        <f>IF($B$7&lt;4,0,VLOOKUP(BD3,PriorYR_FTE2!$A$3:$E$181,4))</f>
        <v>3622.5</v>
      </c>
      <c r="BE26" s="23">
        <f>IF($B$7&lt;4,0,VLOOKUP(BE3,PriorYR_FTE2!$A$3:$E$181,4))</f>
        <v>1286</v>
      </c>
      <c r="BF26" s="23">
        <f>IF($B$7&lt;4,0,VLOOKUP(BF3,PriorYR_FTE2!$A$3:$E$181,4))</f>
        <v>24490.5</v>
      </c>
      <c r="BG26" s="23">
        <f>IF($B$7&lt;4,0,VLOOKUP(BG3,PriorYR_FTE2!$A$3:$E$181,4))</f>
        <v>894</v>
      </c>
      <c r="BH26" s="23">
        <f>IF($B$7&lt;4,0,VLOOKUP(BH3,PriorYR_FTE2!$A$3:$E$181,4))</f>
        <v>566</v>
      </c>
      <c r="BI26" s="23">
        <f>IF($B$7&lt;4,0,VLOOKUP(BI3,PriorYR_FTE2!$A$3:$E$181,4))</f>
        <v>270</v>
      </c>
      <c r="BJ26" s="23">
        <f>IF($B$7&lt;4,0,VLOOKUP(BJ3,PriorYR_FTE2!$A$3:$E$181,4))</f>
        <v>6299.5</v>
      </c>
      <c r="BK26" s="23">
        <f>IF($B$7&lt;4,0,VLOOKUP(BK3,PriorYR_FTE2!$A$3:$E$181,4))</f>
        <v>18861.5</v>
      </c>
      <c r="BL26" s="23">
        <f>IF($B$7&lt;4,0,VLOOKUP(BL3,PriorYR_FTE2!$A$3:$E$181,4))</f>
        <v>75.5</v>
      </c>
      <c r="BM26" s="23">
        <f>IF($B$7&lt;4,0,VLOOKUP(BM3,PriorYR_FTE2!$A$3:$E$181,4))</f>
        <v>303</v>
      </c>
      <c r="BN26" s="23">
        <f>IF($B$7&lt;4,0,VLOOKUP(BN3,PriorYR_FTE2!$A$3:$E$181,4))</f>
        <v>3219</v>
      </c>
      <c r="BO26" s="23">
        <f>IF($B$7&lt;4,0,VLOOKUP(BO3,PriorYR_FTE2!$A$3:$E$181,4))</f>
        <v>1303.5</v>
      </c>
      <c r="BP26" s="23">
        <f>IF($B$7&lt;4,0,VLOOKUP(BP3,PriorYR_FTE2!$A$3:$E$181,4))</f>
        <v>175</v>
      </c>
      <c r="BQ26" s="23">
        <f>IF($B$7&lt;4,0,VLOOKUP(BQ3,PriorYR_FTE2!$A$3:$E$181,4))</f>
        <v>5661.5</v>
      </c>
      <c r="BR26" s="23">
        <f>IF($B$7&lt;4,0,VLOOKUP(BR3,PriorYR_FTE2!$A$3:$E$181,4))</f>
        <v>4525</v>
      </c>
      <c r="BS26" s="23">
        <f>IF($B$7&lt;4,0,VLOOKUP(BS3,PriorYR_FTE2!$A$3:$E$181,4))</f>
        <v>1123.5</v>
      </c>
      <c r="BT26" s="23">
        <f>IF($B$7&lt;4,0,VLOOKUP(BT3,PriorYR_FTE2!$A$3:$E$181,4))</f>
        <v>379.5</v>
      </c>
      <c r="BU26" s="23">
        <f>IF($B$7&lt;4,0,VLOOKUP(BU3,PriorYR_FTE2!$A$3:$E$181,4))</f>
        <v>395.5</v>
      </c>
      <c r="BV26" s="23">
        <f>IF($B$7&lt;4,0,VLOOKUP(BV3,PriorYR_FTE2!$A$3:$E$181,4))</f>
        <v>1232</v>
      </c>
      <c r="BW26" s="23">
        <f>IF($B$7&lt;4,0,VLOOKUP(BW3,PriorYR_FTE2!$A$3:$E$181,4))</f>
        <v>1990</v>
      </c>
      <c r="BX26" s="23">
        <f>IF($B$7&lt;4,0,VLOOKUP(BX3,PriorYR_FTE2!$A$3:$E$181,4))</f>
        <v>72.5</v>
      </c>
      <c r="BY26" s="23">
        <f>IF($B$7&lt;4,0,VLOOKUP(BY3,PriorYR_FTE2!$A$3:$E$181,4))</f>
        <v>451</v>
      </c>
      <c r="BZ26" s="23">
        <f>IF($B$7&lt;4,0,VLOOKUP(BZ3,PriorYR_FTE2!$A$3:$E$181,4))</f>
        <v>217</v>
      </c>
      <c r="CA26" s="23">
        <f>IF($B$7&lt;4,0,VLOOKUP(CA3,PriorYR_FTE2!$A$3:$E$181,4))</f>
        <v>167.5</v>
      </c>
      <c r="CB26" s="23">
        <f>IF($B$7&lt;4,0,VLOOKUP(CB3,PriorYR_FTE2!$A$3:$E$181,4))</f>
        <v>72924.5</v>
      </c>
      <c r="CC26" s="23">
        <f>IF($B$7&lt;4,0,VLOOKUP(CC3,PriorYR_FTE2!$A$3:$E$181,4))</f>
        <v>186</v>
      </c>
      <c r="CD26" s="23">
        <f>IF($B$7&lt;4,0,VLOOKUP(CD3,PriorYR_FTE2!$A$3:$E$181,4))</f>
        <v>35.5</v>
      </c>
      <c r="CE26" s="23">
        <f>IF($B$7&lt;4,0,VLOOKUP(CE3,PriorYR_FTE2!$A$3:$E$181,4))</f>
        <v>156.5</v>
      </c>
      <c r="CF26" s="23">
        <f>IF($B$7&lt;4,0,VLOOKUP(CF3,PriorYR_FTE2!$A$3:$E$181,4))</f>
        <v>119</v>
      </c>
      <c r="CG26" s="23">
        <f>IF($B$7&lt;4,0,VLOOKUP(CG3,PriorYR_FTE2!$A$3:$E$181,4))</f>
        <v>202.5</v>
      </c>
      <c r="CH26" s="23">
        <f>IF($B$7&lt;4,0,VLOOKUP(CH3,PriorYR_FTE2!$A$3:$E$181,4))</f>
        <v>101.5</v>
      </c>
      <c r="CI26" s="23">
        <f>IF($B$7&lt;4,0,VLOOKUP(CI3,PriorYR_FTE2!$A$3:$E$181,4))</f>
        <v>715.5</v>
      </c>
      <c r="CJ26" s="23">
        <f>IF($B$7&lt;4,0,VLOOKUP(CJ3,PriorYR_FTE2!$A$3:$E$181,4))</f>
        <v>900</v>
      </c>
      <c r="CK26" s="23">
        <f>IF($B$7&lt;4,0,VLOOKUP(CK3,PriorYR_FTE2!$A$3:$E$181,4))</f>
        <v>4395</v>
      </c>
      <c r="CL26" s="23">
        <f>IF($B$7&lt;4,0,VLOOKUP(CL3,PriorYR_FTE2!$A$3:$E$181,4))</f>
        <v>1269</v>
      </c>
      <c r="CM26" s="23">
        <f>IF($B$7&lt;4,0,VLOOKUP(CM3,PriorYR_FTE2!$A$3:$E$181,4))</f>
        <v>698</v>
      </c>
      <c r="CN26" s="23">
        <f>IF($B$7&lt;4,0,VLOOKUP(CN3,PriorYR_FTE2!$A$3:$E$181,4))</f>
        <v>28615</v>
      </c>
      <c r="CO26" s="23">
        <f>IF($B$7&lt;4,0,VLOOKUP(CO3,PriorYR_FTE2!$A$3:$E$181,4))</f>
        <v>14617</v>
      </c>
      <c r="CP26" s="23">
        <f>IF($B$7&lt;4,0,VLOOKUP(CP3,PriorYR_FTE2!$A$3:$E$181,4))</f>
        <v>983</v>
      </c>
      <c r="CQ26" s="23">
        <f>IF($B$7&lt;4,0,VLOOKUP(CQ3,PriorYR_FTE2!$A$3:$E$181,4))</f>
        <v>805</v>
      </c>
      <c r="CR26" s="23">
        <f>IF($B$7&lt;4,0,VLOOKUP(CR3,PriorYR_FTE2!$A$3:$E$181,4))</f>
        <v>238</v>
      </c>
      <c r="CS26" s="23">
        <f>IF($B$7&lt;4,0,VLOOKUP(CS3,PriorYR_FTE2!$A$3:$E$181,4))</f>
        <v>308</v>
      </c>
      <c r="CT26" s="23">
        <f>IF($B$7&lt;4,0,VLOOKUP(CT3,PriorYR_FTE2!$A$3:$E$181,4))</f>
        <v>107.5</v>
      </c>
      <c r="CU26" s="23">
        <f>IF($B$7&lt;4,0,VLOOKUP(CU3,PriorYR_FTE2!$A$3:$E$181,4))</f>
        <v>69</v>
      </c>
      <c r="CV26" s="23">
        <f>IF($B$7&lt;4,0,VLOOKUP(CV3,PriorYR_FTE2!$A$3:$E$181,4))</f>
        <v>29.5</v>
      </c>
      <c r="CW26" s="23">
        <f>IF($B$7&lt;4,0,VLOOKUP(CW3,PriorYR_FTE2!$A$3:$E$181,4))</f>
        <v>195.5</v>
      </c>
      <c r="CX26" s="23">
        <f>IF($B$7&lt;4,0,VLOOKUP(CX3,PriorYR_FTE2!$A$3:$E$181,4))</f>
        <v>467.5</v>
      </c>
      <c r="CY26" s="23">
        <f>IF($B$7&lt;4,0,VLOOKUP(CY3,PriorYR_FTE2!$A$3:$E$181,4))</f>
        <v>37</v>
      </c>
      <c r="CZ26" s="23">
        <f>IF($B$7&lt;4,0,VLOOKUP(CZ3,PriorYR_FTE2!$A$3:$E$181,4))</f>
        <v>1845</v>
      </c>
      <c r="DA26" s="23">
        <f>IF($B$7&lt;4,0,VLOOKUP(DA3,PriorYR_FTE2!$A$3:$E$181,4))</f>
        <v>203.5</v>
      </c>
      <c r="DB26" s="23">
        <f>IF($B$7&lt;4,0,VLOOKUP(DB3,PriorYR_FTE2!$A$3:$E$181,4))</f>
        <v>316</v>
      </c>
      <c r="DC26" s="23">
        <f>IF($B$7&lt;4,0,VLOOKUP(DC3,PriorYR_FTE2!$A$3:$E$181,4))</f>
        <v>162</v>
      </c>
      <c r="DD26" s="23">
        <f>IF($B$7&lt;4,0,VLOOKUP(DD3,PriorYR_FTE2!$A$3:$E$181,4))</f>
        <v>157</v>
      </c>
      <c r="DE26" s="23">
        <f>IF($B$7&lt;4,0,VLOOKUP(DE3,PriorYR_FTE2!$A$3:$E$181,4))</f>
        <v>291.5</v>
      </c>
      <c r="DF26" s="23">
        <f>IF($B$7&lt;4,0,VLOOKUP(DF3,PriorYR_FTE2!$A$3:$E$181,4))</f>
        <v>19957.5</v>
      </c>
      <c r="DG26" s="23">
        <f>IF($B$7&lt;4,0,VLOOKUP(DG3,PriorYR_FTE2!$A$3:$E$181,4))</f>
        <v>85</v>
      </c>
      <c r="DH26" s="23">
        <f>IF($B$7&lt;4,0,VLOOKUP(DH3,PriorYR_FTE2!$A$3:$E$181,4))</f>
        <v>1945</v>
      </c>
      <c r="DI26" s="23">
        <f>IF($B$7&lt;4,0,VLOOKUP(DI3,PriorYR_FTE2!$A$3:$E$181,4))</f>
        <v>2362.5</v>
      </c>
      <c r="DJ26" s="23">
        <f>IF($B$7&lt;4,0,VLOOKUP(DJ3,PriorYR_FTE2!$A$3:$E$181,4))</f>
        <v>631.5</v>
      </c>
      <c r="DK26" s="23">
        <f>IF($B$7&lt;4,0,VLOOKUP(DK3,PriorYR_FTE2!$A$3:$E$181,4))</f>
        <v>468</v>
      </c>
      <c r="DL26" s="23">
        <f>IF($B$7&lt;4,0,VLOOKUP(DL3,PriorYR_FTE2!$A$3:$E$181,4))</f>
        <v>5726</v>
      </c>
      <c r="DM26" s="23">
        <f>IF($B$7&lt;4,0,VLOOKUP(DM3,PriorYR_FTE2!$A$3:$E$181,4))</f>
        <v>236</v>
      </c>
      <c r="DN26" s="23">
        <f>IF($B$7&lt;4,0,VLOOKUP(DN3,PriorYR_FTE2!$A$3:$E$181,4))</f>
        <v>1296.5</v>
      </c>
      <c r="DO26" s="23">
        <f>IF($B$7&lt;4,0,VLOOKUP(DO3,PriorYR_FTE2!$A$3:$E$181,4))</f>
        <v>3203</v>
      </c>
      <c r="DP26" s="23">
        <f>IF($B$7&lt;4,0,VLOOKUP(DP3,PriorYR_FTE2!$A$3:$E$181,4))</f>
        <v>208.5</v>
      </c>
      <c r="DQ26" s="23">
        <f>IF($B$7&lt;4,0,VLOOKUP(DQ3,PriorYR_FTE2!$A$3:$E$181,4))</f>
        <v>798</v>
      </c>
      <c r="DR26" s="23">
        <f>IF($B$7&lt;4,0,VLOOKUP(DR3,PriorYR_FTE2!$A$3:$E$181,4))</f>
        <v>1356.5</v>
      </c>
      <c r="DS26" s="23">
        <f>IF($B$7&lt;4,0,VLOOKUP(DS3,PriorYR_FTE2!$A$3:$E$181,4))</f>
        <v>632</v>
      </c>
      <c r="DT26" s="23">
        <f>IF($B$7&lt;4,0,VLOOKUP(DT3,PriorYR_FTE2!$A$3:$E$181,4))</f>
        <v>163</v>
      </c>
      <c r="DU26" s="23">
        <f>IF($B$7&lt;4,0,VLOOKUP(DU3,PriorYR_FTE2!$A$3:$E$181,4))</f>
        <v>346.5</v>
      </c>
      <c r="DV26" s="23">
        <f>IF($B$7&lt;4,0,VLOOKUP(DV3,PriorYR_FTE2!$A$3:$E$181,4))</f>
        <v>218</v>
      </c>
      <c r="DW26" s="23">
        <f>IF($B$7&lt;4,0,VLOOKUP(DW3,PriorYR_FTE2!$A$3:$E$181,4))</f>
        <v>314</v>
      </c>
      <c r="DX26" s="23">
        <f>IF($B$7&lt;4,0,VLOOKUP(DX3,PriorYR_FTE2!$A$3:$E$181,4))</f>
        <v>160.5</v>
      </c>
      <c r="DY26" s="23">
        <f>IF($B$7&lt;4,0,VLOOKUP(DY3,PriorYR_FTE2!$A$3:$E$181,4))</f>
        <v>309.5</v>
      </c>
      <c r="DZ26" s="23">
        <f>IF($B$7&lt;4,0,VLOOKUP(DZ3,PriorYR_FTE2!$A$3:$E$181,4))</f>
        <v>729.5</v>
      </c>
      <c r="EA26" s="23">
        <f>IF($B$7&lt;4,0,VLOOKUP(EA3,PriorYR_FTE2!$A$3:$E$181,4))</f>
        <v>533.5</v>
      </c>
      <c r="EB26" s="23">
        <f>IF($B$7&lt;4,0,VLOOKUP(EB3,PriorYR_FTE2!$A$3:$E$181,4))</f>
        <v>556.5</v>
      </c>
      <c r="EC26" s="23">
        <f>IF($B$7&lt;4,0,VLOOKUP(EC3,PriorYR_FTE2!$A$3:$E$181,4))</f>
        <v>306.5</v>
      </c>
      <c r="ED26" s="23">
        <f>IF($B$7&lt;4,0,VLOOKUP(ED3,PriorYR_FTE2!$A$3:$E$181,4))</f>
        <v>1552.5</v>
      </c>
      <c r="EE26" s="23">
        <f>IF($B$7&lt;4,0,VLOOKUP(EE3,PriorYR_FTE2!$A$3:$E$181,4))</f>
        <v>198</v>
      </c>
      <c r="EF26" s="23">
        <f>IF($B$7&lt;4,0,VLOOKUP(EF3,PriorYR_FTE2!$A$3:$E$181,4))</f>
        <v>1414</v>
      </c>
      <c r="EG26" s="23">
        <f>IF($B$7&lt;4,0,VLOOKUP(EG3,PriorYR_FTE2!$A$3:$E$181,4))</f>
        <v>252.5</v>
      </c>
      <c r="EH26" s="23">
        <f>IF($B$7&lt;4,0,VLOOKUP(EH3,PriorYR_FTE2!$A$3:$E$181,4))</f>
        <v>248.5</v>
      </c>
      <c r="EI26" s="23">
        <f>IF($B$7&lt;4,0,VLOOKUP(EI3,PriorYR_FTE2!$A$3:$E$181,4))</f>
        <v>14340.5</v>
      </c>
      <c r="EJ26" s="23">
        <f>IF($B$7&lt;4,0,VLOOKUP(EJ3,PriorYR_FTE2!$A$3:$E$181,4))</f>
        <v>10073.5</v>
      </c>
      <c r="EK26" s="23">
        <f>IF($B$7&lt;4,0,VLOOKUP(EK3,PriorYR_FTE2!$A$3:$E$181,4))</f>
        <v>673.5</v>
      </c>
      <c r="EL26" s="23">
        <f>IF($B$7&lt;4,0,VLOOKUP(EL3,PriorYR_FTE2!$A$3:$E$181,4))</f>
        <v>457.5</v>
      </c>
      <c r="EM26" s="23">
        <f>IF($B$7&lt;4,0,VLOOKUP(EM3,PriorYR_FTE2!$A$3:$E$181,4))</f>
        <v>391.5</v>
      </c>
      <c r="EN26" s="23">
        <f>IF($B$7&lt;4,0,VLOOKUP(EN3,PriorYR_FTE2!$A$3:$E$181,4))</f>
        <v>896.5</v>
      </c>
      <c r="EO26" s="23">
        <f>IF($B$7&lt;4,0,VLOOKUP(EO3,PriorYR_FTE2!$A$3:$E$181,4))</f>
        <v>322</v>
      </c>
      <c r="EP26" s="23">
        <f>IF($B$7&lt;4,0,VLOOKUP(EP3,PriorYR_FTE2!$A$3:$E$181,4))</f>
        <v>424.5</v>
      </c>
      <c r="EQ26" s="23">
        <f>IF($B$7&lt;4,0,VLOOKUP(EQ3,PriorYR_FTE2!$A$3:$E$181,4))</f>
        <v>2592.5</v>
      </c>
      <c r="ER26" s="23">
        <f>IF($B$7&lt;4,0,VLOOKUP(ER3,PriorYR_FTE2!$A$3:$E$181,4))</f>
        <v>316.5</v>
      </c>
      <c r="ES26" s="23">
        <f>IF($B$7&lt;4,0,VLOOKUP(ES3,PriorYR_FTE2!$A$3:$E$181,4))</f>
        <v>168.5</v>
      </c>
      <c r="ET26" s="23">
        <f>IF($B$7&lt;4,0,VLOOKUP(ET3,PriorYR_FTE2!$A$3:$E$181,4))</f>
        <v>166</v>
      </c>
      <c r="EU26" s="23">
        <f>IF($B$7&lt;4,0,VLOOKUP(EU3,PriorYR_FTE2!$A$3:$E$181,4))</f>
        <v>581</v>
      </c>
      <c r="EV26" s="23">
        <f>IF($B$7&lt;4,0,VLOOKUP(EV3,PriorYR_FTE2!$A$3:$E$181,4))</f>
        <v>80</v>
      </c>
      <c r="EW26" s="23">
        <f>IF($B$7&lt;4,0,VLOOKUP(EW3,PriorYR_FTE2!$A$3:$E$181,4))</f>
        <v>871</v>
      </c>
      <c r="EX26" s="23">
        <f>IF($B$7&lt;4,0,VLOOKUP(EX3,PriorYR_FTE2!$A$3:$E$181,4))</f>
        <v>165.5</v>
      </c>
      <c r="EY26" s="23">
        <f>IF($B$7&lt;4,0,VLOOKUP(EY3,PriorYR_FTE2!$A$3:$E$181,4))</f>
        <v>208.5</v>
      </c>
      <c r="EZ26" s="23">
        <f>IF($B$7&lt;4,0,VLOOKUP(EZ3,PriorYR_FTE2!$A$3:$E$181,4))</f>
        <v>114</v>
      </c>
      <c r="FA26" s="23">
        <f>IF($B$7&lt;4,0,VLOOKUP(FA3,PriorYR_FTE2!$A$3:$E$181,4))</f>
        <v>3486</v>
      </c>
      <c r="FB26" s="23">
        <f>IF($B$7&lt;4,0,VLOOKUP(FB3,PriorYR_FTE2!$A$3:$E$181,4))</f>
        <v>286.5</v>
      </c>
      <c r="FC26" s="23">
        <f>IF($B$7&lt;4,0,VLOOKUP(FC3,PriorYR_FTE2!$A$3:$E$181,4))</f>
        <v>1944</v>
      </c>
      <c r="FD26" s="23">
        <f>IF($B$7&lt;4,0,VLOOKUP(FD3,PriorYR_FTE2!$A$3:$E$181,4))</f>
        <v>415</v>
      </c>
      <c r="FE26" s="23">
        <f>IF($B$7&lt;4,0,VLOOKUP(FE3,PriorYR_FTE2!$A$3:$E$181,4))</f>
        <v>82</v>
      </c>
      <c r="FF26" s="23">
        <f>IF($B$7&lt;4,0,VLOOKUP(FF3,PriorYR_FTE2!$A$3:$E$181,4))</f>
        <v>188</v>
      </c>
      <c r="FG26" s="23">
        <f>IF($B$7&lt;4,0,VLOOKUP(FG3,PriorYR_FTE2!$A$3:$E$181,4))</f>
        <v>124</v>
      </c>
      <c r="FH26" s="23">
        <f>IF($B$7&lt;4,0,VLOOKUP(FH3,PriorYR_FTE2!$A$3:$E$181,4))</f>
        <v>72</v>
      </c>
      <c r="FI26" s="23">
        <f>IF($B$7&lt;4,0,VLOOKUP(FI3,PriorYR_FTE2!$A$3:$E$181,4))</f>
        <v>1752</v>
      </c>
      <c r="FJ26" s="23">
        <f>IF($B$7&lt;4,0,VLOOKUP(FJ3,PriorYR_FTE2!$A$3:$E$181,4))</f>
        <v>1998.5</v>
      </c>
      <c r="FK26" s="23">
        <f>IF($B$7&lt;4,0,VLOOKUP(FK3,PriorYR_FTE2!$A$3:$E$181,4))</f>
        <v>2612.5</v>
      </c>
      <c r="FL26" s="23">
        <f>IF($B$7&lt;4,0,VLOOKUP(FL3,PriorYR_FTE2!$A$3:$E$181,4))</f>
        <v>7995.5</v>
      </c>
      <c r="FM26" s="23">
        <f>IF($B$7&lt;4,0,VLOOKUP(FM3,PriorYR_FTE2!$A$3:$E$181,4))</f>
        <v>3731.5</v>
      </c>
      <c r="FN26" s="23">
        <f>IF($B$7&lt;4,0,VLOOKUP(FN3,PriorYR_FTE2!$A$3:$E$181,4))</f>
        <v>21573.5</v>
      </c>
      <c r="FO26" s="23">
        <f>IF($B$7&lt;4,0,VLOOKUP(FO3,PriorYR_FTE2!$A$3:$E$181,4))</f>
        <v>1104</v>
      </c>
      <c r="FP26" s="23">
        <f>IF($B$7&lt;4,0,VLOOKUP(FP3,PriorYR_FTE2!$A$3:$E$181,4))</f>
        <v>2342</v>
      </c>
      <c r="FQ26" s="23">
        <f>IF($B$7&lt;4,0,VLOOKUP(FQ3,PriorYR_FTE2!$A$3:$E$181,4))</f>
        <v>994.5</v>
      </c>
      <c r="FR26" s="23">
        <f>IF($B$7&lt;4,0,VLOOKUP(FR3,PriorYR_FTE2!$A$3:$E$181,4))</f>
        <v>169.5</v>
      </c>
      <c r="FS26" s="23">
        <f>IF($B$7&lt;4,0,VLOOKUP(FS3,PriorYR_FTE2!$A$3:$E$181,4))</f>
        <v>179</v>
      </c>
      <c r="FT26" s="23">
        <f>IF($B$7&lt;4,0,VLOOKUP(FT3,PriorYR_FTE2!$A$3:$E$181,4))</f>
        <v>58</v>
      </c>
      <c r="FU26" s="23">
        <f>IF($B$7&lt;4,0,VLOOKUP(FU3,PriorYR_FTE2!$A$3:$E$181,4))</f>
        <v>832.5</v>
      </c>
      <c r="FV26" s="23">
        <f>IF($B$7&lt;4,0,VLOOKUP(FV3,PriorYR_FTE2!$A$3:$E$181,4))</f>
        <v>689</v>
      </c>
      <c r="FW26" s="23">
        <f>IF($B$7&lt;4,0,VLOOKUP(FW3,PriorYR_FTE2!$A$3:$E$181,4))</f>
        <v>156</v>
      </c>
      <c r="FX26" s="23">
        <f>IF($B$7&lt;4,0,VLOOKUP(FX3,PriorYR_FTE2!$A$3:$E$181,4))</f>
        <v>57.5</v>
      </c>
      <c r="FY26" s="23"/>
      <c r="FZ26" s="23">
        <f t="shared" si="6"/>
        <v>796687.5</v>
      </c>
      <c r="GA26" s="23"/>
      <c r="GB26" s="23"/>
      <c r="GC26" s="23"/>
      <c r="GD26" s="23"/>
      <c r="GE26" s="23"/>
      <c r="GF26" s="23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</row>
    <row r="27" spans="1:204" ht="15.5" x14ac:dyDescent="0.35">
      <c r="A27" s="12" t="s">
        <v>485</v>
      </c>
      <c r="B27" s="7" t="s">
        <v>486</v>
      </c>
      <c r="C27" s="23">
        <v>0</v>
      </c>
      <c r="D27" s="23">
        <v>268</v>
      </c>
      <c r="E27" s="23">
        <v>49</v>
      </c>
      <c r="F27" s="23">
        <v>0</v>
      </c>
      <c r="G27" s="23">
        <v>0</v>
      </c>
      <c r="H27" s="23">
        <v>0</v>
      </c>
      <c r="I27" s="23">
        <v>0</v>
      </c>
      <c r="J27" s="23">
        <v>555</v>
      </c>
      <c r="K27" s="23">
        <v>0</v>
      </c>
      <c r="L27" s="23">
        <v>0</v>
      </c>
      <c r="M27" s="23">
        <v>0</v>
      </c>
      <c r="N27" s="23">
        <v>131</v>
      </c>
      <c r="O27" s="23">
        <v>37</v>
      </c>
      <c r="P27" s="23">
        <v>0</v>
      </c>
      <c r="Q27" s="23">
        <v>18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107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28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6</v>
      </c>
      <c r="AP27" s="23">
        <v>0</v>
      </c>
      <c r="AQ27" s="23">
        <v>0</v>
      </c>
      <c r="AR27" s="23">
        <v>84.5</v>
      </c>
      <c r="AS27" s="23">
        <v>71.5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7.5</v>
      </c>
      <c r="BB27" s="23">
        <v>0</v>
      </c>
      <c r="BC27" s="23">
        <v>22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590.5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0</v>
      </c>
      <c r="BZ27" s="23">
        <v>0</v>
      </c>
      <c r="CA27" s="23">
        <v>0</v>
      </c>
      <c r="CB27" s="23">
        <v>34</v>
      </c>
      <c r="CC27" s="23">
        <v>0</v>
      </c>
      <c r="CD27" s="23">
        <v>0</v>
      </c>
      <c r="CE27" s="23">
        <v>0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8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3">
        <v>0</v>
      </c>
      <c r="CZ27" s="23">
        <v>0</v>
      </c>
      <c r="DA27" s="23">
        <v>0</v>
      </c>
      <c r="DB27" s="23">
        <v>0</v>
      </c>
      <c r="DC27" s="23">
        <v>0</v>
      </c>
      <c r="DD27" s="23">
        <v>0</v>
      </c>
      <c r="DE27" s="23">
        <v>0</v>
      </c>
      <c r="DF27" s="23">
        <v>307</v>
      </c>
      <c r="DG27" s="23">
        <v>0</v>
      </c>
      <c r="DH27" s="23">
        <v>0</v>
      </c>
      <c r="DI27" s="23">
        <v>0</v>
      </c>
      <c r="DJ27" s="23">
        <v>0</v>
      </c>
      <c r="DK27" s="23">
        <v>0</v>
      </c>
      <c r="DL27" s="23">
        <v>192</v>
      </c>
      <c r="DM27" s="23">
        <v>0</v>
      </c>
      <c r="DN27" s="23">
        <v>0</v>
      </c>
      <c r="DO27" s="23">
        <v>0</v>
      </c>
      <c r="DP27" s="23">
        <v>0</v>
      </c>
      <c r="DQ27" s="23">
        <v>0</v>
      </c>
      <c r="DR27" s="23">
        <v>0</v>
      </c>
      <c r="DS27" s="23">
        <v>0</v>
      </c>
      <c r="DT27" s="23">
        <v>0</v>
      </c>
      <c r="DU27" s="23">
        <v>0</v>
      </c>
      <c r="DV27" s="23">
        <v>0</v>
      </c>
      <c r="DW27" s="23">
        <v>0</v>
      </c>
      <c r="DX27" s="23">
        <v>0</v>
      </c>
      <c r="DY27" s="23">
        <v>0</v>
      </c>
      <c r="DZ27" s="23">
        <v>0</v>
      </c>
      <c r="EA27" s="23">
        <v>0</v>
      </c>
      <c r="EB27" s="23">
        <v>32</v>
      </c>
      <c r="EC27" s="23">
        <v>0</v>
      </c>
      <c r="ED27" s="23">
        <v>0</v>
      </c>
      <c r="EE27" s="23">
        <v>0</v>
      </c>
      <c r="EF27" s="23">
        <v>0</v>
      </c>
      <c r="EG27" s="23">
        <v>0</v>
      </c>
      <c r="EH27" s="23">
        <v>0</v>
      </c>
      <c r="EI27" s="23">
        <v>272</v>
      </c>
      <c r="EJ27" s="23">
        <v>0</v>
      </c>
      <c r="EK27" s="23">
        <v>0</v>
      </c>
      <c r="EL27" s="23">
        <v>0</v>
      </c>
      <c r="EM27" s="23">
        <v>0</v>
      </c>
      <c r="EN27" s="23">
        <v>0</v>
      </c>
      <c r="EO27" s="23">
        <v>0</v>
      </c>
      <c r="EP27" s="23">
        <v>0</v>
      </c>
      <c r="EQ27" s="23">
        <v>0</v>
      </c>
      <c r="ER27" s="23">
        <v>0</v>
      </c>
      <c r="ES27" s="23">
        <v>0</v>
      </c>
      <c r="ET27" s="23">
        <v>0</v>
      </c>
      <c r="EU27" s="23">
        <v>13</v>
      </c>
      <c r="EV27" s="23">
        <v>0</v>
      </c>
      <c r="EW27" s="23">
        <v>0</v>
      </c>
      <c r="EX27" s="23">
        <v>0</v>
      </c>
      <c r="EY27" s="23">
        <v>0</v>
      </c>
      <c r="EZ27" s="23">
        <v>0</v>
      </c>
      <c r="FA27" s="23">
        <v>0</v>
      </c>
      <c r="FB27" s="23">
        <v>0</v>
      </c>
      <c r="FC27" s="23">
        <v>19</v>
      </c>
      <c r="FD27" s="23">
        <v>0</v>
      </c>
      <c r="FE27" s="23">
        <v>0</v>
      </c>
      <c r="FF27" s="23">
        <v>0</v>
      </c>
      <c r="FG27" s="23">
        <v>0</v>
      </c>
      <c r="FH27" s="23">
        <v>0</v>
      </c>
      <c r="FI27" s="23">
        <v>8</v>
      </c>
      <c r="FJ27" s="23">
        <v>0</v>
      </c>
      <c r="FK27" s="23">
        <v>0</v>
      </c>
      <c r="FL27" s="23">
        <v>600.5</v>
      </c>
      <c r="FM27" s="23">
        <v>88</v>
      </c>
      <c r="FN27" s="23">
        <v>0</v>
      </c>
      <c r="FO27" s="23">
        <v>0</v>
      </c>
      <c r="FP27" s="23">
        <v>0</v>
      </c>
      <c r="FQ27" s="23">
        <v>0</v>
      </c>
      <c r="FR27" s="23">
        <v>0</v>
      </c>
      <c r="FS27" s="23">
        <v>0</v>
      </c>
      <c r="FT27" s="23">
        <v>0</v>
      </c>
      <c r="FU27" s="23">
        <v>0</v>
      </c>
      <c r="FV27" s="23">
        <v>0</v>
      </c>
      <c r="FW27" s="23">
        <v>0</v>
      </c>
      <c r="FX27" s="23">
        <v>0</v>
      </c>
      <c r="FY27" s="23"/>
      <c r="FZ27" s="23">
        <f t="shared" si="6"/>
        <v>3548.5</v>
      </c>
      <c r="GA27" s="23"/>
      <c r="GB27" s="23"/>
      <c r="GC27" s="23"/>
      <c r="GD27" s="23"/>
      <c r="GE27" s="23"/>
      <c r="GF27" s="23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</row>
    <row r="28" spans="1:204" ht="15.5" x14ac:dyDescent="0.35">
      <c r="A28" s="12" t="s">
        <v>487</v>
      </c>
      <c r="B28" s="7" t="s">
        <v>488</v>
      </c>
      <c r="C28" s="23">
        <v>1359</v>
      </c>
      <c r="D28" s="23">
        <v>4465</v>
      </c>
      <c r="E28" s="23">
        <v>1525</v>
      </c>
      <c r="F28" s="23">
        <v>2508</v>
      </c>
      <c r="G28" s="23">
        <v>207</v>
      </c>
      <c r="H28" s="23">
        <v>69</v>
      </c>
      <c r="I28" s="23">
        <v>1835</v>
      </c>
      <c r="J28" s="23">
        <v>185</v>
      </c>
      <c r="K28" s="23">
        <v>3</v>
      </c>
      <c r="L28" s="23">
        <v>184</v>
      </c>
      <c r="M28" s="23">
        <v>187</v>
      </c>
      <c r="N28" s="23">
        <v>5452</v>
      </c>
      <c r="O28" s="23">
        <v>401</v>
      </c>
      <c r="P28" s="23">
        <v>31</v>
      </c>
      <c r="Q28" s="23">
        <v>11916</v>
      </c>
      <c r="R28" s="23">
        <v>108</v>
      </c>
      <c r="S28" s="23">
        <v>50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4</v>
      </c>
      <c r="Z28" s="23">
        <v>4</v>
      </c>
      <c r="AA28" s="23">
        <v>2041</v>
      </c>
      <c r="AB28" s="23">
        <v>1565</v>
      </c>
      <c r="AC28" s="23">
        <v>32</v>
      </c>
      <c r="AD28" s="23">
        <v>35</v>
      </c>
      <c r="AE28" s="23">
        <v>3</v>
      </c>
      <c r="AF28" s="23">
        <v>6</v>
      </c>
      <c r="AG28" s="23">
        <v>12</v>
      </c>
      <c r="AH28" s="23">
        <v>0</v>
      </c>
      <c r="AI28" s="23">
        <v>3</v>
      </c>
      <c r="AJ28" s="23">
        <v>2</v>
      </c>
      <c r="AK28" s="23">
        <v>1</v>
      </c>
      <c r="AL28" s="23">
        <v>21</v>
      </c>
      <c r="AM28" s="23">
        <v>1</v>
      </c>
      <c r="AN28" s="23">
        <v>0</v>
      </c>
      <c r="AO28" s="23">
        <v>117</v>
      </c>
      <c r="AP28" s="23">
        <v>16832</v>
      </c>
      <c r="AQ28" s="23">
        <v>0</v>
      </c>
      <c r="AR28" s="23">
        <v>1715</v>
      </c>
      <c r="AS28" s="23">
        <v>1141</v>
      </c>
      <c r="AT28" s="23">
        <v>32</v>
      </c>
      <c r="AU28" s="23">
        <v>4</v>
      </c>
      <c r="AV28" s="23">
        <v>3</v>
      </c>
      <c r="AW28" s="23">
        <v>1</v>
      </c>
      <c r="AX28" s="23">
        <v>5</v>
      </c>
      <c r="AY28" s="23">
        <v>5</v>
      </c>
      <c r="AZ28" s="23">
        <v>1133</v>
      </c>
      <c r="BA28" s="23">
        <v>201</v>
      </c>
      <c r="BB28" s="23">
        <v>184</v>
      </c>
      <c r="BC28" s="23">
        <v>1622</v>
      </c>
      <c r="BD28" s="23">
        <v>53</v>
      </c>
      <c r="BE28" s="23">
        <v>3</v>
      </c>
      <c r="BF28" s="23">
        <v>448</v>
      </c>
      <c r="BG28" s="23">
        <v>78</v>
      </c>
      <c r="BH28" s="23">
        <v>6</v>
      </c>
      <c r="BI28" s="23">
        <v>15</v>
      </c>
      <c r="BJ28" s="23">
        <v>68</v>
      </c>
      <c r="BK28" s="23">
        <v>681</v>
      </c>
      <c r="BL28" s="23">
        <v>1</v>
      </c>
      <c r="BM28" s="23">
        <v>11</v>
      </c>
      <c r="BN28" s="23">
        <v>11</v>
      </c>
      <c r="BO28" s="23">
        <v>9</v>
      </c>
      <c r="BP28" s="23">
        <v>1</v>
      </c>
      <c r="BQ28" s="23">
        <v>1133</v>
      </c>
      <c r="BR28" s="23">
        <v>764</v>
      </c>
      <c r="BS28" s="23">
        <v>207</v>
      </c>
      <c r="BT28" s="23">
        <v>2</v>
      </c>
      <c r="BU28" s="23">
        <v>42</v>
      </c>
      <c r="BV28" s="23">
        <v>85</v>
      </c>
      <c r="BW28" s="23">
        <v>214</v>
      </c>
      <c r="BX28" s="23">
        <v>0</v>
      </c>
      <c r="BY28" s="23">
        <v>0</v>
      </c>
      <c r="BZ28" s="23">
        <v>0</v>
      </c>
      <c r="CA28" s="23">
        <v>5</v>
      </c>
      <c r="CB28" s="23">
        <v>2880</v>
      </c>
      <c r="CC28" s="23">
        <v>0</v>
      </c>
      <c r="CD28" s="23">
        <v>1</v>
      </c>
      <c r="CE28" s="23">
        <v>0</v>
      </c>
      <c r="CF28" s="23">
        <v>0</v>
      </c>
      <c r="CG28" s="23">
        <v>11</v>
      </c>
      <c r="CH28" s="23">
        <v>6</v>
      </c>
      <c r="CI28" s="23">
        <v>63</v>
      </c>
      <c r="CJ28" s="23">
        <v>158</v>
      </c>
      <c r="CK28" s="23">
        <v>168</v>
      </c>
      <c r="CL28" s="23">
        <v>22</v>
      </c>
      <c r="CM28" s="23">
        <v>8</v>
      </c>
      <c r="CN28" s="23">
        <v>1199</v>
      </c>
      <c r="CO28" s="23">
        <v>377</v>
      </c>
      <c r="CP28" s="23">
        <v>139</v>
      </c>
      <c r="CQ28" s="23">
        <v>3</v>
      </c>
      <c r="CR28" s="23">
        <v>0</v>
      </c>
      <c r="CS28" s="23">
        <v>1</v>
      </c>
      <c r="CT28" s="23">
        <v>1</v>
      </c>
      <c r="CU28" s="23">
        <v>3</v>
      </c>
      <c r="CV28" s="23">
        <v>0</v>
      </c>
      <c r="CW28" s="23">
        <v>1</v>
      </c>
      <c r="CX28" s="23">
        <v>12</v>
      </c>
      <c r="CY28" s="23">
        <v>0</v>
      </c>
      <c r="CZ28" s="23">
        <v>39</v>
      </c>
      <c r="DA28" s="23">
        <v>0</v>
      </c>
      <c r="DB28" s="23">
        <v>7</v>
      </c>
      <c r="DC28" s="23">
        <v>0</v>
      </c>
      <c r="DD28" s="23">
        <v>7</v>
      </c>
      <c r="DE28" s="23">
        <v>1</v>
      </c>
      <c r="DF28" s="23">
        <v>654</v>
      </c>
      <c r="DG28" s="23">
        <v>0</v>
      </c>
      <c r="DH28" s="23">
        <v>120</v>
      </c>
      <c r="DI28" s="23">
        <v>62</v>
      </c>
      <c r="DJ28" s="23">
        <v>9</v>
      </c>
      <c r="DK28" s="23">
        <v>19</v>
      </c>
      <c r="DL28" s="23">
        <v>415</v>
      </c>
      <c r="DM28" s="23">
        <v>0</v>
      </c>
      <c r="DN28" s="23">
        <v>66</v>
      </c>
      <c r="DO28" s="23">
        <v>533</v>
      </c>
      <c r="DP28" s="23">
        <v>0</v>
      </c>
      <c r="DQ28" s="23">
        <v>51</v>
      </c>
      <c r="DR28" s="23">
        <v>17</v>
      </c>
      <c r="DS28" s="23">
        <v>32</v>
      </c>
      <c r="DT28" s="23">
        <v>6</v>
      </c>
      <c r="DU28" s="23">
        <v>3</v>
      </c>
      <c r="DV28" s="23">
        <v>1</v>
      </c>
      <c r="DW28" s="23">
        <v>1</v>
      </c>
      <c r="DX28" s="23">
        <v>1</v>
      </c>
      <c r="DY28" s="23">
        <v>4</v>
      </c>
      <c r="DZ28" s="23">
        <v>0</v>
      </c>
      <c r="EA28" s="23">
        <v>28</v>
      </c>
      <c r="EB28" s="23">
        <v>62</v>
      </c>
      <c r="EC28" s="23">
        <v>9</v>
      </c>
      <c r="ED28" s="23">
        <v>66</v>
      </c>
      <c r="EE28" s="23">
        <v>19</v>
      </c>
      <c r="EF28" s="23">
        <v>71</v>
      </c>
      <c r="EG28" s="23">
        <v>44</v>
      </c>
      <c r="EH28" s="23">
        <v>14</v>
      </c>
      <c r="EI28" s="23">
        <v>421</v>
      </c>
      <c r="EJ28" s="23">
        <v>200</v>
      </c>
      <c r="EK28" s="23">
        <v>17</v>
      </c>
      <c r="EL28" s="23">
        <v>1</v>
      </c>
      <c r="EM28" s="23">
        <v>6</v>
      </c>
      <c r="EN28" s="23">
        <v>10</v>
      </c>
      <c r="EO28" s="23">
        <v>5</v>
      </c>
      <c r="EP28" s="23">
        <v>17</v>
      </c>
      <c r="EQ28" s="23">
        <v>184</v>
      </c>
      <c r="ER28" s="23">
        <v>14</v>
      </c>
      <c r="ES28" s="23">
        <v>3</v>
      </c>
      <c r="ET28" s="23">
        <v>5</v>
      </c>
      <c r="EU28" s="23">
        <v>102</v>
      </c>
      <c r="EV28" s="23">
        <v>6</v>
      </c>
      <c r="EW28" s="23">
        <v>59</v>
      </c>
      <c r="EX28" s="23">
        <v>8</v>
      </c>
      <c r="EY28" s="23">
        <v>17</v>
      </c>
      <c r="EZ28" s="23">
        <v>0</v>
      </c>
      <c r="FA28" s="23">
        <v>611</v>
      </c>
      <c r="FB28" s="23">
        <v>3</v>
      </c>
      <c r="FC28" s="23">
        <v>32</v>
      </c>
      <c r="FD28" s="23">
        <v>4</v>
      </c>
      <c r="FE28" s="23">
        <v>13</v>
      </c>
      <c r="FF28" s="23">
        <v>2</v>
      </c>
      <c r="FG28" s="23">
        <v>3</v>
      </c>
      <c r="FH28" s="23">
        <v>0</v>
      </c>
      <c r="FI28" s="23">
        <v>182</v>
      </c>
      <c r="FJ28" s="23">
        <v>72</v>
      </c>
      <c r="FK28" s="23">
        <v>246</v>
      </c>
      <c r="FL28" s="23">
        <v>195</v>
      </c>
      <c r="FM28" s="23">
        <v>93</v>
      </c>
      <c r="FN28" s="23">
        <v>3402</v>
      </c>
      <c r="FO28" s="23">
        <v>55</v>
      </c>
      <c r="FP28" s="23">
        <v>325</v>
      </c>
      <c r="FQ28" s="23">
        <v>60</v>
      </c>
      <c r="FR28" s="23">
        <v>1</v>
      </c>
      <c r="FS28" s="23">
        <v>0</v>
      </c>
      <c r="FT28" s="23">
        <v>0</v>
      </c>
      <c r="FU28" s="23">
        <v>137</v>
      </c>
      <c r="FV28" s="23">
        <v>88</v>
      </c>
      <c r="FW28" s="23">
        <v>5</v>
      </c>
      <c r="FX28" s="23">
        <v>0</v>
      </c>
      <c r="FY28" s="23"/>
      <c r="FZ28" s="23">
        <f t="shared" si="6"/>
        <v>75065</v>
      </c>
      <c r="GA28" s="23"/>
      <c r="GB28" s="23"/>
      <c r="GC28" s="23"/>
      <c r="GD28" s="23"/>
      <c r="GE28" s="23"/>
      <c r="GF28" s="23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</row>
    <row r="29" spans="1:204" ht="15.5" x14ac:dyDescent="0.35">
      <c r="A29" s="12" t="s">
        <v>489</v>
      </c>
      <c r="B29" s="7" t="s">
        <v>490</v>
      </c>
      <c r="C29" s="23">
        <v>885</v>
      </c>
      <c r="D29" s="23">
        <v>4709</v>
      </c>
      <c r="E29" s="23">
        <v>838</v>
      </c>
      <c r="F29" s="23">
        <v>2895</v>
      </c>
      <c r="G29" s="23">
        <v>225</v>
      </c>
      <c r="H29" s="23">
        <v>218</v>
      </c>
      <c r="I29" s="23">
        <v>1112</v>
      </c>
      <c r="J29" s="23">
        <v>275</v>
      </c>
      <c r="K29" s="23">
        <v>22</v>
      </c>
      <c r="L29" s="23">
        <v>412</v>
      </c>
      <c r="M29" s="23">
        <v>166</v>
      </c>
      <c r="N29" s="23">
        <v>7649</v>
      </c>
      <c r="O29" s="23">
        <v>1816</v>
      </c>
      <c r="P29" s="23">
        <v>61</v>
      </c>
      <c r="Q29" s="23">
        <v>5536</v>
      </c>
      <c r="R29" s="23">
        <v>775</v>
      </c>
      <c r="S29" s="23">
        <v>194</v>
      </c>
      <c r="T29" s="23">
        <v>29</v>
      </c>
      <c r="U29" s="23">
        <v>10</v>
      </c>
      <c r="V29" s="23">
        <v>48</v>
      </c>
      <c r="W29" s="23">
        <v>11</v>
      </c>
      <c r="X29" s="23">
        <v>6</v>
      </c>
      <c r="Y29" s="23">
        <v>152</v>
      </c>
      <c r="Z29" s="23">
        <v>24</v>
      </c>
      <c r="AA29" s="23">
        <v>4206</v>
      </c>
      <c r="AB29" s="23">
        <v>3897</v>
      </c>
      <c r="AC29" s="23">
        <v>137</v>
      </c>
      <c r="AD29" s="23">
        <v>171</v>
      </c>
      <c r="AE29" s="23">
        <v>15</v>
      </c>
      <c r="AF29" s="23">
        <v>28</v>
      </c>
      <c r="AG29" s="23">
        <v>75</v>
      </c>
      <c r="AH29" s="23">
        <v>102</v>
      </c>
      <c r="AI29" s="23">
        <v>42</v>
      </c>
      <c r="AJ29" s="23">
        <v>24</v>
      </c>
      <c r="AK29" s="23">
        <v>25</v>
      </c>
      <c r="AL29" s="23">
        <v>12</v>
      </c>
      <c r="AM29" s="23">
        <v>55</v>
      </c>
      <c r="AN29" s="23">
        <v>44</v>
      </c>
      <c r="AO29" s="23">
        <v>738</v>
      </c>
      <c r="AP29" s="23">
        <v>11729</v>
      </c>
      <c r="AQ29" s="23">
        <v>48</v>
      </c>
      <c r="AR29" s="23">
        <v>8063</v>
      </c>
      <c r="AS29" s="23">
        <v>963</v>
      </c>
      <c r="AT29" s="23">
        <v>360</v>
      </c>
      <c r="AU29" s="23">
        <v>56</v>
      </c>
      <c r="AV29" s="23">
        <v>43</v>
      </c>
      <c r="AW29" s="23">
        <v>42</v>
      </c>
      <c r="AX29" s="23">
        <v>17</v>
      </c>
      <c r="AY29" s="23">
        <v>46</v>
      </c>
      <c r="AZ29" s="23">
        <v>1784</v>
      </c>
      <c r="BA29" s="23">
        <v>1386</v>
      </c>
      <c r="BB29" s="23">
        <v>1555</v>
      </c>
      <c r="BC29" s="23">
        <v>3025</v>
      </c>
      <c r="BD29" s="23">
        <v>435</v>
      </c>
      <c r="BE29" s="23">
        <v>123</v>
      </c>
      <c r="BF29" s="23">
        <v>2290</v>
      </c>
      <c r="BG29" s="23">
        <v>137</v>
      </c>
      <c r="BH29" s="23">
        <v>56</v>
      </c>
      <c r="BI29" s="23">
        <v>53</v>
      </c>
      <c r="BJ29" s="23">
        <v>666</v>
      </c>
      <c r="BK29" s="23">
        <v>3196</v>
      </c>
      <c r="BL29" s="23">
        <v>10</v>
      </c>
      <c r="BM29" s="23">
        <v>63</v>
      </c>
      <c r="BN29" s="23">
        <v>529</v>
      </c>
      <c r="BO29" s="23">
        <v>253</v>
      </c>
      <c r="BP29" s="23">
        <v>23</v>
      </c>
      <c r="BQ29" s="23">
        <v>708</v>
      </c>
      <c r="BR29" s="23">
        <v>604</v>
      </c>
      <c r="BS29" s="23">
        <v>150</v>
      </c>
      <c r="BT29" s="23">
        <v>50</v>
      </c>
      <c r="BU29" s="23">
        <v>65</v>
      </c>
      <c r="BV29" s="23">
        <v>185</v>
      </c>
      <c r="BW29" s="23">
        <v>189</v>
      </c>
      <c r="BX29" s="23">
        <v>10</v>
      </c>
      <c r="BY29" s="23">
        <v>92</v>
      </c>
      <c r="BZ29" s="23">
        <v>36</v>
      </c>
      <c r="CA29" s="23">
        <v>25</v>
      </c>
      <c r="CB29" s="23">
        <v>10037</v>
      </c>
      <c r="CC29" s="23">
        <v>24</v>
      </c>
      <c r="CD29" s="23">
        <v>5</v>
      </c>
      <c r="CE29" s="23">
        <v>38</v>
      </c>
      <c r="CF29" s="23">
        <v>14</v>
      </c>
      <c r="CG29" s="23">
        <v>30</v>
      </c>
      <c r="CH29" s="23">
        <v>15</v>
      </c>
      <c r="CI29" s="23">
        <v>126</v>
      </c>
      <c r="CJ29" s="23">
        <v>164</v>
      </c>
      <c r="CK29" s="23">
        <v>750</v>
      </c>
      <c r="CL29" s="23">
        <v>178</v>
      </c>
      <c r="CM29" s="23">
        <v>114</v>
      </c>
      <c r="CN29" s="23">
        <v>3051</v>
      </c>
      <c r="CO29" s="23">
        <v>2067</v>
      </c>
      <c r="CP29" s="23">
        <v>102</v>
      </c>
      <c r="CQ29" s="23">
        <v>163</v>
      </c>
      <c r="CR29" s="23">
        <v>49</v>
      </c>
      <c r="CS29" s="23">
        <v>50</v>
      </c>
      <c r="CT29" s="23">
        <v>25</v>
      </c>
      <c r="CU29" s="23">
        <v>35</v>
      </c>
      <c r="CV29" s="23">
        <v>3</v>
      </c>
      <c r="CW29" s="23">
        <v>56</v>
      </c>
      <c r="CX29" s="23">
        <v>121</v>
      </c>
      <c r="CY29" s="23">
        <v>6</v>
      </c>
      <c r="CZ29" s="23">
        <v>332</v>
      </c>
      <c r="DA29" s="23">
        <v>35</v>
      </c>
      <c r="DB29" s="23">
        <v>55</v>
      </c>
      <c r="DC29" s="23">
        <v>31</v>
      </c>
      <c r="DD29" s="23">
        <v>26</v>
      </c>
      <c r="DE29" s="23">
        <v>48</v>
      </c>
      <c r="DF29" s="23">
        <v>3413</v>
      </c>
      <c r="DG29" s="23">
        <v>18</v>
      </c>
      <c r="DH29" s="23">
        <v>337</v>
      </c>
      <c r="DI29" s="23">
        <v>412</v>
      </c>
      <c r="DJ29" s="23">
        <v>92</v>
      </c>
      <c r="DK29" s="23">
        <v>73</v>
      </c>
      <c r="DL29" s="23">
        <v>1055</v>
      </c>
      <c r="DM29" s="23">
        <v>48</v>
      </c>
      <c r="DN29" s="23">
        <v>187</v>
      </c>
      <c r="DO29" s="23">
        <v>449</v>
      </c>
      <c r="DP29" s="23">
        <v>40</v>
      </c>
      <c r="DQ29" s="23">
        <v>106</v>
      </c>
      <c r="DR29" s="23">
        <v>267</v>
      </c>
      <c r="DS29" s="23">
        <v>115</v>
      </c>
      <c r="DT29" s="23">
        <v>22</v>
      </c>
      <c r="DU29" s="23">
        <v>46</v>
      </c>
      <c r="DV29" s="23">
        <v>29</v>
      </c>
      <c r="DW29" s="23">
        <v>34</v>
      </c>
      <c r="DX29" s="23">
        <v>28</v>
      </c>
      <c r="DY29" s="23">
        <v>43</v>
      </c>
      <c r="DZ29" s="23">
        <v>91</v>
      </c>
      <c r="EA29" s="23">
        <v>85</v>
      </c>
      <c r="EB29" s="23">
        <v>94</v>
      </c>
      <c r="EC29" s="23">
        <v>48</v>
      </c>
      <c r="ED29" s="23">
        <v>226</v>
      </c>
      <c r="EE29" s="23">
        <v>35</v>
      </c>
      <c r="EF29" s="23">
        <v>269</v>
      </c>
      <c r="EG29" s="23">
        <v>36</v>
      </c>
      <c r="EH29" s="23">
        <v>37</v>
      </c>
      <c r="EI29" s="23">
        <v>2160</v>
      </c>
      <c r="EJ29" s="23">
        <v>1728</v>
      </c>
      <c r="EK29" s="23">
        <v>102</v>
      </c>
      <c r="EL29" s="23">
        <v>87</v>
      </c>
      <c r="EM29" s="23">
        <v>47</v>
      </c>
      <c r="EN29" s="23">
        <v>167</v>
      </c>
      <c r="EO29" s="23">
        <v>30</v>
      </c>
      <c r="EP29" s="23">
        <v>49</v>
      </c>
      <c r="EQ29" s="23">
        <v>384</v>
      </c>
      <c r="ER29" s="23">
        <v>40</v>
      </c>
      <c r="ES29" s="23">
        <v>16</v>
      </c>
      <c r="ET29" s="23">
        <v>23</v>
      </c>
      <c r="EU29" s="23">
        <v>86</v>
      </c>
      <c r="EV29" s="23">
        <v>16</v>
      </c>
      <c r="EW29" s="23">
        <v>80</v>
      </c>
      <c r="EX29" s="23">
        <v>27</v>
      </c>
      <c r="EY29" s="23">
        <v>135</v>
      </c>
      <c r="EZ29" s="23">
        <v>23</v>
      </c>
      <c r="FA29" s="23">
        <v>462</v>
      </c>
      <c r="FB29" s="23">
        <v>47</v>
      </c>
      <c r="FC29" s="23">
        <v>212</v>
      </c>
      <c r="FD29" s="23">
        <v>85</v>
      </c>
      <c r="FE29" s="23">
        <v>15</v>
      </c>
      <c r="FF29" s="23">
        <v>32</v>
      </c>
      <c r="FG29" s="23">
        <v>19</v>
      </c>
      <c r="FH29" s="23">
        <v>15</v>
      </c>
      <c r="FI29" s="23">
        <v>262</v>
      </c>
      <c r="FJ29" s="23">
        <v>214</v>
      </c>
      <c r="FK29" s="23">
        <v>246</v>
      </c>
      <c r="FL29" s="23">
        <v>901</v>
      </c>
      <c r="FM29" s="23">
        <v>523</v>
      </c>
      <c r="FN29" s="23">
        <v>3119</v>
      </c>
      <c r="FO29" s="23">
        <v>146</v>
      </c>
      <c r="FP29" s="23">
        <v>304</v>
      </c>
      <c r="FQ29" s="23">
        <v>121</v>
      </c>
      <c r="FR29" s="23">
        <v>29</v>
      </c>
      <c r="FS29" s="23">
        <v>21</v>
      </c>
      <c r="FT29" s="23">
        <v>7</v>
      </c>
      <c r="FU29" s="23">
        <v>145</v>
      </c>
      <c r="FV29" s="23">
        <v>108</v>
      </c>
      <c r="FW29" s="23">
        <v>15</v>
      </c>
      <c r="FX29" s="23">
        <v>3</v>
      </c>
      <c r="FY29" s="23"/>
      <c r="FZ29" s="23">
        <f t="shared" si="6"/>
        <v>114440</v>
      </c>
      <c r="GA29" s="23"/>
      <c r="GB29" s="23"/>
      <c r="GC29" s="23"/>
      <c r="GD29" s="23"/>
      <c r="GE29" s="23"/>
      <c r="GF29" s="23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</row>
    <row r="30" spans="1:204" ht="15.5" x14ac:dyDescent="0.35">
      <c r="A30" s="12" t="s">
        <v>491</v>
      </c>
      <c r="B30" s="7" t="s">
        <v>492</v>
      </c>
      <c r="C30" s="27">
        <v>0</v>
      </c>
      <c r="D30" s="26">
        <v>4562.5</v>
      </c>
      <c r="E30" s="26">
        <v>643</v>
      </c>
      <c r="F30" s="26">
        <v>907.5</v>
      </c>
      <c r="G30" s="26">
        <v>0</v>
      </c>
      <c r="H30" s="26">
        <v>0</v>
      </c>
      <c r="I30" s="26">
        <v>748</v>
      </c>
      <c r="J30" s="26">
        <v>0</v>
      </c>
      <c r="K30" s="26">
        <v>0</v>
      </c>
      <c r="L30" s="26">
        <v>0</v>
      </c>
      <c r="M30" s="26">
        <v>0</v>
      </c>
      <c r="N30" s="26">
        <v>90</v>
      </c>
      <c r="O30" s="26">
        <v>0</v>
      </c>
      <c r="P30" s="26">
        <v>0</v>
      </c>
      <c r="Q30" s="26">
        <v>1920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154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1987.5</v>
      </c>
      <c r="AS30" s="35">
        <v>293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2883.5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177</v>
      </c>
      <c r="BR30" s="26">
        <v>0</v>
      </c>
      <c r="BS30" s="26">
        <v>0</v>
      </c>
      <c r="BT30" s="26">
        <v>0</v>
      </c>
      <c r="BU30" s="26"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v>827</v>
      </c>
      <c r="CC30" s="26"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v>0</v>
      </c>
      <c r="CK30" s="26">
        <v>577.5</v>
      </c>
      <c r="CL30" s="26">
        <v>0</v>
      </c>
      <c r="CM30" s="26">
        <v>0</v>
      </c>
      <c r="CN30" s="26">
        <v>2256</v>
      </c>
      <c r="CO30" s="26">
        <v>0</v>
      </c>
      <c r="CP30" s="26">
        <v>0</v>
      </c>
      <c r="CQ30" s="26">
        <v>0</v>
      </c>
      <c r="CR30" s="26">
        <v>0</v>
      </c>
      <c r="CS30" s="26">
        <v>0</v>
      </c>
      <c r="CT30" s="26">
        <v>0</v>
      </c>
      <c r="CU30" s="26">
        <v>0</v>
      </c>
      <c r="CV30" s="26">
        <v>0</v>
      </c>
      <c r="CW30" s="26">
        <v>0</v>
      </c>
      <c r="CX30" s="26">
        <v>0</v>
      </c>
      <c r="CY30" s="26"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v>1366</v>
      </c>
      <c r="DG30" s="26">
        <v>0</v>
      </c>
      <c r="DH30" s="26">
        <v>0</v>
      </c>
      <c r="DI30" s="26">
        <v>61</v>
      </c>
      <c r="DJ30" s="26">
        <v>0</v>
      </c>
      <c r="DK30" s="26">
        <v>0</v>
      </c>
      <c r="DL30" s="26">
        <v>0</v>
      </c>
      <c r="DM30" s="26">
        <v>0</v>
      </c>
      <c r="DN30" s="26"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v>0</v>
      </c>
      <c r="DV30" s="26">
        <v>0</v>
      </c>
      <c r="DW30" s="26">
        <v>0</v>
      </c>
      <c r="DX30" s="26">
        <v>0</v>
      </c>
      <c r="DY30" s="26">
        <v>0</v>
      </c>
      <c r="DZ30" s="26">
        <v>0</v>
      </c>
      <c r="EA30" s="26">
        <v>20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  <c r="EO30" s="26">
        <v>0</v>
      </c>
      <c r="EP30" s="26">
        <v>0</v>
      </c>
      <c r="EQ30" s="26">
        <v>103</v>
      </c>
      <c r="ER30" s="26">
        <v>0</v>
      </c>
      <c r="ES30" s="26">
        <v>0</v>
      </c>
      <c r="ET30" s="26">
        <v>0</v>
      </c>
      <c r="EU30" s="26">
        <v>0</v>
      </c>
      <c r="EV30" s="26">
        <v>0</v>
      </c>
      <c r="EW30" s="26">
        <v>0</v>
      </c>
      <c r="EX30" s="26">
        <v>0</v>
      </c>
      <c r="EY30" s="26">
        <v>0</v>
      </c>
      <c r="EZ30" s="26">
        <v>0</v>
      </c>
      <c r="FA30" s="26">
        <v>0</v>
      </c>
      <c r="FB30" s="26">
        <v>0</v>
      </c>
      <c r="FC30" s="26">
        <v>0</v>
      </c>
      <c r="FD30" s="26">
        <v>0</v>
      </c>
      <c r="FE30" s="26">
        <v>0</v>
      </c>
      <c r="FF30" s="26">
        <v>0</v>
      </c>
      <c r="FG30" s="26">
        <v>0</v>
      </c>
      <c r="FH30" s="26">
        <v>0</v>
      </c>
      <c r="FI30" s="26">
        <v>0</v>
      </c>
      <c r="FJ30" s="26">
        <v>0</v>
      </c>
      <c r="FK30" s="26">
        <v>0</v>
      </c>
      <c r="FL30" s="26">
        <v>0</v>
      </c>
      <c r="FM30" s="26">
        <v>0</v>
      </c>
      <c r="FN30" s="26">
        <v>0</v>
      </c>
      <c r="FO30" s="26">
        <v>0</v>
      </c>
      <c r="FP30" s="26">
        <v>0</v>
      </c>
      <c r="FQ30" s="26">
        <v>0</v>
      </c>
      <c r="FR30" s="26">
        <v>0</v>
      </c>
      <c r="FS30" s="26">
        <v>0</v>
      </c>
      <c r="FT30" s="26">
        <v>0</v>
      </c>
      <c r="FU30" s="26">
        <v>0</v>
      </c>
      <c r="FV30" s="26">
        <v>0</v>
      </c>
      <c r="FW30" s="26">
        <v>0</v>
      </c>
      <c r="FX30" s="26">
        <v>0</v>
      </c>
      <c r="FY30" s="23"/>
      <c r="FZ30" s="23">
        <f t="shared" si="6"/>
        <v>19576.5</v>
      </c>
      <c r="GA30" s="23"/>
      <c r="GB30" s="23"/>
      <c r="GC30" s="23"/>
      <c r="GD30" s="23"/>
      <c r="GE30" s="23"/>
      <c r="GF30" s="23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</row>
    <row r="31" spans="1:204" ht="15.5" x14ac:dyDescent="0.35">
      <c r="A31" s="12" t="s">
        <v>493</v>
      </c>
      <c r="B31" s="7" t="s">
        <v>494</v>
      </c>
      <c r="C31" s="37">
        <v>0</v>
      </c>
      <c r="D31" s="23">
        <v>363</v>
      </c>
      <c r="E31" s="23">
        <v>52</v>
      </c>
      <c r="F31" s="23">
        <v>114.5</v>
      </c>
      <c r="G31" s="23">
        <v>0</v>
      </c>
      <c r="H31" s="23">
        <v>0</v>
      </c>
      <c r="I31" s="23">
        <v>71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173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16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76</v>
      </c>
      <c r="AS31" s="23">
        <v>23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278.5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15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50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1.5</v>
      </c>
      <c r="CL31" s="23">
        <v>0</v>
      </c>
      <c r="CM31" s="23">
        <v>0</v>
      </c>
      <c r="CN31" s="23">
        <v>125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3">
        <v>0</v>
      </c>
      <c r="CZ31" s="23">
        <v>0</v>
      </c>
      <c r="DA31" s="23">
        <v>0</v>
      </c>
      <c r="DB31" s="23">
        <v>0</v>
      </c>
      <c r="DC31" s="23">
        <v>0</v>
      </c>
      <c r="DD31" s="23">
        <v>0</v>
      </c>
      <c r="DE31" s="23">
        <v>0</v>
      </c>
      <c r="DF31" s="23">
        <v>161</v>
      </c>
      <c r="DG31" s="23">
        <v>0</v>
      </c>
      <c r="DH31" s="23">
        <v>0</v>
      </c>
      <c r="DI31" s="23">
        <v>7</v>
      </c>
      <c r="DJ31" s="23">
        <v>0</v>
      </c>
      <c r="DK31" s="23">
        <v>0</v>
      </c>
      <c r="DL31" s="23">
        <v>0</v>
      </c>
      <c r="DM31" s="23">
        <v>0</v>
      </c>
      <c r="DN31" s="23">
        <v>0</v>
      </c>
      <c r="DO31" s="23">
        <v>0</v>
      </c>
      <c r="DP31" s="23">
        <v>0</v>
      </c>
      <c r="DQ31" s="23">
        <v>0</v>
      </c>
      <c r="DR31" s="23">
        <v>0</v>
      </c>
      <c r="DS31" s="23">
        <v>0</v>
      </c>
      <c r="DT31" s="23">
        <v>0</v>
      </c>
      <c r="DU31" s="23">
        <v>0</v>
      </c>
      <c r="DV31" s="23">
        <v>0</v>
      </c>
      <c r="DW31" s="23">
        <v>0</v>
      </c>
      <c r="DX31" s="23">
        <v>0</v>
      </c>
      <c r="DY31" s="23">
        <v>0</v>
      </c>
      <c r="DZ31" s="23">
        <v>0</v>
      </c>
      <c r="EA31" s="23">
        <v>0</v>
      </c>
      <c r="EB31" s="23">
        <v>0</v>
      </c>
      <c r="EC31" s="23">
        <v>0</v>
      </c>
      <c r="ED31" s="23">
        <v>0</v>
      </c>
      <c r="EE31" s="23">
        <v>0</v>
      </c>
      <c r="EF31" s="23">
        <v>0</v>
      </c>
      <c r="EG31" s="23">
        <v>0</v>
      </c>
      <c r="EH31" s="23">
        <v>0</v>
      </c>
      <c r="EI31" s="23">
        <v>0</v>
      </c>
      <c r="EJ31" s="23">
        <v>0</v>
      </c>
      <c r="EK31" s="23">
        <v>0</v>
      </c>
      <c r="EL31" s="23">
        <v>0</v>
      </c>
      <c r="EM31" s="23">
        <v>0</v>
      </c>
      <c r="EN31" s="23">
        <v>0</v>
      </c>
      <c r="EO31" s="23">
        <v>0</v>
      </c>
      <c r="EP31" s="23">
        <v>0</v>
      </c>
      <c r="EQ31" s="23">
        <v>21</v>
      </c>
      <c r="ER31" s="23">
        <v>0</v>
      </c>
      <c r="ES31" s="23">
        <v>0</v>
      </c>
      <c r="ET31" s="23">
        <v>0</v>
      </c>
      <c r="EU31" s="23">
        <v>0</v>
      </c>
      <c r="EV31" s="23">
        <v>0</v>
      </c>
      <c r="EW31" s="23">
        <v>0</v>
      </c>
      <c r="EX31" s="23">
        <v>0</v>
      </c>
      <c r="EY31" s="23">
        <v>0</v>
      </c>
      <c r="EZ31" s="23">
        <v>0</v>
      </c>
      <c r="FA31" s="23">
        <v>0</v>
      </c>
      <c r="FB31" s="23">
        <v>0</v>
      </c>
      <c r="FC31" s="23">
        <v>0</v>
      </c>
      <c r="FD31" s="23">
        <v>0</v>
      </c>
      <c r="FE31" s="23">
        <v>0</v>
      </c>
      <c r="FF31" s="23">
        <v>0</v>
      </c>
      <c r="FG31" s="23">
        <v>0</v>
      </c>
      <c r="FH31" s="23">
        <v>0</v>
      </c>
      <c r="FI31" s="23">
        <v>0</v>
      </c>
      <c r="FJ31" s="23">
        <v>0</v>
      </c>
      <c r="FK31" s="23">
        <v>0</v>
      </c>
      <c r="FL31" s="23">
        <v>0</v>
      </c>
      <c r="FM31" s="23">
        <v>0</v>
      </c>
      <c r="FN31" s="23">
        <v>0</v>
      </c>
      <c r="FO31" s="23">
        <v>0</v>
      </c>
      <c r="FP31" s="23">
        <v>0</v>
      </c>
      <c r="FQ31" s="23">
        <v>0</v>
      </c>
      <c r="FR31" s="23">
        <v>0</v>
      </c>
      <c r="FS31" s="23">
        <v>0</v>
      </c>
      <c r="FT31" s="23">
        <v>0</v>
      </c>
      <c r="FU31" s="23">
        <v>0</v>
      </c>
      <c r="FV31" s="23">
        <v>0</v>
      </c>
      <c r="FW31" s="23">
        <v>0</v>
      </c>
      <c r="FX31" s="23">
        <v>0</v>
      </c>
      <c r="FY31" s="23"/>
      <c r="FZ31" s="23">
        <f t="shared" si="6"/>
        <v>1547.5</v>
      </c>
      <c r="GA31" s="23"/>
      <c r="GB31" s="23"/>
      <c r="GC31" s="23"/>
      <c r="GD31" s="23"/>
      <c r="GE31" s="23"/>
      <c r="GF31" s="23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</row>
    <row r="32" spans="1:204" ht="15.5" x14ac:dyDescent="0.35">
      <c r="A32" s="12" t="s">
        <v>495</v>
      </c>
      <c r="B32" s="7" t="s">
        <v>496</v>
      </c>
      <c r="C32" s="37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0</v>
      </c>
      <c r="FW32" s="23">
        <v>0</v>
      </c>
      <c r="FX32" s="23">
        <v>0</v>
      </c>
      <c r="FY32" s="23"/>
      <c r="FZ32" s="23">
        <f t="shared" si="6"/>
        <v>0</v>
      </c>
      <c r="GA32" s="23"/>
      <c r="GB32" s="23"/>
      <c r="GC32" s="23"/>
      <c r="GD32" s="23"/>
      <c r="GE32" s="23"/>
      <c r="GF32" s="23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</row>
    <row r="33" spans="1:204" ht="15.5" x14ac:dyDescent="0.35">
      <c r="A33" s="12" t="s">
        <v>497</v>
      </c>
      <c r="B33" s="7" t="s">
        <v>498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v>0</v>
      </c>
      <c r="CC33" s="26"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v>0</v>
      </c>
      <c r="CK33" s="26">
        <v>0</v>
      </c>
      <c r="CL33" s="26">
        <v>0</v>
      </c>
      <c r="CM33" s="26">
        <v>0</v>
      </c>
      <c r="CN33" s="26">
        <v>408</v>
      </c>
      <c r="CO33" s="26">
        <v>0</v>
      </c>
      <c r="CP33" s="26">
        <v>0</v>
      </c>
      <c r="CQ33" s="26">
        <v>0</v>
      </c>
      <c r="CR33" s="26"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v>0</v>
      </c>
      <c r="DG33" s="26"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v>0</v>
      </c>
      <c r="DV33" s="26">
        <v>0</v>
      </c>
      <c r="DW33" s="26">
        <v>0</v>
      </c>
      <c r="DX33" s="26">
        <v>0</v>
      </c>
      <c r="DY33" s="26">
        <v>0</v>
      </c>
      <c r="DZ33" s="26">
        <v>0</v>
      </c>
      <c r="EA33" s="26"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  <c r="EO33" s="26">
        <v>0</v>
      </c>
      <c r="EP33" s="26">
        <v>0</v>
      </c>
      <c r="EQ33" s="26">
        <v>0</v>
      </c>
      <c r="ER33" s="26">
        <v>0</v>
      </c>
      <c r="ES33" s="26">
        <v>0</v>
      </c>
      <c r="ET33" s="26">
        <v>0</v>
      </c>
      <c r="EU33" s="26">
        <v>0</v>
      </c>
      <c r="EV33" s="26">
        <v>0</v>
      </c>
      <c r="EW33" s="26">
        <v>0</v>
      </c>
      <c r="EX33" s="26">
        <v>0</v>
      </c>
      <c r="EY33" s="26">
        <v>0</v>
      </c>
      <c r="EZ33" s="26">
        <v>0</v>
      </c>
      <c r="FA33" s="26">
        <v>0</v>
      </c>
      <c r="FB33" s="26">
        <v>0</v>
      </c>
      <c r="FC33" s="26">
        <v>0</v>
      </c>
      <c r="FD33" s="26">
        <v>0</v>
      </c>
      <c r="FE33" s="26">
        <v>0</v>
      </c>
      <c r="FF33" s="26">
        <v>0</v>
      </c>
      <c r="FG33" s="26">
        <v>0</v>
      </c>
      <c r="FH33" s="26">
        <v>0</v>
      </c>
      <c r="FI33" s="26">
        <v>0</v>
      </c>
      <c r="FJ33" s="26">
        <v>0</v>
      </c>
      <c r="FK33" s="26">
        <v>0</v>
      </c>
      <c r="FL33" s="26">
        <v>0</v>
      </c>
      <c r="FM33" s="26">
        <v>0</v>
      </c>
      <c r="FN33" s="26">
        <v>0</v>
      </c>
      <c r="FO33" s="26">
        <v>0</v>
      </c>
      <c r="FP33" s="26">
        <v>0</v>
      </c>
      <c r="FQ33" s="26">
        <v>0</v>
      </c>
      <c r="FR33" s="26">
        <v>0</v>
      </c>
      <c r="FS33" s="26">
        <v>0</v>
      </c>
      <c r="FT33" s="26">
        <v>0</v>
      </c>
      <c r="FU33" s="26">
        <v>0</v>
      </c>
      <c r="FV33" s="26">
        <v>0</v>
      </c>
      <c r="FW33" s="26">
        <v>0</v>
      </c>
      <c r="FX33" s="26">
        <v>0</v>
      </c>
      <c r="FY33" s="26"/>
      <c r="FZ33" s="23">
        <f t="shared" si="6"/>
        <v>408</v>
      </c>
      <c r="GA33" s="26"/>
      <c r="GB33" s="23"/>
      <c r="GC33" s="23"/>
      <c r="GD33" s="23"/>
      <c r="GE33" s="23"/>
      <c r="GF33" s="23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</row>
    <row r="34" spans="1:204" ht="15.5" x14ac:dyDescent="0.35">
      <c r="A34" s="12" t="s">
        <v>499</v>
      </c>
      <c r="B34" s="7" t="s">
        <v>500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v>0</v>
      </c>
      <c r="BN34" s="26"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v>0</v>
      </c>
      <c r="CC34" s="26"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v>0</v>
      </c>
      <c r="CR34" s="26">
        <v>0</v>
      </c>
      <c r="CS34" s="26">
        <v>0</v>
      </c>
      <c r="CT34" s="26">
        <v>0</v>
      </c>
      <c r="CU34" s="26">
        <v>0</v>
      </c>
      <c r="CV34" s="26">
        <v>0</v>
      </c>
      <c r="CW34" s="26">
        <v>0</v>
      </c>
      <c r="CX34" s="26">
        <v>0</v>
      </c>
      <c r="CY34" s="26"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v>0</v>
      </c>
      <c r="DG34" s="26"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v>0</v>
      </c>
      <c r="EA34" s="26"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v>0</v>
      </c>
      <c r="EM34" s="26">
        <v>0</v>
      </c>
      <c r="EN34" s="26">
        <v>0</v>
      </c>
      <c r="EO34" s="26">
        <v>0</v>
      </c>
      <c r="EP34" s="26">
        <v>0</v>
      </c>
      <c r="EQ34" s="26">
        <v>0</v>
      </c>
      <c r="ER34" s="26">
        <v>0</v>
      </c>
      <c r="ES34" s="26">
        <v>0</v>
      </c>
      <c r="ET34" s="26">
        <v>0</v>
      </c>
      <c r="EU34" s="26">
        <v>0</v>
      </c>
      <c r="EV34" s="26">
        <v>0</v>
      </c>
      <c r="EW34" s="26">
        <v>0</v>
      </c>
      <c r="EX34" s="26">
        <v>0</v>
      </c>
      <c r="EY34" s="26">
        <v>0</v>
      </c>
      <c r="EZ34" s="26">
        <v>0</v>
      </c>
      <c r="FA34" s="26">
        <v>0</v>
      </c>
      <c r="FB34" s="26">
        <v>0</v>
      </c>
      <c r="FC34" s="26">
        <v>0</v>
      </c>
      <c r="FD34" s="26">
        <v>0</v>
      </c>
      <c r="FE34" s="26">
        <v>0</v>
      </c>
      <c r="FF34" s="26">
        <v>0</v>
      </c>
      <c r="FG34" s="26">
        <v>0</v>
      </c>
      <c r="FH34" s="26">
        <v>0</v>
      </c>
      <c r="FI34" s="26">
        <v>0</v>
      </c>
      <c r="FJ34" s="26">
        <v>0</v>
      </c>
      <c r="FK34" s="26">
        <v>0</v>
      </c>
      <c r="FL34" s="26">
        <v>0</v>
      </c>
      <c r="FM34" s="26">
        <v>0</v>
      </c>
      <c r="FN34" s="26">
        <v>0</v>
      </c>
      <c r="FO34" s="26">
        <v>0</v>
      </c>
      <c r="FP34" s="26">
        <v>0</v>
      </c>
      <c r="FQ34" s="26">
        <v>0</v>
      </c>
      <c r="FR34" s="26">
        <v>0</v>
      </c>
      <c r="FS34" s="26">
        <v>0</v>
      </c>
      <c r="FT34" s="26">
        <v>0</v>
      </c>
      <c r="FU34" s="26">
        <v>0</v>
      </c>
      <c r="FV34" s="26">
        <v>0</v>
      </c>
      <c r="FW34" s="26">
        <v>0</v>
      </c>
      <c r="FX34" s="26">
        <v>0</v>
      </c>
      <c r="FY34" s="26"/>
      <c r="FZ34" s="23">
        <f t="shared" si="6"/>
        <v>1</v>
      </c>
      <c r="GA34" s="26"/>
      <c r="GB34" s="23"/>
      <c r="GC34" s="23"/>
      <c r="GD34" s="23"/>
      <c r="GE34" s="23"/>
      <c r="GF34" s="23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</row>
    <row r="35" spans="1:204" ht="15.5" x14ac:dyDescent="0.35">
      <c r="A35" s="12" t="s">
        <v>501</v>
      </c>
      <c r="B35" s="7" t="s">
        <v>502</v>
      </c>
      <c r="C35" s="23">
        <v>0</v>
      </c>
      <c r="D35" s="23">
        <v>23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0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0</v>
      </c>
      <c r="CW35" s="23">
        <v>0</v>
      </c>
      <c r="CX35" s="23">
        <v>0</v>
      </c>
      <c r="CY35" s="23">
        <v>0</v>
      </c>
      <c r="CZ35" s="23">
        <v>0</v>
      </c>
      <c r="DA35" s="23">
        <v>0</v>
      </c>
      <c r="DB35" s="23">
        <v>0</v>
      </c>
      <c r="DC35" s="23">
        <v>0</v>
      </c>
      <c r="DD35" s="23">
        <v>0</v>
      </c>
      <c r="DE35" s="23">
        <v>0</v>
      </c>
      <c r="DF35" s="23">
        <v>0</v>
      </c>
      <c r="DG35" s="23">
        <v>0</v>
      </c>
      <c r="DH35" s="23">
        <v>0</v>
      </c>
      <c r="DI35" s="23">
        <v>0</v>
      </c>
      <c r="DJ35" s="23">
        <v>0</v>
      </c>
      <c r="DK35" s="23">
        <v>0</v>
      </c>
      <c r="DL35" s="23">
        <v>0</v>
      </c>
      <c r="DM35" s="23">
        <v>0</v>
      </c>
      <c r="DN35" s="23">
        <v>0</v>
      </c>
      <c r="DO35" s="23">
        <v>0</v>
      </c>
      <c r="DP35" s="23">
        <v>0</v>
      </c>
      <c r="DQ35" s="23">
        <v>0</v>
      </c>
      <c r="DR35" s="23">
        <v>0</v>
      </c>
      <c r="DS35" s="23">
        <v>0</v>
      </c>
      <c r="DT35" s="23">
        <v>0</v>
      </c>
      <c r="DU35" s="23">
        <v>0</v>
      </c>
      <c r="DV35" s="23">
        <v>0</v>
      </c>
      <c r="DW35" s="23">
        <v>0</v>
      </c>
      <c r="DX35" s="23">
        <v>0</v>
      </c>
      <c r="DY35" s="23">
        <v>0</v>
      </c>
      <c r="DZ35" s="23">
        <v>0</v>
      </c>
      <c r="EA35" s="23">
        <v>0</v>
      </c>
      <c r="EB35" s="23">
        <v>0</v>
      </c>
      <c r="EC35" s="23">
        <v>0</v>
      </c>
      <c r="ED35" s="23">
        <v>0</v>
      </c>
      <c r="EE35" s="23">
        <v>0</v>
      </c>
      <c r="EF35" s="23">
        <v>0</v>
      </c>
      <c r="EG35" s="23">
        <v>0</v>
      </c>
      <c r="EH35" s="23">
        <v>0</v>
      </c>
      <c r="EI35" s="23">
        <v>0</v>
      </c>
      <c r="EJ35" s="23">
        <v>0</v>
      </c>
      <c r="EK35" s="23">
        <v>0</v>
      </c>
      <c r="EL35" s="23">
        <v>0</v>
      </c>
      <c r="EM35" s="23">
        <v>0</v>
      </c>
      <c r="EN35" s="23">
        <v>0</v>
      </c>
      <c r="EO35" s="23">
        <v>0</v>
      </c>
      <c r="EP35" s="23">
        <v>0</v>
      </c>
      <c r="EQ35" s="23">
        <v>0</v>
      </c>
      <c r="ER35" s="23">
        <v>0</v>
      </c>
      <c r="ES35" s="23">
        <v>0</v>
      </c>
      <c r="ET35" s="23">
        <v>0</v>
      </c>
      <c r="EU35" s="23">
        <v>0</v>
      </c>
      <c r="EV35" s="23">
        <v>0</v>
      </c>
      <c r="EW35" s="23">
        <v>0</v>
      </c>
      <c r="EX35" s="23">
        <v>0</v>
      </c>
      <c r="EY35" s="23">
        <v>0</v>
      </c>
      <c r="EZ35" s="23">
        <v>0</v>
      </c>
      <c r="FA35" s="23">
        <v>0</v>
      </c>
      <c r="FB35" s="23">
        <v>0</v>
      </c>
      <c r="FC35" s="23">
        <v>0</v>
      </c>
      <c r="FD35" s="23">
        <v>0</v>
      </c>
      <c r="FE35" s="23">
        <v>0</v>
      </c>
      <c r="FF35" s="23">
        <v>0</v>
      </c>
      <c r="FG35" s="23">
        <v>0</v>
      </c>
      <c r="FH35" s="23">
        <v>0</v>
      </c>
      <c r="FI35" s="23">
        <v>0</v>
      </c>
      <c r="FJ35" s="23">
        <v>0</v>
      </c>
      <c r="FK35" s="23">
        <v>0</v>
      </c>
      <c r="FL35" s="23">
        <v>0</v>
      </c>
      <c r="FM35" s="23">
        <v>0</v>
      </c>
      <c r="FN35" s="23">
        <v>0</v>
      </c>
      <c r="FO35" s="23">
        <v>0</v>
      </c>
      <c r="FP35" s="23">
        <v>0</v>
      </c>
      <c r="FQ35" s="23">
        <v>0</v>
      </c>
      <c r="FR35" s="23">
        <v>0</v>
      </c>
      <c r="FS35" s="23">
        <v>0</v>
      </c>
      <c r="FT35" s="23">
        <v>0</v>
      </c>
      <c r="FU35" s="23">
        <v>0</v>
      </c>
      <c r="FV35" s="23">
        <v>0</v>
      </c>
      <c r="FW35" s="23">
        <v>0</v>
      </c>
      <c r="FX35" s="23">
        <v>0</v>
      </c>
      <c r="FY35" s="23"/>
      <c r="FZ35" s="23">
        <f t="shared" si="6"/>
        <v>23</v>
      </c>
      <c r="GA35" s="23"/>
      <c r="GB35" s="23"/>
      <c r="GC35" s="23"/>
      <c r="GD35" s="23"/>
      <c r="GE35" s="23"/>
      <c r="GF35" s="23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</row>
    <row r="36" spans="1:204" ht="15.5" x14ac:dyDescent="0.35">
      <c r="A36" s="12" t="s">
        <v>503</v>
      </c>
      <c r="B36" s="7" t="s">
        <v>504</v>
      </c>
      <c r="C36" s="23">
        <v>0</v>
      </c>
      <c r="D36" s="23">
        <v>77.400000000000091</v>
      </c>
      <c r="E36" s="23">
        <v>19.700000000000045</v>
      </c>
      <c r="F36" s="23">
        <v>21.799999999999955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29.099999999999994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19.799999999999955</v>
      </c>
      <c r="AS36" s="23">
        <v>7.3000000000000114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70.299999999999955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0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60.5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7.7999999999999545</v>
      </c>
      <c r="CC36" s="23">
        <v>0</v>
      </c>
      <c r="CD36" s="23">
        <v>0</v>
      </c>
      <c r="CE36" s="23">
        <v>0</v>
      </c>
      <c r="CF36" s="23">
        <v>0</v>
      </c>
      <c r="CG36" s="23">
        <v>0</v>
      </c>
      <c r="CH36" s="23">
        <v>0</v>
      </c>
      <c r="CI36" s="23">
        <v>0</v>
      </c>
      <c r="CJ36" s="23">
        <v>0</v>
      </c>
      <c r="CK36" s="23">
        <v>4.6999999999999886</v>
      </c>
      <c r="CL36" s="23">
        <v>0</v>
      </c>
      <c r="CM36" s="23">
        <v>0</v>
      </c>
      <c r="CN36" s="23">
        <v>55.400000000000091</v>
      </c>
      <c r="CO36" s="23">
        <v>0</v>
      </c>
      <c r="CP36" s="23">
        <v>0</v>
      </c>
      <c r="CQ36" s="23">
        <v>0</v>
      </c>
      <c r="CR36" s="23">
        <v>0</v>
      </c>
      <c r="CS36" s="23">
        <v>0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15.799999999999997</v>
      </c>
      <c r="DG36" s="23">
        <v>0</v>
      </c>
      <c r="DH36" s="23">
        <v>0</v>
      </c>
      <c r="DI36" s="23">
        <v>14.799999999999997</v>
      </c>
      <c r="DJ36" s="23">
        <v>0</v>
      </c>
      <c r="DK36" s="23">
        <v>0</v>
      </c>
      <c r="DL36" s="23">
        <v>0</v>
      </c>
      <c r="DM36" s="23">
        <v>0</v>
      </c>
      <c r="DN36" s="23">
        <v>0</v>
      </c>
      <c r="DO36" s="23">
        <v>0</v>
      </c>
      <c r="DP36" s="23">
        <v>0</v>
      </c>
      <c r="DQ36" s="23">
        <v>0</v>
      </c>
      <c r="DR36" s="23">
        <v>0</v>
      </c>
      <c r="DS36" s="23">
        <v>0</v>
      </c>
      <c r="DT36" s="23">
        <v>0</v>
      </c>
      <c r="DU36" s="23">
        <v>0</v>
      </c>
      <c r="DV36" s="23">
        <v>0</v>
      </c>
      <c r="DW36" s="23">
        <v>0</v>
      </c>
      <c r="DX36" s="23">
        <v>0</v>
      </c>
      <c r="DY36" s="23">
        <v>0</v>
      </c>
      <c r="DZ36" s="23">
        <v>0</v>
      </c>
      <c r="EA36" s="23">
        <v>0</v>
      </c>
      <c r="EB36" s="23">
        <v>0</v>
      </c>
      <c r="EC36" s="23">
        <v>0</v>
      </c>
      <c r="ED36" s="23">
        <v>0</v>
      </c>
      <c r="EE36" s="23">
        <v>0</v>
      </c>
      <c r="EF36" s="23">
        <v>0</v>
      </c>
      <c r="EG36" s="23">
        <v>0</v>
      </c>
      <c r="EH36" s="23">
        <v>0</v>
      </c>
      <c r="EI36" s="23">
        <v>0</v>
      </c>
      <c r="EJ36" s="23">
        <v>0</v>
      </c>
      <c r="EK36" s="23">
        <v>0</v>
      </c>
      <c r="EL36" s="23">
        <v>0</v>
      </c>
      <c r="EM36" s="23">
        <v>0</v>
      </c>
      <c r="EN36" s="23">
        <v>0</v>
      </c>
      <c r="EO36" s="23">
        <v>0</v>
      </c>
      <c r="EP36" s="23">
        <v>0</v>
      </c>
      <c r="EQ36" s="23">
        <v>0</v>
      </c>
      <c r="ER36" s="23">
        <v>0</v>
      </c>
      <c r="ES36" s="23">
        <v>0</v>
      </c>
      <c r="ET36" s="23">
        <v>0</v>
      </c>
      <c r="EU36" s="23">
        <v>0</v>
      </c>
      <c r="EV36" s="23">
        <v>0</v>
      </c>
      <c r="EW36" s="23">
        <v>0</v>
      </c>
      <c r="EX36" s="23">
        <v>0</v>
      </c>
      <c r="EY36" s="23">
        <v>0</v>
      </c>
      <c r="EZ36" s="23">
        <v>0</v>
      </c>
      <c r="FA36" s="23">
        <v>0</v>
      </c>
      <c r="FB36" s="23">
        <v>0</v>
      </c>
      <c r="FC36" s="23">
        <v>0</v>
      </c>
      <c r="FD36" s="23">
        <v>0</v>
      </c>
      <c r="FE36" s="23">
        <v>0</v>
      </c>
      <c r="FF36" s="23">
        <v>0</v>
      </c>
      <c r="FG36" s="23">
        <v>0</v>
      </c>
      <c r="FH36" s="23">
        <v>0</v>
      </c>
      <c r="FI36" s="23">
        <v>0</v>
      </c>
      <c r="FJ36" s="23">
        <v>0</v>
      </c>
      <c r="FK36" s="23">
        <v>0</v>
      </c>
      <c r="FL36" s="23">
        <v>0</v>
      </c>
      <c r="FM36" s="23">
        <v>0</v>
      </c>
      <c r="FN36" s="23">
        <v>0</v>
      </c>
      <c r="FO36" s="23">
        <v>0</v>
      </c>
      <c r="FP36" s="23">
        <v>0</v>
      </c>
      <c r="FQ36" s="23">
        <v>0</v>
      </c>
      <c r="FR36" s="23">
        <v>0</v>
      </c>
      <c r="FS36" s="23">
        <v>0</v>
      </c>
      <c r="FT36" s="23">
        <v>0</v>
      </c>
      <c r="FU36" s="23">
        <v>0</v>
      </c>
      <c r="FV36" s="23">
        <v>0</v>
      </c>
      <c r="FW36" s="23">
        <v>0</v>
      </c>
      <c r="FX36" s="23">
        <v>0</v>
      </c>
      <c r="FY36" s="23"/>
      <c r="FZ36" s="23">
        <f t="shared" si="6"/>
        <v>404.40000000000003</v>
      </c>
      <c r="GA36" s="23"/>
      <c r="GB36" s="23"/>
      <c r="GC36" s="23"/>
      <c r="GD36" s="23"/>
      <c r="GE36" s="23"/>
      <c r="GF36" s="23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</row>
    <row r="37" spans="1:204" ht="15.5" x14ac:dyDescent="0.35">
      <c r="A37" s="12"/>
      <c r="B37" s="7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</row>
    <row r="38" spans="1:204" ht="15.5" x14ac:dyDescent="0.35">
      <c r="A38" s="12"/>
      <c r="B38" s="7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23"/>
      <c r="FZ38" s="23"/>
      <c r="GA38" s="23"/>
      <c r="GB38" s="23"/>
      <c r="GC38" s="23"/>
      <c r="GD38" s="23"/>
      <c r="GE38" s="23"/>
      <c r="GF38" s="23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</row>
    <row r="39" spans="1:204" ht="15.5" x14ac:dyDescent="0.35">
      <c r="A39" s="7"/>
      <c r="B39" s="5" t="s">
        <v>505</v>
      </c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7"/>
      <c r="FZ39" s="39"/>
      <c r="GA39" s="40"/>
      <c r="GB39" s="23"/>
      <c r="GC39" s="23"/>
      <c r="GD39" s="23"/>
      <c r="GE39" s="23"/>
      <c r="GF39" s="23"/>
      <c r="GG39" s="7"/>
      <c r="GH39" s="7"/>
      <c r="GI39" s="7"/>
      <c r="GJ39" s="7"/>
      <c r="GK39" s="7"/>
      <c r="GL39" s="7"/>
      <c r="GM39" s="7"/>
      <c r="GN39" s="32"/>
      <c r="GO39" s="32"/>
      <c r="GP39" s="32"/>
      <c r="GQ39" s="32"/>
      <c r="GR39" s="32"/>
      <c r="GS39" s="32"/>
      <c r="GT39" s="32"/>
      <c r="GU39" s="32"/>
      <c r="GV39" s="32"/>
    </row>
    <row r="40" spans="1:204" ht="15.5" x14ac:dyDescent="0.35">
      <c r="A40" s="41" t="s">
        <v>503</v>
      </c>
      <c r="B40" s="40" t="s">
        <v>506</v>
      </c>
      <c r="C40" s="42">
        <v>2560686.85</v>
      </c>
      <c r="D40" s="43">
        <v>5893861.0700000003</v>
      </c>
      <c r="E40" s="43">
        <v>1533589.31</v>
      </c>
      <c r="F40" s="43">
        <v>8621939.0800000001</v>
      </c>
      <c r="G40" s="43">
        <v>607002.37</v>
      </c>
      <c r="H40" s="43">
        <v>55490.34</v>
      </c>
      <c r="I40" s="43">
        <v>1650259.9</v>
      </c>
      <c r="J40" s="43">
        <v>547848.93999999994</v>
      </c>
      <c r="K40" s="43">
        <v>149089.71</v>
      </c>
      <c r="L40" s="43">
        <v>1508705.62</v>
      </c>
      <c r="M40" s="43">
        <v>497059.11</v>
      </c>
      <c r="N40" s="43">
        <v>13016108.810000001</v>
      </c>
      <c r="O40" s="43">
        <v>5532329.25</v>
      </c>
      <c r="P40" s="43">
        <v>88257.72</v>
      </c>
      <c r="Q40" s="43">
        <v>9691721</v>
      </c>
      <c r="R40" s="43">
        <v>107971.01</v>
      </c>
      <c r="S40" s="43">
        <v>1090460.56</v>
      </c>
      <c r="T40" s="43">
        <v>8030.7</v>
      </c>
      <c r="U40" s="43">
        <v>72131.58</v>
      </c>
      <c r="V40" s="43">
        <v>88788.87</v>
      </c>
      <c r="W40" s="43">
        <v>18955.97</v>
      </c>
      <c r="X40" s="43">
        <v>26336.28</v>
      </c>
      <c r="Y40" s="43">
        <v>141119.24</v>
      </c>
      <c r="Z40" s="43">
        <v>64405.89</v>
      </c>
      <c r="AA40" s="43">
        <v>7031649.9000000004</v>
      </c>
      <c r="AB40" s="43">
        <v>13084314.060000001</v>
      </c>
      <c r="AC40" s="43">
        <v>755081.04</v>
      </c>
      <c r="AD40" s="43">
        <v>788299.15</v>
      </c>
      <c r="AE40" s="43">
        <v>62608.6</v>
      </c>
      <c r="AF40" s="43">
        <v>99519.48</v>
      </c>
      <c r="AG40" s="43">
        <v>342263</v>
      </c>
      <c r="AH40" s="43">
        <v>167760.49</v>
      </c>
      <c r="AI40" s="43">
        <v>57733.29</v>
      </c>
      <c r="AJ40" s="43">
        <v>143887.04000000001</v>
      </c>
      <c r="AK40" s="43">
        <v>51657.68</v>
      </c>
      <c r="AL40" s="43">
        <v>140572.76</v>
      </c>
      <c r="AM40" s="43">
        <v>112017.04</v>
      </c>
      <c r="AN40" s="43">
        <v>534213.55000000005</v>
      </c>
      <c r="AO40" s="43">
        <v>1789029.78</v>
      </c>
      <c r="AP40" s="43">
        <v>37511674.450000003</v>
      </c>
      <c r="AQ40" s="43">
        <v>117578.77</v>
      </c>
      <c r="AR40" s="43">
        <v>20939020.390000001</v>
      </c>
      <c r="AS40" s="43">
        <v>3102494.63</v>
      </c>
      <c r="AT40" s="43">
        <v>1165025.0900000001</v>
      </c>
      <c r="AU40" s="43">
        <v>199381.71</v>
      </c>
      <c r="AV40" s="43">
        <v>170342.12</v>
      </c>
      <c r="AW40" s="43">
        <v>116296.69</v>
      </c>
      <c r="AX40" s="43">
        <v>84285.96</v>
      </c>
      <c r="AY40" s="43">
        <v>137273.78</v>
      </c>
      <c r="AZ40" s="43">
        <v>1582169.7</v>
      </c>
      <c r="BA40" s="43">
        <v>2390410.06</v>
      </c>
      <c r="BB40" s="43">
        <v>507446.07</v>
      </c>
      <c r="BC40" s="43">
        <v>8608146.8300000001</v>
      </c>
      <c r="BD40" s="43">
        <v>1380661.41</v>
      </c>
      <c r="BE40" s="43">
        <v>465282.08</v>
      </c>
      <c r="BF40" s="43">
        <v>7512114.3899999997</v>
      </c>
      <c r="BG40" s="43">
        <v>128664.05</v>
      </c>
      <c r="BH40" s="43">
        <v>189864.58</v>
      </c>
      <c r="BI40" s="43">
        <v>72393.7</v>
      </c>
      <c r="BJ40" s="43">
        <v>1999682.04</v>
      </c>
      <c r="BK40" s="43">
        <v>3680646.98</v>
      </c>
      <c r="BL40" s="43">
        <v>17783.759999999998</v>
      </c>
      <c r="BM40" s="43">
        <v>98110.03</v>
      </c>
      <c r="BN40" s="43">
        <v>1169134.1200000001</v>
      </c>
      <c r="BO40" s="43">
        <v>384843.3</v>
      </c>
      <c r="BP40" s="43">
        <v>238915.94</v>
      </c>
      <c r="BQ40" s="43">
        <v>2221039.2200000002</v>
      </c>
      <c r="BR40" s="43">
        <v>599679.81000000006</v>
      </c>
      <c r="BS40" s="43">
        <v>319211.21999999997</v>
      </c>
      <c r="BT40" s="43">
        <v>165924.15</v>
      </c>
      <c r="BU40" s="43">
        <v>96214.02</v>
      </c>
      <c r="BV40" s="43">
        <v>775400.17</v>
      </c>
      <c r="BW40" s="43">
        <v>881978.83</v>
      </c>
      <c r="BX40" s="43">
        <v>94147.65</v>
      </c>
      <c r="BY40" s="43">
        <v>328469.07</v>
      </c>
      <c r="BZ40" s="43">
        <v>94435.42</v>
      </c>
      <c r="CA40" s="43">
        <v>369516.28</v>
      </c>
      <c r="CB40" s="43">
        <v>25092860.210000001</v>
      </c>
      <c r="CC40" s="43">
        <v>6719.14</v>
      </c>
      <c r="CD40" s="43">
        <v>92314.27</v>
      </c>
      <c r="CE40" s="43">
        <v>121704.85</v>
      </c>
      <c r="CF40" s="43">
        <v>86249.11</v>
      </c>
      <c r="CG40" s="43">
        <v>62583.839999999997</v>
      </c>
      <c r="CH40" s="43">
        <v>31013.25</v>
      </c>
      <c r="CI40" s="43">
        <v>258674.55</v>
      </c>
      <c r="CJ40" s="43">
        <v>426066.47</v>
      </c>
      <c r="CK40" s="43">
        <v>1750071.31</v>
      </c>
      <c r="CL40" s="43">
        <v>245364.2</v>
      </c>
      <c r="CM40" s="43">
        <v>191892.09</v>
      </c>
      <c r="CN40" s="43">
        <v>8815625.7400000002</v>
      </c>
      <c r="CO40" s="43">
        <v>5549747.4500000002</v>
      </c>
      <c r="CP40" s="43">
        <v>770993.74</v>
      </c>
      <c r="CQ40" s="43">
        <v>416736.65</v>
      </c>
      <c r="CR40" s="43">
        <v>78141.490000000005</v>
      </c>
      <c r="CS40" s="43">
        <v>240994.83</v>
      </c>
      <c r="CT40" s="43">
        <v>91274.86</v>
      </c>
      <c r="CU40" s="43">
        <v>53855.1</v>
      </c>
      <c r="CV40" s="43">
        <v>41708.230000000003</v>
      </c>
      <c r="CW40" s="7">
        <v>176440.45</v>
      </c>
      <c r="CX40" s="43">
        <v>236614.89</v>
      </c>
      <c r="CY40" s="43">
        <v>20968.009999999998</v>
      </c>
      <c r="CZ40" s="43">
        <v>758934.99</v>
      </c>
      <c r="DA40" s="43">
        <v>161197.35</v>
      </c>
      <c r="DB40" s="43">
        <v>124091.36</v>
      </c>
      <c r="DC40" s="43">
        <v>157117.60999999999</v>
      </c>
      <c r="DD40" s="43">
        <v>87319.42</v>
      </c>
      <c r="DE40" s="43">
        <v>230376.64</v>
      </c>
      <c r="DF40" s="43">
        <v>7931372.8899999997</v>
      </c>
      <c r="DG40" s="43">
        <v>142288.07</v>
      </c>
      <c r="DH40" s="43">
        <v>973344.63</v>
      </c>
      <c r="DI40" s="43">
        <v>1314255.48</v>
      </c>
      <c r="DJ40" s="43">
        <v>163354.1</v>
      </c>
      <c r="DK40" s="43">
        <v>90233.65</v>
      </c>
      <c r="DL40" s="43">
        <v>2704099.51</v>
      </c>
      <c r="DM40" s="43">
        <v>80754.929999999993</v>
      </c>
      <c r="DN40" s="43">
        <v>617000.51</v>
      </c>
      <c r="DO40" s="43">
        <v>788407.76</v>
      </c>
      <c r="DP40" s="43">
        <v>62459.3</v>
      </c>
      <c r="DQ40" s="43">
        <v>497654.79</v>
      </c>
      <c r="DR40" s="43">
        <v>371954.19</v>
      </c>
      <c r="DS40" s="43">
        <v>221168.19</v>
      </c>
      <c r="DT40" s="43">
        <v>56709.85</v>
      </c>
      <c r="DU40" s="43">
        <v>128077.61</v>
      </c>
      <c r="DV40" s="43">
        <v>51103.51</v>
      </c>
      <c r="DW40" s="43">
        <v>114371.26</v>
      </c>
      <c r="DX40" s="43">
        <v>148269.19</v>
      </c>
      <c r="DY40" s="43">
        <v>246747.81</v>
      </c>
      <c r="DZ40" s="43">
        <v>425356.04</v>
      </c>
      <c r="EA40" s="43">
        <v>700118.12</v>
      </c>
      <c r="EB40" s="43">
        <v>256195.04</v>
      </c>
      <c r="EC40" s="43">
        <v>113432.63</v>
      </c>
      <c r="ED40" s="43">
        <v>711930.54</v>
      </c>
      <c r="EE40" s="43">
        <v>67348.02</v>
      </c>
      <c r="EF40" s="43">
        <v>336479.58</v>
      </c>
      <c r="EG40" s="43">
        <v>116568.87</v>
      </c>
      <c r="EH40" s="43">
        <v>52622.38</v>
      </c>
      <c r="EI40" s="43">
        <v>3203402.36</v>
      </c>
      <c r="EJ40" s="43">
        <v>2293388.59</v>
      </c>
      <c r="EK40" s="43">
        <v>133472.82999999999</v>
      </c>
      <c r="EL40" s="43">
        <v>87668.64</v>
      </c>
      <c r="EM40" s="43">
        <v>287432.94</v>
      </c>
      <c r="EN40" s="43">
        <v>276609.03000000003</v>
      </c>
      <c r="EO40" s="43">
        <v>115921.81</v>
      </c>
      <c r="EP40" s="43">
        <v>211442.66</v>
      </c>
      <c r="EQ40" s="43">
        <v>943823.96</v>
      </c>
      <c r="ER40" s="43">
        <v>210772.92</v>
      </c>
      <c r="ES40" s="43">
        <v>234274.46</v>
      </c>
      <c r="ET40" s="43">
        <v>130038.67</v>
      </c>
      <c r="EU40" s="43">
        <v>176769.81</v>
      </c>
      <c r="EV40" s="43">
        <v>75842.8</v>
      </c>
      <c r="EW40" s="43">
        <v>319722.75</v>
      </c>
      <c r="EX40" s="43">
        <v>21080.99</v>
      </c>
      <c r="EY40" s="43">
        <v>109249.08</v>
      </c>
      <c r="EZ40" s="43">
        <v>96378.18</v>
      </c>
      <c r="FA40" s="43">
        <v>1752049.95</v>
      </c>
      <c r="FB40" s="43">
        <v>337716.29</v>
      </c>
      <c r="FC40" s="43">
        <v>899627.18</v>
      </c>
      <c r="FD40" s="43">
        <v>161761.99</v>
      </c>
      <c r="FE40" s="43">
        <v>69042.38</v>
      </c>
      <c r="FF40" s="43">
        <v>73860.83</v>
      </c>
      <c r="FG40" s="43">
        <v>87094.12</v>
      </c>
      <c r="FH40" s="43">
        <v>113911.19</v>
      </c>
      <c r="FI40" s="43">
        <v>713196.77</v>
      </c>
      <c r="FJ40" s="43">
        <v>972386.27</v>
      </c>
      <c r="FK40" s="43">
        <v>939801.96</v>
      </c>
      <c r="FL40" s="43">
        <v>2258274.66</v>
      </c>
      <c r="FM40" s="43">
        <v>928178.88</v>
      </c>
      <c r="FN40" s="43">
        <v>3326474.74</v>
      </c>
      <c r="FO40" s="43">
        <v>828285.09</v>
      </c>
      <c r="FP40" s="43">
        <v>721678.08</v>
      </c>
      <c r="FQ40" s="43">
        <v>416551.92</v>
      </c>
      <c r="FR40" s="43">
        <v>279396.44</v>
      </c>
      <c r="FS40" s="43">
        <v>97661.47</v>
      </c>
      <c r="FT40" s="43">
        <v>96720.17</v>
      </c>
      <c r="FU40" s="43">
        <v>339889.24</v>
      </c>
      <c r="FV40" s="43">
        <v>211677.84</v>
      </c>
      <c r="FW40" s="43">
        <v>49670.92</v>
      </c>
      <c r="FX40" s="43">
        <v>39112.400000000001</v>
      </c>
      <c r="FY40" s="40"/>
      <c r="FZ40" s="39">
        <f t="shared" ref="FZ40:FZ43" si="7">SUM(C40:FX40)</f>
        <v>269151058.32000005</v>
      </c>
      <c r="GA40" s="7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7"/>
      <c r="GO40" s="7"/>
      <c r="GP40" s="7"/>
      <c r="GQ40" s="7"/>
      <c r="GR40" s="7"/>
      <c r="GS40" s="7"/>
      <c r="GT40" s="7"/>
      <c r="GU40" s="7"/>
      <c r="GV40" s="7"/>
    </row>
    <row r="41" spans="1:204" ht="15.5" x14ac:dyDescent="0.35">
      <c r="A41" s="41" t="s">
        <v>507</v>
      </c>
      <c r="B41" s="7" t="s">
        <v>508</v>
      </c>
      <c r="C41" s="42">
        <v>1243601606.6496468</v>
      </c>
      <c r="D41" s="43">
        <v>4362497362.8374462</v>
      </c>
      <c r="E41" s="43">
        <v>1281818241.7459588</v>
      </c>
      <c r="F41" s="43">
        <v>3316753183.6381764</v>
      </c>
      <c r="G41" s="43">
        <v>414637600.97463906</v>
      </c>
      <c r="H41" s="43">
        <v>148095276.45343465</v>
      </c>
      <c r="I41" s="43">
        <v>1216514183.5107453</v>
      </c>
      <c r="J41" s="43">
        <v>198877786.88383758</v>
      </c>
      <c r="K41" s="43">
        <v>52322497.726102397</v>
      </c>
      <c r="L41" s="43">
        <v>927862976.89382482</v>
      </c>
      <c r="M41" s="43">
        <v>357500658.41083831</v>
      </c>
      <c r="N41" s="43">
        <v>9900081864.9537354</v>
      </c>
      <c r="O41" s="43">
        <v>2688657824.1936374</v>
      </c>
      <c r="P41" s="43">
        <v>58824331.473843291</v>
      </c>
      <c r="Q41" s="43">
        <v>6338300343.1981106</v>
      </c>
      <c r="R41" s="43">
        <v>77055929.21583958</v>
      </c>
      <c r="S41" s="43">
        <v>624572849.02052844</v>
      </c>
      <c r="T41" s="43">
        <v>27983732.006148435</v>
      </c>
      <c r="U41" s="43">
        <v>32670481.572587337</v>
      </c>
      <c r="V41" s="43">
        <v>37363539.304090485</v>
      </c>
      <c r="W41" s="43">
        <v>7121192.4849271663</v>
      </c>
      <c r="X41" s="43">
        <v>19201084.018010464</v>
      </c>
      <c r="Y41" s="43">
        <v>77188740.651597694</v>
      </c>
      <c r="Z41" s="43">
        <v>28271419.743515182</v>
      </c>
      <c r="AA41" s="43">
        <v>5341316780.5814934</v>
      </c>
      <c r="AB41" s="43">
        <v>10044762501.799801</v>
      </c>
      <c r="AC41" s="43">
        <v>460891812.19642395</v>
      </c>
      <c r="AD41" s="43">
        <v>521192498.95087504</v>
      </c>
      <c r="AE41" s="43">
        <v>47189694.100847311</v>
      </c>
      <c r="AF41" s="43">
        <v>88492525.749152884</v>
      </c>
      <c r="AG41" s="43">
        <v>379237719.96896118</v>
      </c>
      <c r="AH41" s="43">
        <v>47280400.857504427</v>
      </c>
      <c r="AI41" s="43">
        <v>12240768.607177576</v>
      </c>
      <c r="AJ41" s="43">
        <v>41173803.973182067</v>
      </c>
      <c r="AK41" s="43">
        <v>71163745.175423145</v>
      </c>
      <c r="AL41" s="43">
        <v>96122037.42707628</v>
      </c>
      <c r="AM41" s="43">
        <v>65002504.733970933</v>
      </c>
      <c r="AN41" s="43">
        <v>182999918.20326889</v>
      </c>
      <c r="AO41" s="43">
        <v>586585194.12159026</v>
      </c>
      <c r="AP41" s="43">
        <v>27482090981.294785</v>
      </c>
      <c r="AQ41" s="43">
        <v>92696436.543065622</v>
      </c>
      <c r="AR41" s="43">
        <v>11551013173.565487</v>
      </c>
      <c r="AS41" s="43">
        <v>5158330790.6717453</v>
      </c>
      <c r="AT41" s="43">
        <v>459594116.02811003</v>
      </c>
      <c r="AU41" s="43">
        <v>80091364.615828961</v>
      </c>
      <c r="AV41" s="43">
        <v>49984762.347154453</v>
      </c>
      <c r="AW41" s="43">
        <v>43285777.381530046</v>
      </c>
      <c r="AX41" s="43">
        <v>32987675.723150883</v>
      </c>
      <c r="AY41" s="43">
        <v>65485615.451817669</v>
      </c>
      <c r="AZ41" s="43">
        <v>1102908720.2632251</v>
      </c>
      <c r="BA41" s="43">
        <v>965673356.1210568</v>
      </c>
      <c r="BB41" s="43">
        <v>280021135.02786601</v>
      </c>
      <c r="BC41" s="43">
        <v>4595757885.2092972</v>
      </c>
      <c r="BD41" s="43">
        <v>597442312.6401242</v>
      </c>
      <c r="BE41" s="43">
        <v>210720006.06041855</v>
      </c>
      <c r="BF41" s="43">
        <v>3103877733.4325323</v>
      </c>
      <c r="BG41" s="43">
        <v>73542668.289479315</v>
      </c>
      <c r="BH41" s="43">
        <v>85528566.587978989</v>
      </c>
      <c r="BI41" s="43">
        <v>57437253.33844988</v>
      </c>
      <c r="BJ41" s="43">
        <v>1034883525.8110571</v>
      </c>
      <c r="BK41" s="43">
        <v>1955167531.2286768</v>
      </c>
      <c r="BL41" s="43">
        <v>9035230.004770346</v>
      </c>
      <c r="BM41" s="43">
        <v>48143342.335851751</v>
      </c>
      <c r="BN41" s="43">
        <v>410445958.73082203</v>
      </c>
      <c r="BO41" s="43">
        <v>220157750.90849704</v>
      </c>
      <c r="BP41" s="43">
        <v>105667930.01995474</v>
      </c>
      <c r="BQ41" s="43">
        <v>2131652436.2727599</v>
      </c>
      <c r="BR41" s="43">
        <v>901539014.39666963</v>
      </c>
      <c r="BS41" s="43">
        <v>640625027.51293635</v>
      </c>
      <c r="BT41" s="43">
        <v>471750882.07582849</v>
      </c>
      <c r="BU41" s="43">
        <v>179459845.46343201</v>
      </c>
      <c r="BV41" s="43">
        <v>1456175101.959085</v>
      </c>
      <c r="BW41" s="43">
        <v>1233451230.9942861</v>
      </c>
      <c r="BX41" s="43">
        <v>64862365.417251438</v>
      </c>
      <c r="BY41" s="43">
        <v>133928173.36848345</v>
      </c>
      <c r="BZ41" s="43">
        <v>43523517.010726683</v>
      </c>
      <c r="CA41" s="43">
        <v>113612086.79963569</v>
      </c>
      <c r="CB41" s="43">
        <v>15431059752.704048</v>
      </c>
      <c r="CC41" s="43">
        <v>20974051.784950342</v>
      </c>
      <c r="CD41" s="43">
        <v>19709595.117423899</v>
      </c>
      <c r="CE41" s="43">
        <v>47799440.413593933</v>
      </c>
      <c r="CF41" s="43">
        <v>35758282.242941238</v>
      </c>
      <c r="CG41" s="43">
        <v>28614881.336912602</v>
      </c>
      <c r="CH41" s="43">
        <v>19320024.382206008</v>
      </c>
      <c r="CI41" s="43">
        <v>128951937.6903066</v>
      </c>
      <c r="CJ41" s="43">
        <v>395912034.19515449</v>
      </c>
      <c r="CK41" s="43">
        <v>1831648854.4073534</v>
      </c>
      <c r="CL41" s="43">
        <v>261004975.54474634</v>
      </c>
      <c r="CM41" s="43">
        <v>243316636.15034533</v>
      </c>
      <c r="CN41" s="43">
        <v>5452135240.7675171</v>
      </c>
      <c r="CO41" s="43">
        <v>3415603573.255415</v>
      </c>
      <c r="CP41" s="43">
        <v>664347034.32507992</v>
      </c>
      <c r="CQ41" s="43">
        <v>164954112.16799194</v>
      </c>
      <c r="CR41" s="43">
        <v>83138382.849898696</v>
      </c>
      <c r="CS41" s="43">
        <v>58314122.055316418</v>
      </c>
      <c r="CT41" s="43">
        <v>47381306.393195629</v>
      </c>
      <c r="CU41" s="43">
        <v>19830026.117392983</v>
      </c>
      <c r="CV41" s="43">
        <v>27194547.935918164</v>
      </c>
      <c r="CW41" s="43">
        <v>67086436.22082933</v>
      </c>
      <c r="CX41" s="43">
        <v>90388451.550803453</v>
      </c>
      <c r="CY41" s="43">
        <v>7008095.700592503</v>
      </c>
      <c r="CZ41" s="43">
        <v>273039614.17804974</v>
      </c>
      <c r="DA41" s="43">
        <v>50191875.941980541</v>
      </c>
      <c r="DB41" s="43">
        <v>49713241.879327476</v>
      </c>
      <c r="DC41" s="43">
        <v>56571583.685375407</v>
      </c>
      <c r="DD41" s="43">
        <v>246134458.42487204</v>
      </c>
      <c r="DE41" s="43">
        <v>161615079.2033743</v>
      </c>
      <c r="DF41" s="43">
        <v>3126523853.0730629</v>
      </c>
      <c r="DG41" s="43">
        <v>64207199.094811767</v>
      </c>
      <c r="DH41" s="43">
        <v>405333652.83414197</v>
      </c>
      <c r="DI41" s="43">
        <v>560095135.80778515</v>
      </c>
      <c r="DJ41" s="43">
        <v>75468939.71241501</v>
      </c>
      <c r="DK41" s="43">
        <v>67761464.662420139</v>
      </c>
      <c r="DL41" s="43">
        <v>963033600.1552639</v>
      </c>
      <c r="DM41" s="43">
        <v>30207963.096321456</v>
      </c>
      <c r="DN41" s="43">
        <v>281484461.78141403</v>
      </c>
      <c r="DO41" s="43">
        <v>395138534.0698427</v>
      </c>
      <c r="DP41" s="43">
        <v>36441556.649806038</v>
      </c>
      <c r="DQ41" s="43">
        <v>392987366.34227288</v>
      </c>
      <c r="DR41" s="43">
        <v>99027897.513264656</v>
      </c>
      <c r="DS41" s="43">
        <v>46640623.658919454</v>
      </c>
      <c r="DT41" s="43">
        <v>12681035.77275067</v>
      </c>
      <c r="DU41" s="43">
        <v>32073394.248723976</v>
      </c>
      <c r="DV41" s="43">
        <v>10165800.929390807</v>
      </c>
      <c r="DW41" s="43">
        <v>21816788.458494209</v>
      </c>
      <c r="DX41" s="43">
        <v>114152850.45104373</v>
      </c>
      <c r="DY41" s="43">
        <v>219707479.48383415</v>
      </c>
      <c r="DZ41" s="43">
        <v>263171593.85385132</v>
      </c>
      <c r="EA41" s="43">
        <v>674075546.54063344</v>
      </c>
      <c r="EB41" s="43">
        <v>86986684.925858214</v>
      </c>
      <c r="EC41" s="43">
        <v>38519291.163867205</v>
      </c>
      <c r="ED41" s="43">
        <v>5699749727.8319006</v>
      </c>
      <c r="EE41" s="43">
        <v>18924743.23873312</v>
      </c>
      <c r="EF41" s="43">
        <v>106644572.29979819</v>
      </c>
      <c r="EG41" s="43">
        <v>31287684.384104524</v>
      </c>
      <c r="EH41" s="43">
        <v>15061431.78931107</v>
      </c>
      <c r="EI41" s="43">
        <v>1479493197.949744</v>
      </c>
      <c r="EJ41" s="43">
        <v>1154841778.545696</v>
      </c>
      <c r="EK41" s="43">
        <v>486375719.65006649</v>
      </c>
      <c r="EL41" s="43">
        <v>264370238.80045506</v>
      </c>
      <c r="EM41" s="43">
        <v>135881384.91703942</v>
      </c>
      <c r="EN41" s="43">
        <v>87550154.000631541</v>
      </c>
      <c r="EO41" s="43">
        <v>46780287.722274326</v>
      </c>
      <c r="EP41" s="43">
        <v>172701266.79436207</v>
      </c>
      <c r="EQ41" s="43">
        <v>2119589693.2760887</v>
      </c>
      <c r="ER41" s="43">
        <v>165466361.01151448</v>
      </c>
      <c r="ES41" s="43">
        <v>36686541.794511683</v>
      </c>
      <c r="ET41" s="43">
        <v>49808371.331810758</v>
      </c>
      <c r="EU41" s="43">
        <v>46758172.633222021</v>
      </c>
      <c r="EV41" s="43">
        <v>77931972.664746255</v>
      </c>
      <c r="EW41" s="43">
        <v>1421265974.079175</v>
      </c>
      <c r="EX41" s="43">
        <v>59807141.595943436</v>
      </c>
      <c r="EY41" s="43">
        <v>40435932.07372874</v>
      </c>
      <c r="EZ41" s="43">
        <v>32314676.654557437</v>
      </c>
      <c r="FA41" s="43">
        <v>3754647482.8082423</v>
      </c>
      <c r="FB41" s="43">
        <v>408625166.91441143</v>
      </c>
      <c r="FC41" s="43">
        <v>464961798.46041834</v>
      </c>
      <c r="FD41" s="43">
        <v>55259106.179588892</v>
      </c>
      <c r="FE41" s="43">
        <v>31287303.647305395</v>
      </c>
      <c r="FF41" s="43">
        <v>24084763.222299851</v>
      </c>
      <c r="FG41" s="43">
        <v>34179035.98026561</v>
      </c>
      <c r="FH41" s="43">
        <v>37423292.638262548</v>
      </c>
      <c r="FI41" s="43">
        <v>1348521627.0442333</v>
      </c>
      <c r="FJ41" s="43">
        <v>806430877.8879925</v>
      </c>
      <c r="FK41" s="43">
        <v>2210689231.6474605</v>
      </c>
      <c r="FL41" s="43">
        <v>1886145326.2210112</v>
      </c>
      <c r="FM41" s="43">
        <v>1312739316.8814142</v>
      </c>
      <c r="FN41" s="43">
        <v>2402682950.0232449</v>
      </c>
      <c r="FO41" s="43">
        <v>3788321054.1683092</v>
      </c>
      <c r="FP41" s="43">
        <v>1062974259.4676495</v>
      </c>
      <c r="FQ41" s="43">
        <v>879018793.16125596</v>
      </c>
      <c r="FR41" s="43">
        <v>466160330.75492889</v>
      </c>
      <c r="FS41" s="43">
        <v>514575641.00514281</v>
      </c>
      <c r="FT41" s="43">
        <v>559134161.85164225</v>
      </c>
      <c r="FU41" s="43">
        <v>154690426.67526165</v>
      </c>
      <c r="FV41" s="43">
        <v>132163135.137032</v>
      </c>
      <c r="FW41" s="43">
        <v>17264791.640953675</v>
      </c>
      <c r="FX41" s="43">
        <v>16213038.171744477</v>
      </c>
      <c r="FY41" s="40"/>
      <c r="FZ41" s="40">
        <f t="shared" si="7"/>
        <v>192200318194.44434</v>
      </c>
      <c r="GA41" s="40"/>
      <c r="GB41" s="40"/>
      <c r="GC41" s="40"/>
      <c r="GD41" s="40"/>
      <c r="GE41" s="40"/>
      <c r="GF41" s="40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</row>
    <row r="42" spans="1:204" ht="15.5" x14ac:dyDescent="0.35">
      <c r="A42" s="41" t="s">
        <v>509</v>
      </c>
      <c r="B42" s="32" t="s">
        <v>510</v>
      </c>
      <c r="C42" s="44">
        <v>27</v>
      </c>
      <c r="D42" s="45">
        <v>27</v>
      </c>
      <c r="E42" s="45">
        <v>27</v>
      </c>
      <c r="F42" s="45">
        <v>27</v>
      </c>
      <c r="G42" s="45">
        <v>25.265000000000001</v>
      </c>
      <c r="H42" s="45">
        <v>27</v>
      </c>
      <c r="I42" s="45">
        <v>27</v>
      </c>
      <c r="J42" s="45">
        <v>27</v>
      </c>
      <c r="K42" s="45">
        <v>27</v>
      </c>
      <c r="L42" s="45">
        <v>26.895</v>
      </c>
      <c r="M42" s="45">
        <v>25.946999999999999</v>
      </c>
      <c r="N42" s="45">
        <v>18.756</v>
      </c>
      <c r="O42" s="45">
        <v>27</v>
      </c>
      <c r="P42" s="45">
        <v>27</v>
      </c>
      <c r="Q42" s="45">
        <v>27</v>
      </c>
      <c r="R42" s="45">
        <v>27</v>
      </c>
      <c r="S42" s="45">
        <v>26.013999999999999</v>
      </c>
      <c r="T42" s="45">
        <v>24.300999999999998</v>
      </c>
      <c r="U42" s="45">
        <v>23.800999999999998</v>
      </c>
      <c r="V42" s="45">
        <v>27</v>
      </c>
      <c r="W42" s="45">
        <v>27</v>
      </c>
      <c r="X42" s="45">
        <v>15.755999999999998</v>
      </c>
      <c r="Y42" s="45">
        <v>24.498000000000001</v>
      </c>
      <c r="Z42" s="45">
        <v>23.59</v>
      </c>
      <c r="AA42" s="45">
        <v>27</v>
      </c>
      <c r="AB42" s="45">
        <v>27</v>
      </c>
      <c r="AC42" s="45">
        <v>20.981999999999999</v>
      </c>
      <c r="AD42" s="45">
        <v>19.693000000000001</v>
      </c>
      <c r="AE42" s="45">
        <v>12.814</v>
      </c>
      <c r="AF42" s="45">
        <v>11.673999999999999</v>
      </c>
      <c r="AG42" s="45">
        <v>12.484999999999999</v>
      </c>
      <c r="AH42" s="45">
        <v>22.123000000000001</v>
      </c>
      <c r="AI42" s="45">
        <v>27</v>
      </c>
      <c r="AJ42" s="45">
        <v>23.788</v>
      </c>
      <c r="AK42" s="45">
        <v>21.28</v>
      </c>
      <c r="AL42" s="45">
        <v>27</v>
      </c>
      <c r="AM42" s="45">
        <v>21.449000000000002</v>
      </c>
      <c r="AN42" s="45">
        <v>27</v>
      </c>
      <c r="AO42" s="45">
        <v>27</v>
      </c>
      <c r="AP42" s="45">
        <v>27</v>
      </c>
      <c r="AQ42" s="45">
        <v>18.684999999999999</v>
      </c>
      <c r="AR42" s="45">
        <v>27</v>
      </c>
      <c r="AS42" s="45">
        <v>12.138</v>
      </c>
      <c r="AT42" s="45">
        <v>27</v>
      </c>
      <c r="AU42" s="45">
        <v>24.187999999999999</v>
      </c>
      <c r="AV42" s="45">
        <v>27</v>
      </c>
      <c r="AW42" s="45">
        <v>24.431000000000001</v>
      </c>
      <c r="AX42" s="45">
        <v>21.797999999999998</v>
      </c>
      <c r="AY42" s="45">
        <v>27</v>
      </c>
      <c r="AZ42" s="45">
        <v>15.72</v>
      </c>
      <c r="BA42" s="45">
        <v>26.893999999999998</v>
      </c>
      <c r="BB42" s="45">
        <v>24.684000000000001</v>
      </c>
      <c r="BC42" s="45">
        <v>20.715</v>
      </c>
      <c r="BD42" s="45">
        <v>27</v>
      </c>
      <c r="BE42" s="45">
        <v>27</v>
      </c>
      <c r="BF42" s="45">
        <v>27</v>
      </c>
      <c r="BG42" s="45">
        <v>27</v>
      </c>
      <c r="BH42" s="45">
        <v>26.419</v>
      </c>
      <c r="BI42" s="45">
        <v>13.433</v>
      </c>
      <c r="BJ42" s="45">
        <v>27</v>
      </c>
      <c r="BK42" s="45">
        <v>27</v>
      </c>
      <c r="BL42" s="45">
        <v>27</v>
      </c>
      <c r="BM42" s="45">
        <v>25.834</v>
      </c>
      <c r="BN42" s="45">
        <v>27</v>
      </c>
      <c r="BO42" s="45">
        <v>20.202999999999999</v>
      </c>
      <c r="BP42" s="45">
        <v>26.702000000000002</v>
      </c>
      <c r="BQ42" s="45">
        <v>26.759</v>
      </c>
      <c r="BR42" s="45">
        <v>9.6999999999999993</v>
      </c>
      <c r="BS42" s="45">
        <v>4.3949999999999996</v>
      </c>
      <c r="BT42" s="45">
        <v>6.6509999999999998</v>
      </c>
      <c r="BU42" s="45">
        <v>13.811</v>
      </c>
      <c r="BV42" s="45">
        <v>10.33</v>
      </c>
      <c r="BW42" s="45">
        <v>15.736000000000001</v>
      </c>
      <c r="BX42" s="45">
        <v>19.067</v>
      </c>
      <c r="BY42" s="45">
        <v>27</v>
      </c>
      <c r="BZ42" s="45">
        <v>27</v>
      </c>
      <c r="CA42" s="45">
        <v>23.041</v>
      </c>
      <c r="CB42" s="45">
        <v>27</v>
      </c>
      <c r="CC42" s="45">
        <v>27</v>
      </c>
      <c r="CD42" s="45">
        <v>24.52</v>
      </c>
      <c r="CE42" s="45">
        <v>27</v>
      </c>
      <c r="CF42" s="45">
        <v>24.334</v>
      </c>
      <c r="CG42" s="45">
        <v>27</v>
      </c>
      <c r="CH42" s="45">
        <v>27</v>
      </c>
      <c r="CI42" s="45">
        <v>27</v>
      </c>
      <c r="CJ42" s="45">
        <v>26.513999999999999</v>
      </c>
      <c r="CK42" s="45">
        <v>11.601000000000001</v>
      </c>
      <c r="CL42" s="45">
        <v>13.228999999999999</v>
      </c>
      <c r="CM42" s="45">
        <v>7.274</v>
      </c>
      <c r="CN42" s="45">
        <v>27</v>
      </c>
      <c r="CO42" s="45">
        <v>27</v>
      </c>
      <c r="CP42" s="45">
        <v>18.135999999999999</v>
      </c>
      <c r="CQ42" s="45">
        <v>17.427</v>
      </c>
      <c r="CR42" s="45">
        <v>4.1689999999999996</v>
      </c>
      <c r="CS42" s="45">
        <v>27</v>
      </c>
      <c r="CT42" s="45">
        <v>13.52</v>
      </c>
      <c r="CU42" s="45">
        <v>24.616</v>
      </c>
      <c r="CV42" s="45">
        <v>15.979000000000001</v>
      </c>
      <c r="CW42" s="45">
        <v>17.379000000000001</v>
      </c>
      <c r="CX42" s="45">
        <v>26.824000000000002</v>
      </c>
      <c r="CY42" s="45">
        <v>27</v>
      </c>
      <c r="CZ42" s="45">
        <v>27</v>
      </c>
      <c r="DA42" s="45">
        <v>27</v>
      </c>
      <c r="DB42" s="45">
        <v>27</v>
      </c>
      <c r="DC42" s="45">
        <v>22.417999999999999</v>
      </c>
      <c r="DD42" s="45">
        <v>3.43</v>
      </c>
      <c r="DE42" s="45">
        <v>11.895</v>
      </c>
      <c r="DF42" s="45">
        <v>27</v>
      </c>
      <c r="DG42" s="45">
        <v>25.452999999999999</v>
      </c>
      <c r="DH42" s="45">
        <v>25.515999999999998</v>
      </c>
      <c r="DI42" s="45">
        <v>23.844999999999999</v>
      </c>
      <c r="DJ42" s="45">
        <v>25.882999999999999</v>
      </c>
      <c r="DK42" s="45">
        <v>20.658000000000001</v>
      </c>
      <c r="DL42" s="45">
        <v>26.966999999999999</v>
      </c>
      <c r="DM42" s="45">
        <v>24.899000000000001</v>
      </c>
      <c r="DN42" s="45">
        <v>27</v>
      </c>
      <c r="DO42" s="45">
        <v>27</v>
      </c>
      <c r="DP42" s="45">
        <v>27</v>
      </c>
      <c r="DQ42" s="45">
        <v>24.545000000000002</v>
      </c>
      <c r="DR42" s="45">
        <v>27</v>
      </c>
      <c r="DS42" s="45">
        <v>27</v>
      </c>
      <c r="DT42" s="45">
        <v>26.728999999999999</v>
      </c>
      <c r="DU42" s="45">
        <v>27</v>
      </c>
      <c r="DV42" s="45">
        <v>27</v>
      </c>
      <c r="DW42" s="45">
        <v>26.997</v>
      </c>
      <c r="DX42" s="45">
        <v>23.931000000000001</v>
      </c>
      <c r="DY42" s="45">
        <v>17.928000000000001</v>
      </c>
      <c r="DZ42" s="45">
        <v>22.661999999999999</v>
      </c>
      <c r="EA42" s="45">
        <v>11.192</v>
      </c>
      <c r="EB42" s="45">
        <v>27</v>
      </c>
      <c r="EC42" s="45">
        <v>27</v>
      </c>
      <c r="ED42" s="45">
        <v>4.0839999999999996</v>
      </c>
      <c r="EE42" s="45">
        <v>27</v>
      </c>
      <c r="EF42" s="45">
        <v>24.594999999999999</v>
      </c>
      <c r="EG42" s="45">
        <v>27</v>
      </c>
      <c r="EH42" s="45">
        <v>27</v>
      </c>
      <c r="EI42" s="45">
        <v>27</v>
      </c>
      <c r="EJ42" s="45">
        <v>27</v>
      </c>
      <c r="EK42" s="45">
        <v>5.7670000000000003</v>
      </c>
      <c r="EL42" s="45">
        <v>6.1429999999999998</v>
      </c>
      <c r="EM42" s="45">
        <v>21.308</v>
      </c>
      <c r="EN42" s="45">
        <v>27</v>
      </c>
      <c r="EO42" s="45">
        <v>27</v>
      </c>
      <c r="EP42" s="45">
        <v>25.585999999999999</v>
      </c>
      <c r="EQ42" s="45">
        <v>5.101</v>
      </c>
      <c r="ER42" s="45">
        <v>21.283000000000001</v>
      </c>
      <c r="ES42" s="45">
        <v>27</v>
      </c>
      <c r="ET42" s="45">
        <v>27</v>
      </c>
      <c r="EU42" s="45">
        <v>27</v>
      </c>
      <c r="EV42" s="45">
        <v>15.009</v>
      </c>
      <c r="EW42" s="45">
        <v>7.2809999999999997</v>
      </c>
      <c r="EX42" s="45">
        <v>8.91</v>
      </c>
      <c r="EY42" s="45">
        <v>27</v>
      </c>
      <c r="EZ42" s="45">
        <v>27</v>
      </c>
      <c r="FA42" s="45">
        <v>10.666</v>
      </c>
      <c r="FB42" s="45">
        <v>9.6240000000000006</v>
      </c>
      <c r="FC42" s="45">
        <v>27</v>
      </c>
      <c r="FD42" s="45">
        <v>27</v>
      </c>
      <c r="FE42" s="45">
        <v>19.181000000000001</v>
      </c>
      <c r="FF42" s="45">
        <v>27</v>
      </c>
      <c r="FG42" s="45">
        <v>27</v>
      </c>
      <c r="FH42" s="45">
        <v>24.771999999999998</v>
      </c>
      <c r="FI42" s="45">
        <v>9.6389999999999993</v>
      </c>
      <c r="FJ42" s="45">
        <v>22.207999999999998</v>
      </c>
      <c r="FK42" s="45">
        <v>10.845000000000001</v>
      </c>
      <c r="FL42" s="45">
        <v>27</v>
      </c>
      <c r="FM42" s="45">
        <v>23.414000000000001</v>
      </c>
      <c r="FN42" s="45">
        <v>27</v>
      </c>
      <c r="FO42" s="45">
        <v>4.2009999999999996</v>
      </c>
      <c r="FP42" s="45">
        <v>12.143000000000001</v>
      </c>
      <c r="FQ42" s="45">
        <v>21.88</v>
      </c>
      <c r="FR42" s="45">
        <v>6.7229999999999999</v>
      </c>
      <c r="FS42" s="45">
        <v>5.0679999999999996</v>
      </c>
      <c r="FT42" s="45">
        <v>3.3940000000000001</v>
      </c>
      <c r="FU42" s="45">
        <v>23.344999999999999</v>
      </c>
      <c r="FV42" s="45">
        <v>20.032</v>
      </c>
      <c r="FW42" s="45">
        <v>26.498000000000001</v>
      </c>
      <c r="FX42" s="45">
        <v>24.675000000000001</v>
      </c>
      <c r="FY42" s="45"/>
      <c r="FZ42" s="46">
        <f t="shared" si="7"/>
        <v>3918.2899999999981</v>
      </c>
      <c r="GA42" s="7"/>
      <c r="GB42" s="7"/>
      <c r="GC42" s="7"/>
      <c r="GD42" s="7"/>
      <c r="GE42" s="7"/>
      <c r="GF42" s="7"/>
      <c r="GG42" s="47"/>
      <c r="GH42" s="32"/>
      <c r="GI42" s="32"/>
      <c r="GJ42" s="32"/>
      <c r="GK42" s="32"/>
      <c r="GL42" s="32"/>
      <c r="GM42" s="32"/>
      <c r="GN42" s="7"/>
      <c r="GO42" s="7"/>
      <c r="GP42" s="7"/>
      <c r="GQ42" s="7"/>
      <c r="GR42" s="7"/>
      <c r="GS42" s="7"/>
      <c r="GT42" s="7"/>
      <c r="GU42" s="7"/>
      <c r="GV42" s="7"/>
    </row>
    <row r="43" spans="1:204" ht="15.5" x14ac:dyDescent="0.35">
      <c r="A43" s="41" t="s">
        <v>511</v>
      </c>
      <c r="B43" s="7" t="s">
        <v>512</v>
      </c>
      <c r="C43" s="48">
        <v>999999999</v>
      </c>
      <c r="D43" s="7">
        <v>999999999</v>
      </c>
      <c r="E43" s="7">
        <v>999999999</v>
      </c>
      <c r="F43" s="7">
        <v>999999999</v>
      </c>
      <c r="G43" s="7">
        <v>999999999</v>
      </c>
      <c r="H43" s="7">
        <v>999999999</v>
      </c>
      <c r="I43" s="7">
        <v>999999999</v>
      </c>
      <c r="J43" s="7">
        <v>999999999</v>
      </c>
      <c r="K43" s="7">
        <v>999999999</v>
      </c>
      <c r="L43" s="7">
        <v>999999999</v>
      </c>
      <c r="M43" s="7">
        <v>999999999</v>
      </c>
      <c r="N43" s="7">
        <v>999999999</v>
      </c>
      <c r="O43" s="7">
        <v>999999999</v>
      </c>
      <c r="P43" s="7">
        <v>999999999</v>
      </c>
      <c r="Q43" s="7">
        <v>999999999</v>
      </c>
      <c r="R43" s="7">
        <v>999999999</v>
      </c>
      <c r="S43" s="7">
        <v>999999999</v>
      </c>
      <c r="T43" s="7">
        <v>999999999</v>
      </c>
      <c r="U43" s="7">
        <v>999999999</v>
      </c>
      <c r="V43" s="7">
        <v>999999999</v>
      </c>
      <c r="W43" s="7">
        <v>999999999</v>
      </c>
      <c r="X43" s="7">
        <v>999999999</v>
      </c>
      <c r="Y43" s="7">
        <v>999999999</v>
      </c>
      <c r="Z43" s="7">
        <v>999999999</v>
      </c>
      <c r="AA43" s="7">
        <v>999999999</v>
      </c>
      <c r="AB43" s="7">
        <v>999999999</v>
      </c>
      <c r="AC43" s="7">
        <v>999999999</v>
      </c>
      <c r="AD43" s="7">
        <v>999999999</v>
      </c>
      <c r="AE43" s="7">
        <v>999999999</v>
      </c>
      <c r="AF43" s="7">
        <v>999999999</v>
      </c>
      <c r="AG43" s="7">
        <v>999999999</v>
      </c>
      <c r="AH43" s="7">
        <v>999999999</v>
      </c>
      <c r="AI43" s="7">
        <v>999999999</v>
      </c>
      <c r="AJ43" s="7">
        <v>999999999</v>
      </c>
      <c r="AK43" s="7">
        <v>999999999</v>
      </c>
      <c r="AL43" s="7">
        <v>999999999</v>
      </c>
      <c r="AM43" s="7">
        <v>999999999</v>
      </c>
      <c r="AN43" s="7">
        <v>999999999</v>
      </c>
      <c r="AO43" s="7">
        <v>999999999</v>
      </c>
      <c r="AP43" s="7">
        <v>999999999</v>
      </c>
      <c r="AQ43" s="7">
        <v>999999999</v>
      </c>
      <c r="AR43" s="7">
        <v>999999999</v>
      </c>
      <c r="AS43" s="7">
        <v>999999999</v>
      </c>
      <c r="AT43" s="7">
        <v>999999999</v>
      </c>
      <c r="AU43" s="7">
        <v>999999999</v>
      </c>
      <c r="AV43" s="7">
        <v>999999999</v>
      </c>
      <c r="AW43" s="7">
        <v>999999999</v>
      </c>
      <c r="AX43" s="7">
        <v>999999999</v>
      </c>
      <c r="AY43" s="7">
        <v>999999999</v>
      </c>
      <c r="AZ43" s="7">
        <v>10783078.660301581</v>
      </c>
      <c r="BA43" s="7">
        <v>999999999</v>
      </c>
      <c r="BB43" s="7">
        <v>999999999</v>
      </c>
      <c r="BC43" s="7">
        <v>999999999</v>
      </c>
      <c r="BD43" s="7">
        <v>999999999</v>
      </c>
      <c r="BE43" s="7">
        <v>999999999</v>
      </c>
      <c r="BF43" s="7">
        <v>999999999</v>
      </c>
      <c r="BG43" s="7">
        <v>999999999</v>
      </c>
      <c r="BH43" s="7">
        <v>999999999</v>
      </c>
      <c r="BI43" s="7">
        <v>999999999</v>
      </c>
      <c r="BJ43" s="7">
        <v>999999999</v>
      </c>
      <c r="BK43" s="7">
        <v>999999999</v>
      </c>
      <c r="BL43" s="7">
        <v>999999999</v>
      </c>
      <c r="BM43" s="7">
        <v>999999999</v>
      </c>
      <c r="BN43" s="7">
        <v>999999999</v>
      </c>
      <c r="BO43" s="7">
        <v>999999999</v>
      </c>
      <c r="BP43" s="7">
        <v>999999999</v>
      </c>
      <c r="BQ43" s="7">
        <v>999999999</v>
      </c>
      <c r="BR43" s="7">
        <v>999999999</v>
      </c>
      <c r="BS43" s="7">
        <v>999999999</v>
      </c>
      <c r="BT43" s="7">
        <v>999999999</v>
      </c>
      <c r="BU43" s="7">
        <v>999999999</v>
      </c>
      <c r="BV43" s="7">
        <v>999999999</v>
      </c>
      <c r="BW43" s="7">
        <v>999999999</v>
      </c>
      <c r="BX43" s="7">
        <v>999999999</v>
      </c>
      <c r="BY43" s="7">
        <v>999999999</v>
      </c>
      <c r="BZ43" s="7">
        <v>999999999</v>
      </c>
      <c r="CA43" s="7">
        <v>999999999</v>
      </c>
      <c r="CB43" s="7">
        <v>999999999</v>
      </c>
      <c r="CC43" s="7">
        <v>999999999</v>
      </c>
      <c r="CD43" s="7">
        <v>999999999</v>
      </c>
      <c r="CE43" s="7">
        <v>999999999</v>
      </c>
      <c r="CF43" s="7">
        <v>999999999</v>
      </c>
      <c r="CG43" s="7">
        <v>999999999</v>
      </c>
      <c r="CH43" s="7">
        <v>999999999</v>
      </c>
      <c r="CI43" s="7">
        <v>999999999</v>
      </c>
      <c r="CJ43" s="7">
        <v>999999999</v>
      </c>
      <c r="CK43" s="7">
        <v>999999999</v>
      </c>
      <c r="CL43" s="7">
        <v>999999999</v>
      </c>
      <c r="CM43" s="7">
        <v>999999999</v>
      </c>
      <c r="CN43" s="7">
        <v>999999999</v>
      </c>
      <c r="CO43" s="7">
        <v>999999999</v>
      </c>
      <c r="CP43" s="7">
        <v>999999999</v>
      </c>
      <c r="CQ43" s="7">
        <v>999999999</v>
      </c>
      <c r="CR43" s="7">
        <v>999999999</v>
      </c>
      <c r="CS43" s="7">
        <v>999999999</v>
      </c>
      <c r="CT43" s="7">
        <v>999999999</v>
      </c>
      <c r="CU43" s="7">
        <v>999999999</v>
      </c>
      <c r="CV43" s="7">
        <v>999999999</v>
      </c>
      <c r="CW43" s="7">
        <v>999999999</v>
      </c>
      <c r="CX43" s="7">
        <v>999999999</v>
      </c>
      <c r="CY43" s="7">
        <v>999999999</v>
      </c>
      <c r="CZ43" s="7">
        <v>999999999</v>
      </c>
      <c r="DA43" s="7">
        <v>999999999</v>
      </c>
      <c r="DB43" s="7">
        <v>999999999</v>
      </c>
      <c r="DC43" s="7">
        <v>999999999</v>
      </c>
      <c r="DD43" s="7">
        <v>999999999</v>
      </c>
      <c r="DE43" s="7">
        <v>999999999</v>
      </c>
      <c r="DF43" s="7">
        <v>999999999</v>
      </c>
      <c r="DG43" s="7">
        <v>999999999</v>
      </c>
      <c r="DH43" s="7">
        <v>999999999</v>
      </c>
      <c r="DI43" s="7">
        <v>999999999</v>
      </c>
      <c r="DJ43" s="7">
        <v>999999999</v>
      </c>
      <c r="DK43" s="7">
        <v>999999999</v>
      </c>
      <c r="DL43" s="7">
        <v>999999999</v>
      </c>
      <c r="DM43" s="7">
        <v>999999999</v>
      </c>
      <c r="DN43" s="7">
        <v>999999999</v>
      </c>
      <c r="DO43" s="7">
        <v>999999999</v>
      </c>
      <c r="DP43" s="7">
        <v>999999999</v>
      </c>
      <c r="DQ43" s="7">
        <v>999999999</v>
      </c>
      <c r="DR43" s="7">
        <v>999999999</v>
      </c>
      <c r="DS43" s="7">
        <v>999999999</v>
      </c>
      <c r="DT43" s="7">
        <v>999999999</v>
      </c>
      <c r="DU43" s="7">
        <v>999999999</v>
      </c>
      <c r="DV43" s="7">
        <v>999999999</v>
      </c>
      <c r="DW43" s="7">
        <v>999999999</v>
      </c>
      <c r="DX43" s="7">
        <v>999999999</v>
      </c>
      <c r="DY43" s="7">
        <v>999999999</v>
      </c>
      <c r="DZ43" s="7">
        <v>999999999</v>
      </c>
      <c r="EA43" s="7">
        <v>999999999</v>
      </c>
      <c r="EB43" s="7">
        <v>999999999</v>
      </c>
      <c r="EC43" s="7">
        <v>999999999</v>
      </c>
      <c r="ED43" s="7">
        <v>999999999</v>
      </c>
      <c r="EE43" s="7">
        <v>999999999</v>
      </c>
      <c r="EF43" s="7">
        <v>999999999</v>
      </c>
      <c r="EG43" s="7">
        <v>999999999</v>
      </c>
      <c r="EH43" s="7">
        <v>999999999</v>
      </c>
      <c r="EI43" s="7">
        <v>999999999</v>
      </c>
      <c r="EJ43" s="7">
        <v>999999999</v>
      </c>
      <c r="EK43" s="7">
        <v>999999999</v>
      </c>
      <c r="EL43" s="7">
        <v>999999999</v>
      </c>
      <c r="EM43" s="7">
        <v>999999999</v>
      </c>
      <c r="EN43" s="7">
        <v>999999999</v>
      </c>
      <c r="EO43" s="7">
        <v>999999999</v>
      </c>
      <c r="EP43" s="7">
        <v>999999999</v>
      </c>
      <c r="EQ43" s="7">
        <v>9292514.1549352165</v>
      </c>
      <c r="ER43" s="7">
        <v>999999999</v>
      </c>
      <c r="ES43" s="7">
        <v>999999999</v>
      </c>
      <c r="ET43" s="7">
        <v>999999999</v>
      </c>
      <c r="EU43" s="7">
        <v>999999999</v>
      </c>
      <c r="EV43" s="7">
        <v>999999999</v>
      </c>
      <c r="EW43" s="7">
        <v>999999999</v>
      </c>
      <c r="EX43" s="7">
        <v>999999999</v>
      </c>
      <c r="EY43" s="7">
        <v>999999999</v>
      </c>
      <c r="EZ43" s="7">
        <v>999999999</v>
      </c>
      <c r="FA43" s="7">
        <v>999999999</v>
      </c>
      <c r="FB43" s="7">
        <v>999999999</v>
      </c>
      <c r="FC43" s="7">
        <v>999999999</v>
      </c>
      <c r="FD43" s="7">
        <v>999999999</v>
      </c>
      <c r="FE43" s="7">
        <v>999999999</v>
      </c>
      <c r="FF43" s="7">
        <v>999999999</v>
      </c>
      <c r="FG43" s="7">
        <v>999999999</v>
      </c>
      <c r="FH43" s="7">
        <v>999999999</v>
      </c>
      <c r="FI43" s="7">
        <v>999999999</v>
      </c>
      <c r="FJ43" s="7">
        <v>999999999</v>
      </c>
      <c r="FK43" s="7">
        <v>999999999</v>
      </c>
      <c r="FL43" s="7">
        <v>999999999</v>
      </c>
      <c r="FM43" s="7">
        <v>999999999</v>
      </c>
      <c r="FN43" s="7">
        <v>999999999</v>
      </c>
      <c r="FO43" s="7">
        <v>999999999</v>
      </c>
      <c r="FP43" s="7">
        <v>999999999</v>
      </c>
      <c r="FQ43" s="7">
        <v>999999999</v>
      </c>
      <c r="FR43" s="7">
        <v>999999999</v>
      </c>
      <c r="FS43" s="7">
        <v>999999999</v>
      </c>
      <c r="FT43" s="7">
        <v>999999999</v>
      </c>
      <c r="FU43" s="7">
        <v>999999999</v>
      </c>
      <c r="FV43" s="7">
        <v>999999999</v>
      </c>
      <c r="FW43" s="7">
        <v>999999999</v>
      </c>
      <c r="FX43" s="7">
        <v>999999999</v>
      </c>
      <c r="FY43" s="7"/>
      <c r="FZ43" s="40">
        <f t="shared" si="7"/>
        <v>176020075416.81525</v>
      </c>
      <c r="GA43" s="7"/>
      <c r="GB43" s="40"/>
      <c r="GC43" s="40"/>
      <c r="GD43" s="40"/>
      <c r="GE43" s="40"/>
      <c r="GF43" s="40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</row>
    <row r="44" spans="1:204" ht="15.5" x14ac:dyDescent="0.35">
      <c r="A44" s="1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40"/>
      <c r="GA44" s="7"/>
      <c r="GB44" s="40"/>
      <c r="GC44" s="40"/>
      <c r="GD44" s="40"/>
      <c r="GE44" s="40"/>
      <c r="GF44" s="40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</row>
    <row r="45" spans="1:204" ht="15.5" x14ac:dyDescent="0.35">
      <c r="A45" s="7"/>
      <c r="B45" s="5" t="s">
        <v>513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49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</row>
    <row r="46" spans="1:204" ht="15.5" x14ac:dyDescent="0.35">
      <c r="A46" s="12" t="s">
        <v>514</v>
      </c>
      <c r="B46" s="7" t="s">
        <v>515</v>
      </c>
      <c r="C46" s="7">
        <v>214049.99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518609.48</v>
      </c>
      <c r="J46" s="7">
        <v>0</v>
      </c>
      <c r="K46" s="7">
        <v>0</v>
      </c>
      <c r="L46" s="7">
        <v>0</v>
      </c>
      <c r="M46" s="7">
        <v>0</v>
      </c>
      <c r="N46" s="7">
        <v>6454001.4400000004</v>
      </c>
      <c r="O46" s="7">
        <v>2315346.59</v>
      </c>
      <c r="P46" s="7">
        <v>6508.04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4645.62</v>
      </c>
      <c r="Y46" s="7">
        <v>0</v>
      </c>
      <c r="Z46" s="7">
        <v>125782.95</v>
      </c>
      <c r="AA46" s="7">
        <v>0</v>
      </c>
      <c r="AB46" s="7">
        <v>0</v>
      </c>
      <c r="AC46" s="7">
        <v>0</v>
      </c>
      <c r="AD46" s="7">
        <v>0</v>
      </c>
      <c r="AE46" s="7">
        <v>73409.77</v>
      </c>
      <c r="AF46" s="7">
        <v>0</v>
      </c>
      <c r="AG46" s="7">
        <v>0</v>
      </c>
      <c r="AH46" s="7">
        <v>189856.48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2116980.9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40575.480000000003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784125.51</v>
      </c>
      <c r="BW46" s="7">
        <v>0</v>
      </c>
      <c r="BX46" s="7">
        <v>0</v>
      </c>
      <c r="BY46" s="7">
        <v>0</v>
      </c>
      <c r="BZ46" s="7">
        <v>0</v>
      </c>
      <c r="CA46" s="7">
        <v>0</v>
      </c>
      <c r="CB46" s="7">
        <v>0</v>
      </c>
      <c r="CC46" s="7">
        <v>0</v>
      </c>
      <c r="CD46" s="7">
        <v>64538.16</v>
      </c>
      <c r="CE46" s="7">
        <v>0</v>
      </c>
      <c r="CF46" s="7">
        <v>139360.24</v>
      </c>
      <c r="CG46" s="7">
        <v>0</v>
      </c>
      <c r="CH46" s="7">
        <v>0</v>
      </c>
      <c r="CI46" s="7">
        <v>0</v>
      </c>
      <c r="CJ46" s="7">
        <v>0</v>
      </c>
      <c r="CK46" s="7">
        <v>2621262.39</v>
      </c>
      <c r="CL46" s="7">
        <v>34407.54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78694.86</v>
      </c>
      <c r="CS46" s="7">
        <v>0</v>
      </c>
      <c r="CT46" s="7">
        <v>29636.04</v>
      </c>
      <c r="CU46" s="7">
        <v>0</v>
      </c>
      <c r="CV46" s="7">
        <v>28341.66</v>
      </c>
      <c r="CW46" s="7">
        <v>0</v>
      </c>
      <c r="CX46" s="7">
        <v>0</v>
      </c>
      <c r="CY46" s="7">
        <v>0</v>
      </c>
      <c r="CZ46" s="7">
        <v>0</v>
      </c>
      <c r="DA46" s="7">
        <v>18622.72</v>
      </c>
      <c r="DB46" s="7">
        <v>0</v>
      </c>
      <c r="DC46" s="7">
        <v>36496.36</v>
      </c>
      <c r="DD46" s="7">
        <v>5221.7700000000004</v>
      </c>
      <c r="DE46" s="7">
        <v>0</v>
      </c>
      <c r="DF46" s="7">
        <v>0</v>
      </c>
      <c r="DG46" s="7">
        <v>0</v>
      </c>
      <c r="DH46" s="7">
        <v>277847.37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9617.9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550952.78</v>
      </c>
      <c r="EB46" s="7">
        <v>0</v>
      </c>
      <c r="EC46" s="7">
        <v>0</v>
      </c>
      <c r="ED46" s="7">
        <v>710551.13</v>
      </c>
      <c r="EE46" s="7">
        <v>0</v>
      </c>
      <c r="EF46" s="7">
        <v>0</v>
      </c>
      <c r="EG46" s="7">
        <v>0</v>
      </c>
      <c r="EH46" s="7">
        <v>0</v>
      </c>
      <c r="EI46" s="7">
        <v>0</v>
      </c>
      <c r="EJ46" s="7">
        <v>0</v>
      </c>
      <c r="EK46" s="7">
        <v>0</v>
      </c>
      <c r="EL46" s="7">
        <v>671262.95</v>
      </c>
      <c r="EM46" s="7">
        <v>0</v>
      </c>
      <c r="EN46" s="7">
        <v>0</v>
      </c>
      <c r="EO46" s="7">
        <v>0</v>
      </c>
      <c r="EP46" s="7">
        <v>0</v>
      </c>
      <c r="EQ46" s="7">
        <v>1064161.06</v>
      </c>
      <c r="ER46" s="7">
        <v>0</v>
      </c>
      <c r="ES46" s="7">
        <v>0</v>
      </c>
      <c r="ET46" s="7">
        <v>0</v>
      </c>
      <c r="EU46" s="7">
        <v>0</v>
      </c>
      <c r="EV46" s="7">
        <v>19817.919999999998</v>
      </c>
      <c r="EW46" s="7">
        <v>0</v>
      </c>
      <c r="EX46" s="7">
        <v>0</v>
      </c>
      <c r="EY46" s="7">
        <v>0</v>
      </c>
      <c r="EZ46" s="7">
        <v>74228.81</v>
      </c>
      <c r="FA46" s="7">
        <v>1475032.01</v>
      </c>
      <c r="FB46" s="7">
        <v>0</v>
      </c>
      <c r="FC46" s="7">
        <v>0</v>
      </c>
      <c r="FD46" s="7">
        <v>0</v>
      </c>
      <c r="FE46" s="7">
        <v>7823.44</v>
      </c>
      <c r="FF46" s="7">
        <v>0</v>
      </c>
      <c r="FG46" s="7">
        <v>0</v>
      </c>
      <c r="FH46" s="7">
        <v>76952.78</v>
      </c>
      <c r="FI46" s="7">
        <v>0</v>
      </c>
      <c r="FJ46" s="7">
        <v>0</v>
      </c>
      <c r="FK46" s="7">
        <v>46526.37</v>
      </c>
      <c r="FL46" s="7">
        <v>0</v>
      </c>
      <c r="FM46" s="7">
        <v>0</v>
      </c>
      <c r="FN46" s="7">
        <v>0</v>
      </c>
      <c r="FO46" s="7">
        <v>0</v>
      </c>
      <c r="FP46" s="7">
        <v>0</v>
      </c>
      <c r="FQ46" s="7">
        <v>0</v>
      </c>
      <c r="FR46" s="7">
        <v>0</v>
      </c>
      <c r="FS46" s="7">
        <v>0</v>
      </c>
      <c r="FT46" s="7">
        <v>0</v>
      </c>
      <c r="FU46" s="7">
        <v>0</v>
      </c>
      <c r="FV46" s="7">
        <v>0</v>
      </c>
      <c r="FW46" s="7">
        <v>0</v>
      </c>
      <c r="FX46" s="7">
        <v>0</v>
      </c>
      <c r="FY46" s="7"/>
      <c r="FZ46" s="7">
        <f t="shared" ref="FZ46:FZ50" si="8">SUM(C46:FX46)</f>
        <v>20885248.509999998</v>
      </c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</row>
    <row r="47" spans="1:204" ht="15.5" x14ac:dyDescent="0.35">
      <c r="A47" s="12" t="s">
        <v>516</v>
      </c>
      <c r="B47" s="7" t="s">
        <v>517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387510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0</v>
      </c>
      <c r="BX47" s="7">
        <v>0</v>
      </c>
      <c r="BY47" s="7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0</v>
      </c>
      <c r="EY47" s="7">
        <v>0</v>
      </c>
      <c r="EZ47" s="7">
        <v>0</v>
      </c>
      <c r="FA47" s="7">
        <v>0</v>
      </c>
      <c r="FB47" s="7">
        <v>0</v>
      </c>
      <c r="FC47" s="7">
        <v>0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0</v>
      </c>
      <c r="FQ47" s="7">
        <v>0</v>
      </c>
      <c r="FR47" s="7">
        <v>0</v>
      </c>
      <c r="FS47" s="7">
        <v>0</v>
      </c>
      <c r="FT47" s="7">
        <v>0</v>
      </c>
      <c r="FU47" s="7">
        <v>0</v>
      </c>
      <c r="FV47" s="7">
        <v>0</v>
      </c>
      <c r="FW47" s="7">
        <v>0</v>
      </c>
      <c r="FX47" s="7">
        <v>0</v>
      </c>
      <c r="FY47" s="7"/>
      <c r="FZ47" s="7">
        <f t="shared" si="8"/>
        <v>387510</v>
      </c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</row>
    <row r="48" spans="1:204" ht="15.5" x14ac:dyDescent="0.35">
      <c r="A48" s="12" t="s">
        <v>518</v>
      </c>
      <c r="B48" s="7" t="s">
        <v>519</v>
      </c>
      <c r="C48" s="7">
        <v>4670000</v>
      </c>
      <c r="D48" s="7">
        <v>63655851</v>
      </c>
      <c r="E48" s="7">
        <v>4890000</v>
      </c>
      <c r="F48" s="7">
        <v>750000</v>
      </c>
      <c r="G48" s="7">
        <v>1200000</v>
      </c>
      <c r="H48" s="7">
        <v>300000</v>
      </c>
      <c r="I48" s="39">
        <v>7845103</v>
      </c>
      <c r="J48" s="7">
        <v>0</v>
      </c>
      <c r="K48" s="7">
        <v>0</v>
      </c>
      <c r="L48" s="7">
        <v>4655850</v>
      </c>
      <c r="M48" s="7">
        <v>1000000</v>
      </c>
      <c r="N48" s="7">
        <v>77763000</v>
      </c>
      <c r="O48" s="7">
        <v>26498234</v>
      </c>
      <c r="P48" s="7">
        <v>0</v>
      </c>
      <c r="Q48" s="7">
        <v>37339028</v>
      </c>
      <c r="R48" s="7">
        <v>0</v>
      </c>
      <c r="S48" s="7">
        <v>0</v>
      </c>
      <c r="T48" s="7">
        <v>0</v>
      </c>
      <c r="U48" s="7">
        <v>100000</v>
      </c>
      <c r="V48" s="7">
        <v>0</v>
      </c>
      <c r="W48" s="7">
        <v>0</v>
      </c>
      <c r="X48" s="7">
        <v>150000</v>
      </c>
      <c r="Y48" s="7">
        <v>0</v>
      </c>
      <c r="Z48" s="7">
        <v>0</v>
      </c>
      <c r="AA48" s="7">
        <v>32635664</v>
      </c>
      <c r="AB48" s="39">
        <v>75286702</v>
      </c>
      <c r="AC48" s="39">
        <v>2044227</v>
      </c>
      <c r="AD48" s="39">
        <v>2497712</v>
      </c>
      <c r="AE48" s="7">
        <v>245000</v>
      </c>
      <c r="AF48" s="39">
        <v>217915</v>
      </c>
      <c r="AG48" s="7">
        <v>1839046</v>
      </c>
      <c r="AH48" s="7">
        <v>0</v>
      </c>
      <c r="AI48" s="7">
        <v>0</v>
      </c>
      <c r="AJ48" s="7">
        <v>0</v>
      </c>
      <c r="AK48" s="7">
        <v>0</v>
      </c>
      <c r="AL48" s="7">
        <v>330575</v>
      </c>
      <c r="AM48" s="7">
        <v>0</v>
      </c>
      <c r="AN48" s="7">
        <v>0</v>
      </c>
      <c r="AO48" s="7">
        <v>0</v>
      </c>
      <c r="AP48" s="7">
        <v>129959655</v>
      </c>
      <c r="AQ48" s="7">
        <v>0</v>
      </c>
      <c r="AR48" s="7">
        <v>73713000</v>
      </c>
      <c r="AS48" s="7">
        <v>5944650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5750000</v>
      </c>
      <c r="BA48" s="7">
        <v>3950000</v>
      </c>
      <c r="BB48" s="7">
        <v>700000</v>
      </c>
      <c r="BC48" s="39">
        <v>71315127.650000006</v>
      </c>
      <c r="BD48" s="7">
        <v>5157461</v>
      </c>
      <c r="BE48" s="7">
        <v>1900000</v>
      </c>
      <c r="BF48" s="7">
        <v>26750862</v>
      </c>
      <c r="BG48" s="7">
        <v>0</v>
      </c>
      <c r="BH48" s="7">
        <v>0</v>
      </c>
      <c r="BI48" s="7">
        <v>0</v>
      </c>
      <c r="BJ48" s="7">
        <v>4000000</v>
      </c>
      <c r="BK48" s="7">
        <v>7500000</v>
      </c>
      <c r="BL48" s="7">
        <v>0</v>
      </c>
      <c r="BM48" s="7">
        <v>0</v>
      </c>
      <c r="BN48" s="7">
        <v>0</v>
      </c>
      <c r="BO48" s="7">
        <v>350000</v>
      </c>
      <c r="BP48" s="7">
        <v>0</v>
      </c>
      <c r="BQ48" s="7">
        <v>8800000</v>
      </c>
      <c r="BR48" s="7">
        <v>4300000</v>
      </c>
      <c r="BS48" s="7">
        <v>2167002</v>
      </c>
      <c r="BT48" s="7">
        <v>980488</v>
      </c>
      <c r="BU48" s="50">
        <v>1100007.0868799998</v>
      </c>
      <c r="BV48" s="7">
        <v>1330000</v>
      </c>
      <c r="BW48" s="7">
        <v>3800000</v>
      </c>
      <c r="BX48" s="7">
        <v>0</v>
      </c>
      <c r="BY48" s="7">
        <v>0</v>
      </c>
      <c r="BZ48" s="7">
        <v>0</v>
      </c>
      <c r="CA48" s="7">
        <v>0</v>
      </c>
      <c r="CB48" s="7">
        <v>113302585</v>
      </c>
      <c r="CC48" s="7">
        <v>0</v>
      </c>
      <c r="CD48" s="7">
        <v>0</v>
      </c>
      <c r="CE48" s="7">
        <v>0</v>
      </c>
      <c r="CF48" s="7">
        <v>0</v>
      </c>
      <c r="CG48" s="7">
        <v>119200</v>
      </c>
      <c r="CH48" s="7">
        <v>0</v>
      </c>
      <c r="CI48" s="7">
        <v>270068</v>
      </c>
      <c r="CJ48" s="7">
        <v>667783</v>
      </c>
      <c r="CK48" s="7">
        <v>5600000</v>
      </c>
      <c r="CL48" s="7">
        <v>2016949</v>
      </c>
      <c r="CM48" s="7">
        <v>1100000</v>
      </c>
      <c r="CN48" s="7">
        <v>35012147</v>
      </c>
      <c r="CO48" s="7">
        <v>14040000</v>
      </c>
      <c r="CP48" s="7">
        <v>1921000</v>
      </c>
      <c r="CQ48" s="7">
        <v>0</v>
      </c>
      <c r="CR48" s="7">
        <v>350000</v>
      </c>
      <c r="CS48" s="7">
        <v>0</v>
      </c>
      <c r="CT48" s="7">
        <v>0</v>
      </c>
      <c r="CU48" s="7">
        <v>205000</v>
      </c>
      <c r="CV48" s="7">
        <v>171656</v>
      </c>
      <c r="CW48" s="7">
        <v>0</v>
      </c>
      <c r="CX48" s="7">
        <v>0</v>
      </c>
      <c r="CY48" s="7">
        <v>0</v>
      </c>
      <c r="CZ48" s="7">
        <v>500000</v>
      </c>
      <c r="DA48" s="7">
        <v>0</v>
      </c>
      <c r="DB48" s="7">
        <v>0</v>
      </c>
      <c r="DC48" s="7">
        <v>445000</v>
      </c>
      <c r="DD48" s="7">
        <v>0</v>
      </c>
      <c r="DE48" s="7">
        <v>350000</v>
      </c>
      <c r="DF48" s="39">
        <v>15736474.08</v>
      </c>
      <c r="DG48" s="7">
        <v>70000</v>
      </c>
      <c r="DH48" s="7">
        <v>1900000</v>
      </c>
      <c r="DI48" s="7">
        <v>0</v>
      </c>
      <c r="DJ48" s="7">
        <v>390000</v>
      </c>
      <c r="DK48" s="7">
        <v>333800</v>
      </c>
      <c r="DL48" s="7">
        <v>0</v>
      </c>
      <c r="DM48" s="7">
        <v>248000</v>
      </c>
      <c r="DN48" s="7">
        <v>400000</v>
      </c>
      <c r="DO48" s="7">
        <v>550000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7">
        <v>0</v>
      </c>
      <c r="DW48" s="7">
        <v>15862</v>
      </c>
      <c r="DX48" s="7">
        <v>155000</v>
      </c>
      <c r="DY48" s="7">
        <v>516372</v>
      </c>
      <c r="DZ48" s="7">
        <v>550204</v>
      </c>
      <c r="EA48" s="7">
        <v>207000</v>
      </c>
      <c r="EB48" s="7">
        <v>447872</v>
      </c>
      <c r="EC48" s="7">
        <v>0</v>
      </c>
      <c r="ED48" s="7">
        <v>3905390.5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404670</v>
      </c>
      <c r="EL48" s="7">
        <v>0</v>
      </c>
      <c r="EM48" s="7">
        <v>832600</v>
      </c>
      <c r="EN48" s="7">
        <v>195000</v>
      </c>
      <c r="EO48" s="7">
        <v>75000</v>
      </c>
      <c r="EP48" s="7">
        <v>905473</v>
      </c>
      <c r="EQ48" s="7">
        <v>1573000</v>
      </c>
      <c r="ER48" s="7">
        <v>914457</v>
      </c>
      <c r="ES48" s="7">
        <v>0</v>
      </c>
      <c r="ET48" s="7">
        <v>164087</v>
      </c>
      <c r="EU48" s="7">
        <v>0</v>
      </c>
      <c r="EV48" s="7">
        <v>0</v>
      </c>
      <c r="EW48" s="7">
        <v>1848603.33</v>
      </c>
      <c r="EX48" s="7">
        <v>397784.63</v>
      </c>
      <c r="EY48" s="7">
        <v>0</v>
      </c>
      <c r="EZ48" s="7">
        <v>0</v>
      </c>
      <c r="FA48" s="7">
        <v>4687317</v>
      </c>
      <c r="FB48" s="7">
        <v>584000</v>
      </c>
      <c r="FC48" s="7">
        <v>1100000</v>
      </c>
      <c r="FD48" s="7">
        <v>0</v>
      </c>
      <c r="FE48" s="7">
        <v>250000</v>
      </c>
      <c r="FF48" s="7">
        <v>0</v>
      </c>
      <c r="FG48" s="7">
        <v>0</v>
      </c>
      <c r="FH48" s="7">
        <v>155000</v>
      </c>
      <c r="FI48" s="7">
        <v>3904000</v>
      </c>
      <c r="FJ48" s="7">
        <v>1200000</v>
      </c>
      <c r="FK48" s="7">
        <v>4500000</v>
      </c>
      <c r="FL48" s="7">
        <v>2595350</v>
      </c>
      <c r="FM48" s="7">
        <v>500000</v>
      </c>
      <c r="FN48" s="7">
        <v>0</v>
      </c>
      <c r="FO48" s="7">
        <v>1974045</v>
      </c>
      <c r="FP48" s="7">
        <v>2675000</v>
      </c>
      <c r="FQ48" s="7">
        <v>900000</v>
      </c>
      <c r="FR48" s="7">
        <v>497743</v>
      </c>
      <c r="FS48" s="7">
        <v>75000</v>
      </c>
      <c r="FT48" s="7">
        <v>130000</v>
      </c>
      <c r="FU48" s="7">
        <v>1194000</v>
      </c>
      <c r="FV48" s="7">
        <v>400000</v>
      </c>
      <c r="FW48" s="7">
        <v>0</v>
      </c>
      <c r="FX48" s="7">
        <v>292380</v>
      </c>
      <c r="FY48" s="7"/>
      <c r="FZ48" s="7">
        <f t="shared" si="8"/>
        <v>941804032.27688003</v>
      </c>
      <c r="GA48" s="23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</row>
    <row r="49" spans="1:204" ht="15.5" x14ac:dyDescent="0.35">
      <c r="A49" s="51"/>
      <c r="B49" s="48" t="s">
        <v>520</v>
      </c>
      <c r="C49" s="48">
        <v>1023645.96</v>
      </c>
      <c r="D49" s="48">
        <v>5923407.6999999881</v>
      </c>
      <c r="E49" s="48">
        <v>1501809.63</v>
      </c>
      <c r="F49" s="48">
        <v>1480552.63</v>
      </c>
      <c r="G49" s="48">
        <v>313409.98</v>
      </c>
      <c r="H49" s="48">
        <v>197482.31</v>
      </c>
      <c r="I49" s="52">
        <v>3049421.53</v>
      </c>
      <c r="J49" s="48">
        <v>0</v>
      </c>
      <c r="K49" s="48">
        <v>0</v>
      </c>
      <c r="L49" s="48">
        <v>767975.6099999994</v>
      </c>
      <c r="M49" s="48">
        <v>339255.28999999911</v>
      </c>
      <c r="N49" s="48">
        <v>1003951.56</v>
      </c>
      <c r="O49" s="48">
        <v>3157850.6999999881</v>
      </c>
      <c r="P49" s="48">
        <v>0</v>
      </c>
      <c r="Q49" s="48">
        <v>2551562.3199999998</v>
      </c>
      <c r="R49" s="48">
        <v>93067.899999999907</v>
      </c>
      <c r="S49" s="48">
        <v>147716.44999999925</v>
      </c>
      <c r="T49" s="48">
        <v>0</v>
      </c>
      <c r="U49" s="48">
        <v>0</v>
      </c>
      <c r="V49" s="48">
        <v>0</v>
      </c>
      <c r="W49" s="7">
        <v>0</v>
      </c>
      <c r="X49" s="48">
        <v>0</v>
      </c>
      <c r="Y49" s="48">
        <v>0</v>
      </c>
      <c r="Z49" s="48">
        <v>0</v>
      </c>
      <c r="AA49" s="48">
        <v>3107770.19</v>
      </c>
      <c r="AB49" s="52">
        <v>5484100.7199999997</v>
      </c>
      <c r="AC49" s="52">
        <v>179452.74</v>
      </c>
      <c r="AD49" s="52">
        <v>173421.01</v>
      </c>
      <c r="AE49" s="48">
        <v>0</v>
      </c>
      <c r="AF49" s="52">
        <v>0</v>
      </c>
      <c r="AG49" s="48">
        <v>585726.86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23452.35999999987</v>
      </c>
      <c r="AO49" s="48">
        <v>0</v>
      </c>
      <c r="AP49" s="48">
        <v>13961260.089999974</v>
      </c>
      <c r="AQ49" s="48">
        <v>4996.7000000001863</v>
      </c>
      <c r="AR49" s="48">
        <v>4936260.97</v>
      </c>
      <c r="AS49" s="48">
        <v>3140096.46</v>
      </c>
      <c r="AT49" s="48">
        <v>706569</v>
      </c>
      <c r="AU49" s="48">
        <v>183362.49</v>
      </c>
      <c r="AV49" s="48">
        <v>0</v>
      </c>
      <c r="AW49" s="48">
        <v>127133.32</v>
      </c>
      <c r="AX49" s="48">
        <v>17799.04</v>
      </c>
      <c r="AY49" s="48">
        <v>67342.069999999832</v>
      </c>
      <c r="AZ49" s="48">
        <v>5661380.25</v>
      </c>
      <c r="BA49" s="48">
        <v>4239435.37</v>
      </c>
      <c r="BB49" s="48">
        <v>2450915.0699999998</v>
      </c>
      <c r="BC49" s="52">
        <v>13979440.599999994</v>
      </c>
      <c r="BD49" s="48">
        <v>2610812.9700000002</v>
      </c>
      <c r="BE49" s="48">
        <v>691421.59</v>
      </c>
      <c r="BF49" s="48">
        <v>12423538.810000002</v>
      </c>
      <c r="BG49" s="48">
        <v>177371.84</v>
      </c>
      <c r="BH49" s="48">
        <v>272348.34999999998</v>
      </c>
      <c r="BI49" s="48">
        <v>117074.81</v>
      </c>
      <c r="BJ49" s="48">
        <v>2978693.21</v>
      </c>
      <c r="BK49" s="48">
        <v>3075849.87</v>
      </c>
      <c r="BL49" s="48">
        <v>26731.37</v>
      </c>
      <c r="BM49" s="48">
        <v>73715.73</v>
      </c>
      <c r="BN49" s="48">
        <v>0</v>
      </c>
      <c r="BO49" s="48">
        <v>46591.460000000894</v>
      </c>
      <c r="BP49" s="48">
        <v>66821.180000000168</v>
      </c>
      <c r="BQ49" s="48">
        <v>831665.80999999866</v>
      </c>
      <c r="BR49" s="48">
        <v>53981.400000002235</v>
      </c>
      <c r="BS49" s="48">
        <v>0</v>
      </c>
      <c r="BT49" s="48">
        <v>96176.64000000013</v>
      </c>
      <c r="BU49" s="48">
        <v>45796.089999999851</v>
      </c>
      <c r="BV49" s="48">
        <v>680000</v>
      </c>
      <c r="BW49" s="48">
        <v>271620.42</v>
      </c>
      <c r="BX49" s="48">
        <v>30925.080000000075</v>
      </c>
      <c r="BY49" s="48">
        <v>20772.939999999478</v>
      </c>
      <c r="BZ49" s="48">
        <v>128574.8</v>
      </c>
      <c r="CA49" s="48">
        <v>0</v>
      </c>
      <c r="CB49" s="48">
        <v>14199549.600000024</v>
      </c>
      <c r="CC49" s="48">
        <v>51316.119999999879</v>
      </c>
      <c r="CD49" s="48">
        <v>32213.38</v>
      </c>
      <c r="CE49" s="48">
        <v>35823.39000000013</v>
      </c>
      <c r="CF49" s="48">
        <v>60736.420000000158</v>
      </c>
      <c r="CG49" s="48">
        <f>52674.03+119000</f>
        <v>171674.03</v>
      </c>
      <c r="CH49" s="48">
        <v>42137.689999999944</v>
      </c>
      <c r="CI49" s="48">
        <v>191859.43000000063</v>
      </c>
      <c r="CJ49" s="48">
        <v>127581.31</v>
      </c>
      <c r="CK49" s="48">
        <v>0</v>
      </c>
      <c r="CL49" s="48">
        <v>0</v>
      </c>
      <c r="CM49" s="48">
        <v>0</v>
      </c>
      <c r="CN49" s="48">
        <v>5532198.7100000083</v>
      </c>
      <c r="CO49" s="48">
        <v>3311063.7200000137</v>
      </c>
      <c r="CP49" s="48">
        <v>487185.26</v>
      </c>
      <c r="CQ49" s="48">
        <v>0</v>
      </c>
      <c r="CR49" s="48">
        <v>0</v>
      </c>
      <c r="CS49" s="48">
        <v>0</v>
      </c>
      <c r="CT49" s="48">
        <v>0</v>
      </c>
      <c r="CU49" s="48">
        <v>0</v>
      </c>
      <c r="CV49" s="48">
        <v>0</v>
      </c>
      <c r="CW49" s="48">
        <v>2963.7100000001956</v>
      </c>
      <c r="CX49" s="48">
        <v>34454.619999999646</v>
      </c>
      <c r="CY49" s="48">
        <v>0</v>
      </c>
      <c r="CZ49" s="48">
        <v>0</v>
      </c>
      <c r="DA49" s="48">
        <v>0</v>
      </c>
      <c r="DB49" s="48">
        <v>0</v>
      </c>
      <c r="DC49" s="48">
        <v>0</v>
      </c>
      <c r="DD49" s="48">
        <v>31853.880000000121</v>
      </c>
      <c r="DE49" s="48">
        <v>0</v>
      </c>
      <c r="DF49" s="52">
        <v>964429.94000001252</v>
      </c>
      <c r="DG49" s="48">
        <v>0</v>
      </c>
      <c r="DH49" s="48">
        <v>0</v>
      </c>
      <c r="DI49" s="48">
        <v>187923.21999999881</v>
      </c>
      <c r="DJ49" s="48">
        <v>70570.470000000205</v>
      </c>
      <c r="DK49" s="48">
        <v>63148.970000000205</v>
      </c>
      <c r="DL49" s="48">
        <v>0</v>
      </c>
      <c r="DM49" s="48">
        <v>0</v>
      </c>
      <c r="DN49" s="48">
        <v>0</v>
      </c>
      <c r="DO49" s="48">
        <v>0</v>
      </c>
      <c r="DP49" s="48">
        <v>1230.7399999999907</v>
      </c>
      <c r="DQ49" s="48">
        <v>0</v>
      </c>
      <c r="DR49" s="48">
        <v>0</v>
      </c>
      <c r="DS49" s="48">
        <v>0</v>
      </c>
      <c r="DT49" s="48">
        <v>0</v>
      </c>
      <c r="DU49" s="48">
        <v>0</v>
      </c>
      <c r="DV49" s="48">
        <v>0</v>
      </c>
      <c r="DW49" s="48">
        <v>0</v>
      </c>
      <c r="DX49" s="48">
        <v>27492.279999999795</v>
      </c>
      <c r="DY49" s="48">
        <v>0</v>
      </c>
      <c r="DZ49" s="48">
        <v>739613.14999999944</v>
      </c>
      <c r="EA49" s="48">
        <v>139332.39000000001</v>
      </c>
      <c r="EB49" s="48">
        <v>81512.760000000242</v>
      </c>
      <c r="EC49" s="48">
        <v>108091.72</v>
      </c>
      <c r="ED49" s="48">
        <v>1114082.5</v>
      </c>
      <c r="EE49" s="48">
        <v>0</v>
      </c>
      <c r="EF49" s="48">
        <v>0</v>
      </c>
      <c r="EG49" s="48">
        <v>8952.6699999999255</v>
      </c>
      <c r="EH49" s="48">
        <v>6739.7900000000373</v>
      </c>
      <c r="EI49" s="48">
        <v>984513.67000000179</v>
      </c>
      <c r="EJ49" s="48">
        <v>556718.94000000507</v>
      </c>
      <c r="EK49" s="48">
        <v>0</v>
      </c>
      <c r="EL49" s="48">
        <v>19606.400000000001</v>
      </c>
      <c r="EM49" s="48">
        <v>0</v>
      </c>
      <c r="EN49" s="48">
        <v>0</v>
      </c>
      <c r="EO49" s="48">
        <v>0</v>
      </c>
      <c r="EP49" s="48">
        <v>0</v>
      </c>
      <c r="EQ49" s="48">
        <v>773723.74</v>
      </c>
      <c r="ER49" s="48">
        <v>13739.379999999888</v>
      </c>
      <c r="ES49" s="48">
        <v>0</v>
      </c>
      <c r="ET49" s="48">
        <v>0</v>
      </c>
      <c r="EU49" s="48">
        <v>0</v>
      </c>
      <c r="EV49" s="48">
        <v>25108.400000000001</v>
      </c>
      <c r="EW49" s="48">
        <v>2296.6300000003539</v>
      </c>
      <c r="EX49" s="48">
        <v>6362.1400000001304</v>
      </c>
      <c r="EY49" s="48">
        <v>0</v>
      </c>
      <c r="EZ49" s="48">
        <v>3088.3899999998976</v>
      </c>
      <c r="FA49" s="48">
        <v>650000</v>
      </c>
      <c r="FB49" s="48">
        <v>235967.64</v>
      </c>
      <c r="FC49" s="48">
        <v>1157745.67</v>
      </c>
      <c r="FD49" s="48">
        <v>0</v>
      </c>
      <c r="FE49" s="48">
        <v>0</v>
      </c>
      <c r="FF49" s="48">
        <v>0</v>
      </c>
      <c r="FG49" s="48">
        <v>0</v>
      </c>
      <c r="FH49" s="48">
        <v>0</v>
      </c>
      <c r="FI49" s="48">
        <v>464593.6400000006</v>
      </c>
      <c r="FJ49" s="48">
        <v>402051.60000000056</v>
      </c>
      <c r="FK49" s="48">
        <v>263308.68</v>
      </c>
      <c r="FL49" s="48">
        <v>679899.57</v>
      </c>
      <c r="FM49" s="48">
        <v>418806.28000000119</v>
      </c>
      <c r="FN49" s="48">
        <v>2545812.86</v>
      </c>
      <c r="FO49" s="48">
        <v>243119.79</v>
      </c>
      <c r="FP49" s="48">
        <v>520740.68999999948</v>
      </c>
      <c r="FQ49" s="48">
        <v>223101.13</v>
      </c>
      <c r="FR49" s="48">
        <v>0</v>
      </c>
      <c r="FS49" s="48">
        <v>0</v>
      </c>
      <c r="FT49" s="48">
        <v>0</v>
      </c>
      <c r="FU49" s="48">
        <v>0</v>
      </c>
      <c r="FV49" s="48">
        <v>0</v>
      </c>
      <c r="FW49" s="48">
        <v>0</v>
      </c>
      <c r="FX49" s="48">
        <v>0</v>
      </c>
      <c r="FY49" s="7"/>
      <c r="FZ49" s="7">
        <f t="shared" si="8"/>
        <v>143317546.35999998</v>
      </c>
      <c r="GA49" s="23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</row>
    <row r="50" spans="1:204" ht="15.5" x14ac:dyDescent="0.35">
      <c r="A50" s="51"/>
      <c r="B50" s="48" t="s">
        <v>521</v>
      </c>
      <c r="C50" s="48">
        <f t="shared" ref="C50:FX50" ca="1" si="9">((C162*0.25)+C49)</f>
        <v>21187117.636125002</v>
      </c>
      <c r="D50" s="48">
        <f t="shared" ca="1" si="9"/>
        <v>118366617.95412499</v>
      </c>
      <c r="E50" s="48">
        <f t="shared" ca="1" si="9"/>
        <v>19679786.141874999</v>
      </c>
      <c r="F50" s="48">
        <f t="shared" ca="1" si="9"/>
        <v>71935242.376625001</v>
      </c>
      <c r="G50" s="48">
        <f t="shared" ca="1" si="9"/>
        <v>6000680.8912499994</v>
      </c>
      <c r="H50" s="48">
        <f t="shared" ca="1" si="9"/>
        <v>3636069.2230000002</v>
      </c>
      <c r="I50" s="48">
        <f t="shared" ca="1" si="9"/>
        <v>28008562.172500003</v>
      </c>
      <c r="J50" s="48">
        <f t="shared" ca="1" si="9"/>
        <v>6215997.7607500004</v>
      </c>
      <c r="K50" s="48">
        <f t="shared" ca="1" si="9"/>
        <v>1093821.546875</v>
      </c>
      <c r="L50" s="48">
        <f t="shared" ca="1" si="9"/>
        <v>7381889.9659999991</v>
      </c>
      <c r="M50" s="48">
        <f t="shared" ca="1" si="9"/>
        <v>3767762.8549999991</v>
      </c>
      <c r="N50" s="48">
        <f t="shared" ca="1" si="9"/>
        <v>149522515.02774999</v>
      </c>
      <c r="O50" s="48">
        <f t="shared" ca="1" si="9"/>
        <v>39246304.393999986</v>
      </c>
      <c r="P50" s="48">
        <f t="shared" ca="1" si="9"/>
        <v>1336597.711375</v>
      </c>
      <c r="Q50" s="48">
        <f t="shared" ca="1" si="9"/>
        <v>127979880.09900001</v>
      </c>
      <c r="R50" s="48">
        <f t="shared" ca="1" si="9"/>
        <v>20289458.174874999</v>
      </c>
      <c r="S50" s="48">
        <f t="shared" ca="1" si="9"/>
        <v>5057295.9034999991</v>
      </c>
      <c r="T50" s="48">
        <f t="shared" ca="1" si="9"/>
        <v>841510.97387500003</v>
      </c>
      <c r="U50" s="48">
        <f t="shared" ca="1" si="9"/>
        <v>358584.83749999997</v>
      </c>
      <c r="V50" s="48">
        <f t="shared" ca="1" si="9"/>
        <v>1100819.7434999999</v>
      </c>
      <c r="W50" s="48">
        <f t="shared" ca="1" si="9"/>
        <v>700382.92249999999</v>
      </c>
      <c r="X50" s="48">
        <f t="shared" ca="1" si="9"/>
        <v>325523.38537500001</v>
      </c>
      <c r="Y50" s="48">
        <f t="shared" ca="1" si="9"/>
        <v>2876065.4415000002</v>
      </c>
      <c r="Z50" s="48">
        <f t="shared" ca="1" si="9"/>
        <v>988274.80674999999</v>
      </c>
      <c r="AA50" s="48">
        <f t="shared" ca="1" si="9"/>
        <v>91518953.363499999</v>
      </c>
      <c r="AB50" s="48">
        <f t="shared" ca="1" si="9"/>
        <v>83863518.891874999</v>
      </c>
      <c r="AC50" s="48">
        <f t="shared" ca="1" si="9"/>
        <v>3039269.1191250002</v>
      </c>
      <c r="AD50" s="48">
        <f t="shared" ca="1" si="9"/>
        <v>4425859.2163749998</v>
      </c>
      <c r="AE50" s="48">
        <f t="shared" ca="1" si="9"/>
        <v>566354.32062499993</v>
      </c>
      <c r="AF50" s="48">
        <f t="shared" ca="1" si="9"/>
        <v>864295.85887500003</v>
      </c>
      <c r="AG50" s="48">
        <f t="shared" ca="1" si="9"/>
        <v>2631053.3000000003</v>
      </c>
      <c r="AH50" s="48">
        <f t="shared" ca="1" si="9"/>
        <v>3000168.1646249997</v>
      </c>
      <c r="AI50" s="48">
        <f t="shared" ca="1" si="9"/>
        <v>1396701.8705</v>
      </c>
      <c r="AJ50" s="48">
        <f t="shared" ca="1" si="9"/>
        <v>940531.78049999999</v>
      </c>
      <c r="AK50" s="48">
        <f t="shared" ca="1" si="9"/>
        <v>876537.03287499992</v>
      </c>
      <c r="AL50" s="48">
        <f t="shared" ca="1" si="9"/>
        <v>1206088.514125</v>
      </c>
      <c r="AM50" s="48">
        <f t="shared" ca="1" si="9"/>
        <v>1333536.89075</v>
      </c>
      <c r="AN50" s="48">
        <f t="shared" ca="1" si="9"/>
        <v>1241058.2561249998</v>
      </c>
      <c r="AO50" s="48">
        <f t="shared" ca="1" si="9"/>
        <v>12801466.2325</v>
      </c>
      <c r="AP50" s="48">
        <f t="shared" ca="1" si="9"/>
        <v>271193282.79337496</v>
      </c>
      <c r="AQ50" s="48">
        <f t="shared" ca="1" si="9"/>
        <v>1144430.5007500004</v>
      </c>
      <c r="AR50" s="48">
        <f t="shared" ca="1" si="9"/>
        <v>178810711.382375</v>
      </c>
      <c r="AS50" s="48">
        <f t="shared" ca="1" si="9"/>
        <v>23235642.647999998</v>
      </c>
      <c r="AT50" s="48">
        <f t="shared" ca="1" si="9"/>
        <v>7752857.1468750006</v>
      </c>
      <c r="AU50" s="48">
        <f t="shared" ca="1" si="9"/>
        <v>1362025.97875</v>
      </c>
      <c r="AV50" s="48">
        <f t="shared" ca="1" si="9"/>
        <v>1298812.50125</v>
      </c>
      <c r="AW50" s="48">
        <f t="shared" ca="1" si="9"/>
        <v>1259331.121875</v>
      </c>
      <c r="AX50" s="48">
        <f t="shared" ca="1" si="9"/>
        <v>535389.79137500003</v>
      </c>
      <c r="AY50" s="48">
        <f t="shared" ca="1" si="9"/>
        <v>1592262.4382499997</v>
      </c>
      <c r="AZ50" s="48">
        <f t="shared" ca="1" si="9"/>
        <v>41591797.704624996</v>
      </c>
      <c r="BA50" s="48">
        <f t="shared" ca="1" si="9"/>
        <v>29675818.869125001</v>
      </c>
      <c r="BB50" s="48">
        <f t="shared" ca="1" si="9"/>
        <v>23624933.688750003</v>
      </c>
      <c r="BC50" s="48">
        <f t="shared" ca="1" si="9"/>
        <v>85225785.112374991</v>
      </c>
      <c r="BD50" s="48">
        <f t="shared" ca="1" si="9"/>
        <v>12707756.491875</v>
      </c>
      <c r="BE50" s="48">
        <f t="shared" ca="1" si="9"/>
        <v>4304541.9474999998</v>
      </c>
      <c r="BF50" s="48">
        <f t="shared" ca="1" si="9"/>
        <v>83068633.265375003</v>
      </c>
      <c r="BG50" s="48">
        <f t="shared" ca="1" si="9"/>
        <v>3245613.2313749995</v>
      </c>
      <c r="BH50" s="48">
        <f t="shared" ca="1" si="9"/>
        <v>2213506.4566250001</v>
      </c>
      <c r="BI50" s="48">
        <f t="shared" ca="1" si="9"/>
        <v>1299874.2477500001</v>
      </c>
      <c r="BJ50" s="48">
        <f t="shared" ca="1" si="9"/>
        <v>20462042.794125002</v>
      </c>
      <c r="BK50" s="48">
        <f t="shared" ca="1" si="9"/>
        <v>101301197.49062499</v>
      </c>
      <c r="BL50" s="48">
        <f t="shared" ca="1" si="9"/>
        <v>580792.32750000001</v>
      </c>
      <c r="BM50" s="48">
        <f t="shared" ca="1" si="9"/>
        <v>1466100.4598750002</v>
      </c>
      <c r="BN50" s="48">
        <f t="shared" ca="1" si="9"/>
        <v>8914465.6743749995</v>
      </c>
      <c r="BO50" s="48">
        <f t="shared" ca="1" si="9"/>
        <v>3835575.838750001</v>
      </c>
      <c r="BP50" s="48">
        <f t="shared" ca="1" si="9"/>
        <v>916309.28000000014</v>
      </c>
      <c r="BQ50" s="48">
        <f t="shared" ca="1" si="9"/>
        <v>19377082.096499998</v>
      </c>
      <c r="BR50" s="48">
        <f t="shared" ca="1" si="9"/>
        <v>13328794.222125003</v>
      </c>
      <c r="BS50" s="48">
        <f t="shared" ca="1" si="9"/>
        <v>3759756.1253750003</v>
      </c>
      <c r="BT50" s="48">
        <f t="shared" ca="1" si="9"/>
        <v>1558272.3280000002</v>
      </c>
      <c r="BU50" s="48">
        <f t="shared" ca="1" si="9"/>
        <v>1587747.2991249999</v>
      </c>
      <c r="BV50" s="48">
        <f t="shared" ca="1" si="9"/>
        <v>4531576.2311249999</v>
      </c>
      <c r="BW50" s="48">
        <f t="shared" ca="1" si="9"/>
        <v>6435015.2544999998</v>
      </c>
      <c r="BX50" s="48">
        <f t="shared" ca="1" si="9"/>
        <v>476361.25750000007</v>
      </c>
      <c r="BY50" s="48">
        <f t="shared" ca="1" si="9"/>
        <v>1628146.2124999994</v>
      </c>
      <c r="BZ50" s="48">
        <f t="shared" ca="1" si="9"/>
        <v>1163374.403375</v>
      </c>
      <c r="CA50" s="48">
        <f t="shared" ca="1" si="9"/>
        <v>790802.31900000002</v>
      </c>
      <c r="CB50" s="48">
        <f t="shared" ca="1" si="9"/>
        <v>222459035.44162503</v>
      </c>
      <c r="CC50" s="48">
        <f t="shared" ca="1" si="9"/>
        <v>962628.90837499988</v>
      </c>
      <c r="CD50" s="48">
        <f t="shared" ca="1" si="9"/>
        <v>741014.38249999995</v>
      </c>
      <c r="CE50" s="48">
        <f t="shared" ca="1" si="9"/>
        <v>841369.69562500017</v>
      </c>
      <c r="CF50" s="48">
        <f t="shared" ca="1" si="9"/>
        <v>677619.74500000011</v>
      </c>
      <c r="CG50" s="48">
        <f t="shared" ca="1" si="9"/>
        <v>1106343.0492499999</v>
      </c>
      <c r="CH50" s="48">
        <f t="shared" ca="1" si="9"/>
        <v>613164.82849999995</v>
      </c>
      <c r="CI50" s="48">
        <f t="shared" ca="1" si="9"/>
        <v>2415047.8435000004</v>
      </c>
      <c r="CJ50" s="48">
        <f t="shared" ca="1" si="9"/>
        <v>3058960.450375</v>
      </c>
      <c r="CK50" s="48">
        <f t="shared" ca="1" si="9"/>
        <v>14432765.76375</v>
      </c>
      <c r="CL50" s="48">
        <f t="shared" ca="1" si="9"/>
        <v>3911961.4861249998</v>
      </c>
      <c r="CM50" s="48">
        <f t="shared" ca="1" si="9"/>
        <v>2384600.23025</v>
      </c>
      <c r="CN50" s="48">
        <f t="shared" ca="1" si="9"/>
        <v>94600934.397500008</v>
      </c>
      <c r="CO50" s="48">
        <f t="shared" ca="1" si="9"/>
        <v>43071875.085625015</v>
      </c>
      <c r="CP50" s="48">
        <f t="shared" ca="1" si="9"/>
        <v>3553604.9913750002</v>
      </c>
      <c r="CQ50" s="48">
        <f t="shared" ca="1" si="9"/>
        <v>2606837.99725</v>
      </c>
      <c r="CR50" s="48">
        <f t="shared" ca="1" si="9"/>
        <v>988292.15</v>
      </c>
      <c r="CS50" s="48">
        <f t="shared" ca="1" si="9"/>
        <v>1143294.4075</v>
      </c>
      <c r="CT50" s="48">
        <f t="shared" ca="1" si="9"/>
        <v>652761.98787499999</v>
      </c>
      <c r="CU50" s="48">
        <f t="shared" ca="1" si="9"/>
        <v>1398537.8586249999</v>
      </c>
      <c r="CV50" s="48">
        <f t="shared" ca="1" si="9"/>
        <v>306903.598375</v>
      </c>
      <c r="CW50" s="48">
        <f t="shared" ca="1" si="9"/>
        <v>966434.50537500018</v>
      </c>
      <c r="CX50" s="48">
        <f t="shared" ca="1" si="9"/>
        <v>1611220.7319999996</v>
      </c>
      <c r="CY50" s="48">
        <f t="shared" ca="1" si="9"/>
        <v>323498.19800000003</v>
      </c>
      <c r="CZ50" s="48">
        <f t="shared" ca="1" si="9"/>
        <v>5309349.3286250001</v>
      </c>
      <c r="DA50" s="48">
        <f t="shared" ca="1" si="9"/>
        <v>946967.22825000004</v>
      </c>
      <c r="DB50" s="48">
        <f t="shared" ca="1" si="9"/>
        <v>1230720.446125</v>
      </c>
      <c r="DC50" s="48">
        <f t="shared" ca="1" si="9"/>
        <v>925228.58975000004</v>
      </c>
      <c r="DD50" s="48">
        <f t="shared" ca="1" si="9"/>
        <v>933543.82225000008</v>
      </c>
      <c r="DE50" s="48">
        <f t="shared" ca="1" si="9"/>
        <v>1166167.262625</v>
      </c>
      <c r="DF50" s="48">
        <f t="shared" ca="1" si="9"/>
        <v>58466718.156375013</v>
      </c>
      <c r="DG50" s="48">
        <f t="shared" ca="1" si="9"/>
        <v>561292.55237499997</v>
      </c>
      <c r="DH50" s="48">
        <f t="shared" ca="1" si="9"/>
        <v>5282479.8273750003</v>
      </c>
      <c r="DI50" s="48">
        <f t="shared" ca="1" si="9"/>
        <v>7323498.6122499984</v>
      </c>
      <c r="DJ50" s="48">
        <f t="shared" ca="1" si="9"/>
        <v>2160849.8500000006</v>
      </c>
      <c r="DK50" s="48">
        <f t="shared" ca="1" si="9"/>
        <v>1682716.2161250003</v>
      </c>
      <c r="DL50" s="48">
        <f t="shared" ca="1" si="9"/>
        <v>16961864.850499999</v>
      </c>
      <c r="DM50" s="48">
        <f t="shared" ca="1" si="9"/>
        <v>1121279.095375</v>
      </c>
      <c r="DN50" s="48">
        <f t="shared" ca="1" si="9"/>
        <v>4081888.706125</v>
      </c>
      <c r="DO50" s="48">
        <f t="shared" ca="1" si="9"/>
        <v>9834735.9721249994</v>
      </c>
      <c r="DP50" s="48">
        <f t="shared" ca="1" si="9"/>
        <v>977047.51524999994</v>
      </c>
      <c r="DQ50" s="48">
        <f t="shared" ca="1" si="9"/>
        <v>2869916.7629999998</v>
      </c>
      <c r="DR50" s="48">
        <f t="shared" ca="1" si="9"/>
        <v>4077971.34</v>
      </c>
      <c r="DS50" s="48">
        <f t="shared" ca="1" si="9"/>
        <v>2102523.835</v>
      </c>
      <c r="DT50" s="48">
        <f t="shared" ca="1" si="9"/>
        <v>937482.17662499996</v>
      </c>
      <c r="DU50" s="48">
        <f t="shared" ca="1" si="9"/>
        <v>1348962.7154999999</v>
      </c>
      <c r="DV50" s="48">
        <f t="shared" ca="1" si="9"/>
        <v>968519.41187499999</v>
      </c>
      <c r="DW50" s="48">
        <f t="shared" ca="1" si="9"/>
        <v>1196630.5843749999</v>
      </c>
      <c r="DX50" s="48">
        <f t="shared" ca="1" si="9"/>
        <v>981374.10512499977</v>
      </c>
      <c r="DY50" s="48">
        <f t="shared" ca="1" si="9"/>
        <v>1286485.9296249999</v>
      </c>
      <c r="DZ50" s="48">
        <f t="shared" ca="1" si="9"/>
        <v>3062697.3262499995</v>
      </c>
      <c r="EA50" s="48">
        <f t="shared" ca="1" si="9"/>
        <v>2006135.6430000002</v>
      </c>
      <c r="EB50" s="48">
        <f t="shared" ca="1" si="9"/>
        <v>1879536.7661250003</v>
      </c>
      <c r="EC50" s="48">
        <f t="shared" ca="1" si="9"/>
        <v>1213574.0753749998</v>
      </c>
      <c r="ED50" s="48">
        <f t="shared" ca="1" si="9"/>
        <v>7036393.6399999997</v>
      </c>
      <c r="EE50" s="48">
        <f t="shared" ca="1" si="9"/>
        <v>938416.31375000009</v>
      </c>
      <c r="EF50" s="48">
        <f t="shared" ca="1" si="9"/>
        <v>4142935.1838750001</v>
      </c>
      <c r="EG50" s="48">
        <f t="shared" ca="1" si="9"/>
        <v>1077099.7253749999</v>
      </c>
      <c r="EH50" s="48">
        <f t="shared" ca="1" si="9"/>
        <v>1053087.4945</v>
      </c>
      <c r="EI50" s="48">
        <f t="shared" ca="1" si="9"/>
        <v>41906272.270000003</v>
      </c>
      <c r="EJ50" s="48">
        <f t="shared" ca="1" si="9"/>
        <v>28953052.797500003</v>
      </c>
      <c r="EK50" s="48">
        <f t="shared" ca="1" si="9"/>
        <v>2149693.28675</v>
      </c>
      <c r="EL50" s="48">
        <f t="shared" ca="1" si="9"/>
        <v>1533654.975625</v>
      </c>
      <c r="EM50" s="48">
        <f t="shared" ca="1" si="9"/>
        <v>1398556.781375</v>
      </c>
      <c r="EN50" s="48">
        <f t="shared" ca="1" si="9"/>
        <v>3044396.720125</v>
      </c>
      <c r="EO50" s="48">
        <f t="shared" ca="1" si="9"/>
        <v>1199785.4548750001</v>
      </c>
      <c r="EP50" s="48">
        <f t="shared" ca="1" si="9"/>
        <v>1584310.7478749999</v>
      </c>
      <c r="EQ50" s="48">
        <f t="shared" ca="1" si="9"/>
        <v>8563352.8774999995</v>
      </c>
      <c r="ER50" s="48">
        <f t="shared" ca="1" si="9"/>
        <v>1317540.6711249999</v>
      </c>
      <c r="ES50" s="48">
        <f t="shared" ca="1" si="9"/>
        <v>850779.59849999996</v>
      </c>
      <c r="ET50" s="48">
        <f t="shared" ca="1" si="9"/>
        <v>1089534.187375</v>
      </c>
      <c r="EU50" s="48">
        <f t="shared" ca="1" si="9"/>
        <v>2050396.8911249998</v>
      </c>
      <c r="EV50" s="48">
        <f t="shared" ca="1" si="9"/>
        <v>500703.49825000006</v>
      </c>
      <c r="EW50" s="48">
        <f t="shared" ca="1" si="9"/>
        <v>3344814.5200000005</v>
      </c>
      <c r="EX50" s="48">
        <f t="shared" ca="1" si="9"/>
        <v>957688.33612500015</v>
      </c>
      <c r="EY50" s="48">
        <f t="shared" ca="1" si="9"/>
        <v>2022556.5943750001</v>
      </c>
      <c r="EZ50" s="48">
        <f t="shared" ca="1" si="9"/>
        <v>714018.72774999985</v>
      </c>
      <c r="FA50" s="48">
        <f t="shared" ca="1" si="9"/>
        <v>11347222.54125</v>
      </c>
      <c r="FB50" s="48">
        <f t="shared" ca="1" si="9"/>
        <v>1457168.6158750001</v>
      </c>
      <c r="FC50" s="48">
        <f t="shared" ca="1" si="9"/>
        <v>6650372.0875000004</v>
      </c>
      <c r="FD50" s="48">
        <f t="shared" ca="1" si="9"/>
        <v>1473525.199125</v>
      </c>
      <c r="FE50" s="48">
        <f t="shared" ca="1" si="9"/>
        <v>497844.32750000001</v>
      </c>
      <c r="FF50" s="48">
        <f t="shared" ca="1" si="9"/>
        <v>930546.81900000002</v>
      </c>
      <c r="FG50" s="48">
        <f t="shared" ca="1" si="9"/>
        <v>691885.9375</v>
      </c>
      <c r="FH50" s="48">
        <f t="shared" ca="1" si="9"/>
        <v>433883.87437500001</v>
      </c>
      <c r="FI50" s="48">
        <f t="shared" ca="1" si="9"/>
        <v>5734613.5905000009</v>
      </c>
      <c r="FJ50" s="48">
        <f t="shared" ca="1" si="9"/>
        <v>6159062.1749999998</v>
      </c>
      <c r="FK50" s="48">
        <f t="shared" ca="1" si="9"/>
        <v>7827887.0875000004</v>
      </c>
      <c r="FL50" s="48">
        <f t="shared" ca="1" si="9"/>
        <v>24257622.853124999</v>
      </c>
      <c r="FM50" s="48">
        <f t="shared" ca="1" si="9"/>
        <v>11674874.110875001</v>
      </c>
      <c r="FN50" s="48">
        <f t="shared" ca="1" si="9"/>
        <v>69138519.29900001</v>
      </c>
      <c r="FO50" s="48">
        <f t="shared" ca="1" si="9"/>
        <v>3704708.2774999999</v>
      </c>
      <c r="FP50" s="48">
        <f t="shared" ca="1" si="9"/>
        <v>7555470.786749999</v>
      </c>
      <c r="FQ50" s="48">
        <f t="shared" ca="1" si="9"/>
        <v>3306452.2163749998</v>
      </c>
      <c r="FR50" s="48">
        <f t="shared" ca="1" si="9"/>
        <v>852386.58175000001</v>
      </c>
      <c r="FS50" s="48">
        <f t="shared" ca="1" si="9"/>
        <v>856355.27749999997</v>
      </c>
      <c r="FT50" s="48">
        <f t="shared" ca="1" si="9"/>
        <v>376526.15262499999</v>
      </c>
      <c r="FU50" s="48">
        <f t="shared" ca="1" si="9"/>
        <v>2699320.4518749998</v>
      </c>
      <c r="FV50" s="48">
        <f t="shared" ca="1" si="9"/>
        <v>2330330.6572499997</v>
      </c>
      <c r="FW50" s="48">
        <f t="shared" ca="1" si="9"/>
        <v>822710.47499999998</v>
      </c>
      <c r="FX50" s="48">
        <f t="shared" ca="1" si="9"/>
        <v>425298.09499999997</v>
      </c>
      <c r="FY50" s="7"/>
      <c r="FZ50" s="7">
        <f t="shared" ca="1" si="8"/>
        <v>2651219068.9118738</v>
      </c>
      <c r="GA50" s="23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</row>
    <row r="51" spans="1:204" ht="15.5" x14ac:dyDescent="0.35">
      <c r="A51" s="1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40"/>
      <c r="GA51" s="7"/>
      <c r="GB51" s="40"/>
      <c r="GC51" s="40"/>
      <c r="GD51" s="40"/>
      <c r="GE51" s="40"/>
      <c r="GF51" s="40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</row>
    <row r="52" spans="1:204" ht="15.5" x14ac:dyDescent="0.35">
      <c r="A52" s="7"/>
      <c r="B52" s="5" t="s">
        <v>522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</row>
    <row r="53" spans="1:204" ht="15.5" x14ac:dyDescent="0.35">
      <c r="A53" s="12" t="s">
        <v>523</v>
      </c>
      <c r="B53" s="7" t="s">
        <v>524</v>
      </c>
      <c r="C53" s="7">
        <v>701621.52</v>
      </c>
      <c r="D53" s="7">
        <v>2156961.41</v>
      </c>
      <c r="E53" s="7">
        <v>532239.5</v>
      </c>
      <c r="F53" s="7">
        <v>2030913.56</v>
      </c>
      <c r="G53" s="7">
        <v>134920.07</v>
      </c>
      <c r="H53" s="7">
        <v>95335.18</v>
      </c>
      <c r="I53" s="7">
        <v>651185.36</v>
      </c>
      <c r="J53" s="7">
        <v>120759.9</v>
      </c>
      <c r="K53" s="7">
        <v>37821.9</v>
      </c>
      <c r="L53" s="7">
        <v>151110.44</v>
      </c>
      <c r="M53" s="7">
        <v>150846.25</v>
      </c>
      <c r="N53" s="7">
        <v>6094691.3600000003</v>
      </c>
      <c r="O53" s="7">
        <v>1527460.18</v>
      </c>
      <c r="P53" s="7">
        <v>36091.64</v>
      </c>
      <c r="Q53" s="7">
        <v>4017559.83</v>
      </c>
      <c r="R53" s="7">
        <v>88884.73</v>
      </c>
      <c r="S53" s="7">
        <v>190765.89</v>
      </c>
      <c r="T53" s="7">
        <v>20757.04</v>
      </c>
      <c r="U53" s="7">
        <v>14925.51</v>
      </c>
      <c r="V53" s="7">
        <v>26208.28</v>
      </c>
      <c r="W53" s="7">
        <v>21207.66</v>
      </c>
      <c r="X53" s="7">
        <v>13099.11</v>
      </c>
      <c r="Y53" s="7">
        <v>39726.67</v>
      </c>
      <c r="Z53" s="7">
        <v>24638.73</v>
      </c>
      <c r="AA53" s="7">
        <v>2795182.66</v>
      </c>
      <c r="AB53" s="7">
        <v>3505779.52</v>
      </c>
      <c r="AC53" s="7">
        <v>67256.66</v>
      </c>
      <c r="AD53" s="7">
        <v>65746</v>
      </c>
      <c r="AE53" s="7">
        <v>34181.85</v>
      </c>
      <c r="AF53" s="7">
        <v>23524.98</v>
      </c>
      <c r="AG53" s="7">
        <v>165675.71</v>
      </c>
      <c r="AH53" s="7">
        <v>63893.09</v>
      </c>
      <c r="AI53" s="7">
        <v>22503.62</v>
      </c>
      <c r="AJ53" s="7">
        <v>24805.13</v>
      </c>
      <c r="AK53" s="7">
        <v>41185.230000000003</v>
      </c>
      <c r="AL53" s="7">
        <v>46195.55</v>
      </c>
      <c r="AM53" s="7">
        <v>40145.22</v>
      </c>
      <c r="AN53" s="7">
        <v>36006.050000000003</v>
      </c>
      <c r="AO53" s="7">
        <v>340384.13</v>
      </c>
      <c r="AP53" s="7">
        <v>6373574.1100000003</v>
      </c>
      <c r="AQ53" s="7">
        <v>62888.93</v>
      </c>
      <c r="AR53" s="7">
        <v>5521778.5700000003</v>
      </c>
      <c r="AS53" s="7">
        <v>499178.56</v>
      </c>
      <c r="AT53" s="7">
        <v>324467.76</v>
      </c>
      <c r="AU53" s="7">
        <v>64365.42</v>
      </c>
      <c r="AV53" s="7">
        <v>78312.94</v>
      </c>
      <c r="AW53" s="7">
        <v>20398.990000000002</v>
      </c>
      <c r="AX53" s="7">
        <v>27839.07</v>
      </c>
      <c r="AY53" s="7">
        <v>98696.13</v>
      </c>
      <c r="AZ53" s="7">
        <v>902868.01</v>
      </c>
      <c r="BA53" s="7">
        <v>943981.45</v>
      </c>
      <c r="BB53" s="7">
        <v>949195.64</v>
      </c>
      <c r="BC53" s="7">
        <v>1345516.86</v>
      </c>
      <c r="BD53" s="7">
        <v>67810.080000000002</v>
      </c>
      <c r="BE53" s="7">
        <v>137459.26999999999</v>
      </c>
      <c r="BF53" s="7">
        <v>1860802.99</v>
      </c>
      <c r="BG53" s="7">
        <v>184410.5</v>
      </c>
      <c r="BH53" s="7">
        <v>112822.37</v>
      </c>
      <c r="BI53" s="7">
        <v>97465.47</v>
      </c>
      <c r="BJ53" s="7">
        <v>533197.65</v>
      </c>
      <c r="BK53" s="7">
        <v>1063100.92</v>
      </c>
      <c r="BL53" s="7">
        <v>38711.730000000003</v>
      </c>
      <c r="BM53" s="7">
        <v>89696.2</v>
      </c>
      <c r="BN53" s="7">
        <v>151359.35</v>
      </c>
      <c r="BO53" s="7">
        <v>149064.18</v>
      </c>
      <c r="BP53" s="7">
        <v>37225.74</v>
      </c>
      <c r="BQ53" s="7">
        <v>389991.45</v>
      </c>
      <c r="BR53" s="7">
        <v>322761.28999999998</v>
      </c>
      <c r="BS53" s="7">
        <v>85685.87</v>
      </c>
      <c r="BT53" s="7">
        <v>65038.57</v>
      </c>
      <c r="BU53" s="7">
        <v>33658</v>
      </c>
      <c r="BV53" s="7">
        <v>162804.53</v>
      </c>
      <c r="BW53" s="7">
        <v>125879.26</v>
      </c>
      <c r="BX53" s="7">
        <v>0</v>
      </c>
      <c r="BY53" s="7">
        <v>62736.639999999999</v>
      </c>
      <c r="BZ53" s="7">
        <v>0</v>
      </c>
      <c r="CA53" s="7">
        <v>8522.44</v>
      </c>
      <c r="CB53" s="7">
        <v>5778583.6500000004</v>
      </c>
      <c r="CC53" s="7">
        <v>37347.82</v>
      </c>
      <c r="CD53" s="7">
        <v>10935.62</v>
      </c>
      <c r="CE53" s="7">
        <v>36314.339999999997</v>
      </c>
      <c r="CF53" s="7">
        <v>31478.69</v>
      </c>
      <c r="CG53" s="7">
        <v>19287.89</v>
      </c>
      <c r="CH53" s="7">
        <v>12304.78</v>
      </c>
      <c r="CI53" s="7">
        <v>44239.44</v>
      </c>
      <c r="CJ53" s="7">
        <v>66285.11</v>
      </c>
      <c r="CK53" s="7">
        <v>400987.34</v>
      </c>
      <c r="CL53" s="7">
        <v>88258.72</v>
      </c>
      <c r="CM53" s="7">
        <v>109733.71</v>
      </c>
      <c r="CN53" s="7">
        <v>2369707.4300000002</v>
      </c>
      <c r="CO53" s="7">
        <v>1291014.0900000001</v>
      </c>
      <c r="CP53" s="7">
        <v>107477.34</v>
      </c>
      <c r="CQ53" s="7">
        <v>61546.81</v>
      </c>
      <c r="CR53" s="7">
        <v>40283.03</v>
      </c>
      <c r="CS53" s="7">
        <v>41991.82</v>
      </c>
      <c r="CT53" s="7">
        <v>18936.03</v>
      </c>
      <c r="CU53" s="7">
        <v>14223.09</v>
      </c>
      <c r="CV53" s="7">
        <v>21895.42</v>
      </c>
      <c r="CW53" s="7">
        <v>39162.43</v>
      </c>
      <c r="CX53" s="7">
        <v>45903.19</v>
      </c>
      <c r="CY53" s="7">
        <v>15539.43</v>
      </c>
      <c r="CZ53" s="7">
        <v>89733.13</v>
      </c>
      <c r="DA53" s="7">
        <v>31044.81</v>
      </c>
      <c r="DB53" s="7">
        <v>37238.339999999997</v>
      </c>
      <c r="DC53" s="7">
        <v>44335.3</v>
      </c>
      <c r="DD53" s="7">
        <v>7915.31</v>
      </c>
      <c r="DE53" s="7">
        <v>26024.33</v>
      </c>
      <c r="DF53" s="7">
        <v>1600082.58</v>
      </c>
      <c r="DG53" s="7">
        <v>14388.44</v>
      </c>
      <c r="DH53" s="7">
        <v>83523.88</v>
      </c>
      <c r="DI53" s="7">
        <v>246118.53</v>
      </c>
      <c r="DJ53" s="7">
        <v>61843.38</v>
      </c>
      <c r="DK53" s="7">
        <v>25658.71</v>
      </c>
      <c r="DL53" s="7">
        <v>331029.75</v>
      </c>
      <c r="DM53" s="7">
        <v>42350.33</v>
      </c>
      <c r="DN53" s="7">
        <v>111077.28</v>
      </c>
      <c r="DO53" s="7">
        <v>202445.53</v>
      </c>
      <c r="DP53" s="7">
        <v>40330.129999999997</v>
      </c>
      <c r="DQ53" s="7">
        <v>0</v>
      </c>
      <c r="DR53" s="7">
        <v>35071.01</v>
      </c>
      <c r="DS53" s="7">
        <v>33129.4</v>
      </c>
      <c r="DT53" s="7">
        <v>8912.94</v>
      </c>
      <c r="DU53" s="7">
        <v>24953.69</v>
      </c>
      <c r="DV53" s="7">
        <v>31510.32</v>
      </c>
      <c r="DW53" s="7">
        <v>10932.4</v>
      </c>
      <c r="DX53" s="7">
        <v>6025.03</v>
      </c>
      <c r="DY53" s="7">
        <v>42213.17</v>
      </c>
      <c r="DZ53" s="7">
        <v>191773.21</v>
      </c>
      <c r="EA53" s="7">
        <v>0</v>
      </c>
      <c r="EB53" s="7">
        <v>49326.71</v>
      </c>
      <c r="EC53" s="7">
        <v>31889.06</v>
      </c>
      <c r="ED53" s="7">
        <v>0</v>
      </c>
      <c r="EE53" s="7">
        <v>18285.38</v>
      </c>
      <c r="EF53" s="7">
        <v>45211.1</v>
      </c>
      <c r="EG53" s="7">
        <v>45726.21</v>
      </c>
      <c r="EH53" s="7">
        <v>14687.77</v>
      </c>
      <c r="EI53" s="7">
        <v>567968.17000000004</v>
      </c>
      <c r="EJ53" s="7">
        <v>794219.94</v>
      </c>
      <c r="EK53" s="7">
        <v>52308.51</v>
      </c>
      <c r="EL53" s="7">
        <v>54222.65</v>
      </c>
      <c r="EM53" s="7">
        <v>36573.22</v>
      </c>
      <c r="EN53" s="7">
        <v>36857.279999999999</v>
      </c>
      <c r="EO53" s="7">
        <v>15923.67</v>
      </c>
      <c r="EP53" s="7">
        <v>35869.699999999997</v>
      </c>
      <c r="EQ53" s="7">
        <v>182266.56</v>
      </c>
      <c r="ER53" s="7">
        <v>65096.66</v>
      </c>
      <c r="ES53" s="7">
        <v>39641.71</v>
      </c>
      <c r="ET53" s="7">
        <v>37183.99</v>
      </c>
      <c r="EU53" s="7">
        <v>39055.519999999997</v>
      </c>
      <c r="EV53" s="7">
        <v>0</v>
      </c>
      <c r="EW53" s="7">
        <v>48796.44</v>
      </c>
      <c r="EX53" s="7">
        <v>18112.04</v>
      </c>
      <c r="EY53" s="7">
        <v>10604.92</v>
      </c>
      <c r="EZ53" s="7">
        <v>18641.03</v>
      </c>
      <c r="FA53" s="7">
        <v>342935.22</v>
      </c>
      <c r="FB53" s="7">
        <v>87988.03</v>
      </c>
      <c r="FC53" s="7">
        <v>228121.82</v>
      </c>
      <c r="FD53" s="7">
        <v>59144.05</v>
      </c>
      <c r="FE53" s="7">
        <v>28257.52</v>
      </c>
      <c r="FF53" s="7">
        <v>34287.82</v>
      </c>
      <c r="FG53" s="7">
        <v>26068.2</v>
      </c>
      <c r="FH53" s="7">
        <v>44224.14</v>
      </c>
      <c r="FI53" s="7">
        <v>130923.11</v>
      </c>
      <c r="FJ53" s="7">
        <v>137340.35999999999</v>
      </c>
      <c r="FK53" s="7">
        <v>245617.27</v>
      </c>
      <c r="FL53" s="7">
        <v>639959.91</v>
      </c>
      <c r="FM53" s="7">
        <v>282530.25</v>
      </c>
      <c r="FN53" s="7">
        <v>1586928.5</v>
      </c>
      <c r="FO53" s="7">
        <v>0</v>
      </c>
      <c r="FP53" s="7">
        <v>302829.90999999997</v>
      </c>
      <c r="FQ53" s="7">
        <v>153459.84</v>
      </c>
      <c r="FR53" s="7">
        <v>0</v>
      </c>
      <c r="FS53" s="7">
        <v>33409.58</v>
      </c>
      <c r="FT53" s="7">
        <v>30853.25</v>
      </c>
      <c r="FU53" s="7">
        <v>49773.34</v>
      </c>
      <c r="FV53" s="7">
        <v>111684.44</v>
      </c>
      <c r="FW53" s="7">
        <v>44605.7</v>
      </c>
      <c r="FX53" s="7">
        <v>18746.97</v>
      </c>
      <c r="FY53" s="7"/>
      <c r="FZ53" s="7">
        <f t="shared" ref="FZ53:FZ59" si="10">SUM(C53:FY53)</f>
        <v>70106719.680000052</v>
      </c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</row>
    <row r="54" spans="1:204" ht="15.5" x14ac:dyDescent="0.35">
      <c r="A54" s="12" t="s">
        <v>525</v>
      </c>
      <c r="B54" s="7" t="s">
        <v>526</v>
      </c>
      <c r="C54" s="53">
        <v>0</v>
      </c>
      <c r="D54" s="53">
        <v>2209860</v>
      </c>
      <c r="E54" s="53">
        <v>93166</v>
      </c>
      <c r="F54" s="53">
        <v>884043</v>
      </c>
      <c r="G54" s="53">
        <v>48632</v>
      </c>
      <c r="H54" s="53">
        <v>0</v>
      </c>
      <c r="I54" s="53">
        <v>297415</v>
      </c>
      <c r="J54" s="53">
        <v>98643</v>
      </c>
      <c r="K54" s="53">
        <v>64384</v>
      </c>
      <c r="L54" s="53">
        <v>219486</v>
      </c>
      <c r="M54" s="53">
        <v>0</v>
      </c>
      <c r="N54" s="53">
        <v>1975268</v>
      </c>
      <c r="O54" s="53">
        <v>555149</v>
      </c>
      <c r="P54" s="53">
        <v>41346</v>
      </c>
      <c r="Q54" s="53">
        <v>850098</v>
      </c>
      <c r="R54" s="53">
        <v>34250</v>
      </c>
      <c r="S54" s="53">
        <v>55379</v>
      </c>
      <c r="T54" s="53">
        <v>0</v>
      </c>
      <c r="U54" s="53">
        <v>1641</v>
      </c>
      <c r="V54" s="53">
        <v>10619</v>
      </c>
      <c r="W54" s="53">
        <v>0</v>
      </c>
      <c r="X54" s="53">
        <v>0</v>
      </c>
      <c r="Y54" s="53">
        <v>0</v>
      </c>
      <c r="Z54" s="53">
        <v>34140</v>
      </c>
      <c r="AA54" s="53">
        <v>1269611</v>
      </c>
      <c r="AB54" s="53">
        <v>1620720</v>
      </c>
      <c r="AC54" s="53">
        <v>0</v>
      </c>
      <c r="AD54" s="53">
        <v>0</v>
      </c>
      <c r="AE54" s="53">
        <v>10745</v>
      </c>
      <c r="AF54" s="53">
        <v>28859</v>
      </c>
      <c r="AG54" s="53">
        <v>0</v>
      </c>
      <c r="AH54" s="53">
        <v>170214</v>
      </c>
      <c r="AI54" s="53">
        <v>29386</v>
      </c>
      <c r="AJ54" s="53">
        <v>0</v>
      </c>
      <c r="AK54" s="53">
        <v>0</v>
      </c>
      <c r="AL54" s="53">
        <v>0</v>
      </c>
      <c r="AM54" s="53">
        <v>44176</v>
      </c>
      <c r="AN54" s="53">
        <v>0</v>
      </c>
      <c r="AO54" s="53">
        <v>296289</v>
      </c>
      <c r="AP54" s="53">
        <v>2307259</v>
      </c>
      <c r="AQ54" s="53">
        <v>19913</v>
      </c>
      <c r="AR54" s="53">
        <v>742087</v>
      </c>
      <c r="AS54" s="53">
        <v>97293</v>
      </c>
      <c r="AT54" s="53">
        <v>0</v>
      </c>
      <c r="AU54" s="53">
        <v>0</v>
      </c>
      <c r="AV54" s="53">
        <v>42097</v>
      </c>
      <c r="AW54" s="53">
        <v>16103</v>
      </c>
      <c r="AX54" s="53">
        <v>0</v>
      </c>
      <c r="AY54" s="53">
        <v>74442</v>
      </c>
      <c r="AZ54" s="53">
        <v>64029</v>
      </c>
      <c r="BA54" s="53">
        <v>641670</v>
      </c>
      <c r="BB54" s="53">
        <v>180338</v>
      </c>
      <c r="BC54" s="53">
        <v>707879</v>
      </c>
      <c r="BD54" s="53">
        <v>157668</v>
      </c>
      <c r="BE54" s="53">
        <v>203922</v>
      </c>
      <c r="BF54" s="53">
        <v>302104</v>
      </c>
      <c r="BG54" s="53">
        <v>58630</v>
      </c>
      <c r="BH54" s="53">
        <v>78110</v>
      </c>
      <c r="BI54" s="53">
        <v>0</v>
      </c>
      <c r="BJ54" s="53">
        <v>75786</v>
      </c>
      <c r="BK54" s="53">
        <v>461466</v>
      </c>
      <c r="BL54" s="53">
        <v>0</v>
      </c>
      <c r="BM54" s="53">
        <v>85084</v>
      </c>
      <c r="BN54" s="53">
        <v>73862</v>
      </c>
      <c r="BO54" s="53">
        <v>103005</v>
      </c>
      <c r="BP54" s="53">
        <v>0</v>
      </c>
      <c r="BQ54" s="53">
        <v>0</v>
      </c>
      <c r="BR54" s="53">
        <v>59232</v>
      </c>
      <c r="BS54" s="53">
        <v>0</v>
      </c>
      <c r="BT54" s="53">
        <v>0</v>
      </c>
      <c r="BU54" s="53">
        <v>45439</v>
      </c>
      <c r="BV54" s="53">
        <v>28180</v>
      </c>
      <c r="BW54" s="53">
        <v>47347</v>
      </c>
      <c r="BX54" s="53">
        <v>0</v>
      </c>
      <c r="BY54" s="53">
        <v>0</v>
      </c>
      <c r="BZ54" s="53">
        <v>34306</v>
      </c>
      <c r="CA54" s="53">
        <v>0</v>
      </c>
      <c r="CB54" s="53">
        <v>3282293</v>
      </c>
      <c r="CC54" s="53">
        <v>25288</v>
      </c>
      <c r="CD54" s="53">
        <v>0</v>
      </c>
      <c r="CE54" s="53">
        <v>6907</v>
      </c>
      <c r="CF54" s="53">
        <v>0</v>
      </c>
      <c r="CG54" s="53">
        <v>15425</v>
      </c>
      <c r="CH54" s="53">
        <v>28480</v>
      </c>
      <c r="CI54" s="53">
        <v>0</v>
      </c>
      <c r="CJ54" s="53">
        <v>46786</v>
      </c>
      <c r="CK54" s="53">
        <v>172382</v>
      </c>
      <c r="CL54" s="53">
        <v>147877</v>
      </c>
      <c r="CM54" s="53">
        <v>73405</v>
      </c>
      <c r="CN54" s="53">
        <v>3343175</v>
      </c>
      <c r="CO54" s="53">
        <v>344230</v>
      </c>
      <c r="CP54" s="53">
        <v>0</v>
      </c>
      <c r="CQ54" s="53">
        <v>50408</v>
      </c>
      <c r="CR54" s="53">
        <v>34815</v>
      </c>
      <c r="CS54" s="53">
        <v>37305</v>
      </c>
      <c r="CT54" s="53">
        <v>13035</v>
      </c>
      <c r="CU54" s="53">
        <v>10243</v>
      </c>
      <c r="CV54" s="53">
        <v>18971</v>
      </c>
      <c r="CW54" s="53">
        <v>60178</v>
      </c>
      <c r="CX54" s="53">
        <v>0</v>
      </c>
      <c r="CY54" s="53">
        <v>0</v>
      </c>
      <c r="CZ54" s="53">
        <v>78560</v>
      </c>
      <c r="DA54" s="53">
        <v>13836</v>
      </c>
      <c r="DB54" s="53">
        <v>36688</v>
      </c>
      <c r="DC54" s="53">
        <v>61080</v>
      </c>
      <c r="DD54" s="53">
        <v>0</v>
      </c>
      <c r="DE54" s="53">
        <v>28121</v>
      </c>
      <c r="DF54" s="53">
        <v>1846453</v>
      </c>
      <c r="DG54" s="53">
        <v>0</v>
      </c>
      <c r="DH54" s="53">
        <v>0</v>
      </c>
      <c r="DI54" s="53">
        <v>53127</v>
      </c>
      <c r="DJ54" s="53">
        <v>15299</v>
      </c>
      <c r="DK54" s="53">
        <v>33929</v>
      </c>
      <c r="DL54" s="53">
        <v>61994</v>
      </c>
      <c r="DM54" s="53">
        <v>24858</v>
      </c>
      <c r="DN54" s="53">
        <v>64362</v>
      </c>
      <c r="DO54" s="53">
        <v>40948</v>
      </c>
      <c r="DP54" s="53">
        <v>12491</v>
      </c>
      <c r="DQ54" s="53">
        <v>28815</v>
      </c>
      <c r="DR54" s="53">
        <v>37556</v>
      </c>
      <c r="DS54" s="53">
        <v>0</v>
      </c>
      <c r="DT54" s="53">
        <v>532</v>
      </c>
      <c r="DU54" s="53">
        <v>29769</v>
      </c>
      <c r="DV54" s="53">
        <v>27383</v>
      </c>
      <c r="DW54" s="53">
        <v>39527</v>
      </c>
      <c r="DX54" s="53">
        <v>15498</v>
      </c>
      <c r="DY54" s="53">
        <v>0</v>
      </c>
      <c r="DZ54" s="53">
        <v>37573</v>
      </c>
      <c r="EA54" s="53">
        <v>6370</v>
      </c>
      <c r="EB54" s="53">
        <v>30728</v>
      </c>
      <c r="EC54" s="53">
        <v>13315</v>
      </c>
      <c r="ED54" s="53">
        <v>98440</v>
      </c>
      <c r="EE54" s="53">
        <v>0</v>
      </c>
      <c r="EF54" s="53">
        <v>19796</v>
      </c>
      <c r="EG54" s="53">
        <v>18160</v>
      </c>
      <c r="EH54" s="53">
        <v>17505</v>
      </c>
      <c r="EI54" s="53">
        <v>192383</v>
      </c>
      <c r="EJ54" s="53">
        <v>325808</v>
      </c>
      <c r="EK54" s="53">
        <v>33783</v>
      </c>
      <c r="EL54" s="53">
        <v>35772</v>
      </c>
      <c r="EM54" s="53">
        <v>0</v>
      </c>
      <c r="EN54" s="53">
        <v>48879</v>
      </c>
      <c r="EO54" s="53">
        <v>16844</v>
      </c>
      <c r="EP54" s="53">
        <v>31771</v>
      </c>
      <c r="EQ54" s="53">
        <v>27564</v>
      </c>
      <c r="ER54" s="53">
        <v>56660</v>
      </c>
      <c r="ES54" s="53">
        <v>0</v>
      </c>
      <c r="ET54" s="53">
        <v>0</v>
      </c>
      <c r="EU54" s="53">
        <v>31487</v>
      </c>
      <c r="EV54" s="53">
        <v>0</v>
      </c>
      <c r="EW54" s="53">
        <v>39917</v>
      </c>
      <c r="EX54" s="53">
        <v>7391</v>
      </c>
      <c r="EY54" s="53">
        <v>145108</v>
      </c>
      <c r="EZ54" s="53">
        <v>9859</v>
      </c>
      <c r="FA54" s="53">
        <v>76704</v>
      </c>
      <c r="FB54" s="53">
        <v>0</v>
      </c>
      <c r="FC54" s="53">
        <v>40648</v>
      </c>
      <c r="FD54" s="53">
        <v>39396</v>
      </c>
      <c r="FE54" s="53">
        <v>14935</v>
      </c>
      <c r="FF54" s="53">
        <v>16159</v>
      </c>
      <c r="FG54" s="53">
        <v>4148</v>
      </c>
      <c r="FH54" s="53">
        <v>14948</v>
      </c>
      <c r="FI54" s="53">
        <v>43360</v>
      </c>
      <c r="FJ54" s="53">
        <v>54126</v>
      </c>
      <c r="FK54" s="53">
        <v>48361</v>
      </c>
      <c r="FL54" s="53">
        <v>279025</v>
      </c>
      <c r="FM54" s="53">
        <v>228835</v>
      </c>
      <c r="FN54" s="53">
        <v>161585</v>
      </c>
      <c r="FO54" s="53">
        <v>145622</v>
      </c>
      <c r="FP54" s="53">
        <v>5975</v>
      </c>
      <c r="FQ54" s="53">
        <v>28609</v>
      </c>
      <c r="FR54" s="53">
        <v>703</v>
      </c>
      <c r="FS54" s="53">
        <v>0</v>
      </c>
      <c r="FT54" s="53">
        <v>16088</v>
      </c>
      <c r="FU54" s="53">
        <v>1960</v>
      </c>
      <c r="FV54" s="53">
        <v>14932</v>
      </c>
      <c r="FW54" s="53">
        <v>12924</v>
      </c>
      <c r="FX54" s="53">
        <v>9218</v>
      </c>
      <c r="FY54" s="7"/>
      <c r="FZ54" s="7">
        <f t="shared" si="10"/>
        <v>30416173</v>
      </c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</row>
    <row r="55" spans="1:204" ht="15.5" x14ac:dyDescent="0.35">
      <c r="A55" s="12" t="s">
        <v>527</v>
      </c>
      <c r="B55" s="7" t="s">
        <v>528</v>
      </c>
      <c r="C55" s="7">
        <v>650236.13</v>
      </c>
      <c r="D55" s="7">
        <v>1823555.24</v>
      </c>
      <c r="E55" s="7">
        <v>686977.77</v>
      </c>
      <c r="F55" s="7">
        <v>1150602.08</v>
      </c>
      <c r="G55" s="7">
        <v>54145.84</v>
      </c>
      <c r="H55" s="7">
        <v>33841.18</v>
      </c>
      <c r="I55" s="7">
        <v>688910.45</v>
      </c>
      <c r="J55" s="7">
        <v>91855.34</v>
      </c>
      <c r="K55" s="7">
        <v>0</v>
      </c>
      <c r="L55" s="7">
        <v>67199.03</v>
      </c>
      <c r="M55" s="7">
        <v>86053.46</v>
      </c>
      <c r="N55" s="7">
        <v>2401275.83</v>
      </c>
      <c r="O55" s="7">
        <v>194345.46</v>
      </c>
      <c r="P55" s="7">
        <v>8218.65</v>
      </c>
      <c r="Q55" s="7">
        <v>5216401.66</v>
      </c>
      <c r="R55" s="7">
        <v>40125.589999999997</v>
      </c>
      <c r="S55" s="7">
        <v>28523.35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1086301.99</v>
      </c>
      <c r="AB55" s="7">
        <v>729519.41</v>
      </c>
      <c r="AC55" s="7">
        <v>10635.9</v>
      </c>
      <c r="AD55" s="7">
        <v>14019.97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63331.23</v>
      </c>
      <c r="AP55" s="7">
        <v>6926366.0700000003</v>
      </c>
      <c r="AQ55" s="7">
        <v>0</v>
      </c>
      <c r="AR55" s="7">
        <v>1080488.3899999999</v>
      </c>
      <c r="AS55" s="7">
        <v>554997.92000000004</v>
      </c>
      <c r="AT55" s="7">
        <v>15953.73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494565.99</v>
      </c>
      <c r="BA55" s="7">
        <v>92338.31</v>
      </c>
      <c r="BB55" s="7">
        <v>115059.42</v>
      </c>
      <c r="BC55" s="7">
        <v>629447.81999999995</v>
      </c>
      <c r="BD55" s="7">
        <v>34807.879999999997</v>
      </c>
      <c r="BE55" s="7">
        <v>0</v>
      </c>
      <c r="BF55" s="7">
        <v>244621.86</v>
      </c>
      <c r="BG55" s="7">
        <v>32390.91</v>
      </c>
      <c r="BH55" s="7">
        <v>0</v>
      </c>
      <c r="BI55" s="7">
        <v>8702.1</v>
      </c>
      <c r="BJ55" s="7">
        <v>43509.42</v>
      </c>
      <c r="BK55" s="7">
        <v>318589.39</v>
      </c>
      <c r="BL55" s="7">
        <v>0</v>
      </c>
      <c r="BM55" s="7">
        <v>0</v>
      </c>
      <c r="BN55" s="7">
        <v>9668.7199999999993</v>
      </c>
      <c r="BO55" s="7">
        <v>0</v>
      </c>
      <c r="BP55" s="7">
        <v>0</v>
      </c>
      <c r="BQ55" s="7">
        <v>584971.98</v>
      </c>
      <c r="BR55" s="7">
        <v>359684.96</v>
      </c>
      <c r="BS55" s="7">
        <v>88954.559999999998</v>
      </c>
      <c r="BT55" s="7">
        <v>0</v>
      </c>
      <c r="BU55" s="7">
        <v>20304.900000000001</v>
      </c>
      <c r="BV55" s="7">
        <v>39159.25</v>
      </c>
      <c r="BW55" s="7">
        <v>72033.929999999993</v>
      </c>
      <c r="BX55" s="7">
        <v>0</v>
      </c>
      <c r="BY55" s="7">
        <v>0</v>
      </c>
      <c r="BZ55" s="7">
        <v>0</v>
      </c>
      <c r="CA55" s="7">
        <v>0</v>
      </c>
      <c r="CB55" s="7">
        <v>1419394.24</v>
      </c>
      <c r="CC55" s="7">
        <v>0</v>
      </c>
      <c r="CD55" s="7">
        <v>0</v>
      </c>
      <c r="CE55" s="7">
        <v>0</v>
      </c>
      <c r="CF55" s="7">
        <v>0</v>
      </c>
      <c r="CG55" s="7">
        <v>8218.61</v>
      </c>
      <c r="CH55" s="7">
        <v>0</v>
      </c>
      <c r="CI55" s="7">
        <v>38675.879999999997</v>
      </c>
      <c r="CJ55" s="7">
        <v>82186.179999999993</v>
      </c>
      <c r="CK55" s="7">
        <v>77834.850000000006</v>
      </c>
      <c r="CL55" s="7">
        <v>13053.07</v>
      </c>
      <c r="CM55" s="7">
        <v>0</v>
      </c>
      <c r="CN55" s="7">
        <v>599473.56000000006</v>
      </c>
      <c r="CO55" s="7">
        <v>208364.79</v>
      </c>
      <c r="CP55" s="7">
        <v>71066.95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10152.370000000001</v>
      </c>
      <c r="CY55" s="7">
        <v>0</v>
      </c>
      <c r="CZ55" s="7">
        <v>16920.59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297319.15000000002</v>
      </c>
      <c r="DG55" s="7">
        <v>0</v>
      </c>
      <c r="DH55" s="7">
        <v>54629.69</v>
      </c>
      <c r="DI55" s="7">
        <v>28523.39</v>
      </c>
      <c r="DJ55" s="7">
        <v>0</v>
      </c>
      <c r="DK55" s="7">
        <v>11602.64</v>
      </c>
      <c r="DL55" s="7">
        <v>152286.07</v>
      </c>
      <c r="DM55" s="7">
        <v>0</v>
      </c>
      <c r="DN55" s="7">
        <v>33357.93</v>
      </c>
      <c r="DO55" s="7">
        <v>267828.90000000002</v>
      </c>
      <c r="DP55" s="7">
        <v>0</v>
      </c>
      <c r="DQ55" s="7">
        <v>31907.34</v>
      </c>
      <c r="DR55" s="7">
        <v>12569.66</v>
      </c>
      <c r="DS55" s="7">
        <v>14020.01</v>
      </c>
      <c r="DT55" s="7">
        <v>0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14020.01</v>
      </c>
      <c r="EB55" s="7">
        <v>34324.75</v>
      </c>
      <c r="EC55" s="7">
        <v>0</v>
      </c>
      <c r="ED55" s="7">
        <v>28039.78</v>
      </c>
      <c r="EE55" s="7">
        <v>0</v>
      </c>
      <c r="EF55" s="7">
        <v>31907.58</v>
      </c>
      <c r="EG55" s="7">
        <v>21755.21</v>
      </c>
      <c r="EH55" s="7">
        <v>0</v>
      </c>
      <c r="EI55" s="7">
        <v>205464.13</v>
      </c>
      <c r="EJ55" s="7">
        <v>112642.97</v>
      </c>
      <c r="EK55" s="7">
        <v>7735.16</v>
      </c>
      <c r="EL55" s="7">
        <v>0</v>
      </c>
      <c r="EM55" s="7">
        <v>0</v>
      </c>
      <c r="EN55" s="7">
        <v>0</v>
      </c>
      <c r="EO55" s="7">
        <v>0</v>
      </c>
      <c r="EP55" s="7">
        <v>7735.16</v>
      </c>
      <c r="EQ55" s="7">
        <v>81702.45</v>
      </c>
      <c r="ER55" s="7">
        <v>8218.65</v>
      </c>
      <c r="ES55" s="7">
        <v>0</v>
      </c>
      <c r="ET55" s="7">
        <v>0</v>
      </c>
      <c r="EU55" s="7">
        <v>46894.45</v>
      </c>
      <c r="EV55" s="7">
        <v>0</v>
      </c>
      <c r="EW55" s="7">
        <v>27556.29</v>
      </c>
      <c r="EX55" s="7">
        <v>0</v>
      </c>
      <c r="EY55" s="7">
        <v>7735.04</v>
      </c>
      <c r="EZ55" s="7">
        <v>0</v>
      </c>
      <c r="FA55" s="7">
        <v>313274.64</v>
      </c>
      <c r="FB55" s="7">
        <v>0</v>
      </c>
      <c r="FC55" s="7">
        <v>16920.310000000001</v>
      </c>
      <c r="FD55" s="7">
        <v>0</v>
      </c>
      <c r="FE55" s="7">
        <v>7735.12</v>
      </c>
      <c r="FF55" s="7">
        <v>0</v>
      </c>
      <c r="FG55" s="7">
        <v>0</v>
      </c>
      <c r="FH55" s="7">
        <v>0</v>
      </c>
      <c r="FI55" s="7">
        <v>84602.55</v>
      </c>
      <c r="FJ55" s="7">
        <v>39158.89</v>
      </c>
      <c r="FK55" s="7">
        <v>130529.86</v>
      </c>
      <c r="FL55" s="7">
        <v>80252.14</v>
      </c>
      <c r="FM55" s="7">
        <v>44477.04</v>
      </c>
      <c r="FN55" s="7">
        <v>1598271.54</v>
      </c>
      <c r="FO55" s="7">
        <v>26589.27</v>
      </c>
      <c r="FP55" s="7">
        <v>149868.57999999999</v>
      </c>
      <c r="FQ55" s="7">
        <v>28040.02</v>
      </c>
      <c r="FR55" s="7">
        <v>0</v>
      </c>
      <c r="FS55" s="7">
        <v>0</v>
      </c>
      <c r="FT55" s="7">
        <v>0</v>
      </c>
      <c r="FU55" s="7">
        <v>67682.600000000006</v>
      </c>
      <c r="FV55" s="7">
        <v>48344.68</v>
      </c>
      <c r="FW55" s="7">
        <v>0</v>
      </c>
      <c r="FX55" s="7">
        <v>0</v>
      </c>
      <c r="FY55" s="7"/>
      <c r="FZ55" s="7">
        <f t="shared" si="10"/>
        <v>33613557.809999995</v>
      </c>
      <c r="GA55" s="7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7"/>
      <c r="GO55" s="7"/>
      <c r="GP55" s="7"/>
      <c r="GQ55" s="7"/>
      <c r="GR55" s="7"/>
      <c r="GS55" s="7"/>
      <c r="GT55" s="7"/>
      <c r="GU55" s="7"/>
      <c r="GV55" s="7"/>
    </row>
    <row r="56" spans="1:204" ht="15.5" x14ac:dyDescent="0.35">
      <c r="A56" s="12" t="s">
        <v>529</v>
      </c>
      <c r="B56" s="7" t="s">
        <v>530</v>
      </c>
      <c r="C56" s="7">
        <v>2690629.83</v>
      </c>
      <c r="D56" s="7">
        <v>15433782.880000001</v>
      </c>
      <c r="E56" s="7">
        <v>2778137.62</v>
      </c>
      <c r="F56" s="7">
        <v>8951551.8000000007</v>
      </c>
      <c r="G56" s="7">
        <v>618058.42999999993</v>
      </c>
      <c r="H56" s="7">
        <v>731176.61</v>
      </c>
      <c r="I56" s="7">
        <v>3588368.7800000003</v>
      </c>
      <c r="J56" s="7">
        <v>794071.40999999992</v>
      </c>
      <c r="K56" s="7">
        <v>52485.71</v>
      </c>
      <c r="L56" s="7">
        <v>1454186.99</v>
      </c>
      <c r="M56" s="7">
        <v>485483.11</v>
      </c>
      <c r="N56" s="7">
        <v>25554146.369999997</v>
      </c>
      <c r="O56" s="7">
        <v>6089911.5999999996</v>
      </c>
      <c r="P56" s="7">
        <v>172255.84</v>
      </c>
      <c r="Q56" s="7">
        <v>16829677.649999999</v>
      </c>
      <c r="R56" s="7">
        <v>2440201.2599999998</v>
      </c>
      <c r="S56" s="7">
        <v>603010.38</v>
      </c>
      <c r="T56" s="7">
        <v>53367.53</v>
      </c>
      <c r="U56" s="7">
        <v>30402.6</v>
      </c>
      <c r="V56" s="7">
        <v>130332.47</v>
      </c>
      <c r="W56" s="7">
        <v>26242.86</v>
      </c>
      <c r="X56" s="7">
        <v>11041.56</v>
      </c>
      <c r="Y56" s="7">
        <v>393719.47</v>
      </c>
      <c r="Z56" s="7">
        <v>62166.23</v>
      </c>
      <c r="AA56" s="7">
        <v>13698132.26</v>
      </c>
      <c r="AB56" s="7">
        <v>12919492.01</v>
      </c>
      <c r="AC56" s="7">
        <v>432115.57999999996</v>
      </c>
      <c r="AD56" s="7">
        <v>530684.40999999992</v>
      </c>
      <c r="AE56" s="7">
        <v>45603.9</v>
      </c>
      <c r="AF56" s="7">
        <v>75527.26999999999</v>
      </c>
      <c r="AG56" s="7">
        <v>228019.48</v>
      </c>
      <c r="AH56" s="7">
        <v>301706.49</v>
      </c>
      <c r="AI56" s="7">
        <v>89290.91</v>
      </c>
      <c r="AJ56" s="7">
        <v>62166.23</v>
      </c>
      <c r="AK56" s="7">
        <v>64006.49</v>
      </c>
      <c r="AL56" s="7">
        <v>28083.119999999999</v>
      </c>
      <c r="AM56" s="7">
        <v>155214.28</v>
      </c>
      <c r="AN56" s="7">
        <v>122971.43</v>
      </c>
      <c r="AO56" s="7">
        <v>2120111.65</v>
      </c>
      <c r="AP56" s="7">
        <v>37100405.909999996</v>
      </c>
      <c r="AQ56" s="7">
        <v>148332.47</v>
      </c>
      <c r="AR56" s="7">
        <v>26436013.880000003</v>
      </c>
      <c r="AS56" s="7">
        <v>2546170.08</v>
      </c>
      <c r="AT56" s="7">
        <v>1058493.49</v>
      </c>
      <c r="AU56" s="7">
        <v>163054.53999999998</v>
      </c>
      <c r="AV56" s="7">
        <v>121131.17</v>
      </c>
      <c r="AW56" s="7">
        <v>137290.91</v>
      </c>
      <c r="AX56" s="7">
        <v>49284.41</v>
      </c>
      <c r="AY56" s="7">
        <v>138651.95000000001</v>
      </c>
      <c r="AZ56" s="7">
        <v>6049023.29</v>
      </c>
      <c r="BA56" s="7">
        <v>4104599.93</v>
      </c>
      <c r="BB56" s="7">
        <v>5189603.82</v>
      </c>
      <c r="BC56" s="7">
        <v>9442785.5599999987</v>
      </c>
      <c r="BD56" s="7">
        <v>1388512.97</v>
      </c>
      <c r="BE56" s="7">
        <v>394351.94</v>
      </c>
      <c r="BF56" s="7">
        <v>7670194.6900000004</v>
      </c>
      <c r="BG56" s="7">
        <v>444115.57999999996</v>
      </c>
      <c r="BH56" s="7">
        <v>151054.53999999998</v>
      </c>
      <c r="BI56" s="7">
        <v>151533.76000000001</v>
      </c>
      <c r="BJ56" s="7">
        <v>2233612.9500000002</v>
      </c>
      <c r="BK56" s="7">
        <v>10351469.969999999</v>
      </c>
      <c r="BL56" s="7">
        <v>36402.6</v>
      </c>
      <c r="BM56" s="7">
        <v>193936.36</v>
      </c>
      <c r="BN56" s="7">
        <v>1681497.38</v>
      </c>
      <c r="BO56" s="7">
        <v>741585.7</v>
      </c>
      <c r="BP56" s="7">
        <v>66325.97</v>
      </c>
      <c r="BQ56" s="7">
        <v>2274903.8600000003</v>
      </c>
      <c r="BR56" s="7">
        <v>1741516.85</v>
      </c>
      <c r="BS56" s="7">
        <v>450038.95</v>
      </c>
      <c r="BT56" s="7">
        <v>152012.97999999998</v>
      </c>
      <c r="BU56" s="7">
        <v>179616.88</v>
      </c>
      <c r="BV56" s="7">
        <v>532448.04</v>
      </c>
      <c r="BW56" s="7">
        <v>503809.08</v>
      </c>
      <c r="BX56" s="7">
        <v>30402.6</v>
      </c>
      <c r="BY56" s="7">
        <v>271303.89</v>
      </c>
      <c r="BZ56" s="7">
        <v>108249.35</v>
      </c>
      <c r="CA56" s="7">
        <v>70006.489999999991</v>
      </c>
      <c r="CB56" s="7">
        <v>31712686.510000002</v>
      </c>
      <c r="CC56" s="7">
        <v>74166.23000000001</v>
      </c>
      <c r="CD56" s="7">
        <v>9201.2999999999993</v>
      </c>
      <c r="CE56" s="7">
        <v>105929.87</v>
      </c>
      <c r="CF56" s="7">
        <v>43763.64</v>
      </c>
      <c r="CG56" s="7">
        <v>73207.790000000008</v>
      </c>
      <c r="CH56" s="7">
        <v>39603.9</v>
      </c>
      <c r="CI56" s="7">
        <v>387872.72</v>
      </c>
      <c r="CJ56" s="7">
        <v>445802.59</v>
      </c>
      <c r="CK56" s="7">
        <v>2520194.77</v>
      </c>
      <c r="CL56" s="7">
        <v>681566.22</v>
      </c>
      <c r="CM56" s="7">
        <v>323789.59999999998</v>
      </c>
      <c r="CN56" s="7">
        <v>10270632.32</v>
      </c>
      <c r="CO56" s="7">
        <v>6341816.7799999993</v>
      </c>
      <c r="CP56" s="7">
        <v>319706.49</v>
      </c>
      <c r="CQ56" s="7">
        <v>461962.33</v>
      </c>
      <c r="CR56" s="7">
        <v>108172.72</v>
      </c>
      <c r="CS56" s="7">
        <v>110012.98</v>
      </c>
      <c r="CT56" s="7">
        <v>64006.49</v>
      </c>
      <c r="CU56" s="7">
        <v>82409.09</v>
      </c>
      <c r="CV56" s="7">
        <v>11520.779999999999</v>
      </c>
      <c r="CW56" s="7">
        <v>127054.54</v>
      </c>
      <c r="CX56" s="7">
        <v>354671.42000000004</v>
      </c>
      <c r="CY56" s="7">
        <v>23041.559999999998</v>
      </c>
      <c r="CZ56" s="7">
        <v>1204966.22</v>
      </c>
      <c r="DA56" s="7">
        <v>88409.09</v>
      </c>
      <c r="DB56" s="7">
        <v>149214.28</v>
      </c>
      <c r="DC56" s="7">
        <v>75048.05</v>
      </c>
      <c r="DD56" s="7">
        <v>95846.75</v>
      </c>
      <c r="DE56" s="7">
        <v>106332.47</v>
      </c>
      <c r="DF56" s="7">
        <v>11026806.32</v>
      </c>
      <c r="DG56" s="7">
        <v>39124.67</v>
      </c>
      <c r="DH56" s="7">
        <v>980167.52</v>
      </c>
      <c r="DI56" s="7">
        <v>1436186.99</v>
      </c>
      <c r="DJ56" s="7">
        <v>277303.89</v>
      </c>
      <c r="DK56" s="7">
        <v>254338.96</v>
      </c>
      <c r="DL56" s="7">
        <v>2895473.9699999997</v>
      </c>
      <c r="DM56" s="7">
        <v>130332.47</v>
      </c>
      <c r="DN56" s="7">
        <v>596128.56000000006</v>
      </c>
      <c r="DO56" s="7">
        <v>1240276.6000000001</v>
      </c>
      <c r="DP56" s="7">
        <v>115610.39</v>
      </c>
      <c r="DQ56" s="7">
        <v>279067.53000000003</v>
      </c>
      <c r="DR56" s="7">
        <v>647349.34000000008</v>
      </c>
      <c r="DS56" s="7">
        <v>313629.86</v>
      </c>
      <c r="DT56" s="7">
        <v>46485.71</v>
      </c>
      <c r="DU56" s="7">
        <v>126651.95</v>
      </c>
      <c r="DV56" s="7">
        <v>65367.53</v>
      </c>
      <c r="DW56" s="7">
        <v>80568.83</v>
      </c>
      <c r="DX56" s="7">
        <v>69527.26999999999</v>
      </c>
      <c r="DY56" s="7">
        <v>115131.17</v>
      </c>
      <c r="DZ56" s="7">
        <v>353463.63</v>
      </c>
      <c r="EA56" s="7">
        <v>228422.07</v>
      </c>
      <c r="EB56" s="7">
        <v>268984.41000000003</v>
      </c>
      <c r="EC56" s="7">
        <v>154332.47</v>
      </c>
      <c r="ED56" s="7">
        <v>631898.68999999994</v>
      </c>
      <c r="EE56" s="7">
        <v>100409.09</v>
      </c>
      <c r="EF56" s="7">
        <v>759029.86</v>
      </c>
      <c r="EG56" s="7">
        <v>102249.35</v>
      </c>
      <c r="EH56" s="7">
        <v>92089.61</v>
      </c>
      <c r="EI56" s="7">
        <v>7574960.9299999997</v>
      </c>
      <c r="EJ56" s="7">
        <v>5183968.75</v>
      </c>
      <c r="EK56" s="7">
        <v>277706.49</v>
      </c>
      <c r="EL56" s="7">
        <v>262102.59</v>
      </c>
      <c r="EM56" s="7">
        <v>104492.21</v>
      </c>
      <c r="EN56" s="7">
        <v>493323.37</v>
      </c>
      <c r="EO56" s="7">
        <v>67207.790000000008</v>
      </c>
      <c r="EP56" s="7">
        <v>126172.72</v>
      </c>
      <c r="EQ56" s="7">
        <v>1204659.72</v>
      </c>
      <c r="ER56" s="7">
        <v>79610.39</v>
      </c>
      <c r="ES56" s="7">
        <v>47444.160000000003</v>
      </c>
      <c r="ET56" s="7">
        <v>84325.97</v>
      </c>
      <c r="EU56" s="7">
        <v>212262.33</v>
      </c>
      <c r="EV56" s="7">
        <v>53444.160000000003</v>
      </c>
      <c r="EW56" s="7">
        <v>237220.78</v>
      </c>
      <c r="EX56" s="7">
        <v>67687.010000000009</v>
      </c>
      <c r="EY56" s="7">
        <v>410435.06</v>
      </c>
      <c r="EZ56" s="7">
        <v>72325.97</v>
      </c>
      <c r="FA56" s="7">
        <v>1300199.98</v>
      </c>
      <c r="FB56" s="7">
        <v>200492.21000000002</v>
      </c>
      <c r="FC56" s="7">
        <v>726135.05</v>
      </c>
      <c r="FD56" s="7">
        <v>258422.07</v>
      </c>
      <c r="FE56" s="7">
        <v>27603.9</v>
      </c>
      <c r="FF56" s="7">
        <v>100888.31</v>
      </c>
      <c r="FG56" s="7">
        <v>76964.929999999993</v>
      </c>
      <c r="FH56" s="7">
        <v>27603.9</v>
      </c>
      <c r="FI56" s="7">
        <v>866148.04</v>
      </c>
      <c r="FJ56" s="7">
        <v>597815.57000000007</v>
      </c>
      <c r="FK56" s="7">
        <v>776703.88</v>
      </c>
      <c r="FL56" s="7">
        <v>2864073.98</v>
      </c>
      <c r="FM56" s="7">
        <v>1556455.8199999998</v>
      </c>
      <c r="FN56" s="7">
        <v>9177769.9699999988</v>
      </c>
      <c r="FO56" s="7">
        <v>454677.91</v>
      </c>
      <c r="FP56" s="7">
        <v>949438.95</v>
      </c>
      <c r="FQ56" s="7">
        <v>390671.42000000004</v>
      </c>
      <c r="FR56" s="7">
        <v>101367.53</v>
      </c>
      <c r="FS56" s="7">
        <v>44645.45</v>
      </c>
      <c r="FT56" s="7">
        <v>24881.82</v>
      </c>
      <c r="FU56" s="7">
        <v>446837.66</v>
      </c>
      <c r="FV56" s="7">
        <v>282748.05</v>
      </c>
      <c r="FW56" s="7">
        <v>45603.9</v>
      </c>
      <c r="FX56" s="7">
        <v>5520.78</v>
      </c>
      <c r="FY56" s="7"/>
      <c r="FZ56" s="7">
        <f t="shared" si="10"/>
        <v>363053318.98000008</v>
      </c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</row>
    <row r="57" spans="1:204" ht="15.5" x14ac:dyDescent="0.35">
      <c r="A57" s="12" t="s">
        <v>531</v>
      </c>
      <c r="B57" s="7" t="s">
        <v>532</v>
      </c>
      <c r="C57" s="7">
        <v>72960</v>
      </c>
      <c r="D57" s="7">
        <v>363896</v>
      </c>
      <c r="E57" s="7">
        <v>57021</v>
      </c>
      <c r="F57" s="7">
        <v>240269</v>
      </c>
      <c r="G57" s="7">
        <v>28019.55</v>
      </c>
      <c r="H57" s="7">
        <v>20218.36</v>
      </c>
      <c r="I57" s="7">
        <v>79344</v>
      </c>
      <c r="J57" s="7">
        <v>38201.040000000001</v>
      </c>
      <c r="K57" s="7">
        <v>5146.74</v>
      </c>
      <c r="L57" s="7">
        <v>40761.64</v>
      </c>
      <c r="M57" s="7">
        <v>27244.01</v>
      </c>
      <c r="N57" s="7">
        <v>545034</v>
      </c>
      <c r="O57" s="7">
        <v>137779</v>
      </c>
      <c r="P57" s="7">
        <v>6148.97</v>
      </c>
      <c r="Q57" s="7">
        <v>407047</v>
      </c>
      <c r="R57" s="7">
        <v>109966.09</v>
      </c>
      <c r="S57" s="7">
        <v>27131.16</v>
      </c>
      <c r="T57" s="7">
        <v>4114.28</v>
      </c>
      <c r="U57" s="7">
        <v>1378.96</v>
      </c>
      <c r="V57" s="7">
        <v>6894.81</v>
      </c>
      <c r="W57" s="7">
        <v>8160.75</v>
      </c>
      <c r="X57" s="7">
        <v>700.78</v>
      </c>
      <c r="Y57" s="7">
        <v>18640.23</v>
      </c>
      <c r="Z57" s="7">
        <v>5221.97</v>
      </c>
      <c r="AA57" s="7">
        <v>337985</v>
      </c>
      <c r="AB57" s="7">
        <v>294898</v>
      </c>
      <c r="AC57" s="7">
        <v>16906.52</v>
      </c>
      <c r="AD57" s="7">
        <v>22713.32</v>
      </c>
      <c r="AE57" s="7">
        <v>1822.55</v>
      </c>
      <c r="AF57" s="7">
        <v>2895.64</v>
      </c>
      <c r="AG57" s="7">
        <v>16336.29</v>
      </c>
      <c r="AH57" s="7">
        <v>17744.16</v>
      </c>
      <c r="AI57" s="7">
        <v>7413.53</v>
      </c>
      <c r="AJ57" s="7">
        <v>3381.61</v>
      </c>
      <c r="AK57" s="7">
        <v>3474.51</v>
      </c>
      <c r="AL57" s="7">
        <v>5611.24</v>
      </c>
      <c r="AM57" s="7">
        <v>7706.7</v>
      </c>
      <c r="AN57" s="7">
        <v>7751.12</v>
      </c>
      <c r="AO57" s="7">
        <v>73938.429999999993</v>
      </c>
      <c r="AP57" s="7">
        <v>917435.3</v>
      </c>
      <c r="AQ57" s="7">
        <v>4262.5</v>
      </c>
      <c r="AR57" s="7">
        <v>644279</v>
      </c>
      <c r="AS57" s="7">
        <v>67553</v>
      </c>
      <c r="AT57" s="7">
        <v>47957.32</v>
      </c>
      <c r="AU57" s="7">
        <v>5825.34</v>
      </c>
      <c r="AV57" s="7">
        <v>6325.96</v>
      </c>
      <c r="AW57" s="7">
        <v>5380.92</v>
      </c>
      <c r="AX57" s="7">
        <v>1277.49</v>
      </c>
      <c r="AY57" s="7">
        <v>8408.9</v>
      </c>
      <c r="AZ57" s="7">
        <v>128785</v>
      </c>
      <c r="BA57" s="7">
        <v>97499</v>
      </c>
      <c r="BB57" s="7">
        <v>81985</v>
      </c>
      <c r="BC57" s="7">
        <v>236484</v>
      </c>
      <c r="BD57" s="7">
        <v>58571.7</v>
      </c>
      <c r="BE57" s="7">
        <v>22382.57</v>
      </c>
      <c r="BF57" s="7">
        <v>276650</v>
      </c>
      <c r="BG57" s="7">
        <v>19093.599999999999</v>
      </c>
      <c r="BH57" s="7">
        <v>11668.31</v>
      </c>
      <c r="BI57" s="7">
        <v>5226.63</v>
      </c>
      <c r="BJ57" s="7">
        <v>95023.2</v>
      </c>
      <c r="BK57" s="7">
        <v>268249</v>
      </c>
      <c r="BL57" s="7">
        <v>1427.2</v>
      </c>
      <c r="BM57" s="7">
        <v>7830.31</v>
      </c>
      <c r="BN57" s="7">
        <v>51271</v>
      </c>
      <c r="BO57" s="7">
        <v>26538.18</v>
      </c>
      <c r="BP57" s="7">
        <v>3708.99</v>
      </c>
      <c r="BQ57" s="7">
        <v>85942.8</v>
      </c>
      <c r="BR57" s="7">
        <v>73117.600000000006</v>
      </c>
      <c r="BS57" s="7">
        <v>17889.830000000002</v>
      </c>
      <c r="BT57" s="7">
        <v>9771.7000000000007</v>
      </c>
      <c r="BU57" s="7">
        <v>8890.01</v>
      </c>
      <c r="BV57" s="7">
        <v>27816.43</v>
      </c>
      <c r="BW57" s="7">
        <v>42270.8</v>
      </c>
      <c r="BX57" s="7">
        <v>1554.98</v>
      </c>
      <c r="BY57" s="7">
        <v>10616.14</v>
      </c>
      <c r="BZ57" s="7">
        <v>4841.67</v>
      </c>
      <c r="CA57" s="7">
        <v>3352.68</v>
      </c>
      <c r="CB57" s="7">
        <v>792009</v>
      </c>
      <c r="CC57" s="7">
        <v>4905.49</v>
      </c>
      <c r="CD57" s="7">
        <v>8997.17</v>
      </c>
      <c r="CE57" s="7">
        <v>2980.8</v>
      </c>
      <c r="CF57" s="7">
        <v>1992.88</v>
      </c>
      <c r="CG57" s="7">
        <v>3747.3</v>
      </c>
      <c r="CH57" s="7">
        <v>1873.65</v>
      </c>
      <c r="CI57" s="7">
        <v>13081.47</v>
      </c>
      <c r="CJ57" s="7">
        <v>16735.23</v>
      </c>
      <c r="CK57" s="7">
        <v>54764</v>
      </c>
      <c r="CL57" s="7">
        <v>21211.02</v>
      </c>
      <c r="CM57" s="7">
        <v>11688.05</v>
      </c>
      <c r="CN57" s="7">
        <v>311035</v>
      </c>
      <c r="CO57" s="7">
        <v>156370</v>
      </c>
      <c r="CP57" s="7">
        <v>26685.42</v>
      </c>
      <c r="CQ57" s="7">
        <v>16523.87</v>
      </c>
      <c r="CR57" s="7">
        <v>5596.8</v>
      </c>
      <c r="CS57" s="7">
        <v>6507.39</v>
      </c>
      <c r="CT57" s="7">
        <v>2598.5100000000002</v>
      </c>
      <c r="CU57" s="7">
        <v>8972.64</v>
      </c>
      <c r="CV57" s="7">
        <v>587.75</v>
      </c>
      <c r="CW57" s="7">
        <v>3900.59</v>
      </c>
      <c r="CX57" s="7">
        <v>7988.55</v>
      </c>
      <c r="CY57" s="7">
        <v>613.19000000000005</v>
      </c>
      <c r="CZ57" s="7">
        <v>38013.18</v>
      </c>
      <c r="DA57" s="7">
        <v>4510.6499999999996</v>
      </c>
      <c r="DB57" s="7">
        <v>6592.49</v>
      </c>
      <c r="DC57" s="7">
        <v>4102.45</v>
      </c>
      <c r="DD57" s="7">
        <v>1746.8</v>
      </c>
      <c r="DE57" s="7">
        <v>3223.26</v>
      </c>
      <c r="DF57" s="7">
        <v>210114.94</v>
      </c>
      <c r="DG57" s="7">
        <v>1765.13</v>
      </c>
      <c r="DH57" s="7">
        <v>42389.91</v>
      </c>
      <c r="DI57" s="7">
        <v>42574.28</v>
      </c>
      <c r="DJ57" s="7">
        <v>11501.99</v>
      </c>
      <c r="DK57" s="7">
        <v>8812.5499999999993</v>
      </c>
      <c r="DL57" s="7">
        <v>88436.99</v>
      </c>
      <c r="DM57" s="7">
        <v>7051.61</v>
      </c>
      <c r="DN57" s="7">
        <v>23983.53</v>
      </c>
      <c r="DO57" s="7">
        <v>58518.64</v>
      </c>
      <c r="DP57" s="7">
        <v>3505.28</v>
      </c>
      <c r="DQ57" s="7">
        <v>14759.09</v>
      </c>
      <c r="DR57" s="7">
        <v>25854.55</v>
      </c>
      <c r="DS57" s="7">
        <v>12010.86</v>
      </c>
      <c r="DT57" s="7">
        <v>4019.92</v>
      </c>
      <c r="DU57" s="7">
        <v>7884.38</v>
      </c>
      <c r="DV57" s="7">
        <v>4328.59</v>
      </c>
      <c r="DW57" s="7">
        <v>5888.44</v>
      </c>
      <c r="DX57" s="7">
        <v>4655.16</v>
      </c>
      <c r="DY57" s="7">
        <v>9172.6</v>
      </c>
      <c r="DZ57" s="7">
        <v>18541.18</v>
      </c>
      <c r="EA57" s="7">
        <v>9866.42</v>
      </c>
      <c r="EB57" s="7">
        <v>10858.22</v>
      </c>
      <c r="EC57" s="7">
        <v>6327.16</v>
      </c>
      <c r="ED57" s="7">
        <v>33687.33</v>
      </c>
      <c r="EE57" s="7">
        <v>4566.3999999999996</v>
      </c>
      <c r="EF57" s="7">
        <v>33072.49</v>
      </c>
      <c r="EG57" s="7">
        <v>6035.79</v>
      </c>
      <c r="EH57" s="7">
        <v>5186.51</v>
      </c>
      <c r="EI57" s="7">
        <v>151275</v>
      </c>
      <c r="EJ57" s="7">
        <v>110787</v>
      </c>
      <c r="EK57" s="7">
        <v>21056.93</v>
      </c>
      <c r="EL57" s="7">
        <v>14460.43</v>
      </c>
      <c r="EM57" s="7">
        <v>6893.28</v>
      </c>
      <c r="EN57" s="7">
        <v>18766.080000000002</v>
      </c>
      <c r="EO57" s="7">
        <v>5518.34</v>
      </c>
      <c r="EP57" s="7">
        <v>9647.07</v>
      </c>
      <c r="EQ57" s="7">
        <v>43450.69</v>
      </c>
      <c r="ER57" s="7">
        <v>7375.9</v>
      </c>
      <c r="ES57" s="7">
        <v>4273.46</v>
      </c>
      <c r="ET57" s="7">
        <v>3511.67</v>
      </c>
      <c r="EU57" s="7">
        <v>11259.65</v>
      </c>
      <c r="EV57" s="7">
        <v>1268.5999999999999</v>
      </c>
      <c r="EW57" s="7">
        <v>22063.83</v>
      </c>
      <c r="EX57" s="7">
        <v>5316.25</v>
      </c>
      <c r="EY57" s="7">
        <v>16266.91</v>
      </c>
      <c r="EZ57" s="7">
        <v>2959.48</v>
      </c>
      <c r="FA57" s="7">
        <v>56402.27</v>
      </c>
      <c r="FB57" s="7">
        <v>5134.6099999999997</v>
      </c>
      <c r="FC57" s="7">
        <v>36430.43</v>
      </c>
      <c r="FD57" s="7">
        <v>8470.2199999999993</v>
      </c>
      <c r="FE57" s="7">
        <v>1567.05</v>
      </c>
      <c r="FF57" s="7">
        <v>4041.22</v>
      </c>
      <c r="FG57" s="7">
        <v>2551.27</v>
      </c>
      <c r="FH57" s="7">
        <v>1294.52</v>
      </c>
      <c r="FI57" s="7">
        <v>29652.36</v>
      </c>
      <c r="FJ57" s="7">
        <v>33660.800000000003</v>
      </c>
      <c r="FK57" s="7">
        <v>28229.33</v>
      </c>
      <c r="FL57" s="7">
        <v>87954</v>
      </c>
      <c r="FM57" s="7">
        <v>65650.460000000006</v>
      </c>
      <c r="FN57" s="7">
        <v>235486</v>
      </c>
      <c r="FO57" s="7">
        <v>19773.830000000002</v>
      </c>
      <c r="FP57" s="7">
        <v>25962.67</v>
      </c>
      <c r="FQ57" s="7">
        <v>16100.83</v>
      </c>
      <c r="FR57" s="7">
        <v>2884.73</v>
      </c>
      <c r="FS57" s="7">
        <v>2985.36</v>
      </c>
      <c r="FT57" s="7">
        <v>1140.48</v>
      </c>
      <c r="FU57" s="7">
        <v>17205.78</v>
      </c>
      <c r="FV57" s="7">
        <v>15144.35</v>
      </c>
      <c r="FW57" s="7">
        <v>2793.44</v>
      </c>
      <c r="FX57" s="7">
        <v>1090.1199999999999</v>
      </c>
      <c r="FY57" s="7"/>
      <c r="FZ57" s="7">
        <f t="shared" si="10"/>
        <v>9871723.2599999961</v>
      </c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</row>
    <row r="58" spans="1:204" ht="15.5" x14ac:dyDescent="0.35">
      <c r="A58" s="12" t="s">
        <v>533</v>
      </c>
      <c r="B58" s="7" t="s">
        <v>534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145544.46</v>
      </c>
      <c r="BX58" s="7">
        <v>0</v>
      </c>
      <c r="BY58" s="7">
        <v>126903.89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213115.94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206487.91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93286.26</v>
      </c>
      <c r="DG58" s="7">
        <v>0</v>
      </c>
      <c r="DH58" s="7">
        <v>46455.62</v>
      </c>
      <c r="DI58" s="7">
        <v>0</v>
      </c>
      <c r="DJ58" s="7">
        <v>0</v>
      </c>
      <c r="DK58" s="7">
        <v>0</v>
      </c>
      <c r="DL58" s="7">
        <v>0</v>
      </c>
      <c r="DM58" s="7">
        <v>61919.519999999997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261434.41000000003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159101.96000000002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0</v>
      </c>
      <c r="EW58" s="7">
        <v>0</v>
      </c>
      <c r="EX58" s="7">
        <v>0</v>
      </c>
      <c r="EY58" s="7">
        <v>0</v>
      </c>
      <c r="EZ58" s="7">
        <v>0</v>
      </c>
      <c r="FA58" s="7">
        <v>0</v>
      </c>
      <c r="FB58" s="7">
        <v>0</v>
      </c>
      <c r="FC58" s="7">
        <v>0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  <c r="FK58" s="7">
        <v>0</v>
      </c>
      <c r="FL58" s="7">
        <v>0</v>
      </c>
      <c r="FM58" s="7">
        <v>0</v>
      </c>
      <c r="FN58" s="7">
        <v>0</v>
      </c>
      <c r="FO58" s="7">
        <v>0</v>
      </c>
      <c r="FP58" s="7">
        <v>0</v>
      </c>
      <c r="FQ58" s="7">
        <v>0</v>
      </c>
      <c r="FR58" s="7">
        <v>0</v>
      </c>
      <c r="FS58" s="7">
        <v>0</v>
      </c>
      <c r="FT58" s="7">
        <v>0</v>
      </c>
      <c r="FU58" s="7">
        <v>0</v>
      </c>
      <c r="FV58" s="7">
        <v>0</v>
      </c>
      <c r="FW58" s="7">
        <v>0</v>
      </c>
      <c r="FX58" s="7">
        <v>0</v>
      </c>
      <c r="FY58" s="7"/>
      <c r="FZ58" s="7">
        <f t="shared" si="10"/>
        <v>1314249.97</v>
      </c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</row>
    <row r="59" spans="1:204" ht="15.5" x14ac:dyDescent="0.35">
      <c r="A59" s="12" t="s">
        <v>535</v>
      </c>
      <c r="B59" s="7" t="s">
        <v>536</v>
      </c>
      <c r="C59" s="7">
        <f t="shared" ref="C59:FX59" si="11">SUM(C53:C58)</f>
        <v>4115447.48</v>
      </c>
      <c r="D59" s="7">
        <f t="shared" si="11"/>
        <v>21988055.530000001</v>
      </c>
      <c r="E59" s="7">
        <f t="shared" si="11"/>
        <v>4147541.89</v>
      </c>
      <c r="F59" s="7">
        <f t="shared" si="11"/>
        <v>13257379.440000001</v>
      </c>
      <c r="G59" s="7">
        <f t="shared" si="11"/>
        <v>883775.89</v>
      </c>
      <c r="H59" s="7">
        <f t="shared" si="11"/>
        <v>880571.33</v>
      </c>
      <c r="I59" s="7">
        <f t="shared" si="11"/>
        <v>5305223.59</v>
      </c>
      <c r="J59" s="7">
        <f t="shared" si="11"/>
        <v>1143530.69</v>
      </c>
      <c r="K59" s="7">
        <f t="shared" si="11"/>
        <v>159838.34999999998</v>
      </c>
      <c r="L59" s="7">
        <f t="shared" si="11"/>
        <v>1932744.0999999999</v>
      </c>
      <c r="M59" s="7">
        <f t="shared" si="11"/>
        <v>749626.83000000007</v>
      </c>
      <c r="N59" s="7">
        <f t="shared" si="11"/>
        <v>36570415.560000002</v>
      </c>
      <c r="O59" s="7">
        <f t="shared" si="11"/>
        <v>8504645.2400000002</v>
      </c>
      <c r="P59" s="7">
        <f t="shared" si="11"/>
        <v>264061.09999999998</v>
      </c>
      <c r="Q59" s="7">
        <f t="shared" si="11"/>
        <v>27320784.140000001</v>
      </c>
      <c r="R59" s="7">
        <f t="shared" si="11"/>
        <v>2713427.6699999995</v>
      </c>
      <c r="S59" s="7">
        <f t="shared" si="11"/>
        <v>904809.78</v>
      </c>
      <c r="T59" s="7">
        <f t="shared" si="11"/>
        <v>78238.850000000006</v>
      </c>
      <c r="U59" s="7">
        <f t="shared" si="11"/>
        <v>48348.07</v>
      </c>
      <c r="V59" s="7">
        <f t="shared" si="11"/>
        <v>174054.56</v>
      </c>
      <c r="W59" s="7">
        <f t="shared" si="11"/>
        <v>55611.270000000004</v>
      </c>
      <c r="X59" s="7">
        <f t="shared" si="11"/>
        <v>24841.449999999997</v>
      </c>
      <c r="Y59" s="7">
        <f t="shared" si="11"/>
        <v>452086.36999999994</v>
      </c>
      <c r="Z59" s="7">
        <f t="shared" si="11"/>
        <v>126166.93</v>
      </c>
      <c r="AA59" s="7">
        <f t="shared" si="11"/>
        <v>19187212.91</v>
      </c>
      <c r="AB59" s="7">
        <f t="shared" si="11"/>
        <v>19070408.939999998</v>
      </c>
      <c r="AC59" s="7">
        <f t="shared" si="11"/>
        <v>526914.65999999992</v>
      </c>
      <c r="AD59" s="7">
        <f t="shared" si="11"/>
        <v>633163.69999999984</v>
      </c>
      <c r="AE59" s="7">
        <f t="shared" si="11"/>
        <v>92353.3</v>
      </c>
      <c r="AF59" s="7">
        <f t="shared" si="11"/>
        <v>130806.88999999998</v>
      </c>
      <c r="AG59" s="7">
        <f t="shared" si="11"/>
        <v>410031.48</v>
      </c>
      <c r="AH59" s="7">
        <f t="shared" si="11"/>
        <v>553557.74</v>
      </c>
      <c r="AI59" s="7">
        <f t="shared" si="11"/>
        <v>148594.06</v>
      </c>
      <c r="AJ59" s="7">
        <f t="shared" si="11"/>
        <v>90352.97</v>
      </c>
      <c r="AK59" s="7">
        <f t="shared" si="11"/>
        <v>108666.23</v>
      </c>
      <c r="AL59" s="7">
        <f t="shared" si="11"/>
        <v>79889.91</v>
      </c>
      <c r="AM59" s="7">
        <f t="shared" si="11"/>
        <v>247242.2</v>
      </c>
      <c r="AN59" s="7">
        <f t="shared" si="11"/>
        <v>166728.59999999998</v>
      </c>
      <c r="AO59" s="7">
        <f t="shared" si="11"/>
        <v>2894054.44</v>
      </c>
      <c r="AP59" s="7">
        <f t="shared" si="11"/>
        <v>53625040.389999993</v>
      </c>
      <c r="AQ59" s="7">
        <f t="shared" si="11"/>
        <v>235396.9</v>
      </c>
      <c r="AR59" s="7">
        <f t="shared" si="11"/>
        <v>34424646.840000004</v>
      </c>
      <c r="AS59" s="7">
        <f t="shared" si="11"/>
        <v>3765192.56</v>
      </c>
      <c r="AT59" s="7">
        <f t="shared" si="11"/>
        <v>1446872.3</v>
      </c>
      <c r="AU59" s="7">
        <f t="shared" si="11"/>
        <v>233245.29999999996</v>
      </c>
      <c r="AV59" s="7">
        <f t="shared" si="11"/>
        <v>247867.06999999998</v>
      </c>
      <c r="AW59" s="7">
        <f t="shared" si="11"/>
        <v>179173.82000000004</v>
      </c>
      <c r="AX59" s="7">
        <f t="shared" si="11"/>
        <v>78400.970000000016</v>
      </c>
      <c r="AY59" s="7">
        <f t="shared" si="11"/>
        <v>320198.98000000004</v>
      </c>
      <c r="AZ59" s="7">
        <f t="shared" si="11"/>
        <v>7639271.29</v>
      </c>
      <c r="BA59" s="7">
        <f t="shared" si="11"/>
        <v>5880088.6900000004</v>
      </c>
      <c r="BB59" s="7">
        <f t="shared" si="11"/>
        <v>6516181.8800000008</v>
      </c>
      <c r="BC59" s="7">
        <f t="shared" si="11"/>
        <v>12362113.239999998</v>
      </c>
      <c r="BD59" s="7">
        <f t="shared" si="11"/>
        <v>1707370.63</v>
      </c>
      <c r="BE59" s="7">
        <f t="shared" si="11"/>
        <v>758115.77999999991</v>
      </c>
      <c r="BF59" s="7">
        <f t="shared" si="11"/>
        <v>10354373.540000001</v>
      </c>
      <c r="BG59" s="7">
        <f t="shared" si="11"/>
        <v>738640.59</v>
      </c>
      <c r="BH59" s="7">
        <f t="shared" si="11"/>
        <v>353655.22</v>
      </c>
      <c r="BI59" s="7">
        <f t="shared" si="11"/>
        <v>262927.96000000002</v>
      </c>
      <c r="BJ59" s="7">
        <f t="shared" si="11"/>
        <v>2981129.2200000007</v>
      </c>
      <c r="BK59" s="7">
        <f t="shared" si="11"/>
        <v>12462875.279999999</v>
      </c>
      <c r="BL59" s="7">
        <f t="shared" si="11"/>
        <v>76541.53</v>
      </c>
      <c r="BM59" s="7">
        <f t="shared" si="11"/>
        <v>376546.87</v>
      </c>
      <c r="BN59" s="7">
        <f t="shared" si="11"/>
        <v>1967658.45</v>
      </c>
      <c r="BO59" s="7">
        <f t="shared" si="11"/>
        <v>1020193.0599999999</v>
      </c>
      <c r="BP59" s="7">
        <f t="shared" si="11"/>
        <v>107260.7</v>
      </c>
      <c r="BQ59" s="7">
        <f t="shared" si="11"/>
        <v>3335810.09</v>
      </c>
      <c r="BR59" s="7">
        <f t="shared" si="11"/>
        <v>2556312.7000000002</v>
      </c>
      <c r="BS59" s="7">
        <f t="shared" si="11"/>
        <v>642569.21</v>
      </c>
      <c r="BT59" s="7">
        <f t="shared" si="11"/>
        <v>226823.25</v>
      </c>
      <c r="BU59" s="7">
        <f t="shared" si="11"/>
        <v>287908.79000000004</v>
      </c>
      <c r="BV59" s="7">
        <f t="shared" si="11"/>
        <v>790408.25000000012</v>
      </c>
      <c r="BW59" s="7">
        <f t="shared" si="11"/>
        <v>936884.53</v>
      </c>
      <c r="BX59" s="7">
        <f t="shared" si="11"/>
        <v>31957.579999999998</v>
      </c>
      <c r="BY59" s="7">
        <f t="shared" si="11"/>
        <v>471560.56000000006</v>
      </c>
      <c r="BZ59" s="7">
        <f t="shared" si="11"/>
        <v>147397.02000000002</v>
      </c>
      <c r="CA59" s="7">
        <f t="shared" si="11"/>
        <v>81881.609999999986</v>
      </c>
      <c r="CB59" s="7">
        <f t="shared" si="11"/>
        <v>42984966.400000006</v>
      </c>
      <c r="CC59" s="7">
        <f t="shared" si="11"/>
        <v>141707.54</v>
      </c>
      <c r="CD59" s="7">
        <f t="shared" si="11"/>
        <v>29134.089999999997</v>
      </c>
      <c r="CE59" s="7">
        <f t="shared" si="11"/>
        <v>152132.00999999998</v>
      </c>
      <c r="CF59" s="7">
        <f t="shared" si="11"/>
        <v>77235.210000000006</v>
      </c>
      <c r="CG59" s="7">
        <f t="shared" si="11"/>
        <v>119886.59000000001</v>
      </c>
      <c r="CH59" s="7">
        <f t="shared" si="11"/>
        <v>82262.329999999987</v>
      </c>
      <c r="CI59" s="7">
        <f t="shared" si="11"/>
        <v>483869.50999999995</v>
      </c>
      <c r="CJ59" s="7">
        <f t="shared" si="11"/>
        <v>657795.11</v>
      </c>
      <c r="CK59" s="7">
        <f t="shared" si="11"/>
        <v>3439278.9</v>
      </c>
      <c r="CL59" s="7">
        <f t="shared" si="11"/>
        <v>951966.03</v>
      </c>
      <c r="CM59" s="7">
        <f t="shared" si="11"/>
        <v>518616.36</v>
      </c>
      <c r="CN59" s="7">
        <f t="shared" si="11"/>
        <v>16894023.310000002</v>
      </c>
      <c r="CO59" s="7">
        <f t="shared" si="11"/>
        <v>8341795.6599999992</v>
      </c>
      <c r="CP59" s="7">
        <f t="shared" si="11"/>
        <v>524936.19999999995</v>
      </c>
      <c r="CQ59" s="7">
        <f t="shared" si="11"/>
        <v>590441.01</v>
      </c>
      <c r="CR59" s="7">
        <f t="shared" si="11"/>
        <v>188867.55</v>
      </c>
      <c r="CS59" s="7">
        <f t="shared" si="11"/>
        <v>195817.19</v>
      </c>
      <c r="CT59" s="7">
        <f t="shared" si="11"/>
        <v>98576.029999999984</v>
      </c>
      <c r="CU59" s="7">
        <f t="shared" si="11"/>
        <v>115847.81999999999</v>
      </c>
      <c r="CV59" s="7">
        <f t="shared" si="11"/>
        <v>52974.95</v>
      </c>
      <c r="CW59" s="7">
        <f t="shared" si="11"/>
        <v>230295.55999999997</v>
      </c>
      <c r="CX59" s="7">
        <f t="shared" si="11"/>
        <v>418715.53</v>
      </c>
      <c r="CY59" s="7">
        <f t="shared" si="11"/>
        <v>39194.18</v>
      </c>
      <c r="CZ59" s="7">
        <f t="shared" si="11"/>
        <v>1634681.0299999998</v>
      </c>
      <c r="DA59" s="7">
        <f t="shared" si="11"/>
        <v>137800.54999999999</v>
      </c>
      <c r="DB59" s="7">
        <f t="shared" si="11"/>
        <v>229733.11</v>
      </c>
      <c r="DC59" s="7">
        <f t="shared" si="11"/>
        <v>184565.80000000002</v>
      </c>
      <c r="DD59" s="7">
        <f t="shared" si="11"/>
        <v>105508.86</v>
      </c>
      <c r="DE59" s="7">
        <f t="shared" si="11"/>
        <v>163701.06</v>
      </c>
      <c r="DF59" s="7">
        <f t="shared" si="11"/>
        <v>15074062.25</v>
      </c>
      <c r="DG59" s="7">
        <f t="shared" si="11"/>
        <v>55278.239999999998</v>
      </c>
      <c r="DH59" s="7">
        <f t="shared" si="11"/>
        <v>1207166.6200000001</v>
      </c>
      <c r="DI59" s="7">
        <f t="shared" si="11"/>
        <v>1806530.1900000002</v>
      </c>
      <c r="DJ59" s="7">
        <f t="shared" si="11"/>
        <v>365948.26</v>
      </c>
      <c r="DK59" s="7">
        <f t="shared" si="11"/>
        <v>334341.86</v>
      </c>
      <c r="DL59" s="7">
        <f t="shared" si="11"/>
        <v>3529220.7800000003</v>
      </c>
      <c r="DM59" s="7">
        <f t="shared" si="11"/>
        <v>266511.93</v>
      </c>
      <c r="DN59" s="7">
        <f t="shared" si="11"/>
        <v>828909.3</v>
      </c>
      <c r="DO59" s="7">
        <f t="shared" si="11"/>
        <v>1810017.6700000002</v>
      </c>
      <c r="DP59" s="7">
        <f t="shared" si="11"/>
        <v>171936.8</v>
      </c>
      <c r="DQ59" s="7">
        <f t="shared" si="11"/>
        <v>354548.96</v>
      </c>
      <c r="DR59" s="7">
        <f t="shared" si="11"/>
        <v>758400.56000000017</v>
      </c>
      <c r="DS59" s="7">
        <f t="shared" si="11"/>
        <v>372790.13</v>
      </c>
      <c r="DT59" s="7">
        <f t="shared" si="11"/>
        <v>59950.57</v>
      </c>
      <c r="DU59" s="7">
        <f t="shared" si="11"/>
        <v>189259.02000000002</v>
      </c>
      <c r="DV59" s="7">
        <f t="shared" si="11"/>
        <v>128589.44</v>
      </c>
      <c r="DW59" s="7">
        <f t="shared" si="11"/>
        <v>136916.67000000001</v>
      </c>
      <c r="DX59" s="7">
        <f t="shared" si="11"/>
        <v>95705.459999999992</v>
      </c>
      <c r="DY59" s="7">
        <f t="shared" si="11"/>
        <v>166516.94</v>
      </c>
      <c r="DZ59" s="7">
        <f t="shared" si="11"/>
        <v>601351.02</v>
      </c>
      <c r="EA59" s="7">
        <f t="shared" si="11"/>
        <v>520112.91000000003</v>
      </c>
      <c r="EB59" s="7">
        <f t="shared" si="11"/>
        <v>394222.08999999997</v>
      </c>
      <c r="EC59" s="7">
        <f t="shared" si="11"/>
        <v>205863.69</v>
      </c>
      <c r="ED59" s="7">
        <f t="shared" si="11"/>
        <v>792065.79999999993</v>
      </c>
      <c r="EE59" s="7">
        <f t="shared" si="11"/>
        <v>123260.87</v>
      </c>
      <c r="EF59" s="7">
        <f t="shared" si="11"/>
        <v>889017.03</v>
      </c>
      <c r="EG59" s="7">
        <f t="shared" si="11"/>
        <v>193926.56000000003</v>
      </c>
      <c r="EH59" s="7">
        <f t="shared" si="11"/>
        <v>129468.89</v>
      </c>
      <c r="EI59" s="7">
        <f t="shared" si="11"/>
        <v>8692051.2300000004</v>
      </c>
      <c r="EJ59" s="7">
        <f t="shared" si="11"/>
        <v>6686528.6200000001</v>
      </c>
      <c r="EK59" s="7">
        <f t="shared" si="11"/>
        <v>392590.09</v>
      </c>
      <c r="EL59" s="7">
        <f t="shared" si="11"/>
        <v>366557.67</v>
      </c>
      <c r="EM59" s="7">
        <f t="shared" si="11"/>
        <v>147958.71</v>
      </c>
      <c r="EN59" s="7">
        <f t="shared" si="11"/>
        <v>597825.73</v>
      </c>
      <c r="EO59" s="7">
        <f t="shared" si="11"/>
        <v>105493.8</v>
      </c>
      <c r="EP59" s="7">
        <f t="shared" si="11"/>
        <v>211195.65000000002</v>
      </c>
      <c r="EQ59" s="7">
        <f t="shared" si="11"/>
        <v>1539643.42</v>
      </c>
      <c r="ER59" s="7">
        <f t="shared" si="11"/>
        <v>216961.6</v>
      </c>
      <c r="ES59" s="7">
        <f t="shared" si="11"/>
        <v>91359.33</v>
      </c>
      <c r="ET59" s="7">
        <f t="shared" si="11"/>
        <v>125021.62999999999</v>
      </c>
      <c r="EU59" s="7">
        <f t="shared" si="11"/>
        <v>340958.95</v>
      </c>
      <c r="EV59" s="7">
        <f t="shared" si="11"/>
        <v>54712.76</v>
      </c>
      <c r="EW59" s="7">
        <f t="shared" si="11"/>
        <v>375554.34</v>
      </c>
      <c r="EX59" s="7">
        <f t="shared" si="11"/>
        <v>98506.300000000017</v>
      </c>
      <c r="EY59" s="7">
        <f t="shared" si="11"/>
        <v>590149.93000000005</v>
      </c>
      <c r="EZ59" s="7">
        <f t="shared" si="11"/>
        <v>103785.48</v>
      </c>
      <c r="FA59" s="7">
        <f t="shared" si="11"/>
        <v>2089516.1099999999</v>
      </c>
      <c r="FB59" s="7">
        <f t="shared" si="11"/>
        <v>293614.84999999998</v>
      </c>
      <c r="FC59" s="7">
        <f t="shared" si="11"/>
        <v>1048255.6100000001</v>
      </c>
      <c r="FD59" s="7">
        <f t="shared" si="11"/>
        <v>365432.33999999997</v>
      </c>
      <c r="FE59" s="7">
        <f t="shared" si="11"/>
        <v>80098.590000000011</v>
      </c>
      <c r="FF59" s="7">
        <f t="shared" si="11"/>
        <v>155376.35</v>
      </c>
      <c r="FG59" s="7">
        <f t="shared" si="11"/>
        <v>109732.4</v>
      </c>
      <c r="FH59" s="7">
        <f t="shared" si="11"/>
        <v>88070.560000000012</v>
      </c>
      <c r="FI59" s="7">
        <f t="shared" si="11"/>
        <v>1154686.06</v>
      </c>
      <c r="FJ59" s="7">
        <f t="shared" si="11"/>
        <v>862101.62000000011</v>
      </c>
      <c r="FK59" s="7">
        <f t="shared" si="11"/>
        <v>1229441.3400000001</v>
      </c>
      <c r="FL59" s="7">
        <f t="shared" si="11"/>
        <v>3951265.0300000003</v>
      </c>
      <c r="FM59" s="7">
        <f t="shared" si="11"/>
        <v>2177948.5699999998</v>
      </c>
      <c r="FN59" s="7">
        <f t="shared" si="11"/>
        <v>12760041.009999998</v>
      </c>
      <c r="FO59" s="7">
        <f t="shared" si="11"/>
        <v>646663.00999999989</v>
      </c>
      <c r="FP59" s="7">
        <f t="shared" si="11"/>
        <v>1434075.1099999999</v>
      </c>
      <c r="FQ59" s="7">
        <f t="shared" si="11"/>
        <v>616881.11</v>
      </c>
      <c r="FR59" s="7">
        <f t="shared" si="11"/>
        <v>104955.26</v>
      </c>
      <c r="FS59" s="7">
        <f t="shared" si="11"/>
        <v>81040.39</v>
      </c>
      <c r="FT59" s="7">
        <f t="shared" si="11"/>
        <v>72963.55</v>
      </c>
      <c r="FU59" s="7">
        <f t="shared" si="11"/>
        <v>583459.38</v>
      </c>
      <c r="FV59" s="7">
        <f t="shared" si="11"/>
        <v>472853.51999999996</v>
      </c>
      <c r="FW59" s="7">
        <f t="shared" si="11"/>
        <v>105927.04000000001</v>
      </c>
      <c r="FX59" s="7">
        <f t="shared" si="11"/>
        <v>34575.870000000003</v>
      </c>
      <c r="FY59" s="7"/>
      <c r="FZ59" s="7">
        <f t="shared" si="10"/>
        <v>508375742.69999957</v>
      </c>
      <c r="GA59" s="49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</row>
    <row r="60" spans="1:204" ht="15.5" x14ac:dyDescent="0.3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</row>
    <row r="61" spans="1:204" ht="15.5" x14ac:dyDescent="0.35">
      <c r="A61" s="54">
        <v>0.08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23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</row>
    <row r="62" spans="1:204" ht="15.5" x14ac:dyDescent="0.35">
      <c r="A62" s="7"/>
      <c r="B62" s="5" t="s">
        <v>537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23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</row>
    <row r="63" spans="1:204" ht="15.5" x14ac:dyDescent="0.35">
      <c r="A63" s="12" t="s">
        <v>538</v>
      </c>
      <c r="B63" s="7" t="s">
        <v>539</v>
      </c>
      <c r="C63" s="23">
        <f t="shared" ref="C63:FX63" si="12">C16</f>
        <v>6364.5</v>
      </c>
      <c r="D63" s="23">
        <f t="shared" si="12"/>
        <v>32089</v>
      </c>
      <c r="E63" s="23">
        <f t="shared" si="12"/>
        <v>4691</v>
      </c>
      <c r="F63" s="23">
        <f t="shared" si="12"/>
        <v>21462.5</v>
      </c>
      <c r="G63" s="23">
        <f t="shared" si="12"/>
        <v>1844</v>
      </c>
      <c r="H63" s="23">
        <f t="shared" si="12"/>
        <v>1070</v>
      </c>
      <c r="I63" s="23">
        <f t="shared" si="12"/>
        <v>7027</v>
      </c>
      <c r="J63" s="23">
        <f t="shared" si="12"/>
        <v>1988</v>
      </c>
      <c r="K63" s="23">
        <f t="shared" si="12"/>
        <v>248.5</v>
      </c>
      <c r="L63" s="23">
        <f t="shared" si="12"/>
        <v>2062</v>
      </c>
      <c r="M63" s="23">
        <f t="shared" si="12"/>
        <v>839</v>
      </c>
      <c r="N63" s="23">
        <f t="shared" si="12"/>
        <v>49557</v>
      </c>
      <c r="O63" s="23">
        <f t="shared" si="12"/>
        <v>12263.5</v>
      </c>
      <c r="P63" s="23">
        <f t="shared" si="12"/>
        <v>313</v>
      </c>
      <c r="Q63" s="23">
        <f t="shared" si="12"/>
        <v>37352</v>
      </c>
      <c r="R63" s="23">
        <f t="shared" si="12"/>
        <v>481</v>
      </c>
      <c r="S63" s="23">
        <f t="shared" si="12"/>
        <v>1545.5</v>
      </c>
      <c r="T63" s="23">
        <f t="shared" si="12"/>
        <v>160</v>
      </c>
      <c r="U63" s="23">
        <f t="shared" si="12"/>
        <v>54</v>
      </c>
      <c r="V63" s="23">
        <f t="shared" si="12"/>
        <v>253</v>
      </c>
      <c r="W63" s="23">
        <f t="shared" si="12"/>
        <v>46</v>
      </c>
      <c r="X63" s="23">
        <f t="shared" si="12"/>
        <v>37.5</v>
      </c>
      <c r="Y63" s="23">
        <f t="shared" si="12"/>
        <v>397</v>
      </c>
      <c r="Z63" s="23">
        <f t="shared" si="12"/>
        <v>231</v>
      </c>
      <c r="AA63" s="23">
        <f t="shared" si="12"/>
        <v>30254.5</v>
      </c>
      <c r="AB63" s="23">
        <f t="shared" si="12"/>
        <v>26514</v>
      </c>
      <c r="AC63" s="23">
        <f t="shared" si="12"/>
        <v>847.5</v>
      </c>
      <c r="AD63" s="23">
        <f t="shared" si="12"/>
        <v>1281</v>
      </c>
      <c r="AE63" s="23">
        <f t="shared" si="12"/>
        <v>97</v>
      </c>
      <c r="AF63" s="23">
        <f t="shared" si="12"/>
        <v>164</v>
      </c>
      <c r="AG63" s="23">
        <f t="shared" si="12"/>
        <v>585.5</v>
      </c>
      <c r="AH63" s="23">
        <f t="shared" si="12"/>
        <v>908</v>
      </c>
      <c r="AI63" s="23">
        <f t="shared" si="12"/>
        <v>383</v>
      </c>
      <c r="AJ63" s="23">
        <f t="shared" si="12"/>
        <v>181.5</v>
      </c>
      <c r="AK63" s="23">
        <f t="shared" si="12"/>
        <v>162.5</v>
      </c>
      <c r="AL63" s="23">
        <f t="shared" si="12"/>
        <v>288.5</v>
      </c>
      <c r="AM63" s="23">
        <f t="shared" si="12"/>
        <v>306</v>
      </c>
      <c r="AN63" s="23">
        <f t="shared" si="12"/>
        <v>267</v>
      </c>
      <c r="AO63" s="23">
        <f t="shared" si="12"/>
        <v>3681</v>
      </c>
      <c r="AP63" s="23">
        <f t="shared" si="12"/>
        <v>83522.5</v>
      </c>
      <c r="AQ63" s="23">
        <f t="shared" si="12"/>
        <v>251</v>
      </c>
      <c r="AR63" s="23">
        <f t="shared" si="12"/>
        <v>57312</v>
      </c>
      <c r="AS63" s="23">
        <f t="shared" si="12"/>
        <v>5954.5</v>
      </c>
      <c r="AT63" s="23">
        <f t="shared" si="12"/>
        <v>2358</v>
      </c>
      <c r="AU63" s="23">
        <f t="shared" si="12"/>
        <v>268</v>
      </c>
      <c r="AV63" s="23">
        <f t="shared" si="12"/>
        <v>296</v>
      </c>
      <c r="AW63" s="23">
        <f t="shared" si="12"/>
        <v>255</v>
      </c>
      <c r="AX63" s="23">
        <f t="shared" si="12"/>
        <v>81</v>
      </c>
      <c r="AY63" s="23">
        <f t="shared" si="12"/>
        <v>391.5</v>
      </c>
      <c r="AZ63" s="23">
        <f t="shared" si="12"/>
        <v>11778.5</v>
      </c>
      <c r="BA63" s="23">
        <f t="shared" si="12"/>
        <v>8849.5</v>
      </c>
      <c r="BB63" s="23">
        <f t="shared" si="12"/>
        <v>7441</v>
      </c>
      <c r="BC63" s="23">
        <f t="shared" si="12"/>
        <v>20968.5</v>
      </c>
      <c r="BD63" s="23">
        <f t="shared" si="12"/>
        <v>3633.5</v>
      </c>
      <c r="BE63" s="23">
        <f t="shared" si="12"/>
        <v>1092</v>
      </c>
      <c r="BF63" s="23">
        <f t="shared" si="12"/>
        <v>24344</v>
      </c>
      <c r="BG63" s="23">
        <f t="shared" si="12"/>
        <v>919.5</v>
      </c>
      <c r="BH63" s="23">
        <f t="shared" si="12"/>
        <v>534</v>
      </c>
      <c r="BI63" s="23">
        <f t="shared" si="12"/>
        <v>254.5</v>
      </c>
      <c r="BJ63" s="23">
        <f t="shared" si="12"/>
        <v>6294</v>
      </c>
      <c r="BK63" s="23">
        <f t="shared" si="12"/>
        <v>21812.5</v>
      </c>
      <c r="BL63" s="23">
        <f t="shared" si="12"/>
        <v>69.5</v>
      </c>
      <c r="BM63" s="23">
        <f t="shared" si="12"/>
        <v>330.5</v>
      </c>
      <c r="BN63" s="23">
        <f t="shared" si="12"/>
        <v>2993</v>
      </c>
      <c r="BO63" s="23">
        <f t="shared" si="12"/>
        <v>1186</v>
      </c>
      <c r="BP63" s="23">
        <f t="shared" si="12"/>
        <v>137</v>
      </c>
      <c r="BQ63" s="23">
        <f t="shared" si="12"/>
        <v>5582</v>
      </c>
      <c r="BR63" s="23">
        <f t="shared" si="12"/>
        <v>4474.5</v>
      </c>
      <c r="BS63" s="23">
        <f t="shared" si="12"/>
        <v>1158</v>
      </c>
      <c r="BT63" s="23">
        <f t="shared" si="12"/>
        <v>353</v>
      </c>
      <c r="BU63" s="23">
        <f t="shared" si="12"/>
        <v>382</v>
      </c>
      <c r="BV63" s="23">
        <f t="shared" si="12"/>
        <v>1243</v>
      </c>
      <c r="BW63" s="23">
        <f t="shared" si="12"/>
        <v>2017.5</v>
      </c>
      <c r="BX63" s="23">
        <f t="shared" si="12"/>
        <v>57</v>
      </c>
      <c r="BY63" s="23">
        <f t="shared" si="12"/>
        <v>392.5</v>
      </c>
      <c r="BZ63" s="23">
        <f t="shared" si="12"/>
        <v>228</v>
      </c>
      <c r="CA63" s="23">
        <f t="shared" si="12"/>
        <v>141.5</v>
      </c>
      <c r="CB63" s="23">
        <f t="shared" si="12"/>
        <v>70207.5</v>
      </c>
      <c r="CC63" s="23">
        <f t="shared" si="12"/>
        <v>186</v>
      </c>
      <c r="CD63" s="23">
        <f t="shared" si="12"/>
        <v>30</v>
      </c>
      <c r="CE63" s="23">
        <f t="shared" si="12"/>
        <v>158</v>
      </c>
      <c r="CF63" s="23">
        <f t="shared" si="12"/>
        <v>100</v>
      </c>
      <c r="CG63" s="23">
        <f t="shared" si="12"/>
        <v>191</v>
      </c>
      <c r="CH63" s="23">
        <f t="shared" si="12"/>
        <v>90</v>
      </c>
      <c r="CI63" s="23">
        <f t="shared" si="12"/>
        <v>683</v>
      </c>
      <c r="CJ63" s="23">
        <f t="shared" si="12"/>
        <v>822.5</v>
      </c>
      <c r="CK63" s="23">
        <f t="shared" si="12"/>
        <v>4188.5</v>
      </c>
      <c r="CL63" s="23">
        <f t="shared" si="12"/>
        <v>1148</v>
      </c>
      <c r="CM63" s="23">
        <f t="shared" si="12"/>
        <v>675.5</v>
      </c>
      <c r="CN63" s="23">
        <f t="shared" si="12"/>
        <v>27905.5</v>
      </c>
      <c r="CO63" s="23">
        <f t="shared" si="12"/>
        <v>13919.5</v>
      </c>
      <c r="CP63" s="23">
        <f t="shared" si="12"/>
        <v>856.5</v>
      </c>
      <c r="CQ63" s="23">
        <f t="shared" si="12"/>
        <v>759</v>
      </c>
      <c r="CR63" s="23">
        <f t="shared" si="12"/>
        <v>195</v>
      </c>
      <c r="CS63" s="23">
        <f t="shared" si="12"/>
        <v>245.5</v>
      </c>
      <c r="CT63" s="23">
        <f t="shared" si="12"/>
        <v>112</v>
      </c>
      <c r="CU63" s="23">
        <f t="shared" si="12"/>
        <v>67</v>
      </c>
      <c r="CV63" s="23">
        <f t="shared" si="12"/>
        <v>24</v>
      </c>
      <c r="CW63" s="23">
        <f t="shared" si="12"/>
        <v>187</v>
      </c>
      <c r="CX63" s="23">
        <f t="shared" si="12"/>
        <v>457</v>
      </c>
      <c r="CY63" s="23">
        <f t="shared" si="12"/>
        <v>25</v>
      </c>
      <c r="CZ63" s="23">
        <f t="shared" si="12"/>
        <v>1768</v>
      </c>
      <c r="DA63" s="23">
        <f t="shared" si="12"/>
        <v>203.5</v>
      </c>
      <c r="DB63" s="23">
        <f t="shared" si="12"/>
        <v>310.5</v>
      </c>
      <c r="DC63" s="23">
        <f t="shared" si="12"/>
        <v>193</v>
      </c>
      <c r="DD63" s="23">
        <f t="shared" si="12"/>
        <v>174.5</v>
      </c>
      <c r="DE63" s="23">
        <f t="shared" si="12"/>
        <v>279.5</v>
      </c>
      <c r="DF63" s="23">
        <f t="shared" si="12"/>
        <v>18445.5</v>
      </c>
      <c r="DG63" s="23">
        <f t="shared" si="12"/>
        <v>93.5</v>
      </c>
      <c r="DH63" s="23">
        <f t="shared" si="12"/>
        <v>1684</v>
      </c>
      <c r="DI63" s="23">
        <f t="shared" si="12"/>
        <v>2289</v>
      </c>
      <c r="DJ63" s="23">
        <f t="shared" si="12"/>
        <v>600</v>
      </c>
      <c r="DK63" s="23">
        <f t="shared" si="12"/>
        <v>472.5</v>
      </c>
      <c r="DL63" s="23">
        <f t="shared" si="12"/>
        <v>5616</v>
      </c>
      <c r="DM63" s="23">
        <f t="shared" si="12"/>
        <v>235</v>
      </c>
      <c r="DN63" s="23">
        <f t="shared" si="12"/>
        <v>1294.5</v>
      </c>
      <c r="DO63" s="23">
        <f t="shared" si="12"/>
        <v>3290</v>
      </c>
      <c r="DP63" s="23">
        <f t="shared" si="12"/>
        <v>199</v>
      </c>
      <c r="DQ63" s="23">
        <f t="shared" si="12"/>
        <v>887</v>
      </c>
      <c r="DR63" s="23">
        <f t="shared" si="12"/>
        <v>1266</v>
      </c>
      <c r="DS63" s="23">
        <f t="shared" si="12"/>
        <v>545</v>
      </c>
      <c r="DT63" s="23">
        <f t="shared" si="12"/>
        <v>175</v>
      </c>
      <c r="DU63" s="23">
        <f t="shared" si="12"/>
        <v>346</v>
      </c>
      <c r="DV63" s="23">
        <f t="shared" si="12"/>
        <v>198</v>
      </c>
      <c r="DW63" s="23">
        <f t="shared" si="12"/>
        <v>285</v>
      </c>
      <c r="DX63" s="23">
        <f t="shared" si="12"/>
        <v>168</v>
      </c>
      <c r="DY63" s="23">
        <f t="shared" si="12"/>
        <v>280</v>
      </c>
      <c r="DZ63" s="23">
        <f t="shared" si="12"/>
        <v>606.5</v>
      </c>
      <c r="EA63" s="23">
        <f t="shared" si="12"/>
        <v>487.5</v>
      </c>
      <c r="EB63" s="23">
        <f t="shared" si="12"/>
        <v>498</v>
      </c>
      <c r="EC63" s="23">
        <f t="shared" si="12"/>
        <v>260</v>
      </c>
      <c r="ED63" s="23">
        <f t="shared" si="12"/>
        <v>1546.5</v>
      </c>
      <c r="EE63" s="23">
        <f t="shared" si="12"/>
        <v>185.5</v>
      </c>
      <c r="EF63" s="23">
        <f t="shared" si="12"/>
        <v>1260</v>
      </c>
      <c r="EG63" s="23">
        <f t="shared" si="12"/>
        <v>250</v>
      </c>
      <c r="EH63" s="23">
        <f t="shared" si="12"/>
        <v>246</v>
      </c>
      <c r="EI63" s="23">
        <f t="shared" si="12"/>
        <v>13258.5</v>
      </c>
      <c r="EJ63" s="23">
        <f t="shared" si="12"/>
        <v>9752</v>
      </c>
      <c r="EK63" s="23">
        <f t="shared" si="12"/>
        <v>663.5</v>
      </c>
      <c r="EL63" s="23">
        <f t="shared" si="12"/>
        <v>447</v>
      </c>
      <c r="EM63" s="23">
        <f t="shared" si="12"/>
        <v>355</v>
      </c>
      <c r="EN63" s="23">
        <f t="shared" si="12"/>
        <v>876.5</v>
      </c>
      <c r="EO63" s="23">
        <f t="shared" si="12"/>
        <v>287</v>
      </c>
      <c r="EP63" s="23">
        <f t="shared" si="12"/>
        <v>428.5</v>
      </c>
      <c r="EQ63" s="23">
        <f t="shared" si="12"/>
        <v>2405</v>
      </c>
      <c r="ER63" s="23">
        <f t="shared" si="12"/>
        <v>306.5</v>
      </c>
      <c r="ES63" s="23">
        <f t="shared" si="12"/>
        <v>155.5</v>
      </c>
      <c r="ET63" s="23">
        <f t="shared" si="12"/>
        <v>197.5</v>
      </c>
      <c r="EU63" s="23">
        <f t="shared" si="12"/>
        <v>568</v>
      </c>
      <c r="EV63" s="23">
        <f t="shared" si="12"/>
        <v>66</v>
      </c>
      <c r="EW63" s="23">
        <f t="shared" si="12"/>
        <v>746.5</v>
      </c>
      <c r="EX63" s="23">
        <f t="shared" si="12"/>
        <v>173.5</v>
      </c>
      <c r="EY63" s="23">
        <f t="shared" si="12"/>
        <v>201</v>
      </c>
      <c r="EZ63" s="23">
        <f t="shared" si="12"/>
        <v>127</v>
      </c>
      <c r="FA63" s="23">
        <f t="shared" si="12"/>
        <v>3245</v>
      </c>
      <c r="FB63" s="23">
        <f t="shared" si="12"/>
        <v>275.5</v>
      </c>
      <c r="FC63" s="23">
        <f t="shared" si="12"/>
        <v>1640</v>
      </c>
      <c r="FD63" s="23">
        <f t="shared" si="12"/>
        <v>399</v>
      </c>
      <c r="FE63" s="23">
        <f t="shared" si="12"/>
        <v>70</v>
      </c>
      <c r="FF63" s="23">
        <f t="shared" si="12"/>
        <v>175</v>
      </c>
      <c r="FG63" s="23">
        <f t="shared" si="12"/>
        <v>114</v>
      </c>
      <c r="FH63" s="23">
        <f t="shared" si="12"/>
        <v>69</v>
      </c>
      <c r="FI63" s="23">
        <f t="shared" si="12"/>
        <v>1645</v>
      </c>
      <c r="FJ63" s="23">
        <f t="shared" si="12"/>
        <v>2016.5</v>
      </c>
      <c r="FK63" s="23">
        <f t="shared" si="12"/>
        <v>2482</v>
      </c>
      <c r="FL63" s="23">
        <f t="shared" si="12"/>
        <v>8537.5</v>
      </c>
      <c r="FM63" s="23">
        <f t="shared" si="12"/>
        <v>3981.5</v>
      </c>
      <c r="FN63" s="23">
        <f t="shared" si="12"/>
        <v>22420.5</v>
      </c>
      <c r="FO63" s="23">
        <f t="shared" si="12"/>
        <v>1117</v>
      </c>
      <c r="FP63" s="23">
        <f t="shared" si="12"/>
        <v>2341.5</v>
      </c>
      <c r="FQ63" s="23">
        <f t="shared" si="12"/>
        <v>982.5</v>
      </c>
      <c r="FR63" s="23">
        <f t="shared" si="12"/>
        <v>162.5</v>
      </c>
      <c r="FS63" s="23">
        <f t="shared" si="12"/>
        <v>160.5</v>
      </c>
      <c r="FT63" s="23">
        <f t="shared" si="12"/>
        <v>54</v>
      </c>
      <c r="FU63" s="23">
        <f t="shared" si="12"/>
        <v>760</v>
      </c>
      <c r="FV63" s="23">
        <f t="shared" si="12"/>
        <v>692</v>
      </c>
      <c r="FW63" s="23">
        <f t="shared" si="12"/>
        <v>128</v>
      </c>
      <c r="FX63" s="23">
        <f t="shared" si="12"/>
        <v>64</v>
      </c>
      <c r="FY63" s="7"/>
      <c r="FZ63" s="23">
        <f t="shared" ref="FZ63:FZ67" si="13">SUM(C63:FX63)</f>
        <v>782071</v>
      </c>
      <c r="GA63" s="25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</row>
    <row r="64" spans="1:204" ht="15.5" x14ac:dyDescent="0.35">
      <c r="A64" s="12" t="s">
        <v>540</v>
      </c>
      <c r="B64" s="7" t="s">
        <v>541</v>
      </c>
      <c r="C64" s="23">
        <f t="shared" ref="C64:FX64" si="14">C24</f>
        <v>6404.5</v>
      </c>
      <c r="D64" s="23">
        <f t="shared" si="14"/>
        <v>32699.5</v>
      </c>
      <c r="E64" s="23">
        <f t="shared" si="14"/>
        <v>4867</v>
      </c>
      <c r="F64" s="23">
        <f t="shared" si="14"/>
        <v>21051.5</v>
      </c>
      <c r="G64" s="23">
        <f t="shared" si="14"/>
        <v>1709</v>
      </c>
      <c r="H64" s="23">
        <f t="shared" si="14"/>
        <v>1089</v>
      </c>
      <c r="I64" s="23">
        <f t="shared" si="14"/>
        <v>7236</v>
      </c>
      <c r="J64" s="23">
        <f t="shared" si="14"/>
        <v>2024</v>
      </c>
      <c r="K64" s="23">
        <f t="shared" si="14"/>
        <v>243.5</v>
      </c>
      <c r="L64" s="23">
        <f t="shared" si="14"/>
        <v>2087</v>
      </c>
      <c r="M64" s="23">
        <f t="shared" si="14"/>
        <v>866</v>
      </c>
      <c r="N64" s="23">
        <f t="shared" si="14"/>
        <v>50007.5</v>
      </c>
      <c r="O64" s="23">
        <f t="shared" si="14"/>
        <v>12583.5</v>
      </c>
      <c r="P64" s="23">
        <f t="shared" si="14"/>
        <v>303</v>
      </c>
      <c r="Q64" s="23">
        <f t="shared" si="14"/>
        <v>37010</v>
      </c>
      <c r="R64" s="23">
        <f t="shared" si="14"/>
        <v>467.5</v>
      </c>
      <c r="S64" s="23">
        <f t="shared" si="14"/>
        <v>1535</v>
      </c>
      <c r="T64" s="23">
        <f t="shared" si="14"/>
        <v>158</v>
      </c>
      <c r="U64" s="23">
        <f t="shared" si="14"/>
        <v>57</v>
      </c>
      <c r="V64" s="23">
        <f t="shared" si="14"/>
        <v>245.5</v>
      </c>
      <c r="W64" s="23">
        <f t="shared" si="14"/>
        <v>49.5</v>
      </c>
      <c r="X64" s="23">
        <f t="shared" si="14"/>
        <v>36.5</v>
      </c>
      <c r="Y64" s="23">
        <f t="shared" si="14"/>
        <v>404</v>
      </c>
      <c r="Z64" s="23">
        <f t="shared" si="14"/>
        <v>231</v>
      </c>
      <c r="AA64" s="23">
        <f t="shared" si="14"/>
        <v>30258.5</v>
      </c>
      <c r="AB64" s="23">
        <f t="shared" si="14"/>
        <v>26784.5</v>
      </c>
      <c r="AC64" s="23">
        <f t="shared" si="14"/>
        <v>864</v>
      </c>
      <c r="AD64" s="23">
        <f t="shared" si="14"/>
        <v>1269.5</v>
      </c>
      <c r="AE64" s="23">
        <f t="shared" si="14"/>
        <v>97</v>
      </c>
      <c r="AF64" s="23">
        <f t="shared" si="14"/>
        <v>164.5</v>
      </c>
      <c r="AG64" s="23">
        <f t="shared" si="14"/>
        <v>589</v>
      </c>
      <c r="AH64" s="23">
        <f t="shared" si="14"/>
        <v>927</v>
      </c>
      <c r="AI64" s="23">
        <f t="shared" si="14"/>
        <v>363</v>
      </c>
      <c r="AJ64" s="23">
        <f t="shared" si="14"/>
        <v>176</v>
      </c>
      <c r="AK64" s="23">
        <f t="shared" si="14"/>
        <v>163</v>
      </c>
      <c r="AL64" s="23">
        <f t="shared" si="14"/>
        <v>286</v>
      </c>
      <c r="AM64" s="23">
        <f t="shared" si="14"/>
        <v>331</v>
      </c>
      <c r="AN64" s="23">
        <f t="shared" si="14"/>
        <v>271.5</v>
      </c>
      <c r="AO64" s="23">
        <f t="shared" si="14"/>
        <v>3767</v>
      </c>
      <c r="AP64" s="23">
        <f t="shared" si="14"/>
        <v>84396.5</v>
      </c>
      <c r="AQ64" s="23">
        <f t="shared" si="14"/>
        <v>242.5</v>
      </c>
      <c r="AR64" s="23">
        <f t="shared" si="14"/>
        <v>57877.5</v>
      </c>
      <c r="AS64" s="23">
        <f t="shared" si="14"/>
        <v>6025</v>
      </c>
      <c r="AT64" s="23">
        <f t="shared" si="14"/>
        <v>2340.5</v>
      </c>
      <c r="AU64" s="23">
        <f t="shared" si="14"/>
        <v>250</v>
      </c>
      <c r="AV64" s="23">
        <f t="shared" si="14"/>
        <v>299</v>
      </c>
      <c r="AW64" s="23">
        <f t="shared" si="14"/>
        <v>250</v>
      </c>
      <c r="AX64" s="23">
        <f t="shared" si="14"/>
        <v>73</v>
      </c>
      <c r="AY64" s="23">
        <f t="shared" si="14"/>
        <v>392</v>
      </c>
      <c r="AZ64" s="23">
        <f t="shared" si="14"/>
        <v>11891</v>
      </c>
      <c r="BA64" s="23">
        <f t="shared" si="14"/>
        <v>8667</v>
      </c>
      <c r="BB64" s="23">
        <f t="shared" si="14"/>
        <v>7399</v>
      </c>
      <c r="BC64" s="23">
        <f t="shared" si="14"/>
        <v>21443</v>
      </c>
      <c r="BD64" s="23">
        <f t="shared" si="14"/>
        <v>3598.5</v>
      </c>
      <c r="BE64" s="23">
        <f t="shared" si="14"/>
        <v>1113</v>
      </c>
      <c r="BF64" s="23">
        <f t="shared" si="14"/>
        <v>24230</v>
      </c>
      <c r="BG64" s="23">
        <f t="shared" si="14"/>
        <v>921.5</v>
      </c>
      <c r="BH64" s="23">
        <f t="shared" si="14"/>
        <v>529</v>
      </c>
      <c r="BI64" s="23">
        <f t="shared" si="14"/>
        <v>251</v>
      </c>
      <c r="BJ64" s="23">
        <f t="shared" si="14"/>
        <v>6198.5</v>
      </c>
      <c r="BK64" s="23">
        <f t="shared" si="14"/>
        <v>21041</v>
      </c>
      <c r="BL64" s="23">
        <f t="shared" si="14"/>
        <v>64.5</v>
      </c>
      <c r="BM64" s="23">
        <f t="shared" si="14"/>
        <v>331.5</v>
      </c>
      <c r="BN64" s="23">
        <f t="shared" si="14"/>
        <v>3018.5</v>
      </c>
      <c r="BO64" s="23">
        <f t="shared" si="14"/>
        <v>1190</v>
      </c>
      <c r="BP64" s="23">
        <f t="shared" si="14"/>
        <v>144</v>
      </c>
      <c r="BQ64" s="23">
        <f t="shared" si="14"/>
        <v>5632</v>
      </c>
      <c r="BR64" s="23">
        <f t="shared" si="14"/>
        <v>4471</v>
      </c>
      <c r="BS64" s="23">
        <f t="shared" si="14"/>
        <v>1151</v>
      </c>
      <c r="BT64" s="23">
        <f t="shared" si="14"/>
        <v>355.5</v>
      </c>
      <c r="BU64" s="23">
        <f t="shared" si="14"/>
        <v>383</v>
      </c>
      <c r="BV64" s="23">
        <f t="shared" si="14"/>
        <v>1247.5</v>
      </c>
      <c r="BW64" s="23">
        <f t="shared" si="14"/>
        <v>2017</v>
      </c>
      <c r="BX64" s="23">
        <f t="shared" si="14"/>
        <v>67</v>
      </c>
      <c r="BY64" s="23">
        <f t="shared" si="14"/>
        <v>404</v>
      </c>
      <c r="BZ64" s="23">
        <f t="shared" si="14"/>
        <v>224</v>
      </c>
      <c r="CA64" s="23">
        <f t="shared" si="14"/>
        <v>130</v>
      </c>
      <c r="CB64" s="23">
        <f t="shared" si="14"/>
        <v>70467</v>
      </c>
      <c r="CC64" s="23">
        <f t="shared" si="14"/>
        <v>190</v>
      </c>
      <c r="CD64" s="23">
        <f t="shared" si="14"/>
        <v>27</v>
      </c>
      <c r="CE64" s="23">
        <f t="shared" si="14"/>
        <v>158.5</v>
      </c>
      <c r="CF64" s="23">
        <f t="shared" si="14"/>
        <v>92</v>
      </c>
      <c r="CG64" s="23">
        <f t="shared" si="14"/>
        <v>195.5</v>
      </c>
      <c r="CH64" s="23">
        <f t="shared" si="14"/>
        <v>90</v>
      </c>
      <c r="CI64" s="23">
        <f t="shared" si="14"/>
        <v>662</v>
      </c>
      <c r="CJ64" s="23">
        <f t="shared" si="14"/>
        <v>855.5</v>
      </c>
      <c r="CK64" s="23">
        <f t="shared" si="14"/>
        <v>4231.5</v>
      </c>
      <c r="CL64" s="23">
        <f t="shared" si="14"/>
        <v>1169</v>
      </c>
      <c r="CM64" s="23">
        <f t="shared" si="14"/>
        <v>659</v>
      </c>
      <c r="CN64" s="23">
        <f t="shared" si="14"/>
        <v>28020.5</v>
      </c>
      <c r="CO64" s="23">
        <f t="shared" si="14"/>
        <v>14006.5</v>
      </c>
      <c r="CP64" s="23">
        <f t="shared" si="14"/>
        <v>869.5</v>
      </c>
      <c r="CQ64" s="23">
        <f t="shared" si="14"/>
        <v>763</v>
      </c>
      <c r="CR64" s="23">
        <f t="shared" si="14"/>
        <v>199.5</v>
      </c>
      <c r="CS64" s="23">
        <f t="shared" si="14"/>
        <v>270</v>
      </c>
      <c r="CT64" s="23">
        <f t="shared" si="14"/>
        <v>115</v>
      </c>
      <c r="CU64" s="23">
        <f t="shared" si="14"/>
        <v>67</v>
      </c>
      <c r="CV64" s="23">
        <f t="shared" si="14"/>
        <v>22</v>
      </c>
      <c r="CW64" s="23">
        <f t="shared" si="14"/>
        <v>204</v>
      </c>
      <c r="CX64" s="23">
        <f t="shared" si="14"/>
        <v>450.5</v>
      </c>
      <c r="CY64" s="23">
        <f t="shared" si="14"/>
        <v>26.5</v>
      </c>
      <c r="CZ64" s="23">
        <f t="shared" si="14"/>
        <v>1773</v>
      </c>
      <c r="DA64" s="23">
        <f t="shared" si="14"/>
        <v>197.5</v>
      </c>
      <c r="DB64" s="23">
        <f t="shared" si="14"/>
        <v>314</v>
      </c>
      <c r="DC64" s="23">
        <f t="shared" si="14"/>
        <v>183</v>
      </c>
      <c r="DD64" s="23">
        <f t="shared" si="14"/>
        <v>170</v>
      </c>
      <c r="DE64" s="23">
        <f t="shared" si="14"/>
        <v>280.5</v>
      </c>
      <c r="DF64" s="23">
        <f t="shared" si="14"/>
        <v>18900.5</v>
      </c>
      <c r="DG64" s="23">
        <f t="shared" si="14"/>
        <v>92</v>
      </c>
      <c r="DH64" s="23">
        <f t="shared" si="14"/>
        <v>1689</v>
      </c>
      <c r="DI64" s="23">
        <f t="shared" si="14"/>
        <v>2308</v>
      </c>
      <c r="DJ64" s="23">
        <f t="shared" si="14"/>
        <v>598</v>
      </c>
      <c r="DK64" s="23">
        <f t="shared" si="14"/>
        <v>475</v>
      </c>
      <c r="DL64" s="23">
        <f t="shared" si="14"/>
        <v>5671</v>
      </c>
      <c r="DM64" s="23">
        <f t="shared" si="14"/>
        <v>228</v>
      </c>
      <c r="DN64" s="23">
        <f t="shared" si="14"/>
        <v>1275.5</v>
      </c>
      <c r="DO64" s="23">
        <f t="shared" si="14"/>
        <v>3255.5</v>
      </c>
      <c r="DP64" s="23">
        <f t="shared" si="14"/>
        <v>198</v>
      </c>
      <c r="DQ64" s="23">
        <f t="shared" si="14"/>
        <v>843</v>
      </c>
      <c r="DR64" s="23">
        <f t="shared" si="14"/>
        <v>1280.5</v>
      </c>
      <c r="DS64" s="23">
        <f t="shared" si="14"/>
        <v>554</v>
      </c>
      <c r="DT64" s="23">
        <f t="shared" si="14"/>
        <v>174</v>
      </c>
      <c r="DU64" s="23">
        <f t="shared" si="14"/>
        <v>342</v>
      </c>
      <c r="DV64" s="23">
        <f t="shared" si="14"/>
        <v>200.5</v>
      </c>
      <c r="DW64" s="23">
        <f t="shared" si="14"/>
        <v>289.5</v>
      </c>
      <c r="DX64" s="23">
        <f t="shared" si="14"/>
        <v>166</v>
      </c>
      <c r="DY64" s="23">
        <f t="shared" si="14"/>
        <v>287</v>
      </c>
      <c r="DZ64" s="23">
        <f t="shared" si="14"/>
        <v>634</v>
      </c>
      <c r="EA64" s="23">
        <f t="shared" si="14"/>
        <v>496</v>
      </c>
      <c r="EB64" s="23">
        <f t="shared" si="14"/>
        <v>508.5</v>
      </c>
      <c r="EC64" s="23">
        <f t="shared" si="14"/>
        <v>266.5</v>
      </c>
      <c r="ED64" s="23">
        <f t="shared" si="14"/>
        <v>1551.5</v>
      </c>
      <c r="EE64" s="23">
        <f t="shared" si="14"/>
        <v>194</v>
      </c>
      <c r="EF64" s="23">
        <f t="shared" si="14"/>
        <v>1271</v>
      </c>
      <c r="EG64" s="23">
        <f t="shared" si="14"/>
        <v>257</v>
      </c>
      <c r="EH64" s="23">
        <f t="shared" si="14"/>
        <v>245</v>
      </c>
      <c r="EI64" s="23">
        <f t="shared" si="14"/>
        <v>13446</v>
      </c>
      <c r="EJ64" s="23">
        <f t="shared" si="14"/>
        <v>9802</v>
      </c>
      <c r="EK64" s="23">
        <f t="shared" si="14"/>
        <v>639.5</v>
      </c>
      <c r="EL64" s="23">
        <f t="shared" si="14"/>
        <v>457</v>
      </c>
      <c r="EM64" s="23">
        <f t="shared" si="14"/>
        <v>365</v>
      </c>
      <c r="EN64" s="23">
        <f t="shared" si="14"/>
        <v>882.5</v>
      </c>
      <c r="EO64" s="23">
        <f t="shared" si="14"/>
        <v>293</v>
      </c>
      <c r="EP64" s="23">
        <f t="shared" si="14"/>
        <v>417.5</v>
      </c>
      <c r="EQ64" s="23">
        <f t="shared" si="14"/>
        <v>2460</v>
      </c>
      <c r="ER64" s="23">
        <f t="shared" si="14"/>
        <v>297</v>
      </c>
      <c r="ES64" s="23">
        <f t="shared" si="14"/>
        <v>147.5</v>
      </c>
      <c r="ET64" s="23">
        <f t="shared" si="14"/>
        <v>193.5</v>
      </c>
      <c r="EU64" s="23">
        <f t="shared" si="14"/>
        <v>576</v>
      </c>
      <c r="EV64" s="23">
        <f t="shared" si="14"/>
        <v>72</v>
      </c>
      <c r="EW64" s="23">
        <f t="shared" si="14"/>
        <v>799</v>
      </c>
      <c r="EX64" s="23">
        <f t="shared" si="14"/>
        <v>170</v>
      </c>
      <c r="EY64" s="23">
        <f t="shared" si="14"/>
        <v>196.5</v>
      </c>
      <c r="EZ64" s="23">
        <f t="shared" si="14"/>
        <v>130</v>
      </c>
      <c r="FA64" s="23">
        <f t="shared" si="14"/>
        <v>3294</v>
      </c>
      <c r="FB64" s="23">
        <f t="shared" si="14"/>
        <v>276</v>
      </c>
      <c r="FC64" s="23">
        <f t="shared" si="14"/>
        <v>1684</v>
      </c>
      <c r="FD64" s="23">
        <f t="shared" si="14"/>
        <v>395</v>
      </c>
      <c r="FE64" s="23">
        <f t="shared" si="14"/>
        <v>75</v>
      </c>
      <c r="FF64" s="23">
        <f t="shared" si="14"/>
        <v>178</v>
      </c>
      <c r="FG64" s="23">
        <f t="shared" si="14"/>
        <v>117</v>
      </c>
      <c r="FH64" s="23">
        <f t="shared" si="14"/>
        <v>71</v>
      </c>
      <c r="FI64" s="23">
        <f t="shared" si="14"/>
        <v>1639.5</v>
      </c>
      <c r="FJ64" s="23">
        <f t="shared" si="14"/>
        <v>2009</v>
      </c>
      <c r="FK64" s="23">
        <f t="shared" si="14"/>
        <v>2481</v>
      </c>
      <c r="FL64" s="23">
        <f t="shared" si="14"/>
        <v>8455.5</v>
      </c>
      <c r="FM64" s="23">
        <f t="shared" si="14"/>
        <v>3910.5</v>
      </c>
      <c r="FN64" s="23">
        <f t="shared" si="14"/>
        <v>22092.5</v>
      </c>
      <c r="FO64" s="23">
        <f t="shared" si="14"/>
        <v>1111</v>
      </c>
      <c r="FP64" s="23">
        <f t="shared" si="14"/>
        <v>2307.5</v>
      </c>
      <c r="FQ64" s="23">
        <f t="shared" si="14"/>
        <v>974.5</v>
      </c>
      <c r="FR64" s="23">
        <f t="shared" si="14"/>
        <v>165.5</v>
      </c>
      <c r="FS64" s="23">
        <f t="shared" si="14"/>
        <v>151</v>
      </c>
      <c r="FT64" s="23">
        <f t="shared" si="14"/>
        <v>53</v>
      </c>
      <c r="FU64" s="23">
        <f t="shared" si="14"/>
        <v>759.5</v>
      </c>
      <c r="FV64" s="23">
        <f t="shared" si="14"/>
        <v>690.5</v>
      </c>
      <c r="FW64" s="23">
        <f t="shared" si="14"/>
        <v>134</v>
      </c>
      <c r="FX64" s="23">
        <f t="shared" si="14"/>
        <v>65</v>
      </c>
      <c r="FY64" s="7"/>
      <c r="FZ64" s="23">
        <f t="shared" si="13"/>
        <v>785348.5</v>
      </c>
      <c r="GA64" s="25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</row>
    <row r="65" spans="1:204" ht="15.5" x14ac:dyDescent="0.35">
      <c r="A65" s="12" t="s">
        <v>542</v>
      </c>
      <c r="B65" s="7" t="s">
        <v>543</v>
      </c>
      <c r="C65" s="23">
        <f t="shared" ref="C65:FX65" si="15">C25</f>
        <v>6332.5</v>
      </c>
      <c r="D65" s="23">
        <f t="shared" si="15"/>
        <v>33220</v>
      </c>
      <c r="E65" s="23">
        <f t="shared" si="15"/>
        <v>4999.5</v>
      </c>
      <c r="F65" s="23">
        <f t="shared" si="15"/>
        <v>20597.5</v>
      </c>
      <c r="G65" s="23">
        <f t="shared" si="15"/>
        <v>1573</v>
      </c>
      <c r="H65" s="23">
        <f t="shared" si="15"/>
        <v>1094</v>
      </c>
      <c r="I65" s="23">
        <f t="shared" si="15"/>
        <v>7057.5</v>
      </c>
      <c r="J65" s="23">
        <f t="shared" si="15"/>
        <v>2039</v>
      </c>
      <c r="K65" s="23">
        <f t="shared" si="15"/>
        <v>263</v>
      </c>
      <c r="L65" s="23">
        <f t="shared" si="15"/>
        <v>2102</v>
      </c>
      <c r="M65" s="23">
        <f t="shared" si="15"/>
        <v>933</v>
      </c>
      <c r="N65" s="23">
        <f t="shared" si="15"/>
        <v>49949</v>
      </c>
      <c r="O65" s="23">
        <f t="shared" si="15"/>
        <v>12783.5</v>
      </c>
      <c r="P65" s="23">
        <f t="shared" si="15"/>
        <v>330</v>
      </c>
      <c r="Q65" s="23">
        <f t="shared" si="15"/>
        <v>36546</v>
      </c>
      <c r="R65" s="23">
        <f t="shared" si="15"/>
        <v>497</v>
      </c>
      <c r="S65" s="23">
        <f t="shared" si="15"/>
        <v>1567.5</v>
      </c>
      <c r="T65" s="23">
        <f t="shared" si="15"/>
        <v>160</v>
      </c>
      <c r="U65" s="23">
        <f t="shared" si="15"/>
        <v>50</v>
      </c>
      <c r="V65" s="23">
        <f t="shared" si="15"/>
        <v>261.5</v>
      </c>
      <c r="W65" s="23">
        <f t="shared" si="15"/>
        <v>58.5</v>
      </c>
      <c r="X65" s="23">
        <f t="shared" si="15"/>
        <v>27</v>
      </c>
      <c r="Y65" s="23">
        <f t="shared" si="15"/>
        <v>428</v>
      </c>
      <c r="Z65" s="23">
        <f t="shared" si="15"/>
        <v>227</v>
      </c>
      <c r="AA65" s="23">
        <f t="shared" si="15"/>
        <v>30394.5</v>
      </c>
      <c r="AB65" s="23">
        <f t="shared" si="15"/>
        <v>26932</v>
      </c>
      <c r="AC65" s="23">
        <f t="shared" si="15"/>
        <v>909</v>
      </c>
      <c r="AD65" s="23">
        <f t="shared" si="15"/>
        <v>1255</v>
      </c>
      <c r="AE65" s="23">
        <f t="shared" si="15"/>
        <v>94</v>
      </c>
      <c r="AF65" s="23">
        <f t="shared" si="15"/>
        <v>162.5</v>
      </c>
      <c r="AG65" s="23">
        <f t="shared" si="15"/>
        <v>590</v>
      </c>
      <c r="AH65" s="23">
        <f t="shared" si="15"/>
        <v>955</v>
      </c>
      <c r="AI65" s="23">
        <f t="shared" si="15"/>
        <v>385.5</v>
      </c>
      <c r="AJ65" s="23">
        <f t="shared" si="15"/>
        <v>164</v>
      </c>
      <c r="AK65" s="23">
        <f t="shared" si="15"/>
        <v>159</v>
      </c>
      <c r="AL65" s="23">
        <f t="shared" si="15"/>
        <v>276</v>
      </c>
      <c r="AM65" s="23">
        <f t="shared" si="15"/>
        <v>343</v>
      </c>
      <c r="AN65" s="23">
        <f t="shared" si="15"/>
        <v>309</v>
      </c>
      <c r="AO65" s="23">
        <f t="shared" si="15"/>
        <v>4127.5</v>
      </c>
      <c r="AP65" s="23">
        <f t="shared" si="15"/>
        <v>82476.5</v>
      </c>
      <c r="AQ65" s="23">
        <f t="shared" si="15"/>
        <v>232</v>
      </c>
      <c r="AR65" s="23">
        <f t="shared" si="15"/>
        <v>58489.5</v>
      </c>
      <c r="AS65" s="23">
        <f t="shared" si="15"/>
        <v>6165</v>
      </c>
      <c r="AT65" s="23">
        <f t="shared" si="15"/>
        <v>2332.5</v>
      </c>
      <c r="AU65" s="23">
        <f t="shared" si="15"/>
        <v>291</v>
      </c>
      <c r="AV65" s="23">
        <f t="shared" si="15"/>
        <v>297</v>
      </c>
      <c r="AW65" s="23">
        <f t="shared" si="15"/>
        <v>256</v>
      </c>
      <c r="AX65" s="23">
        <f t="shared" si="15"/>
        <v>63</v>
      </c>
      <c r="AY65" s="23">
        <f t="shared" si="15"/>
        <v>415</v>
      </c>
      <c r="AZ65" s="23">
        <f t="shared" si="15"/>
        <v>12050</v>
      </c>
      <c r="BA65" s="23">
        <f t="shared" si="15"/>
        <v>8756</v>
      </c>
      <c r="BB65" s="23">
        <f t="shared" si="15"/>
        <v>7341</v>
      </c>
      <c r="BC65" s="23">
        <f t="shared" si="15"/>
        <v>20943.5</v>
      </c>
      <c r="BD65" s="23">
        <f t="shared" si="15"/>
        <v>3609.5</v>
      </c>
      <c r="BE65" s="23">
        <f t="shared" si="15"/>
        <v>1207</v>
      </c>
      <c r="BF65" s="23">
        <f t="shared" si="15"/>
        <v>24346</v>
      </c>
      <c r="BG65" s="23">
        <f t="shared" si="15"/>
        <v>884.5</v>
      </c>
      <c r="BH65" s="23">
        <f t="shared" si="15"/>
        <v>542</v>
      </c>
      <c r="BI65" s="23">
        <f t="shared" si="15"/>
        <v>253.5</v>
      </c>
      <c r="BJ65" s="23">
        <f t="shared" si="15"/>
        <v>6224.5</v>
      </c>
      <c r="BK65" s="23">
        <f t="shared" si="15"/>
        <v>19735</v>
      </c>
      <c r="BL65" s="23">
        <f t="shared" si="15"/>
        <v>58</v>
      </c>
      <c r="BM65" s="23">
        <f t="shared" si="15"/>
        <v>360.5</v>
      </c>
      <c r="BN65" s="23">
        <f t="shared" si="15"/>
        <v>3019.5</v>
      </c>
      <c r="BO65" s="23">
        <f t="shared" si="15"/>
        <v>1251</v>
      </c>
      <c r="BP65" s="23">
        <f t="shared" si="15"/>
        <v>152</v>
      </c>
      <c r="BQ65" s="23">
        <f t="shared" si="15"/>
        <v>5653</v>
      </c>
      <c r="BR65" s="23">
        <f t="shared" si="15"/>
        <v>4483</v>
      </c>
      <c r="BS65" s="23">
        <f t="shared" si="15"/>
        <v>1106</v>
      </c>
      <c r="BT65" s="23">
        <f t="shared" si="15"/>
        <v>362</v>
      </c>
      <c r="BU65" s="23">
        <f t="shared" si="15"/>
        <v>410</v>
      </c>
      <c r="BV65" s="23">
        <f t="shared" si="15"/>
        <v>1223</v>
      </c>
      <c r="BW65" s="23">
        <f t="shared" si="15"/>
        <v>1985.5</v>
      </c>
      <c r="BX65" s="23">
        <f t="shared" si="15"/>
        <v>67</v>
      </c>
      <c r="BY65" s="23">
        <f t="shared" si="15"/>
        <v>439.5</v>
      </c>
      <c r="BZ65" s="23">
        <f t="shared" si="15"/>
        <v>195</v>
      </c>
      <c r="CA65" s="23">
        <f t="shared" si="15"/>
        <v>139</v>
      </c>
      <c r="CB65" s="23">
        <f t="shared" si="15"/>
        <v>71260.5</v>
      </c>
      <c r="CC65" s="23">
        <f t="shared" si="15"/>
        <v>192</v>
      </c>
      <c r="CD65" s="23">
        <f t="shared" si="15"/>
        <v>23</v>
      </c>
      <c r="CE65" s="23">
        <f t="shared" si="15"/>
        <v>151</v>
      </c>
      <c r="CF65" s="23">
        <f t="shared" si="15"/>
        <v>110</v>
      </c>
      <c r="CG65" s="23">
        <f t="shared" si="15"/>
        <v>201.5</v>
      </c>
      <c r="CH65" s="23">
        <f t="shared" si="15"/>
        <v>99</v>
      </c>
      <c r="CI65" s="23">
        <f t="shared" si="15"/>
        <v>691</v>
      </c>
      <c r="CJ65" s="23">
        <f t="shared" si="15"/>
        <v>873</v>
      </c>
      <c r="CK65" s="23">
        <f t="shared" si="15"/>
        <v>4272.5</v>
      </c>
      <c r="CL65" s="23">
        <f t="shared" si="15"/>
        <v>1244.5</v>
      </c>
      <c r="CM65" s="23">
        <f t="shared" si="15"/>
        <v>701</v>
      </c>
      <c r="CN65" s="23">
        <f t="shared" si="15"/>
        <v>28337.5</v>
      </c>
      <c r="CO65" s="23">
        <f t="shared" si="15"/>
        <v>14308.5</v>
      </c>
      <c r="CP65" s="23">
        <f t="shared" si="15"/>
        <v>937</v>
      </c>
      <c r="CQ65" s="23">
        <f t="shared" si="15"/>
        <v>740</v>
      </c>
      <c r="CR65" s="23">
        <f t="shared" si="15"/>
        <v>230.5</v>
      </c>
      <c r="CS65" s="23">
        <f t="shared" si="15"/>
        <v>290</v>
      </c>
      <c r="CT65" s="23">
        <f t="shared" si="15"/>
        <v>101</v>
      </c>
      <c r="CU65" s="23">
        <f t="shared" si="15"/>
        <v>73</v>
      </c>
      <c r="CV65" s="23">
        <f t="shared" si="15"/>
        <v>23.5</v>
      </c>
      <c r="CW65" s="23">
        <f t="shared" si="15"/>
        <v>205</v>
      </c>
      <c r="CX65" s="23">
        <f t="shared" si="15"/>
        <v>470.5</v>
      </c>
      <c r="CY65" s="23">
        <f t="shared" si="15"/>
        <v>29.5</v>
      </c>
      <c r="CZ65" s="23">
        <f t="shared" si="15"/>
        <v>1759</v>
      </c>
      <c r="DA65" s="23">
        <f t="shared" si="15"/>
        <v>201</v>
      </c>
      <c r="DB65" s="23">
        <f t="shared" si="15"/>
        <v>322.5</v>
      </c>
      <c r="DC65" s="23">
        <f t="shared" si="15"/>
        <v>182</v>
      </c>
      <c r="DD65" s="23">
        <f t="shared" si="15"/>
        <v>156</v>
      </c>
      <c r="DE65" s="23">
        <f t="shared" si="15"/>
        <v>287.5</v>
      </c>
      <c r="DF65" s="23">
        <f t="shared" si="15"/>
        <v>19273</v>
      </c>
      <c r="DG65" s="23">
        <f t="shared" si="15"/>
        <v>95</v>
      </c>
      <c r="DH65" s="23">
        <f t="shared" si="15"/>
        <v>1764</v>
      </c>
      <c r="DI65" s="23">
        <f t="shared" si="15"/>
        <v>2394.5</v>
      </c>
      <c r="DJ65" s="23">
        <f t="shared" si="15"/>
        <v>623</v>
      </c>
      <c r="DK65" s="23">
        <f t="shared" si="15"/>
        <v>485.5</v>
      </c>
      <c r="DL65" s="23">
        <f t="shared" si="15"/>
        <v>5690.5</v>
      </c>
      <c r="DM65" s="23">
        <f t="shared" si="15"/>
        <v>228.5</v>
      </c>
      <c r="DN65" s="23">
        <f t="shared" si="15"/>
        <v>1263.5</v>
      </c>
      <c r="DO65" s="23">
        <f t="shared" si="15"/>
        <v>3230</v>
      </c>
      <c r="DP65" s="23">
        <f t="shared" si="15"/>
        <v>191</v>
      </c>
      <c r="DQ65" s="23">
        <f t="shared" si="15"/>
        <v>817</v>
      </c>
      <c r="DR65" s="23">
        <f t="shared" si="15"/>
        <v>1318.5</v>
      </c>
      <c r="DS65" s="23">
        <f t="shared" si="15"/>
        <v>589</v>
      </c>
      <c r="DT65" s="23">
        <f t="shared" si="15"/>
        <v>180.5</v>
      </c>
      <c r="DU65" s="23">
        <f t="shared" si="15"/>
        <v>355</v>
      </c>
      <c r="DV65" s="23">
        <f t="shared" si="15"/>
        <v>206.5</v>
      </c>
      <c r="DW65" s="23">
        <f t="shared" si="15"/>
        <v>301</v>
      </c>
      <c r="DX65" s="23">
        <f t="shared" si="15"/>
        <v>159</v>
      </c>
      <c r="DY65" s="23">
        <f t="shared" si="15"/>
        <v>296</v>
      </c>
      <c r="DZ65" s="23">
        <f t="shared" si="15"/>
        <v>675</v>
      </c>
      <c r="EA65" s="23">
        <f t="shared" si="15"/>
        <v>510.5</v>
      </c>
      <c r="EB65" s="23">
        <f t="shared" si="15"/>
        <v>527</v>
      </c>
      <c r="EC65" s="23">
        <f t="shared" si="15"/>
        <v>281.5</v>
      </c>
      <c r="ED65" s="23">
        <f t="shared" si="15"/>
        <v>1523</v>
      </c>
      <c r="EE65" s="23">
        <f t="shared" si="15"/>
        <v>189</v>
      </c>
      <c r="EF65" s="23">
        <f t="shared" si="15"/>
        <v>1350</v>
      </c>
      <c r="EG65" s="23">
        <f t="shared" si="15"/>
        <v>246</v>
      </c>
      <c r="EH65" s="23">
        <f t="shared" si="15"/>
        <v>250</v>
      </c>
      <c r="EI65" s="23">
        <f t="shared" si="15"/>
        <v>13862.5</v>
      </c>
      <c r="EJ65" s="23">
        <f t="shared" si="15"/>
        <v>10059</v>
      </c>
      <c r="EK65" s="23">
        <f t="shared" si="15"/>
        <v>686</v>
      </c>
      <c r="EL65" s="23">
        <f t="shared" si="15"/>
        <v>467.5</v>
      </c>
      <c r="EM65" s="23">
        <f t="shared" si="15"/>
        <v>373</v>
      </c>
      <c r="EN65" s="23">
        <f t="shared" si="15"/>
        <v>899</v>
      </c>
      <c r="EO65" s="23">
        <f t="shared" si="15"/>
        <v>296</v>
      </c>
      <c r="EP65" s="23">
        <f t="shared" si="15"/>
        <v>417.5</v>
      </c>
      <c r="EQ65" s="23">
        <f t="shared" si="15"/>
        <v>2509</v>
      </c>
      <c r="ER65" s="23">
        <f t="shared" si="15"/>
        <v>310.5</v>
      </c>
      <c r="ES65" s="23">
        <f t="shared" si="15"/>
        <v>174.5</v>
      </c>
      <c r="ET65" s="23">
        <f t="shared" si="15"/>
        <v>182</v>
      </c>
      <c r="EU65" s="23">
        <f t="shared" si="15"/>
        <v>569</v>
      </c>
      <c r="EV65" s="23">
        <f t="shared" si="15"/>
        <v>71</v>
      </c>
      <c r="EW65" s="23">
        <f t="shared" si="15"/>
        <v>801</v>
      </c>
      <c r="EX65" s="23">
        <f t="shared" si="15"/>
        <v>170</v>
      </c>
      <c r="EY65" s="23">
        <f t="shared" si="15"/>
        <v>216</v>
      </c>
      <c r="EZ65" s="23">
        <f t="shared" si="15"/>
        <v>131</v>
      </c>
      <c r="FA65" s="23">
        <f t="shared" si="15"/>
        <v>3409</v>
      </c>
      <c r="FB65" s="23">
        <f t="shared" si="15"/>
        <v>266.5</v>
      </c>
      <c r="FC65" s="23">
        <f t="shared" si="15"/>
        <v>1815</v>
      </c>
      <c r="FD65" s="23">
        <f t="shared" si="15"/>
        <v>399</v>
      </c>
      <c r="FE65" s="23">
        <f t="shared" si="15"/>
        <v>82</v>
      </c>
      <c r="FF65" s="23">
        <f t="shared" si="15"/>
        <v>183</v>
      </c>
      <c r="FG65" s="23">
        <f t="shared" si="15"/>
        <v>124</v>
      </c>
      <c r="FH65" s="23">
        <f t="shared" si="15"/>
        <v>68</v>
      </c>
      <c r="FI65" s="23">
        <f t="shared" si="15"/>
        <v>1691</v>
      </c>
      <c r="FJ65" s="23">
        <f t="shared" si="15"/>
        <v>2017</v>
      </c>
      <c r="FK65" s="23">
        <f t="shared" si="15"/>
        <v>2536</v>
      </c>
      <c r="FL65" s="23">
        <f t="shared" si="15"/>
        <v>8175.5</v>
      </c>
      <c r="FM65" s="23">
        <f t="shared" si="15"/>
        <v>3824.5</v>
      </c>
      <c r="FN65" s="23">
        <f t="shared" si="15"/>
        <v>21727</v>
      </c>
      <c r="FO65" s="23">
        <f t="shared" si="15"/>
        <v>1082</v>
      </c>
      <c r="FP65" s="23">
        <f t="shared" si="15"/>
        <v>2224.5</v>
      </c>
      <c r="FQ65" s="23">
        <f t="shared" si="15"/>
        <v>956.5</v>
      </c>
      <c r="FR65" s="23">
        <f t="shared" si="15"/>
        <v>164</v>
      </c>
      <c r="FS65" s="23">
        <f t="shared" si="15"/>
        <v>168</v>
      </c>
      <c r="FT65" s="23">
        <f t="shared" si="15"/>
        <v>58</v>
      </c>
      <c r="FU65" s="23">
        <f t="shared" si="15"/>
        <v>785</v>
      </c>
      <c r="FV65" s="23">
        <f t="shared" si="15"/>
        <v>691.5</v>
      </c>
      <c r="FW65" s="23">
        <f t="shared" si="15"/>
        <v>147</v>
      </c>
      <c r="FX65" s="23">
        <f t="shared" si="15"/>
        <v>57.5</v>
      </c>
      <c r="FY65" s="23"/>
      <c r="FZ65" s="23">
        <f t="shared" si="13"/>
        <v>786298</v>
      </c>
      <c r="GA65" s="25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</row>
    <row r="66" spans="1:204" ht="15.5" x14ac:dyDescent="0.35">
      <c r="A66" s="12" t="s">
        <v>544</v>
      </c>
      <c r="B66" s="7" t="s">
        <v>545</v>
      </c>
      <c r="C66" s="23">
        <f t="shared" ref="C66:FX66" si="16">C26</f>
        <v>6372</v>
      </c>
      <c r="D66" s="23">
        <f t="shared" si="16"/>
        <v>34363.5</v>
      </c>
      <c r="E66" s="23">
        <f t="shared" si="16"/>
        <v>5274</v>
      </c>
      <c r="F66" s="23">
        <f t="shared" si="16"/>
        <v>20215.5</v>
      </c>
      <c r="G66" s="23">
        <f t="shared" si="16"/>
        <v>1234</v>
      </c>
      <c r="H66" s="23">
        <f t="shared" si="16"/>
        <v>1129</v>
      </c>
      <c r="I66" s="23">
        <f t="shared" si="16"/>
        <v>7427.5</v>
      </c>
      <c r="J66" s="23">
        <f t="shared" si="16"/>
        <v>2111.5</v>
      </c>
      <c r="K66" s="23">
        <f t="shared" si="16"/>
        <v>249</v>
      </c>
      <c r="L66" s="23">
        <f t="shared" si="16"/>
        <v>2195</v>
      </c>
      <c r="M66" s="23">
        <f t="shared" si="16"/>
        <v>998.5</v>
      </c>
      <c r="N66" s="23">
        <f t="shared" si="16"/>
        <v>50787.5</v>
      </c>
      <c r="O66" s="23">
        <f t="shared" si="16"/>
        <v>13067.5</v>
      </c>
      <c r="P66" s="23">
        <f t="shared" si="16"/>
        <v>303.5</v>
      </c>
      <c r="Q66" s="23">
        <f t="shared" si="16"/>
        <v>36575</v>
      </c>
      <c r="R66" s="23">
        <f t="shared" si="16"/>
        <v>477.5</v>
      </c>
      <c r="S66" s="23">
        <f t="shared" si="16"/>
        <v>1644</v>
      </c>
      <c r="T66" s="23">
        <f t="shared" si="16"/>
        <v>166.5</v>
      </c>
      <c r="U66" s="23">
        <f t="shared" si="16"/>
        <v>48.5</v>
      </c>
      <c r="V66" s="23">
        <f t="shared" si="16"/>
        <v>265.5</v>
      </c>
      <c r="W66" s="23">
        <f t="shared" si="16"/>
        <v>66</v>
      </c>
      <c r="X66" s="23">
        <f t="shared" si="16"/>
        <v>30</v>
      </c>
      <c r="Y66" s="23">
        <f t="shared" si="16"/>
        <v>456</v>
      </c>
      <c r="Z66" s="23">
        <f t="shared" si="16"/>
        <v>235.5</v>
      </c>
      <c r="AA66" s="23">
        <f t="shared" si="16"/>
        <v>30979.5</v>
      </c>
      <c r="AB66" s="23">
        <f t="shared" si="16"/>
        <v>27171.5</v>
      </c>
      <c r="AC66" s="23">
        <f t="shared" si="16"/>
        <v>951</v>
      </c>
      <c r="AD66" s="23">
        <f t="shared" si="16"/>
        <v>1259.5</v>
      </c>
      <c r="AE66" s="23">
        <f t="shared" si="16"/>
        <v>92</v>
      </c>
      <c r="AF66" s="23">
        <f t="shared" si="16"/>
        <v>172</v>
      </c>
      <c r="AG66" s="23">
        <f t="shared" si="16"/>
        <v>609</v>
      </c>
      <c r="AH66" s="23">
        <f t="shared" si="16"/>
        <v>991.5</v>
      </c>
      <c r="AI66" s="23">
        <f t="shared" si="16"/>
        <v>365.5</v>
      </c>
      <c r="AJ66" s="23">
        <f t="shared" si="16"/>
        <v>153</v>
      </c>
      <c r="AK66" s="23">
        <f t="shared" si="16"/>
        <v>166.5</v>
      </c>
      <c r="AL66" s="23">
        <f t="shared" si="16"/>
        <v>259.5</v>
      </c>
      <c r="AM66" s="23">
        <f t="shared" si="16"/>
        <v>380</v>
      </c>
      <c r="AN66" s="23">
        <f t="shared" si="16"/>
        <v>318.5</v>
      </c>
      <c r="AO66" s="23">
        <f t="shared" si="16"/>
        <v>4241</v>
      </c>
      <c r="AP66" s="23">
        <f t="shared" si="16"/>
        <v>82330</v>
      </c>
      <c r="AQ66" s="23">
        <f t="shared" si="16"/>
        <v>244.5</v>
      </c>
      <c r="AR66" s="23">
        <f t="shared" si="16"/>
        <v>59455.5</v>
      </c>
      <c r="AS66" s="23">
        <f t="shared" si="16"/>
        <v>6343.5</v>
      </c>
      <c r="AT66" s="23">
        <f t="shared" si="16"/>
        <v>2293.5</v>
      </c>
      <c r="AU66" s="23">
        <f t="shared" si="16"/>
        <v>275</v>
      </c>
      <c r="AV66" s="23">
        <f t="shared" si="16"/>
        <v>329.5</v>
      </c>
      <c r="AW66" s="23">
        <f t="shared" si="16"/>
        <v>248.5</v>
      </c>
      <c r="AX66" s="23">
        <f t="shared" si="16"/>
        <v>69.5</v>
      </c>
      <c r="AY66" s="23">
        <f t="shared" si="16"/>
        <v>409.5</v>
      </c>
      <c r="AZ66" s="23">
        <f t="shared" si="16"/>
        <v>12298.5</v>
      </c>
      <c r="BA66" s="23">
        <f t="shared" si="16"/>
        <v>9225.5</v>
      </c>
      <c r="BB66" s="23">
        <f t="shared" si="16"/>
        <v>7727</v>
      </c>
      <c r="BC66" s="23">
        <f t="shared" si="16"/>
        <v>21009</v>
      </c>
      <c r="BD66" s="23">
        <f t="shared" si="16"/>
        <v>3622.5</v>
      </c>
      <c r="BE66" s="23">
        <f t="shared" si="16"/>
        <v>1286</v>
      </c>
      <c r="BF66" s="23">
        <f t="shared" si="16"/>
        <v>24490.5</v>
      </c>
      <c r="BG66" s="23">
        <f t="shared" si="16"/>
        <v>894</v>
      </c>
      <c r="BH66" s="23">
        <f t="shared" si="16"/>
        <v>566</v>
      </c>
      <c r="BI66" s="23">
        <f t="shared" si="16"/>
        <v>270</v>
      </c>
      <c r="BJ66" s="23">
        <f t="shared" si="16"/>
        <v>6299.5</v>
      </c>
      <c r="BK66" s="23">
        <f t="shared" si="16"/>
        <v>18861.5</v>
      </c>
      <c r="BL66" s="23">
        <f t="shared" si="16"/>
        <v>75.5</v>
      </c>
      <c r="BM66" s="23">
        <f t="shared" si="16"/>
        <v>303</v>
      </c>
      <c r="BN66" s="23">
        <f t="shared" si="16"/>
        <v>3219</v>
      </c>
      <c r="BO66" s="23">
        <f t="shared" si="16"/>
        <v>1303.5</v>
      </c>
      <c r="BP66" s="23">
        <f t="shared" si="16"/>
        <v>175</v>
      </c>
      <c r="BQ66" s="23">
        <f t="shared" si="16"/>
        <v>5661.5</v>
      </c>
      <c r="BR66" s="23">
        <f t="shared" si="16"/>
        <v>4525</v>
      </c>
      <c r="BS66" s="23">
        <f t="shared" si="16"/>
        <v>1123.5</v>
      </c>
      <c r="BT66" s="23">
        <f t="shared" si="16"/>
        <v>379.5</v>
      </c>
      <c r="BU66" s="23">
        <f t="shared" si="16"/>
        <v>395.5</v>
      </c>
      <c r="BV66" s="23">
        <f t="shared" si="16"/>
        <v>1232</v>
      </c>
      <c r="BW66" s="23">
        <f t="shared" si="16"/>
        <v>1990</v>
      </c>
      <c r="BX66" s="23">
        <f t="shared" si="16"/>
        <v>72.5</v>
      </c>
      <c r="BY66" s="23">
        <f t="shared" si="16"/>
        <v>451</v>
      </c>
      <c r="BZ66" s="23">
        <f t="shared" si="16"/>
        <v>217</v>
      </c>
      <c r="CA66" s="23">
        <f t="shared" si="16"/>
        <v>167.5</v>
      </c>
      <c r="CB66" s="23">
        <f t="shared" si="16"/>
        <v>72924.5</v>
      </c>
      <c r="CC66" s="23">
        <f t="shared" si="16"/>
        <v>186</v>
      </c>
      <c r="CD66" s="23">
        <f t="shared" si="16"/>
        <v>35.5</v>
      </c>
      <c r="CE66" s="23">
        <f t="shared" si="16"/>
        <v>156.5</v>
      </c>
      <c r="CF66" s="23">
        <f t="shared" si="16"/>
        <v>119</v>
      </c>
      <c r="CG66" s="23">
        <f t="shared" si="16"/>
        <v>202.5</v>
      </c>
      <c r="CH66" s="23">
        <f t="shared" si="16"/>
        <v>101.5</v>
      </c>
      <c r="CI66" s="23">
        <f t="shared" si="16"/>
        <v>715.5</v>
      </c>
      <c r="CJ66" s="23">
        <f t="shared" si="16"/>
        <v>900</v>
      </c>
      <c r="CK66" s="23">
        <f t="shared" si="16"/>
        <v>4395</v>
      </c>
      <c r="CL66" s="23">
        <f t="shared" si="16"/>
        <v>1269</v>
      </c>
      <c r="CM66" s="23">
        <f t="shared" si="16"/>
        <v>698</v>
      </c>
      <c r="CN66" s="23">
        <f t="shared" si="16"/>
        <v>28615</v>
      </c>
      <c r="CO66" s="23">
        <f t="shared" si="16"/>
        <v>14617</v>
      </c>
      <c r="CP66" s="23">
        <f t="shared" si="16"/>
        <v>983</v>
      </c>
      <c r="CQ66" s="23">
        <f t="shared" si="16"/>
        <v>805</v>
      </c>
      <c r="CR66" s="23">
        <f t="shared" si="16"/>
        <v>238</v>
      </c>
      <c r="CS66" s="23">
        <f t="shared" si="16"/>
        <v>308</v>
      </c>
      <c r="CT66" s="23">
        <f t="shared" si="16"/>
        <v>107.5</v>
      </c>
      <c r="CU66" s="23">
        <f t="shared" si="16"/>
        <v>69</v>
      </c>
      <c r="CV66" s="23">
        <f t="shared" si="16"/>
        <v>29.5</v>
      </c>
      <c r="CW66" s="23">
        <f t="shared" si="16"/>
        <v>195.5</v>
      </c>
      <c r="CX66" s="23">
        <f t="shared" si="16"/>
        <v>467.5</v>
      </c>
      <c r="CY66" s="23">
        <f t="shared" si="16"/>
        <v>37</v>
      </c>
      <c r="CZ66" s="23">
        <f t="shared" si="16"/>
        <v>1845</v>
      </c>
      <c r="DA66" s="23">
        <f t="shared" si="16"/>
        <v>203.5</v>
      </c>
      <c r="DB66" s="23">
        <f t="shared" si="16"/>
        <v>316</v>
      </c>
      <c r="DC66" s="23">
        <f t="shared" si="16"/>
        <v>162</v>
      </c>
      <c r="DD66" s="23">
        <f t="shared" si="16"/>
        <v>157</v>
      </c>
      <c r="DE66" s="23">
        <f t="shared" si="16"/>
        <v>291.5</v>
      </c>
      <c r="DF66" s="23">
        <f t="shared" si="16"/>
        <v>19957.5</v>
      </c>
      <c r="DG66" s="23">
        <f t="shared" si="16"/>
        <v>85</v>
      </c>
      <c r="DH66" s="23">
        <f t="shared" si="16"/>
        <v>1945</v>
      </c>
      <c r="DI66" s="23">
        <f t="shared" si="16"/>
        <v>2362.5</v>
      </c>
      <c r="DJ66" s="23">
        <f t="shared" si="16"/>
        <v>631.5</v>
      </c>
      <c r="DK66" s="23">
        <f t="shared" si="16"/>
        <v>468</v>
      </c>
      <c r="DL66" s="23">
        <f t="shared" si="16"/>
        <v>5726</v>
      </c>
      <c r="DM66" s="23">
        <f t="shared" si="16"/>
        <v>236</v>
      </c>
      <c r="DN66" s="23">
        <f t="shared" si="16"/>
        <v>1296.5</v>
      </c>
      <c r="DO66" s="23">
        <f t="shared" si="16"/>
        <v>3203</v>
      </c>
      <c r="DP66" s="23">
        <f t="shared" si="16"/>
        <v>208.5</v>
      </c>
      <c r="DQ66" s="23">
        <f t="shared" si="16"/>
        <v>798</v>
      </c>
      <c r="DR66" s="23">
        <f t="shared" si="16"/>
        <v>1356.5</v>
      </c>
      <c r="DS66" s="23">
        <f t="shared" si="16"/>
        <v>632</v>
      </c>
      <c r="DT66" s="23">
        <f t="shared" si="16"/>
        <v>163</v>
      </c>
      <c r="DU66" s="23">
        <f t="shared" si="16"/>
        <v>346.5</v>
      </c>
      <c r="DV66" s="23">
        <f t="shared" si="16"/>
        <v>218</v>
      </c>
      <c r="DW66" s="23">
        <f t="shared" si="16"/>
        <v>314</v>
      </c>
      <c r="DX66" s="23">
        <f t="shared" si="16"/>
        <v>160.5</v>
      </c>
      <c r="DY66" s="23">
        <f t="shared" si="16"/>
        <v>309.5</v>
      </c>
      <c r="DZ66" s="23">
        <f t="shared" si="16"/>
        <v>729.5</v>
      </c>
      <c r="EA66" s="23">
        <f t="shared" si="16"/>
        <v>533.5</v>
      </c>
      <c r="EB66" s="23">
        <f t="shared" si="16"/>
        <v>556.5</v>
      </c>
      <c r="EC66" s="23">
        <f t="shared" si="16"/>
        <v>306.5</v>
      </c>
      <c r="ED66" s="23">
        <f t="shared" si="16"/>
        <v>1552.5</v>
      </c>
      <c r="EE66" s="23">
        <f t="shared" si="16"/>
        <v>198</v>
      </c>
      <c r="EF66" s="23">
        <f t="shared" si="16"/>
        <v>1414</v>
      </c>
      <c r="EG66" s="23">
        <f t="shared" si="16"/>
        <v>252.5</v>
      </c>
      <c r="EH66" s="23">
        <f t="shared" si="16"/>
        <v>248.5</v>
      </c>
      <c r="EI66" s="23">
        <f t="shared" si="16"/>
        <v>14340.5</v>
      </c>
      <c r="EJ66" s="23">
        <f t="shared" si="16"/>
        <v>10073.5</v>
      </c>
      <c r="EK66" s="23">
        <f t="shared" si="16"/>
        <v>673.5</v>
      </c>
      <c r="EL66" s="23">
        <f t="shared" si="16"/>
        <v>457.5</v>
      </c>
      <c r="EM66" s="23">
        <f t="shared" si="16"/>
        <v>391.5</v>
      </c>
      <c r="EN66" s="23">
        <f t="shared" si="16"/>
        <v>896.5</v>
      </c>
      <c r="EO66" s="23">
        <f t="shared" si="16"/>
        <v>322</v>
      </c>
      <c r="EP66" s="23">
        <f t="shared" si="16"/>
        <v>424.5</v>
      </c>
      <c r="EQ66" s="23">
        <f t="shared" si="16"/>
        <v>2592.5</v>
      </c>
      <c r="ER66" s="23">
        <f t="shared" si="16"/>
        <v>316.5</v>
      </c>
      <c r="ES66" s="23">
        <f t="shared" si="16"/>
        <v>168.5</v>
      </c>
      <c r="ET66" s="23">
        <f t="shared" si="16"/>
        <v>166</v>
      </c>
      <c r="EU66" s="23">
        <f t="shared" si="16"/>
        <v>581</v>
      </c>
      <c r="EV66" s="23">
        <f t="shared" si="16"/>
        <v>80</v>
      </c>
      <c r="EW66" s="23">
        <f t="shared" si="16"/>
        <v>871</v>
      </c>
      <c r="EX66" s="23">
        <f t="shared" si="16"/>
        <v>165.5</v>
      </c>
      <c r="EY66" s="23">
        <f t="shared" si="16"/>
        <v>208.5</v>
      </c>
      <c r="EZ66" s="23">
        <f t="shared" si="16"/>
        <v>114</v>
      </c>
      <c r="FA66" s="23">
        <f t="shared" si="16"/>
        <v>3486</v>
      </c>
      <c r="FB66" s="23">
        <f t="shared" si="16"/>
        <v>286.5</v>
      </c>
      <c r="FC66" s="23">
        <f t="shared" si="16"/>
        <v>1944</v>
      </c>
      <c r="FD66" s="23">
        <f t="shared" si="16"/>
        <v>415</v>
      </c>
      <c r="FE66" s="23">
        <f t="shared" si="16"/>
        <v>82</v>
      </c>
      <c r="FF66" s="23">
        <f t="shared" si="16"/>
        <v>188</v>
      </c>
      <c r="FG66" s="23">
        <f t="shared" si="16"/>
        <v>124</v>
      </c>
      <c r="FH66" s="23">
        <f t="shared" si="16"/>
        <v>72</v>
      </c>
      <c r="FI66" s="23">
        <f t="shared" si="16"/>
        <v>1752</v>
      </c>
      <c r="FJ66" s="23">
        <f t="shared" si="16"/>
        <v>1998.5</v>
      </c>
      <c r="FK66" s="23">
        <f t="shared" si="16"/>
        <v>2612.5</v>
      </c>
      <c r="FL66" s="23">
        <f t="shared" si="16"/>
        <v>7995.5</v>
      </c>
      <c r="FM66" s="23">
        <f t="shared" si="16"/>
        <v>3731.5</v>
      </c>
      <c r="FN66" s="23">
        <f t="shared" si="16"/>
        <v>21573.5</v>
      </c>
      <c r="FO66" s="23">
        <f t="shared" si="16"/>
        <v>1104</v>
      </c>
      <c r="FP66" s="23">
        <f t="shared" si="16"/>
        <v>2342</v>
      </c>
      <c r="FQ66" s="23">
        <f t="shared" si="16"/>
        <v>994.5</v>
      </c>
      <c r="FR66" s="23">
        <f t="shared" si="16"/>
        <v>169.5</v>
      </c>
      <c r="FS66" s="23">
        <f t="shared" si="16"/>
        <v>179</v>
      </c>
      <c r="FT66" s="23">
        <f t="shared" si="16"/>
        <v>58</v>
      </c>
      <c r="FU66" s="23">
        <f t="shared" si="16"/>
        <v>832.5</v>
      </c>
      <c r="FV66" s="23">
        <f t="shared" si="16"/>
        <v>689</v>
      </c>
      <c r="FW66" s="23">
        <f t="shared" si="16"/>
        <v>156</v>
      </c>
      <c r="FX66" s="23">
        <f t="shared" si="16"/>
        <v>57.5</v>
      </c>
      <c r="FY66" s="23"/>
      <c r="FZ66" s="23">
        <f t="shared" si="13"/>
        <v>796687.5</v>
      </c>
      <c r="GA66" s="25"/>
      <c r="GB66" s="23"/>
      <c r="GC66" s="23"/>
      <c r="GD66" s="23"/>
      <c r="GE66" s="23"/>
      <c r="GF66" s="23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</row>
    <row r="67" spans="1:204" ht="15.5" x14ac:dyDescent="0.35">
      <c r="A67" s="12" t="s">
        <v>546</v>
      </c>
      <c r="B67" s="7" t="s">
        <v>547</v>
      </c>
      <c r="C67" s="23">
        <f t="shared" ref="C67:FX67" si="17">ROUND(MAX(C63,ROUND(AVERAGE(C63:C64),1),ROUND(AVERAGE(C63:C65),1),ROUND(AVERAGE(C63:C66),1)),1)</f>
        <v>6384.5</v>
      </c>
      <c r="D67" s="23">
        <f t="shared" si="17"/>
        <v>33093</v>
      </c>
      <c r="E67" s="23">
        <f t="shared" si="17"/>
        <v>4957.8999999999996</v>
      </c>
      <c r="F67" s="23">
        <f t="shared" si="17"/>
        <v>21462.5</v>
      </c>
      <c r="G67" s="23">
        <f t="shared" si="17"/>
        <v>1844</v>
      </c>
      <c r="H67" s="23">
        <f t="shared" si="17"/>
        <v>1095.5</v>
      </c>
      <c r="I67" s="23">
        <f t="shared" si="17"/>
        <v>7187</v>
      </c>
      <c r="J67" s="23">
        <f t="shared" si="17"/>
        <v>2040.6</v>
      </c>
      <c r="K67" s="23">
        <f t="shared" si="17"/>
        <v>251.7</v>
      </c>
      <c r="L67" s="23">
        <f t="shared" si="17"/>
        <v>2111.5</v>
      </c>
      <c r="M67" s="23">
        <f t="shared" si="17"/>
        <v>909.1</v>
      </c>
      <c r="N67" s="23">
        <f t="shared" si="17"/>
        <v>50075.3</v>
      </c>
      <c r="O67" s="23">
        <f t="shared" si="17"/>
        <v>12674.5</v>
      </c>
      <c r="P67" s="23">
        <f t="shared" si="17"/>
        <v>315.3</v>
      </c>
      <c r="Q67" s="23">
        <f t="shared" si="17"/>
        <v>37352</v>
      </c>
      <c r="R67" s="23">
        <f t="shared" si="17"/>
        <v>481.8</v>
      </c>
      <c r="S67" s="23">
        <f t="shared" si="17"/>
        <v>1573</v>
      </c>
      <c r="T67" s="23">
        <f t="shared" si="17"/>
        <v>161.1</v>
      </c>
      <c r="U67" s="23">
        <f t="shared" si="17"/>
        <v>55.5</v>
      </c>
      <c r="V67" s="23">
        <f t="shared" si="17"/>
        <v>256.39999999999998</v>
      </c>
      <c r="W67" s="23">
        <f t="shared" si="17"/>
        <v>55</v>
      </c>
      <c r="X67" s="23">
        <f t="shared" si="17"/>
        <v>37.5</v>
      </c>
      <c r="Y67" s="23">
        <f t="shared" si="17"/>
        <v>421.3</v>
      </c>
      <c r="Z67" s="23">
        <f t="shared" si="17"/>
        <v>231.1</v>
      </c>
      <c r="AA67" s="23">
        <f t="shared" si="17"/>
        <v>30471.8</v>
      </c>
      <c r="AB67" s="23">
        <f t="shared" si="17"/>
        <v>26850.5</v>
      </c>
      <c r="AC67" s="23">
        <f t="shared" si="17"/>
        <v>892.9</v>
      </c>
      <c r="AD67" s="23">
        <f t="shared" si="17"/>
        <v>1281</v>
      </c>
      <c r="AE67" s="23">
        <f t="shared" si="17"/>
        <v>97</v>
      </c>
      <c r="AF67" s="23">
        <f t="shared" si="17"/>
        <v>165.8</v>
      </c>
      <c r="AG67" s="23">
        <f t="shared" si="17"/>
        <v>593.4</v>
      </c>
      <c r="AH67" s="23">
        <f t="shared" si="17"/>
        <v>945.4</v>
      </c>
      <c r="AI67" s="23">
        <f t="shared" si="17"/>
        <v>383</v>
      </c>
      <c r="AJ67" s="23">
        <f t="shared" si="17"/>
        <v>181.5</v>
      </c>
      <c r="AK67" s="23">
        <f t="shared" si="17"/>
        <v>162.80000000000001</v>
      </c>
      <c r="AL67" s="23">
        <f t="shared" si="17"/>
        <v>288.5</v>
      </c>
      <c r="AM67" s="23">
        <f t="shared" si="17"/>
        <v>340</v>
      </c>
      <c r="AN67" s="23">
        <f t="shared" si="17"/>
        <v>291.5</v>
      </c>
      <c r="AO67" s="23">
        <f t="shared" si="17"/>
        <v>3954.1</v>
      </c>
      <c r="AP67" s="23">
        <f t="shared" si="17"/>
        <v>83959.5</v>
      </c>
      <c r="AQ67" s="23">
        <f t="shared" si="17"/>
        <v>251</v>
      </c>
      <c r="AR67" s="23">
        <f t="shared" si="17"/>
        <v>58283.6</v>
      </c>
      <c r="AS67" s="23">
        <f t="shared" si="17"/>
        <v>6122</v>
      </c>
      <c r="AT67" s="23">
        <f t="shared" si="17"/>
        <v>2358</v>
      </c>
      <c r="AU67" s="23">
        <f t="shared" si="17"/>
        <v>271</v>
      </c>
      <c r="AV67" s="23">
        <f t="shared" si="17"/>
        <v>305.39999999999998</v>
      </c>
      <c r="AW67" s="23">
        <f t="shared" si="17"/>
        <v>255</v>
      </c>
      <c r="AX67" s="23">
        <f t="shared" si="17"/>
        <v>81</v>
      </c>
      <c r="AY67" s="23">
        <f t="shared" si="17"/>
        <v>402</v>
      </c>
      <c r="AZ67" s="23">
        <f t="shared" si="17"/>
        <v>12004.5</v>
      </c>
      <c r="BA67" s="23">
        <f t="shared" si="17"/>
        <v>8874.5</v>
      </c>
      <c r="BB67" s="23">
        <f t="shared" si="17"/>
        <v>7477</v>
      </c>
      <c r="BC67" s="23">
        <f t="shared" si="17"/>
        <v>21205.8</v>
      </c>
      <c r="BD67" s="23">
        <f t="shared" si="17"/>
        <v>3633.5</v>
      </c>
      <c r="BE67" s="23">
        <f t="shared" si="17"/>
        <v>1174.5</v>
      </c>
      <c r="BF67" s="23">
        <f t="shared" si="17"/>
        <v>24352.6</v>
      </c>
      <c r="BG67" s="23">
        <f t="shared" si="17"/>
        <v>920.5</v>
      </c>
      <c r="BH67" s="23">
        <f t="shared" si="17"/>
        <v>542.79999999999995</v>
      </c>
      <c r="BI67" s="23">
        <f t="shared" si="17"/>
        <v>257.3</v>
      </c>
      <c r="BJ67" s="23">
        <f t="shared" si="17"/>
        <v>6294</v>
      </c>
      <c r="BK67" s="23">
        <f t="shared" si="17"/>
        <v>21812.5</v>
      </c>
      <c r="BL67" s="23">
        <f t="shared" si="17"/>
        <v>69.5</v>
      </c>
      <c r="BM67" s="23">
        <f t="shared" si="17"/>
        <v>340.8</v>
      </c>
      <c r="BN67" s="23">
        <f t="shared" si="17"/>
        <v>3062.5</v>
      </c>
      <c r="BO67" s="23">
        <f t="shared" si="17"/>
        <v>1232.5999999999999</v>
      </c>
      <c r="BP67" s="23">
        <f t="shared" si="17"/>
        <v>152</v>
      </c>
      <c r="BQ67" s="23">
        <f t="shared" si="17"/>
        <v>5632.1</v>
      </c>
      <c r="BR67" s="23">
        <f t="shared" si="17"/>
        <v>4488.3999999999996</v>
      </c>
      <c r="BS67" s="23">
        <f t="shared" si="17"/>
        <v>1158</v>
      </c>
      <c r="BT67" s="23">
        <f t="shared" si="17"/>
        <v>362.5</v>
      </c>
      <c r="BU67" s="23">
        <f t="shared" si="17"/>
        <v>392.6</v>
      </c>
      <c r="BV67" s="23">
        <f t="shared" si="17"/>
        <v>1245.3</v>
      </c>
      <c r="BW67" s="23">
        <f t="shared" si="17"/>
        <v>2017.5</v>
      </c>
      <c r="BX67" s="23">
        <f t="shared" si="17"/>
        <v>65.900000000000006</v>
      </c>
      <c r="BY67" s="23">
        <f t="shared" si="17"/>
        <v>421.8</v>
      </c>
      <c r="BZ67" s="23">
        <f t="shared" si="17"/>
        <v>228</v>
      </c>
      <c r="CA67" s="23">
        <f t="shared" si="17"/>
        <v>144.5</v>
      </c>
      <c r="CB67" s="23">
        <f t="shared" si="17"/>
        <v>71214.899999999994</v>
      </c>
      <c r="CC67" s="23">
        <f t="shared" si="17"/>
        <v>189.3</v>
      </c>
      <c r="CD67" s="23">
        <f t="shared" si="17"/>
        <v>30</v>
      </c>
      <c r="CE67" s="23">
        <f t="shared" si="17"/>
        <v>158.30000000000001</v>
      </c>
      <c r="CF67" s="23">
        <f t="shared" si="17"/>
        <v>105.3</v>
      </c>
      <c r="CG67" s="23">
        <f t="shared" si="17"/>
        <v>197.6</v>
      </c>
      <c r="CH67" s="23">
        <f t="shared" si="17"/>
        <v>95.1</v>
      </c>
      <c r="CI67" s="23">
        <f t="shared" si="17"/>
        <v>687.9</v>
      </c>
      <c r="CJ67" s="23">
        <f t="shared" si="17"/>
        <v>862.8</v>
      </c>
      <c r="CK67" s="23">
        <f t="shared" si="17"/>
        <v>4271.8999999999996</v>
      </c>
      <c r="CL67" s="23">
        <f t="shared" si="17"/>
        <v>1207.5999999999999</v>
      </c>
      <c r="CM67" s="23">
        <f t="shared" si="17"/>
        <v>683.4</v>
      </c>
      <c r="CN67" s="23">
        <f t="shared" si="17"/>
        <v>28219.599999999999</v>
      </c>
      <c r="CO67" s="23">
        <f t="shared" si="17"/>
        <v>14212.9</v>
      </c>
      <c r="CP67" s="23">
        <f t="shared" si="17"/>
        <v>911.5</v>
      </c>
      <c r="CQ67" s="23">
        <f t="shared" si="17"/>
        <v>766.8</v>
      </c>
      <c r="CR67" s="23">
        <f t="shared" si="17"/>
        <v>215.8</v>
      </c>
      <c r="CS67" s="23">
        <f t="shared" si="17"/>
        <v>278.39999999999998</v>
      </c>
      <c r="CT67" s="23">
        <f t="shared" si="17"/>
        <v>113.5</v>
      </c>
      <c r="CU67" s="23">
        <f t="shared" si="17"/>
        <v>69</v>
      </c>
      <c r="CV67" s="23">
        <f t="shared" si="17"/>
        <v>24.8</v>
      </c>
      <c r="CW67" s="23">
        <f t="shared" si="17"/>
        <v>198.7</v>
      </c>
      <c r="CX67" s="23">
        <f t="shared" si="17"/>
        <v>461.4</v>
      </c>
      <c r="CY67" s="23">
        <f t="shared" si="17"/>
        <v>29.5</v>
      </c>
      <c r="CZ67" s="23">
        <f t="shared" si="17"/>
        <v>1786.3</v>
      </c>
      <c r="DA67" s="23">
        <f t="shared" si="17"/>
        <v>203.5</v>
      </c>
      <c r="DB67" s="23">
        <f t="shared" si="17"/>
        <v>315.8</v>
      </c>
      <c r="DC67" s="23">
        <f t="shared" si="17"/>
        <v>193</v>
      </c>
      <c r="DD67" s="23">
        <f t="shared" si="17"/>
        <v>174.5</v>
      </c>
      <c r="DE67" s="23">
        <f t="shared" si="17"/>
        <v>284.8</v>
      </c>
      <c r="DF67" s="23">
        <f t="shared" si="17"/>
        <v>19144.099999999999</v>
      </c>
      <c r="DG67" s="23">
        <f t="shared" si="17"/>
        <v>93.5</v>
      </c>
      <c r="DH67" s="23">
        <f t="shared" si="17"/>
        <v>1770.5</v>
      </c>
      <c r="DI67" s="23">
        <f t="shared" si="17"/>
        <v>2338.5</v>
      </c>
      <c r="DJ67" s="23">
        <f t="shared" si="17"/>
        <v>613.1</v>
      </c>
      <c r="DK67" s="23">
        <f t="shared" si="17"/>
        <v>477.7</v>
      </c>
      <c r="DL67" s="23">
        <f t="shared" si="17"/>
        <v>5675.9</v>
      </c>
      <c r="DM67" s="23">
        <f t="shared" si="17"/>
        <v>235</v>
      </c>
      <c r="DN67" s="23">
        <f t="shared" si="17"/>
        <v>1294.5</v>
      </c>
      <c r="DO67" s="23">
        <f t="shared" si="17"/>
        <v>3290</v>
      </c>
      <c r="DP67" s="23">
        <f t="shared" si="17"/>
        <v>199.1</v>
      </c>
      <c r="DQ67" s="23">
        <f t="shared" si="17"/>
        <v>887</v>
      </c>
      <c r="DR67" s="23">
        <f t="shared" si="17"/>
        <v>1305.4000000000001</v>
      </c>
      <c r="DS67" s="23">
        <f t="shared" si="17"/>
        <v>580</v>
      </c>
      <c r="DT67" s="23">
        <f t="shared" si="17"/>
        <v>176.5</v>
      </c>
      <c r="DU67" s="23">
        <f t="shared" si="17"/>
        <v>347.7</v>
      </c>
      <c r="DV67" s="23">
        <f t="shared" si="17"/>
        <v>205.8</v>
      </c>
      <c r="DW67" s="23">
        <f t="shared" si="17"/>
        <v>297.39999999999998</v>
      </c>
      <c r="DX67" s="23">
        <f t="shared" si="17"/>
        <v>168</v>
      </c>
      <c r="DY67" s="23">
        <f t="shared" si="17"/>
        <v>293.10000000000002</v>
      </c>
      <c r="DZ67" s="23">
        <f t="shared" si="17"/>
        <v>661.3</v>
      </c>
      <c r="EA67" s="23">
        <f t="shared" si="17"/>
        <v>506.9</v>
      </c>
      <c r="EB67" s="23">
        <f t="shared" si="17"/>
        <v>522.5</v>
      </c>
      <c r="EC67" s="23">
        <f t="shared" si="17"/>
        <v>278.60000000000002</v>
      </c>
      <c r="ED67" s="23">
        <f t="shared" si="17"/>
        <v>1549</v>
      </c>
      <c r="EE67" s="23">
        <f t="shared" si="17"/>
        <v>191.6</v>
      </c>
      <c r="EF67" s="23">
        <f t="shared" si="17"/>
        <v>1323.8</v>
      </c>
      <c r="EG67" s="23">
        <f t="shared" si="17"/>
        <v>253.5</v>
      </c>
      <c r="EH67" s="23">
        <f t="shared" si="17"/>
        <v>247.4</v>
      </c>
      <c r="EI67" s="23">
        <f t="shared" si="17"/>
        <v>13726.9</v>
      </c>
      <c r="EJ67" s="23">
        <f t="shared" si="17"/>
        <v>9921.6</v>
      </c>
      <c r="EK67" s="23">
        <f t="shared" si="17"/>
        <v>665.6</v>
      </c>
      <c r="EL67" s="23">
        <f t="shared" si="17"/>
        <v>457.3</v>
      </c>
      <c r="EM67" s="23">
        <f t="shared" si="17"/>
        <v>371.1</v>
      </c>
      <c r="EN67" s="23">
        <f t="shared" si="17"/>
        <v>888.6</v>
      </c>
      <c r="EO67" s="23">
        <f t="shared" si="17"/>
        <v>299.5</v>
      </c>
      <c r="EP67" s="23">
        <f t="shared" si="17"/>
        <v>428.5</v>
      </c>
      <c r="EQ67" s="23">
        <f t="shared" si="17"/>
        <v>2491.6</v>
      </c>
      <c r="ER67" s="23">
        <f t="shared" si="17"/>
        <v>307.60000000000002</v>
      </c>
      <c r="ES67" s="23">
        <f t="shared" si="17"/>
        <v>161.5</v>
      </c>
      <c r="ET67" s="23">
        <f t="shared" si="17"/>
        <v>197.5</v>
      </c>
      <c r="EU67" s="23">
        <f t="shared" si="17"/>
        <v>573.5</v>
      </c>
      <c r="EV67" s="23">
        <f t="shared" si="17"/>
        <v>72.3</v>
      </c>
      <c r="EW67" s="23">
        <f t="shared" si="17"/>
        <v>804.4</v>
      </c>
      <c r="EX67" s="23">
        <f t="shared" si="17"/>
        <v>173.5</v>
      </c>
      <c r="EY67" s="23">
        <f t="shared" si="17"/>
        <v>205.5</v>
      </c>
      <c r="EZ67" s="23">
        <f t="shared" si="17"/>
        <v>129.30000000000001</v>
      </c>
      <c r="FA67" s="23">
        <f t="shared" si="17"/>
        <v>3358.5</v>
      </c>
      <c r="FB67" s="23">
        <f t="shared" si="17"/>
        <v>276.10000000000002</v>
      </c>
      <c r="FC67" s="23">
        <f t="shared" si="17"/>
        <v>1770.8</v>
      </c>
      <c r="FD67" s="23">
        <f t="shared" si="17"/>
        <v>402</v>
      </c>
      <c r="FE67" s="23">
        <f t="shared" si="17"/>
        <v>77.3</v>
      </c>
      <c r="FF67" s="23">
        <f t="shared" si="17"/>
        <v>181</v>
      </c>
      <c r="FG67" s="23">
        <f t="shared" si="17"/>
        <v>119.8</v>
      </c>
      <c r="FH67" s="23">
        <f t="shared" si="17"/>
        <v>70</v>
      </c>
      <c r="FI67" s="23">
        <f t="shared" si="17"/>
        <v>1681.9</v>
      </c>
      <c r="FJ67" s="23">
        <f t="shared" si="17"/>
        <v>2016.5</v>
      </c>
      <c r="FK67" s="23">
        <f t="shared" si="17"/>
        <v>2527.9</v>
      </c>
      <c r="FL67" s="23">
        <f t="shared" si="17"/>
        <v>8537.5</v>
      </c>
      <c r="FM67" s="23">
        <f t="shared" si="17"/>
        <v>3981.5</v>
      </c>
      <c r="FN67" s="23">
        <f t="shared" si="17"/>
        <v>22420.5</v>
      </c>
      <c r="FO67" s="23">
        <f t="shared" si="17"/>
        <v>1117</v>
      </c>
      <c r="FP67" s="23">
        <f t="shared" si="17"/>
        <v>2341.5</v>
      </c>
      <c r="FQ67" s="23">
        <f t="shared" si="17"/>
        <v>982.5</v>
      </c>
      <c r="FR67" s="23">
        <f t="shared" si="17"/>
        <v>165.4</v>
      </c>
      <c r="FS67" s="23">
        <f t="shared" si="17"/>
        <v>164.6</v>
      </c>
      <c r="FT67" s="23">
        <f t="shared" si="17"/>
        <v>55.8</v>
      </c>
      <c r="FU67" s="23">
        <f t="shared" si="17"/>
        <v>784.3</v>
      </c>
      <c r="FV67" s="23">
        <f t="shared" si="17"/>
        <v>692</v>
      </c>
      <c r="FW67" s="23">
        <f t="shared" si="17"/>
        <v>141.30000000000001</v>
      </c>
      <c r="FX67" s="23">
        <f t="shared" si="17"/>
        <v>64.5</v>
      </c>
      <c r="FY67" s="23"/>
      <c r="FZ67" s="23">
        <f t="shared" si="13"/>
        <v>792675.60000000079</v>
      </c>
      <c r="GA67" s="55"/>
      <c r="GB67" s="23">
        <f>FZ67-GA67</f>
        <v>792675.60000000079</v>
      </c>
      <c r="GC67" s="23"/>
      <c r="GD67" s="23"/>
      <c r="GE67" s="23"/>
      <c r="GF67" s="23"/>
      <c r="GG67" s="7"/>
      <c r="GH67" s="7"/>
      <c r="GI67" s="7"/>
      <c r="GJ67" s="7"/>
      <c r="GK67" s="7"/>
      <c r="GL67" s="7"/>
      <c r="GM67" s="7"/>
      <c r="GN67" s="23"/>
      <c r="GO67" s="23"/>
      <c r="GP67" s="7"/>
      <c r="GQ67" s="7"/>
      <c r="GR67" s="7"/>
      <c r="GS67" s="7"/>
      <c r="GT67" s="7"/>
      <c r="GU67" s="7"/>
      <c r="GV67" s="7"/>
    </row>
    <row r="68" spans="1:204" ht="15.5" x14ac:dyDescent="0.35">
      <c r="A68" s="7"/>
      <c r="B68" s="7" t="s">
        <v>548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23"/>
      <c r="FZ68" s="25"/>
      <c r="GA68" s="26"/>
      <c r="GB68" s="23"/>
      <c r="GC68" s="23"/>
      <c r="GD68" s="23"/>
      <c r="GE68" s="23"/>
      <c r="GF68" s="23"/>
      <c r="GG68" s="7"/>
      <c r="GH68" s="7"/>
      <c r="GI68" s="7"/>
      <c r="GJ68" s="7"/>
      <c r="GK68" s="7"/>
      <c r="GL68" s="7"/>
      <c r="GM68" s="7"/>
      <c r="GN68" s="23"/>
      <c r="GO68" s="23"/>
      <c r="GP68" s="7"/>
      <c r="GQ68" s="7"/>
      <c r="GR68" s="7"/>
      <c r="GS68" s="7"/>
      <c r="GT68" s="7"/>
      <c r="GU68" s="7"/>
      <c r="GV68" s="7"/>
    </row>
    <row r="69" spans="1:204" ht="15.5" x14ac:dyDescent="0.35">
      <c r="A69" s="12" t="s">
        <v>549</v>
      </c>
      <c r="B69" s="7" t="s">
        <v>550</v>
      </c>
      <c r="C69" s="39">
        <f t="shared" ref="C69:FX69" si="18">ROUND(C10*2*$A$61,2)</f>
        <v>0</v>
      </c>
      <c r="D69" s="39">
        <f t="shared" si="18"/>
        <v>0.08</v>
      </c>
      <c r="E69" s="39">
        <f t="shared" si="18"/>
        <v>0.24</v>
      </c>
      <c r="F69" s="39">
        <f t="shared" si="18"/>
        <v>2.8</v>
      </c>
      <c r="G69" s="39">
        <f t="shared" si="18"/>
        <v>0</v>
      </c>
      <c r="H69" s="39">
        <f t="shared" si="18"/>
        <v>0</v>
      </c>
      <c r="I69" s="39">
        <f t="shared" si="18"/>
        <v>0</v>
      </c>
      <c r="J69" s="39">
        <f t="shared" si="18"/>
        <v>0</v>
      </c>
      <c r="K69" s="39">
        <f t="shared" si="18"/>
        <v>0</v>
      </c>
      <c r="L69" s="39">
        <f t="shared" si="18"/>
        <v>0</v>
      </c>
      <c r="M69" s="39">
        <f t="shared" si="18"/>
        <v>0</v>
      </c>
      <c r="N69" s="39">
        <f t="shared" si="18"/>
        <v>4.6399999999999997</v>
      </c>
      <c r="O69" s="39">
        <f t="shared" si="18"/>
        <v>0.32</v>
      </c>
      <c r="P69" s="39">
        <f t="shared" si="18"/>
        <v>0</v>
      </c>
      <c r="Q69" s="39">
        <f t="shared" si="18"/>
        <v>7.52</v>
      </c>
      <c r="R69" s="39">
        <f t="shared" si="18"/>
        <v>0</v>
      </c>
      <c r="S69" s="39">
        <f t="shared" si="18"/>
        <v>0.48</v>
      </c>
      <c r="T69" s="39">
        <f t="shared" si="18"/>
        <v>0</v>
      </c>
      <c r="U69" s="39">
        <f t="shared" si="18"/>
        <v>0</v>
      </c>
      <c r="V69" s="39">
        <f t="shared" si="18"/>
        <v>0</v>
      </c>
      <c r="W69" s="39">
        <f t="shared" si="18"/>
        <v>0</v>
      </c>
      <c r="X69" s="39">
        <f t="shared" si="18"/>
        <v>0.4</v>
      </c>
      <c r="Y69" s="39">
        <f t="shared" si="18"/>
        <v>0</v>
      </c>
      <c r="Z69" s="39">
        <f t="shared" si="18"/>
        <v>0</v>
      </c>
      <c r="AA69" s="39">
        <f t="shared" si="18"/>
        <v>4.32</v>
      </c>
      <c r="AB69" s="39">
        <f t="shared" si="18"/>
        <v>0.16</v>
      </c>
      <c r="AC69" s="39">
        <f t="shared" si="18"/>
        <v>0</v>
      </c>
      <c r="AD69" s="39">
        <f t="shared" si="18"/>
        <v>0.08</v>
      </c>
      <c r="AE69" s="39">
        <f t="shared" si="18"/>
        <v>0</v>
      </c>
      <c r="AF69" s="39">
        <f t="shared" si="18"/>
        <v>0</v>
      </c>
      <c r="AG69" s="39">
        <f t="shared" si="18"/>
        <v>0</v>
      </c>
      <c r="AH69" s="39">
        <f t="shared" si="18"/>
        <v>0</v>
      </c>
      <c r="AI69" s="39">
        <f t="shared" si="18"/>
        <v>0</v>
      </c>
      <c r="AJ69" s="39">
        <f t="shared" si="18"/>
        <v>0</v>
      </c>
      <c r="AK69" s="39">
        <f t="shared" si="18"/>
        <v>0</v>
      </c>
      <c r="AL69" s="39">
        <f t="shared" si="18"/>
        <v>0</v>
      </c>
      <c r="AM69" s="39">
        <f t="shared" si="18"/>
        <v>0</v>
      </c>
      <c r="AN69" s="39">
        <f t="shared" si="18"/>
        <v>0</v>
      </c>
      <c r="AO69" s="39">
        <f t="shared" si="18"/>
        <v>0.64</v>
      </c>
      <c r="AP69" s="39">
        <f t="shared" si="18"/>
        <v>0.08</v>
      </c>
      <c r="AQ69" s="39">
        <f t="shared" si="18"/>
        <v>0</v>
      </c>
      <c r="AR69" s="39">
        <f t="shared" si="18"/>
        <v>13.04</v>
      </c>
      <c r="AS69" s="39">
        <f t="shared" si="18"/>
        <v>0</v>
      </c>
      <c r="AT69" s="39">
        <f t="shared" si="18"/>
        <v>2.2400000000000002</v>
      </c>
      <c r="AU69" s="39">
        <f t="shared" si="18"/>
        <v>0</v>
      </c>
      <c r="AV69" s="39">
        <f t="shared" si="18"/>
        <v>0</v>
      </c>
      <c r="AW69" s="39">
        <f t="shared" si="18"/>
        <v>0</v>
      </c>
      <c r="AX69" s="39">
        <f t="shared" si="18"/>
        <v>0</v>
      </c>
      <c r="AY69" s="39">
        <f t="shared" si="18"/>
        <v>0</v>
      </c>
      <c r="AZ69" s="39">
        <f t="shared" si="18"/>
        <v>2.4</v>
      </c>
      <c r="BA69" s="39">
        <f t="shared" si="18"/>
        <v>0</v>
      </c>
      <c r="BB69" s="39">
        <f t="shared" si="18"/>
        <v>0.16</v>
      </c>
      <c r="BC69" s="39">
        <f t="shared" si="18"/>
        <v>6.48</v>
      </c>
      <c r="BD69" s="39">
        <f t="shared" si="18"/>
        <v>0</v>
      </c>
      <c r="BE69" s="39">
        <f t="shared" si="18"/>
        <v>0</v>
      </c>
      <c r="BF69" s="39">
        <f t="shared" si="18"/>
        <v>33.68</v>
      </c>
      <c r="BG69" s="39">
        <f t="shared" si="18"/>
        <v>0.08</v>
      </c>
      <c r="BH69" s="39">
        <f t="shared" si="18"/>
        <v>0</v>
      </c>
      <c r="BI69" s="39">
        <f t="shared" si="18"/>
        <v>0</v>
      </c>
      <c r="BJ69" s="39">
        <f t="shared" si="18"/>
        <v>3.44</v>
      </c>
      <c r="BK69" s="39">
        <f t="shared" si="18"/>
        <v>52.16</v>
      </c>
      <c r="BL69" s="39">
        <f t="shared" si="18"/>
        <v>0</v>
      </c>
      <c r="BM69" s="39">
        <f t="shared" si="18"/>
        <v>0</v>
      </c>
      <c r="BN69" s="39">
        <f t="shared" si="18"/>
        <v>0.08</v>
      </c>
      <c r="BO69" s="39">
        <f t="shared" si="18"/>
        <v>0</v>
      </c>
      <c r="BP69" s="39">
        <f t="shared" si="18"/>
        <v>0</v>
      </c>
      <c r="BQ69" s="39">
        <f t="shared" si="18"/>
        <v>0</v>
      </c>
      <c r="BR69" s="39">
        <f t="shared" si="18"/>
        <v>0</v>
      </c>
      <c r="BS69" s="39">
        <f t="shared" si="18"/>
        <v>0.08</v>
      </c>
      <c r="BT69" s="39">
        <f t="shared" si="18"/>
        <v>0</v>
      </c>
      <c r="BU69" s="39">
        <f t="shared" si="18"/>
        <v>0</v>
      </c>
      <c r="BV69" s="39">
        <f t="shared" si="18"/>
        <v>0</v>
      </c>
      <c r="BW69" s="39">
        <f t="shared" si="18"/>
        <v>0</v>
      </c>
      <c r="BX69" s="39">
        <f t="shared" si="18"/>
        <v>0</v>
      </c>
      <c r="BY69" s="39">
        <f t="shared" si="18"/>
        <v>0.08</v>
      </c>
      <c r="BZ69" s="39">
        <f t="shared" si="18"/>
        <v>0</v>
      </c>
      <c r="CA69" s="39">
        <f t="shared" si="18"/>
        <v>0</v>
      </c>
      <c r="CB69" s="39">
        <f t="shared" si="18"/>
        <v>11.92</v>
      </c>
      <c r="CC69" s="39">
        <f t="shared" si="18"/>
        <v>0</v>
      </c>
      <c r="CD69" s="39">
        <f t="shared" si="18"/>
        <v>0</v>
      </c>
      <c r="CE69" s="39">
        <f t="shared" si="18"/>
        <v>0</v>
      </c>
      <c r="CF69" s="39">
        <f t="shared" si="18"/>
        <v>0</v>
      </c>
      <c r="CG69" s="39">
        <f t="shared" si="18"/>
        <v>0</v>
      </c>
      <c r="CH69" s="39">
        <f t="shared" si="18"/>
        <v>0</v>
      </c>
      <c r="CI69" s="39">
        <f t="shared" si="18"/>
        <v>0</v>
      </c>
      <c r="CJ69" s="39">
        <f t="shared" si="18"/>
        <v>0</v>
      </c>
      <c r="CK69" s="39">
        <f t="shared" si="18"/>
        <v>2</v>
      </c>
      <c r="CL69" s="39">
        <f t="shared" si="18"/>
        <v>0</v>
      </c>
      <c r="CM69" s="39">
        <f t="shared" si="18"/>
        <v>1.1200000000000001</v>
      </c>
      <c r="CN69" s="39">
        <f t="shared" si="18"/>
        <v>16.32</v>
      </c>
      <c r="CO69" s="39">
        <f t="shared" si="18"/>
        <v>4.6399999999999997</v>
      </c>
      <c r="CP69" s="39">
        <f t="shared" si="18"/>
        <v>0.8</v>
      </c>
      <c r="CQ69" s="39">
        <f t="shared" si="18"/>
        <v>0</v>
      </c>
      <c r="CR69" s="39">
        <f t="shared" si="18"/>
        <v>0</v>
      </c>
      <c r="CS69" s="39">
        <f t="shared" si="18"/>
        <v>0</v>
      </c>
      <c r="CT69" s="39">
        <f t="shared" si="18"/>
        <v>0</v>
      </c>
      <c r="CU69" s="39">
        <f t="shared" si="18"/>
        <v>0</v>
      </c>
      <c r="CV69" s="39">
        <f t="shared" si="18"/>
        <v>0</v>
      </c>
      <c r="CW69" s="39">
        <f t="shared" si="18"/>
        <v>0</v>
      </c>
      <c r="CX69" s="39">
        <f t="shared" si="18"/>
        <v>0</v>
      </c>
      <c r="CY69" s="39">
        <f t="shared" si="18"/>
        <v>0</v>
      </c>
      <c r="CZ69" s="39">
        <f t="shared" si="18"/>
        <v>0.16</v>
      </c>
      <c r="DA69" s="39">
        <f t="shared" si="18"/>
        <v>0</v>
      </c>
      <c r="DB69" s="39">
        <f t="shared" si="18"/>
        <v>0</v>
      </c>
      <c r="DC69" s="39">
        <f t="shared" si="18"/>
        <v>0</v>
      </c>
      <c r="DD69" s="39">
        <f t="shared" si="18"/>
        <v>0</v>
      </c>
      <c r="DE69" s="39">
        <f t="shared" si="18"/>
        <v>0</v>
      </c>
      <c r="DF69" s="39">
        <f t="shared" si="18"/>
        <v>3.76</v>
      </c>
      <c r="DG69" s="39">
        <f t="shared" si="18"/>
        <v>0</v>
      </c>
      <c r="DH69" s="39">
        <f t="shared" si="18"/>
        <v>0</v>
      </c>
      <c r="DI69" s="39">
        <f t="shared" si="18"/>
        <v>0.08</v>
      </c>
      <c r="DJ69" s="39">
        <f t="shared" si="18"/>
        <v>0</v>
      </c>
      <c r="DK69" s="39">
        <f t="shared" si="18"/>
        <v>0</v>
      </c>
      <c r="DL69" s="39">
        <f t="shared" si="18"/>
        <v>0.08</v>
      </c>
      <c r="DM69" s="39">
        <f t="shared" si="18"/>
        <v>0</v>
      </c>
      <c r="DN69" s="39">
        <f t="shared" si="18"/>
        <v>0</v>
      </c>
      <c r="DO69" s="39">
        <f t="shared" si="18"/>
        <v>0</v>
      </c>
      <c r="DP69" s="39">
        <f t="shared" si="18"/>
        <v>0</v>
      </c>
      <c r="DQ69" s="39">
        <f t="shared" si="18"/>
        <v>0</v>
      </c>
      <c r="DR69" s="39">
        <f t="shared" si="18"/>
        <v>0.08</v>
      </c>
      <c r="DS69" s="39">
        <f t="shared" si="18"/>
        <v>0</v>
      </c>
      <c r="DT69" s="39">
        <f t="shared" si="18"/>
        <v>0</v>
      </c>
      <c r="DU69" s="39">
        <f t="shared" si="18"/>
        <v>0</v>
      </c>
      <c r="DV69" s="39">
        <f t="shared" si="18"/>
        <v>0</v>
      </c>
      <c r="DW69" s="39">
        <f t="shared" si="18"/>
        <v>0</v>
      </c>
      <c r="DX69" s="39">
        <f t="shared" si="18"/>
        <v>0</v>
      </c>
      <c r="DY69" s="39">
        <f t="shared" si="18"/>
        <v>0</v>
      </c>
      <c r="DZ69" s="39">
        <f t="shared" si="18"/>
        <v>0</v>
      </c>
      <c r="EA69" s="39">
        <f t="shared" si="18"/>
        <v>0</v>
      </c>
      <c r="EB69" s="39">
        <f t="shared" si="18"/>
        <v>0</v>
      </c>
      <c r="EC69" s="39">
        <f t="shared" si="18"/>
        <v>0</v>
      </c>
      <c r="ED69" s="39">
        <f t="shared" si="18"/>
        <v>0</v>
      </c>
      <c r="EE69" s="39">
        <f t="shared" si="18"/>
        <v>0</v>
      </c>
      <c r="EF69" s="39">
        <f t="shared" si="18"/>
        <v>0</v>
      </c>
      <c r="EG69" s="39">
        <f t="shared" si="18"/>
        <v>0</v>
      </c>
      <c r="EH69" s="39">
        <f t="shared" si="18"/>
        <v>0</v>
      </c>
      <c r="EI69" s="39">
        <f t="shared" si="18"/>
        <v>0</v>
      </c>
      <c r="EJ69" s="39">
        <f t="shared" si="18"/>
        <v>0</v>
      </c>
      <c r="EK69" s="39">
        <f t="shared" si="18"/>
        <v>0</v>
      </c>
      <c r="EL69" s="39">
        <f t="shared" si="18"/>
        <v>0</v>
      </c>
      <c r="EM69" s="39">
        <f t="shared" si="18"/>
        <v>0</v>
      </c>
      <c r="EN69" s="39">
        <f t="shared" si="18"/>
        <v>0</v>
      </c>
      <c r="EO69" s="39">
        <f t="shared" si="18"/>
        <v>0</v>
      </c>
      <c r="EP69" s="39">
        <f t="shared" si="18"/>
        <v>0</v>
      </c>
      <c r="EQ69" s="39">
        <f t="shared" si="18"/>
        <v>0.16</v>
      </c>
      <c r="ER69" s="39">
        <f t="shared" si="18"/>
        <v>0</v>
      </c>
      <c r="ES69" s="39">
        <f t="shared" si="18"/>
        <v>1.52</v>
      </c>
      <c r="ET69" s="39">
        <f t="shared" si="18"/>
        <v>0</v>
      </c>
      <c r="EU69" s="39">
        <f t="shared" si="18"/>
        <v>0</v>
      </c>
      <c r="EV69" s="39">
        <f t="shared" si="18"/>
        <v>0</v>
      </c>
      <c r="EW69" s="39">
        <f t="shared" si="18"/>
        <v>0</v>
      </c>
      <c r="EX69" s="39">
        <f t="shared" si="18"/>
        <v>0</v>
      </c>
      <c r="EY69" s="39">
        <f t="shared" si="18"/>
        <v>0</v>
      </c>
      <c r="EZ69" s="39">
        <f t="shared" si="18"/>
        <v>0</v>
      </c>
      <c r="FA69" s="39">
        <f t="shared" si="18"/>
        <v>0</v>
      </c>
      <c r="FB69" s="39">
        <f t="shared" si="18"/>
        <v>0</v>
      </c>
      <c r="FC69" s="39">
        <f t="shared" si="18"/>
        <v>0.88</v>
      </c>
      <c r="FD69" s="39">
        <f t="shared" si="18"/>
        <v>0</v>
      </c>
      <c r="FE69" s="39">
        <f t="shared" si="18"/>
        <v>0</v>
      </c>
      <c r="FF69" s="39">
        <f t="shared" si="18"/>
        <v>0</v>
      </c>
      <c r="FG69" s="39">
        <f t="shared" si="18"/>
        <v>0</v>
      </c>
      <c r="FH69" s="39">
        <f t="shared" si="18"/>
        <v>0</v>
      </c>
      <c r="FI69" s="39">
        <f t="shared" si="18"/>
        <v>0</v>
      </c>
      <c r="FJ69" s="39">
        <f t="shared" si="18"/>
        <v>0</v>
      </c>
      <c r="FK69" s="39">
        <f t="shared" si="18"/>
        <v>0</v>
      </c>
      <c r="FL69" s="39">
        <f t="shared" si="18"/>
        <v>0.96</v>
      </c>
      <c r="FM69" s="39">
        <f t="shared" si="18"/>
        <v>0</v>
      </c>
      <c r="FN69" s="39">
        <f t="shared" si="18"/>
        <v>1.84</v>
      </c>
      <c r="FO69" s="39">
        <f t="shared" si="18"/>
        <v>0.16</v>
      </c>
      <c r="FP69" s="39">
        <f t="shared" si="18"/>
        <v>0</v>
      </c>
      <c r="FQ69" s="39">
        <f t="shared" si="18"/>
        <v>0</v>
      </c>
      <c r="FR69" s="39">
        <f t="shared" si="18"/>
        <v>0</v>
      </c>
      <c r="FS69" s="39">
        <f t="shared" si="18"/>
        <v>0</v>
      </c>
      <c r="FT69" s="39">
        <f t="shared" si="18"/>
        <v>0</v>
      </c>
      <c r="FU69" s="39">
        <f t="shared" si="18"/>
        <v>0</v>
      </c>
      <c r="FV69" s="39">
        <f t="shared" si="18"/>
        <v>0</v>
      </c>
      <c r="FW69" s="39">
        <f t="shared" si="18"/>
        <v>0</v>
      </c>
      <c r="FX69" s="39">
        <f t="shared" si="18"/>
        <v>0</v>
      </c>
      <c r="FY69" s="7"/>
      <c r="FZ69" s="7">
        <f>SUM(C69:FX69)</f>
        <v>182.16000000000005</v>
      </c>
      <c r="GA69" s="26"/>
      <c r="GB69" s="25"/>
      <c r="GC69" s="25"/>
      <c r="GD69" s="25"/>
      <c r="GE69" s="25"/>
      <c r="GF69" s="7"/>
      <c r="GG69" s="7"/>
      <c r="GH69" s="23"/>
      <c r="GI69" s="23"/>
      <c r="GJ69" s="23"/>
      <c r="GK69" s="23"/>
      <c r="GL69" s="23"/>
      <c r="GM69" s="23"/>
      <c r="GN69" s="23"/>
      <c r="GO69" s="23"/>
      <c r="GP69" s="7"/>
      <c r="GQ69" s="7"/>
      <c r="GR69" s="7"/>
      <c r="GS69" s="7"/>
      <c r="GT69" s="7"/>
      <c r="GU69" s="7"/>
      <c r="GV69" s="7"/>
    </row>
    <row r="70" spans="1:204" ht="15.5" x14ac:dyDescent="0.35">
      <c r="A70" s="12" t="s">
        <v>551</v>
      </c>
      <c r="B70" s="7" t="s">
        <v>552</v>
      </c>
      <c r="C70" s="26">
        <f t="shared" ref="C70:FX70" si="19">C30+C36</f>
        <v>0</v>
      </c>
      <c r="D70" s="26">
        <f t="shared" si="19"/>
        <v>4639.8999999999996</v>
      </c>
      <c r="E70" s="26">
        <f t="shared" si="19"/>
        <v>662.7</v>
      </c>
      <c r="F70" s="26">
        <f t="shared" si="19"/>
        <v>929.3</v>
      </c>
      <c r="G70" s="26">
        <f t="shared" si="19"/>
        <v>0</v>
      </c>
      <c r="H70" s="26">
        <f t="shared" si="19"/>
        <v>0</v>
      </c>
      <c r="I70" s="26">
        <f t="shared" si="19"/>
        <v>748</v>
      </c>
      <c r="J70" s="26">
        <f t="shared" si="19"/>
        <v>0</v>
      </c>
      <c r="K70" s="26">
        <f t="shared" si="19"/>
        <v>0</v>
      </c>
      <c r="L70" s="26">
        <f t="shared" si="19"/>
        <v>0</v>
      </c>
      <c r="M70" s="26">
        <f t="shared" si="19"/>
        <v>0</v>
      </c>
      <c r="N70" s="26">
        <f t="shared" si="19"/>
        <v>90</v>
      </c>
      <c r="O70" s="26">
        <f t="shared" si="19"/>
        <v>0</v>
      </c>
      <c r="P70" s="26">
        <f t="shared" si="19"/>
        <v>0</v>
      </c>
      <c r="Q70" s="26">
        <f t="shared" si="19"/>
        <v>1949.1</v>
      </c>
      <c r="R70" s="26">
        <f t="shared" si="19"/>
        <v>0</v>
      </c>
      <c r="S70" s="26">
        <f t="shared" si="19"/>
        <v>0</v>
      </c>
      <c r="T70" s="26">
        <f t="shared" si="19"/>
        <v>0</v>
      </c>
      <c r="U70" s="26">
        <f t="shared" si="19"/>
        <v>0</v>
      </c>
      <c r="V70" s="26">
        <f t="shared" si="19"/>
        <v>0</v>
      </c>
      <c r="W70" s="26">
        <f t="shared" si="19"/>
        <v>0</v>
      </c>
      <c r="X70" s="26">
        <f t="shared" si="19"/>
        <v>0</v>
      </c>
      <c r="Y70" s="26">
        <f t="shared" si="19"/>
        <v>0</v>
      </c>
      <c r="Z70" s="26">
        <f t="shared" si="19"/>
        <v>0</v>
      </c>
      <c r="AA70" s="26">
        <f t="shared" si="19"/>
        <v>0</v>
      </c>
      <c r="AB70" s="26">
        <f t="shared" si="19"/>
        <v>0</v>
      </c>
      <c r="AC70" s="26">
        <f t="shared" si="19"/>
        <v>0</v>
      </c>
      <c r="AD70" s="26">
        <f t="shared" si="19"/>
        <v>154</v>
      </c>
      <c r="AE70" s="26">
        <f t="shared" si="19"/>
        <v>0</v>
      </c>
      <c r="AF70" s="26">
        <f t="shared" si="19"/>
        <v>0</v>
      </c>
      <c r="AG70" s="26">
        <f t="shared" si="19"/>
        <v>0</v>
      </c>
      <c r="AH70" s="26">
        <f t="shared" si="19"/>
        <v>0</v>
      </c>
      <c r="AI70" s="26">
        <f t="shared" si="19"/>
        <v>0</v>
      </c>
      <c r="AJ70" s="26">
        <f t="shared" si="19"/>
        <v>0</v>
      </c>
      <c r="AK70" s="26">
        <f t="shared" si="19"/>
        <v>0</v>
      </c>
      <c r="AL70" s="26">
        <f t="shared" si="19"/>
        <v>0</v>
      </c>
      <c r="AM70" s="26">
        <f t="shared" si="19"/>
        <v>0</v>
      </c>
      <c r="AN70" s="26">
        <f t="shared" si="19"/>
        <v>0</v>
      </c>
      <c r="AO70" s="26">
        <f t="shared" si="19"/>
        <v>0</v>
      </c>
      <c r="AP70" s="26">
        <f t="shared" si="19"/>
        <v>0</v>
      </c>
      <c r="AQ70" s="26">
        <f t="shared" si="19"/>
        <v>0</v>
      </c>
      <c r="AR70" s="26">
        <f t="shared" si="19"/>
        <v>2007.3</v>
      </c>
      <c r="AS70" s="26">
        <f t="shared" si="19"/>
        <v>300.3</v>
      </c>
      <c r="AT70" s="26">
        <f t="shared" si="19"/>
        <v>0</v>
      </c>
      <c r="AU70" s="26">
        <f t="shared" si="19"/>
        <v>0</v>
      </c>
      <c r="AV70" s="26">
        <f t="shared" si="19"/>
        <v>0</v>
      </c>
      <c r="AW70" s="26">
        <f t="shared" si="19"/>
        <v>0</v>
      </c>
      <c r="AX70" s="26">
        <f t="shared" si="19"/>
        <v>0</v>
      </c>
      <c r="AY70" s="26">
        <f t="shared" si="19"/>
        <v>0</v>
      </c>
      <c r="AZ70" s="26">
        <f t="shared" si="19"/>
        <v>0</v>
      </c>
      <c r="BA70" s="26">
        <f t="shared" si="19"/>
        <v>0</v>
      </c>
      <c r="BB70" s="26">
        <f t="shared" si="19"/>
        <v>0</v>
      </c>
      <c r="BC70" s="26">
        <f t="shared" si="19"/>
        <v>2953.8</v>
      </c>
      <c r="BD70" s="26">
        <f t="shared" si="19"/>
        <v>0</v>
      </c>
      <c r="BE70" s="26">
        <f t="shared" si="19"/>
        <v>0</v>
      </c>
      <c r="BF70" s="26">
        <f t="shared" si="19"/>
        <v>0</v>
      </c>
      <c r="BG70" s="26">
        <f t="shared" si="19"/>
        <v>0</v>
      </c>
      <c r="BH70" s="26">
        <f t="shared" si="19"/>
        <v>0</v>
      </c>
      <c r="BI70" s="26">
        <f t="shared" si="19"/>
        <v>0</v>
      </c>
      <c r="BJ70" s="26">
        <f t="shared" si="19"/>
        <v>0</v>
      </c>
      <c r="BK70" s="26">
        <f t="shared" si="19"/>
        <v>0</v>
      </c>
      <c r="BL70" s="26">
        <f t="shared" si="19"/>
        <v>0</v>
      </c>
      <c r="BM70" s="26">
        <f t="shared" si="19"/>
        <v>0</v>
      </c>
      <c r="BN70" s="26">
        <f t="shared" si="19"/>
        <v>0</v>
      </c>
      <c r="BO70" s="26">
        <f t="shared" si="19"/>
        <v>0</v>
      </c>
      <c r="BP70" s="26">
        <f t="shared" si="19"/>
        <v>0</v>
      </c>
      <c r="BQ70" s="26">
        <f t="shared" si="19"/>
        <v>237.5</v>
      </c>
      <c r="BR70" s="26">
        <f t="shared" si="19"/>
        <v>0</v>
      </c>
      <c r="BS70" s="26">
        <f t="shared" si="19"/>
        <v>0</v>
      </c>
      <c r="BT70" s="26">
        <f t="shared" si="19"/>
        <v>0</v>
      </c>
      <c r="BU70" s="26">
        <f t="shared" si="19"/>
        <v>0</v>
      </c>
      <c r="BV70" s="26">
        <f t="shared" si="19"/>
        <v>0</v>
      </c>
      <c r="BW70" s="26">
        <f t="shared" si="19"/>
        <v>0</v>
      </c>
      <c r="BX70" s="26">
        <f t="shared" si="19"/>
        <v>0</v>
      </c>
      <c r="BY70" s="26">
        <f t="shared" si="19"/>
        <v>0</v>
      </c>
      <c r="BZ70" s="26">
        <f t="shared" si="19"/>
        <v>0</v>
      </c>
      <c r="CA70" s="26">
        <f t="shared" si="19"/>
        <v>0</v>
      </c>
      <c r="CB70" s="26">
        <f t="shared" si="19"/>
        <v>834.8</v>
      </c>
      <c r="CC70" s="26">
        <f t="shared" si="19"/>
        <v>0</v>
      </c>
      <c r="CD70" s="26">
        <f t="shared" si="19"/>
        <v>0</v>
      </c>
      <c r="CE70" s="26">
        <f t="shared" si="19"/>
        <v>0</v>
      </c>
      <c r="CF70" s="26">
        <f t="shared" si="19"/>
        <v>0</v>
      </c>
      <c r="CG70" s="26">
        <f t="shared" si="19"/>
        <v>0</v>
      </c>
      <c r="CH70" s="26">
        <f t="shared" si="19"/>
        <v>0</v>
      </c>
      <c r="CI70" s="26">
        <f t="shared" si="19"/>
        <v>0</v>
      </c>
      <c r="CJ70" s="26">
        <f t="shared" si="19"/>
        <v>0</v>
      </c>
      <c r="CK70" s="26">
        <f t="shared" si="19"/>
        <v>582.20000000000005</v>
      </c>
      <c r="CL70" s="26">
        <f t="shared" si="19"/>
        <v>0</v>
      </c>
      <c r="CM70" s="26">
        <f t="shared" si="19"/>
        <v>0</v>
      </c>
      <c r="CN70" s="26">
        <f t="shared" si="19"/>
        <v>2311.4</v>
      </c>
      <c r="CO70" s="26">
        <f t="shared" si="19"/>
        <v>0</v>
      </c>
      <c r="CP70" s="26">
        <f t="shared" si="19"/>
        <v>0</v>
      </c>
      <c r="CQ70" s="26">
        <f t="shared" si="19"/>
        <v>0</v>
      </c>
      <c r="CR70" s="26">
        <f t="shared" si="19"/>
        <v>0</v>
      </c>
      <c r="CS70" s="26">
        <f t="shared" si="19"/>
        <v>0</v>
      </c>
      <c r="CT70" s="26">
        <f t="shared" si="19"/>
        <v>0</v>
      </c>
      <c r="CU70" s="26">
        <f t="shared" si="19"/>
        <v>0</v>
      </c>
      <c r="CV70" s="26">
        <f t="shared" si="19"/>
        <v>0</v>
      </c>
      <c r="CW70" s="26">
        <f t="shared" si="19"/>
        <v>0</v>
      </c>
      <c r="CX70" s="26">
        <f t="shared" si="19"/>
        <v>0</v>
      </c>
      <c r="CY70" s="26">
        <f t="shared" si="19"/>
        <v>0</v>
      </c>
      <c r="CZ70" s="26">
        <f t="shared" si="19"/>
        <v>0</v>
      </c>
      <c r="DA70" s="26">
        <f t="shared" si="19"/>
        <v>0</v>
      </c>
      <c r="DB70" s="26">
        <f t="shared" si="19"/>
        <v>0</v>
      </c>
      <c r="DC70" s="26">
        <f t="shared" si="19"/>
        <v>0</v>
      </c>
      <c r="DD70" s="26">
        <f t="shared" si="19"/>
        <v>0</v>
      </c>
      <c r="DE70" s="26">
        <f t="shared" si="19"/>
        <v>0</v>
      </c>
      <c r="DF70" s="26">
        <f t="shared" si="19"/>
        <v>1381.8</v>
      </c>
      <c r="DG70" s="26">
        <f t="shared" si="19"/>
        <v>0</v>
      </c>
      <c r="DH70" s="26">
        <f t="shared" si="19"/>
        <v>0</v>
      </c>
      <c r="DI70" s="26">
        <f t="shared" si="19"/>
        <v>75.8</v>
      </c>
      <c r="DJ70" s="26">
        <f t="shared" si="19"/>
        <v>0</v>
      </c>
      <c r="DK70" s="26">
        <f t="shared" si="19"/>
        <v>0</v>
      </c>
      <c r="DL70" s="26">
        <f t="shared" si="19"/>
        <v>0</v>
      </c>
      <c r="DM70" s="26">
        <f t="shared" si="19"/>
        <v>0</v>
      </c>
      <c r="DN70" s="26">
        <f t="shared" si="19"/>
        <v>0</v>
      </c>
      <c r="DO70" s="26">
        <f t="shared" si="19"/>
        <v>0</v>
      </c>
      <c r="DP70" s="26">
        <f t="shared" si="19"/>
        <v>0</v>
      </c>
      <c r="DQ70" s="26">
        <f t="shared" si="19"/>
        <v>0</v>
      </c>
      <c r="DR70" s="26">
        <f t="shared" si="19"/>
        <v>0</v>
      </c>
      <c r="DS70" s="26">
        <f t="shared" si="19"/>
        <v>0</v>
      </c>
      <c r="DT70" s="26">
        <f t="shared" si="19"/>
        <v>0</v>
      </c>
      <c r="DU70" s="26">
        <f t="shared" si="19"/>
        <v>0</v>
      </c>
      <c r="DV70" s="26">
        <f t="shared" si="19"/>
        <v>0</v>
      </c>
      <c r="DW70" s="26">
        <f t="shared" si="19"/>
        <v>0</v>
      </c>
      <c r="DX70" s="26">
        <f t="shared" si="19"/>
        <v>0</v>
      </c>
      <c r="DY70" s="26">
        <f t="shared" si="19"/>
        <v>0</v>
      </c>
      <c r="DZ70" s="26">
        <f t="shared" si="19"/>
        <v>0</v>
      </c>
      <c r="EA70" s="26">
        <f t="shared" si="19"/>
        <v>20</v>
      </c>
      <c r="EB70" s="26">
        <f t="shared" si="19"/>
        <v>0</v>
      </c>
      <c r="EC70" s="26">
        <f t="shared" si="19"/>
        <v>0</v>
      </c>
      <c r="ED70" s="26">
        <f t="shared" si="19"/>
        <v>0</v>
      </c>
      <c r="EE70" s="26">
        <f t="shared" si="19"/>
        <v>0</v>
      </c>
      <c r="EF70" s="26">
        <f t="shared" si="19"/>
        <v>0</v>
      </c>
      <c r="EG70" s="26">
        <f t="shared" si="19"/>
        <v>0</v>
      </c>
      <c r="EH70" s="26">
        <f t="shared" si="19"/>
        <v>0</v>
      </c>
      <c r="EI70" s="26">
        <f t="shared" si="19"/>
        <v>0</v>
      </c>
      <c r="EJ70" s="26">
        <f t="shared" si="19"/>
        <v>0</v>
      </c>
      <c r="EK70" s="26">
        <f t="shared" si="19"/>
        <v>0</v>
      </c>
      <c r="EL70" s="26">
        <f t="shared" si="19"/>
        <v>0</v>
      </c>
      <c r="EM70" s="26">
        <f t="shared" si="19"/>
        <v>0</v>
      </c>
      <c r="EN70" s="26">
        <f t="shared" si="19"/>
        <v>0</v>
      </c>
      <c r="EO70" s="26">
        <f t="shared" si="19"/>
        <v>0</v>
      </c>
      <c r="EP70" s="26">
        <f t="shared" si="19"/>
        <v>0</v>
      </c>
      <c r="EQ70" s="26">
        <f t="shared" si="19"/>
        <v>103</v>
      </c>
      <c r="ER70" s="26">
        <f t="shared" si="19"/>
        <v>0</v>
      </c>
      <c r="ES70" s="26">
        <f t="shared" si="19"/>
        <v>0</v>
      </c>
      <c r="ET70" s="26">
        <f t="shared" si="19"/>
        <v>0</v>
      </c>
      <c r="EU70" s="26">
        <f t="shared" si="19"/>
        <v>0</v>
      </c>
      <c r="EV70" s="26">
        <f t="shared" si="19"/>
        <v>0</v>
      </c>
      <c r="EW70" s="26">
        <f t="shared" si="19"/>
        <v>0</v>
      </c>
      <c r="EX70" s="26">
        <f t="shared" si="19"/>
        <v>0</v>
      </c>
      <c r="EY70" s="26">
        <f t="shared" si="19"/>
        <v>0</v>
      </c>
      <c r="EZ70" s="26">
        <f t="shared" si="19"/>
        <v>0</v>
      </c>
      <c r="FA70" s="26">
        <f t="shared" si="19"/>
        <v>0</v>
      </c>
      <c r="FB70" s="26">
        <f t="shared" si="19"/>
        <v>0</v>
      </c>
      <c r="FC70" s="26">
        <f t="shared" si="19"/>
        <v>0</v>
      </c>
      <c r="FD70" s="26">
        <f t="shared" si="19"/>
        <v>0</v>
      </c>
      <c r="FE70" s="26">
        <f t="shared" si="19"/>
        <v>0</v>
      </c>
      <c r="FF70" s="26">
        <f t="shared" si="19"/>
        <v>0</v>
      </c>
      <c r="FG70" s="26">
        <f t="shared" si="19"/>
        <v>0</v>
      </c>
      <c r="FH70" s="26">
        <f t="shared" si="19"/>
        <v>0</v>
      </c>
      <c r="FI70" s="26">
        <f t="shared" si="19"/>
        <v>0</v>
      </c>
      <c r="FJ70" s="26">
        <f t="shared" si="19"/>
        <v>0</v>
      </c>
      <c r="FK70" s="26">
        <f t="shared" si="19"/>
        <v>0</v>
      </c>
      <c r="FL70" s="26">
        <f t="shared" si="19"/>
        <v>0</v>
      </c>
      <c r="FM70" s="26">
        <f t="shared" si="19"/>
        <v>0</v>
      </c>
      <c r="FN70" s="26">
        <f t="shared" si="19"/>
        <v>0</v>
      </c>
      <c r="FO70" s="26">
        <f t="shared" si="19"/>
        <v>0</v>
      </c>
      <c r="FP70" s="26">
        <f t="shared" si="19"/>
        <v>0</v>
      </c>
      <c r="FQ70" s="26">
        <f t="shared" si="19"/>
        <v>0</v>
      </c>
      <c r="FR70" s="26">
        <f t="shared" si="19"/>
        <v>0</v>
      </c>
      <c r="FS70" s="26">
        <f t="shared" si="19"/>
        <v>0</v>
      </c>
      <c r="FT70" s="26">
        <f t="shared" si="19"/>
        <v>0</v>
      </c>
      <c r="FU70" s="26">
        <f t="shared" si="19"/>
        <v>0</v>
      </c>
      <c r="FV70" s="26">
        <f t="shared" si="19"/>
        <v>0</v>
      </c>
      <c r="FW70" s="26">
        <f t="shared" si="19"/>
        <v>0</v>
      </c>
      <c r="FX70" s="26">
        <f t="shared" si="19"/>
        <v>0</v>
      </c>
      <c r="FY70" s="26"/>
      <c r="FZ70" s="26">
        <f t="shared" ref="FZ70:FZ71" si="20">SUM(C70:FY70)</f>
        <v>19980.899999999998</v>
      </c>
      <c r="GA70" s="25"/>
      <c r="GB70" s="25"/>
      <c r="GC70" s="25"/>
      <c r="GD70" s="25"/>
      <c r="GE70" s="25"/>
      <c r="GF70" s="25"/>
      <c r="GG70" s="7"/>
      <c r="GH70" s="23"/>
      <c r="GI70" s="23"/>
      <c r="GJ70" s="23"/>
      <c r="GK70" s="23"/>
      <c r="GL70" s="23"/>
      <c r="GM70" s="23"/>
      <c r="GN70" s="23"/>
      <c r="GO70" s="23"/>
      <c r="GP70" s="7"/>
      <c r="GQ70" s="7"/>
      <c r="GR70" s="7"/>
      <c r="GS70" s="7"/>
      <c r="GT70" s="7"/>
      <c r="GU70" s="7"/>
      <c r="GV70" s="7"/>
    </row>
    <row r="71" spans="1:204" ht="15.5" x14ac:dyDescent="0.35">
      <c r="A71" s="12" t="s">
        <v>553</v>
      </c>
      <c r="B71" s="7" t="s">
        <v>554</v>
      </c>
      <c r="C71" s="26">
        <f t="shared" ref="C71:FX71" si="21">ROUND(C32*2*$A$61,2)</f>
        <v>0</v>
      </c>
      <c r="D71" s="26">
        <f t="shared" si="21"/>
        <v>0</v>
      </c>
      <c r="E71" s="26">
        <f t="shared" si="21"/>
        <v>0</v>
      </c>
      <c r="F71" s="26">
        <f t="shared" si="21"/>
        <v>0</v>
      </c>
      <c r="G71" s="26">
        <f t="shared" si="21"/>
        <v>0</v>
      </c>
      <c r="H71" s="26">
        <f t="shared" si="21"/>
        <v>0</v>
      </c>
      <c r="I71" s="26">
        <f t="shared" si="21"/>
        <v>0</v>
      </c>
      <c r="J71" s="26">
        <f t="shared" si="21"/>
        <v>0</v>
      </c>
      <c r="K71" s="26">
        <f t="shared" si="21"/>
        <v>0</v>
      </c>
      <c r="L71" s="26">
        <f t="shared" si="21"/>
        <v>0</v>
      </c>
      <c r="M71" s="26">
        <f t="shared" si="21"/>
        <v>0</v>
      </c>
      <c r="N71" s="26">
        <f t="shared" si="21"/>
        <v>0</v>
      </c>
      <c r="O71" s="26">
        <f t="shared" si="21"/>
        <v>0</v>
      </c>
      <c r="P71" s="26">
        <f t="shared" si="21"/>
        <v>0</v>
      </c>
      <c r="Q71" s="26">
        <f t="shared" si="21"/>
        <v>0</v>
      </c>
      <c r="R71" s="26">
        <f t="shared" si="21"/>
        <v>0</v>
      </c>
      <c r="S71" s="26">
        <f t="shared" si="21"/>
        <v>0</v>
      </c>
      <c r="T71" s="26">
        <f t="shared" si="21"/>
        <v>0</v>
      </c>
      <c r="U71" s="26">
        <f t="shared" si="21"/>
        <v>0</v>
      </c>
      <c r="V71" s="26">
        <f t="shared" si="21"/>
        <v>0</v>
      </c>
      <c r="W71" s="26">
        <f t="shared" si="21"/>
        <v>0</v>
      </c>
      <c r="X71" s="26">
        <f t="shared" si="21"/>
        <v>0</v>
      </c>
      <c r="Y71" s="26">
        <f t="shared" si="21"/>
        <v>0</v>
      </c>
      <c r="Z71" s="26">
        <f t="shared" si="21"/>
        <v>0</v>
      </c>
      <c r="AA71" s="26">
        <f t="shared" si="21"/>
        <v>0</v>
      </c>
      <c r="AB71" s="26">
        <f t="shared" si="21"/>
        <v>0</v>
      </c>
      <c r="AC71" s="26">
        <f t="shared" si="21"/>
        <v>0</v>
      </c>
      <c r="AD71" s="26">
        <f t="shared" si="21"/>
        <v>0</v>
      </c>
      <c r="AE71" s="26">
        <f t="shared" si="21"/>
        <v>0</v>
      </c>
      <c r="AF71" s="26">
        <f t="shared" si="21"/>
        <v>0</v>
      </c>
      <c r="AG71" s="26">
        <f t="shared" si="21"/>
        <v>0</v>
      </c>
      <c r="AH71" s="26">
        <f t="shared" si="21"/>
        <v>0</v>
      </c>
      <c r="AI71" s="26">
        <f t="shared" si="21"/>
        <v>0</v>
      </c>
      <c r="AJ71" s="26">
        <f t="shared" si="21"/>
        <v>0</v>
      </c>
      <c r="AK71" s="26">
        <f t="shared" si="21"/>
        <v>0</v>
      </c>
      <c r="AL71" s="26">
        <f t="shared" si="21"/>
        <v>0</v>
      </c>
      <c r="AM71" s="26">
        <f t="shared" si="21"/>
        <v>0</v>
      </c>
      <c r="AN71" s="26">
        <f t="shared" si="21"/>
        <v>0</v>
      </c>
      <c r="AO71" s="26">
        <f t="shared" si="21"/>
        <v>0</v>
      </c>
      <c r="AP71" s="26">
        <f t="shared" si="21"/>
        <v>0</v>
      </c>
      <c r="AQ71" s="26">
        <f t="shared" si="21"/>
        <v>0</v>
      </c>
      <c r="AR71" s="26">
        <f t="shared" si="21"/>
        <v>0</v>
      </c>
      <c r="AS71" s="26">
        <f t="shared" si="21"/>
        <v>0</v>
      </c>
      <c r="AT71" s="26">
        <f t="shared" si="21"/>
        <v>0</v>
      </c>
      <c r="AU71" s="26">
        <f t="shared" si="21"/>
        <v>0</v>
      </c>
      <c r="AV71" s="26">
        <f t="shared" si="21"/>
        <v>0</v>
      </c>
      <c r="AW71" s="26">
        <f t="shared" si="21"/>
        <v>0</v>
      </c>
      <c r="AX71" s="26">
        <f t="shared" si="21"/>
        <v>0</v>
      </c>
      <c r="AY71" s="26">
        <f t="shared" si="21"/>
        <v>0</v>
      </c>
      <c r="AZ71" s="26">
        <f t="shared" si="21"/>
        <v>0</v>
      </c>
      <c r="BA71" s="26">
        <f t="shared" si="21"/>
        <v>0</v>
      </c>
      <c r="BB71" s="26">
        <f t="shared" si="21"/>
        <v>0</v>
      </c>
      <c r="BC71" s="26">
        <f t="shared" si="21"/>
        <v>0</v>
      </c>
      <c r="BD71" s="26">
        <f t="shared" si="21"/>
        <v>0</v>
      </c>
      <c r="BE71" s="26">
        <f t="shared" si="21"/>
        <v>0</v>
      </c>
      <c r="BF71" s="26">
        <f t="shared" si="21"/>
        <v>0</v>
      </c>
      <c r="BG71" s="26">
        <f t="shared" si="21"/>
        <v>0</v>
      </c>
      <c r="BH71" s="26">
        <f t="shared" si="21"/>
        <v>0</v>
      </c>
      <c r="BI71" s="26">
        <f t="shared" si="21"/>
        <v>0</v>
      </c>
      <c r="BJ71" s="26">
        <f t="shared" si="21"/>
        <v>0</v>
      </c>
      <c r="BK71" s="26">
        <f t="shared" si="21"/>
        <v>0</v>
      </c>
      <c r="BL71" s="26">
        <f t="shared" si="21"/>
        <v>0</v>
      </c>
      <c r="BM71" s="26">
        <f t="shared" si="21"/>
        <v>0</v>
      </c>
      <c r="BN71" s="26">
        <f t="shared" si="21"/>
        <v>0</v>
      </c>
      <c r="BO71" s="26">
        <f t="shared" si="21"/>
        <v>0</v>
      </c>
      <c r="BP71" s="26">
        <f t="shared" si="21"/>
        <v>0</v>
      </c>
      <c r="BQ71" s="26">
        <f t="shared" si="21"/>
        <v>0</v>
      </c>
      <c r="BR71" s="26">
        <f t="shared" si="21"/>
        <v>0</v>
      </c>
      <c r="BS71" s="26">
        <f t="shared" si="21"/>
        <v>0</v>
      </c>
      <c r="BT71" s="26">
        <f t="shared" si="21"/>
        <v>0</v>
      </c>
      <c r="BU71" s="26">
        <f t="shared" si="21"/>
        <v>0</v>
      </c>
      <c r="BV71" s="26">
        <f t="shared" si="21"/>
        <v>0</v>
      </c>
      <c r="BW71" s="26">
        <f t="shared" si="21"/>
        <v>0</v>
      </c>
      <c r="BX71" s="26">
        <f t="shared" si="21"/>
        <v>0</v>
      </c>
      <c r="BY71" s="26">
        <f t="shared" si="21"/>
        <v>0</v>
      </c>
      <c r="BZ71" s="26">
        <f t="shared" si="21"/>
        <v>0</v>
      </c>
      <c r="CA71" s="26">
        <f t="shared" si="21"/>
        <v>0</v>
      </c>
      <c r="CB71" s="26">
        <f t="shared" si="21"/>
        <v>0</v>
      </c>
      <c r="CC71" s="26">
        <f t="shared" si="21"/>
        <v>0</v>
      </c>
      <c r="CD71" s="26">
        <f t="shared" si="21"/>
        <v>0</v>
      </c>
      <c r="CE71" s="26">
        <f t="shared" si="21"/>
        <v>0</v>
      </c>
      <c r="CF71" s="26">
        <f t="shared" si="21"/>
        <v>0</v>
      </c>
      <c r="CG71" s="26">
        <f t="shared" si="21"/>
        <v>0</v>
      </c>
      <c r="CH71" s="26">
        <f t="shared" si="21"/>
        <v>0</v>
      </c>
      <c r="CI71" s="26">
        <f t="shared" si="21"/>
        <v>0</v>
      </c>
      <c r="CJ71" s="26">
        <f t="shared" si="21"/>
        <v>0</v>
      </c>
      <c r="CK71" s="26">
        <f t="shared" si="21"/>
        <v>0</v>
      </c>
      <c r="CL71" s="26">
        <f t="shared" si="21"/>
        <v>0</v>
      </c>
      <c r="CM71" s="26">
        <f t="shared" si="21"/>
        <v>0</v>
      </c>
      <c r="CN71" s="26">
        <f t="shared" si="21"/>
        <v>0</v>
      </c>
      <c r="CO71" s="26">
        <f t="shared" si="21"/>
        <v>0</v>
      </c>
      <c r="CP71" s="26">
        <f t="shared" si="21"/>
        <v>0</v>
      </c>
      <c r="CQ71" s="26">
        <f t="shared" si="21"/>
        <v>0</v>
      </c>
      <c r="CR71" s="26">
        <f t="shared" si="21"/>
        <v>0</v>
      </c>
      <c r="CS71" s="26">
        <f t="shared" si="21"/>
        <v>0</v>
      </c>
      <c r="CT71" s="26">
        <f t="shared" si="21"/>
        <v>0</v>
      </c>
      <c r="CU71" s="26">
        <f t="shared" si="21"/>
        <v>0</v>
      </c>
      <c r="CV71" s="26">
        <f t="shared" si="21"/>
        <v>0</v>
      </c>
      <c r="CW71" s="26">
        <f t="shared" si="21"/>
        <v>0</v>
      </c>
      <c r="CX71" s="26">
        <f t="shared" si="21"/>
        <v>0</v>
      </c>
      <c r="CY71" s="26">
        <f t="shared" si="21"/>
        <v>0</v>
      </c>
      <c r="CZ71" s="26">
        <f t="shared" si="21"/>
        <v>0</v>
      </c>
      <c r="DA71" s="26">
        <f t="shared" si="21"/>
        <v>0</v>
      </c>
      <c r="DB71" s="26">
        <f t="shared" si="21"/>
        <v>0</v>
      </c>
      <c r="DC71" s="26">
        <f t="shared" si="21"/>
        <v>0</v>
      </c>
      <c r="DD71" s="26">
        <f t="shared" si="21"/>
        <v>0</v>
      </c>
      <c r="DE71" s="26">
        <f t="shared" si="21"/>
        <v>0</v>
      </c>
      <c r="DF71" s="26">
        <f t="shared" si="21"/>
        <v>0</v>
      </c>
      <c r="DG71" s="26">
        <f t="shared" si="21"/>
        <v>0</v>
      </c>
      <c r="DH71" s="26">
        <f t="shared" si="21"/>
        <v>0</v>
      </c>
      <c r="DI71" s="26">
        <f t="shared" si="21"/>
        <v>0</v>
      </c>
      <c r="DJ71" s="26">
        <f t="shared" si="21"/>
        <v>0</v>
      </c>
      <c r="DK71" s="26">
        <f t="shared" si="21"/>
        <v>0</v>
      </c>
      <c r="DL71" s="26">
        <f t="shared" si="21"/>
        <v>0</v>
      </c>
      <c r="DM71" s="26">
        <f t="shared" si="21"/>
        <v>0</v>
      </c>
      <c r="DN71" s="26">
        <f t="shared" si="21"/>
        <v>0</v>
      </c>
      <c r="DO71" s="26">
        <f t="shared" si="21"/>
        <v>0</v>
      </c>
      <c r="DP71" s="26">
        <f t="shared" si="21"/>
        <v>0</v>
      </c>
      <c r="DQ71" s="26">
        <f t="shared" si="21"/>
        <v>0</v>
      </c>
      <c r="DR71" s="26">
        <f t="shared" si="21"/>
        <v>0</v>
      </c>
      <c r="DS71" s="26">
        <f t="shared" si="21"/>
        <v>0</v>
      </c>
      <c r="DT71" s="26">
        <f t="shared" si="21"/>
        <v>0</v>
      </c>
      <c r="DU71" s="26">
        <f t="shared" si="21"/>
        <v>0</v>
      </c>
      <c r="DV71" s="26">
        <f t="shared" si="21"/>
        <v>0</v>
      </c>
      <c r="DW71" s="26">
        <f t="shared" si="21"/>
        <v>0</v>
      </c>
      <c r="DX71" s="26">
        <f t="shared" si="21"/>
        <v>0</v>
      </c>
      <c r="DY71" s="26">
        <f t="shared" si="21"/>
        <v>0</v>
      </c>
      <c r="DZ71" s="26">
        <f t="shared" si="21"/>
        <v>0</v>
      </c>
      <c r="EA71" s="26">
        <f t="shared" si="21"/>
        <v>0</v>
      </c>
      <c r="EB71" s="26">
        <f t="shared" si="21"/>
        <v>0</v>
      </c>
      <c r="EC71" s="26">
        <f t="shared" si="21"/>
        <v>0</v>
      </c>
      <c r="ED71" s="26">
        <f t="shared" si="21"/>
        <v>0</v>
      </c>
      <c r="EE71" s="26">
        <f t="shared" si="21"/>
        <v>0</v>
      </c>
      <c r="EF71" s="26">
        <f t="shared" si="21"/>
        <v>0</v>
      </c>
      <c r="EG71" s="26">
        <f t="shared" si="21"/>
        <v>0</v>
      </c>
      <c r="EH71" s="26">
        <f t="shared" si="21"/>
        <v>0</v>
      </c>
      <c r="EI71" s="26">
        <f t="shared" si="21"/>
        <v>0</v>
      </c>
      <c r="EJ71" s="26">
        <f t="shared" si="21"/>
        <v>0</v>
      </c>
      <c r="EK71" s="26">
        <f t="shared" si="21"/>
        <v>0</v>
      </c>
      <c r="EL71" s="26">
        <f t="shared" si="21"/>
        <v>0</v>
      </c>
      <c r="EM71" s="26">
        <f t="shared" si="21"/>
        <v>0</v>
      </c>
      <c r="EN71" s="26">
        <f t="shared" si="21"/>
        <v>0</v>
      </c>
      <c r="EO71" s="26">
        <f t="shared" si="21"/>
        <v>0</v>
      </c>
      <c r="EP71" s="26">
        <f t="shared" si="21"/>
        <v>0</v>
      </c>
      <c r="EQ71" s="26">
        <f t="shared" si="21"/>
        <v>0</v>
      </c>
      <c r="ER71" s="26">
        <f t="shared" si="21"/>
        <v>0</v>
      </c>
      <c r="ES71" s="26">
        <f t="shared" si="21"/>
        <v>0</v>
      </c>
      <c r="ET71" s="26">
        <f t="shared" si="21"/>
        <v>0</v>
      </c>
      <c r="EU71" s="26">
        <f t="shared" si="21"/>
        <v>0</v>
      </c>
      <c r="EV71" s="26">
        <f t="shared" si="21"/>
        <v>0</v>
      </c>
      <c r="EW71" s="26">
        <f t="shared" si="21"/>
        <v>0</v>
      </c>
      <c r="EX71" s="26">
        <f t="shared" si="21"/>
        <v>0</v>
      </c>
      <c r="EY71" s="26">
        <f t="shared" si="21"/>
        <v>0</v>
      </c>
      <c r="EZ71" s="26">
        <f t="shared" si="21"/>
        <v>0</v>
      </c>
      <c r="FA71" s="26">
        <f t="shared" si="21"/>
        <v>0</v>
      </c>
      <c r="FB71" s="26">
        <f t="shared" si="21"/>
        <v>0</v>
      </c>
      <c r="FC71" s="26">
        <f t="shared" si="21"/>
        <v>0</v>
      </c>
      <c r="FD71" s="26">
        <f t="shared" si="21"/>
        <v>0</v>
      </c>
      <c r="FE71" s="26">
        <f t="shared" si="21"/>
        <v>0</v>
      </c>
      <c r="FF71" s="26">
        <f t="shared" si="21"/>
        <v>0</v>
      </c>
      <c r="FG71" s="26">
        <f t="shared" si="21"/>
        <v>0</v>
      </c>
      <c r="FH71" s="26">
        <f t="shared" si="21"/>
        <v>0</v>
      </c>
      <c r="FI71" s="26">
        <f t="shared" si="21"/>
        <v>0</v>
      </c>
      <c r="FJ71" s="26">
        <f t="shared" si="21"/>
        <v>0</v>
      </c>
      <c r="FK71" s="26">
        <f t="shared" si="21"/>
        <v>0</v>
      </c>
      <c r="FL71" s="26">
        <f t="shared" si="21"/>
        <v>0</v>
      </c>
      <c r="FM71" s="26">
        <f t="shared" si="21"/>
        <v>0</v>
      </c>
      <c r="FN71" s="26">
        <f t="shared" si="21"/>
        <v>0</v>
      </c>
      <c r="FO71" s="26">
        <f t="shared" si="21"/>
        <v>0</v>
      </c>
      <c r="FP71" s="26">
        <f t="shared" si="21"/>
        <v>0</v>
      </c>
      <c r="FQ71" s="26">
        <f t="shared" si="21"/>
        <v>0</v>
      </c>
      <c r="FR71" s="26">
        <f t="shared" si="21"/>
        <v>0</v>
      </c>
      <c r="FS71" s="26">
        <f t="shared" si="21"/>
        <v>0</v>
      </c>
      <c r="FT71" s="26">
        <f t="shared" si="21"/>
        <v>0</v>
      </c>
      <c r="FU71" s="26">
        <f t="shared" si="21"/>
        <v>0</v>
      </c>
      <c r="FV71" s="26">
        <f t="shared" si="21"/>
        <v>0</v>
      </c>
      <c r="FW71" s="26">
        <f t="shared" si="21"/>
        <v>0</v>
      </c>
      <c r="FX71" s="26">
        <f t="shared" si="21"/>
        <v>0</v>
      </c>
      <c r="FY71" s="26"/>
      <c r="FZ71" s="39">
        <f t="shared" si="20"/>
        <v>0</v>
      </c>
      <c r="GA71" s="25"/>
      <c r="GB71" s="26"/>
      <c r="GC71" s="26"/>
      <c r="GD71" s="26"/>
      <c r="GE71" s="26"/>
      <c r="GF71" s="7"/>
      <c r="GG71" s="7"/>
      <c r="GH71" s="23"/>
      <c r="GI71" s="23"/>
      <c r="GJ71" s="23"/>
      <c r="GK71" s="23"/>
      <c r="GL71" s="23"/>
      <c r="GM71" s="23"/>
      <c r="GN71" s="23"/>
      <c r="GO71" s="23"/>
      <c r="GP71" s="7"/>
      <c r="GQ71" s="7"/>
      <c r="GR71" s="7"/>
      <c r="GS71" s="7"/>
      <c r="GT71" s="7"/>
      <c r="GU71" s="7"/>
      <c r="GV71" s="7"/>
    </row>
    <row r="72" spans="1:204" ht="15.5" x14ac:dyDescent="0.35">
      <c r="A72" s="12" t="s">
        <v>555</v>
      </c>
      <c r="B72" s="7" t="s">
        <v>556</v>
      </c>
      <c r="C72" s="56">
        <f t="shared" ref="C72:FX72" si="22">ROUND(IF(SUM(C67:C71)&lt;60,60-C12-C13-C15,SUM(C67:C71)),1)</f>
        <v>6384.5</v>
      </c>
      <c r="D72" s="56">
        <f t="shared" si="22"/>
        <v>37733</v>
      </c>
      <c r="E72" s="56">
        <f t="shared" si="22"/>
        <v>5620.8</v>
      </c>
      <c r="F72" s="56">
        <f t="shared" si="22"/>
        <v>22394.6</v>
      </c>
      <c r="G72" s="56">
        <f t="shared" si="22"/>
        <v>1844</v>
      </c>
      <c r="H72" s="56">
        <f t="shared" si="22"/>
        <v>1095.5</v>
      </c>
      <c r="I72" s="56">
        <f t="shared" si="22"/>
        <v>7935</v>
      </c>
      <c r="J72" s="56">
        <f t="shared" si="22"/>
        <v>2040.6</v>
      </c>
      <c r="K72" s="56">
        <f t="shared" si="22"/>
        <v>251.7</v>
      </c>
      <c r="L72" s="56">
        <f t="shared" si="22"/>
        <v>2111.5</v>
      </c>
      <c r="M72" s="56">
        <f t="shared" si="22"/>
        <v>909.1</v>
      </c>
      <c r="N72" s="56">
        <f t="shared" si="22"/>
        <v>50169.9</v>
      </c>
      <c r="O72" s="56">
        <f t="shared" si="22"/>
        <v>12674.8</v>
      </c>
      <c r="P72" s="56">
        <f t="shared" si="22"/>
        <v>315.3</v>
      </c>
      <c r="Q72" s="56">
        <f t="shared" si="22"/>
        <v>39308.6</v>
      </c>
      <c r="R72" s="56">
        <f t="shared" si="22"/>
        <v>481.8</v>
      </c>
      <c r="S72" s="56">
        <f t="shared" si="22"/>
        <v>1573.5</v>
      </c>
      <c r="T72" s="56">
        <f t="shared" si="22"/>
        <v>161.1</v>
      </c>
      <c r="U72" s="56">
        <f t="shared" si="22"/>
        <v>60</v>
      </c>
      <c r="V72" s="56">
        <f t="shared" si="22"/>
        <v>256.39999999999998</v>
      </c>
      <c r="W72" s="56">
        <f t="shared" si="22"/>
        <v>59</v>
      </c>
      <c r="X72" s="56">
        <f t="shared" si="22"/>
        <v>60</v>
      </c>
      <c r="Y72" s="56">
        <f t="shared" si="22"/>
        <v>421.3</v>
      </c>
      <c r="Z72" s="56">
        <f t="shared" si="22"/>
        <v>231.1</v>
      </c>
      <c r="AA72" s="56">
        <f t="shared" si="22"/>
        <v>30476.1</v>
      </c>
      <c r="AB72" s="56">
        <f t="shared" si="22"/>
        <v>26850.7</v>
      </c>
      <c r="AC72" s="56">
        <f t="shared" si="22"/>
        <v>892.9</v>
      </c>
      <c r="AD72" s="56">
        <f t="shared" si="22"/>
        <v>1435.1</v>
      </c>
      <c r="AE72" s="56">
        <f t="shared" si="22"/>
        <v>97</v>
      </c>
      <c r="AF72" s="56">
        <f t="shared" si="22"/>
        <v>165.8</v>
      </c>
      <c r="AG72" s="56">
        <f t="shared" si="22"/>
        <v>593.4</v>
      </c>
      <c r="AH72" s="56">
        <f t="shared" si="22"/>
        <v>945.4</v>
      </c>
      <c r="AI72" s="56">
        <f t="shared" si="22"/>
        <v>383</v>
      </c>
      <c r="AJ72" s="56">
        <f t="shared" si="22"/>
        <v>181.5</v>
      </c>
      <c r="AK72" s="56">
        <f t="shared" si="22"/>
        <v>162.80000000000001</v>
      </c>
      <c r="AL72" s="56">
        <f t="shared" si="22"/>
        <v>288.5</v>
      </c>
      <c r="AM72" s="56">
        <f t="shared" si="22"/>
        <v>340</v>
      </c>
      <c r="AN72" s="56">
        <f t="shared" si="22"/>
        <v>291.5</v>
      </c>
      <c r="AO72" s="56">
        <f t="shared" si="22"/>
        <v>3954.7</v>
      </c>
      <c r="AP72" s="56">
        <f t="shared" si="22"/>
        <v>83959.6</v>
      </c>
      <c r="AQ72" s="56">
        <f t="shared" si="22"/>
        <v>251</v>
      </c>
      <c r="AR72" s="56">
        <f t="shared" si="22"/>
        <v>60303.9</v>
      </c>
      <c r="AS72" s="56">
        <f t="shared" si="22"/>
        <v>6422.3</v>
      </c>
      <c r="AT72" s="56">
        <f t="shared" si="22"/>
        <v>2360.1999999999998</v>
      </c>
      <c r="AU72" s="56">
        <f t="shared" si="22"/>
        <v>271</v>
      </c>
      <c r="AV72" s="56">
        <f t="shared" si="22"/>
        <v>305.39999999999998</v>
      </c>
      <c r="AW72" s="56">
        <f t="shared" si="22"/>
        <v>255</v>
      </c>
      <c r="AX72" s="56">
        <f t="shared" si="22"/>
        <v>81</v>
      </c>
      <c r="AY72" s="56">
        <f t="shared" si="22"/>
        <v>402</v>
      </c>
      <c r="AZ72" s="56">
        <f t="shared" si="22"/>
        <v>12006.9</v>
      </c>
      <c r="BA72" s="56">
        <f t="shared" si="22"/>
        <v>8874.5</v>
      </c>
      <c r="BB72" s="56">
        <f t="shared" si="22"/>
        <v>7477.2</v>
      </c>
      <c r="BC72" s="56">
        <f t="shared" si="22"/>
        <v>24166.1</v>
      </c>
      <c r="BD72" s="56">
        <f t="shared" si="22"/>
        <v>3633.5</v>
      </c>
      <c r="BE72" s="56">
        <f t="shared" si="22"/>
        <v>1174.5</v>
      </c>
      <c r="BF72" s="56">
        <f t="shared" si="22"/>
        <v>24386.3</v>
      </c>
      <c r="BG72" s="56">
        <f t="shared" si="22"/>
        <v>920.6</v>
      </c>
      <c r="BH72" s="56">
        <f t="shared" si="22"/>
        <v>542.79999999999995</v>
      </c>
      <c r="BI72" s="56">
        <f t="shared" si="22"/>
        <v>257.3</v>
      </c>
      <c r="BJ72" s="56">
        <f t="shared" si="22"/>
        <v>6297.4</v>
      </c>
      <c r="BK72" s="56">
        <f t="shared" si="22"/>
        <v>21864.7</v>
      </c>
      <c r="BL72" s="56">
        <f t="shared" si="22"/>
        <v>69.5</v>
      </c>
      <c r="BM72" s="56">
        <f t="shared" si="22"/>
        <v>340.8</v>
      </c>
      <c r="BN72" s="56">
        <f t="shared" si="22"/>
        <v>3062.6</v>
      </c>
      <c r="BO72" s="56">
        <f t="shared" si="22"/>
        <v>1232.5999999999999</v>
      </c>
      <c r="BP72" s="56">
        <f t="shared" si="22"/>
        <v>152</v>
      </c>
      <c r="BQ72" s="56">
        <f t="shared" si="22"/>
        <v>5869.6</v>
      </c>
      <c r="BR72" s="56">
        <f t="shared" si="22"/>
        <v>4488.3999999999996</v>
      </c>
      <c r="BS72" s="56">
        <f t="shared" si="22"/>
        <v>1158.0999999999999</v>
      </c>
      <c r="BT72" s="56">
        <f t="shared" si="22"/>
        <v>362.5</v>
      </c>
      <c r="BU72" s="56">
        <f t="shared" si="22"/>
        <v>392.6</v>
      </c>
      <c r="BV72" s="56">
        <f t="shared" si="22"/>
        <v>1245.3</v>
      </c>
      <c r="BW72" s="56">
        <f t="shared" si="22"/>
        <v>2017.5</v>
      </c>
      <c r="BX72" s="56">
        <f t="shared" si="22"/>
        <v>65.900000000000006</v>
      </c>
      <c r="BY72" s="56">
        <f t="shared" si="22"/>
        <v>421.9</v>
      </c>
      <c r="BZ72" s="56">
        <f t="shared" si="22"/>
        <v>228</v>
      </c>
      <c r="CA72" s="56">
        <f t="shared" si="22"/>
        <v>144.5</v>
      </c>
      <c r="CB72" s="56">
        <f t="shared" si="22"/>
        <v>72061.600000000006</v>
      </c>
      <c r="CC72" s="56">
        <f t="shared" si="22"/>
        <v>189.3</v>
      </c>
      <c r="CD72" s="56">
        <f t="shared" si="22"/>
        <v>60</v>
      </c>
      <c r="CE72" s="56">
        <f t="shared" si="22"/>
        <v>158.30000000000001</v>
      </c>
      <c r="CF72" s="56">
        <f t="shared" si="22"/>
        <v>105.3</v>
      </c>
      <c r="CG72" s="56">
        <f t="shared" si="22"/>
        <v>197.6</v>
      </c>
      <c r="CH72" s="56">
        <f t="shared" si="22"/>
        <v>95.1</v>
      </c>
      <c r="CI72" s="56">
        <f t="shared" si="22"/>
        <v>687.9</v>
      </c>
      <c r="CJ72" s="56">
        <f t="shared" si="22"/>
        <v>862.8</v>
      </c>
      <c r="CK72" s="56">
        <f t="shared" si="22"/>
        <v>4856.1000000000004</v>
      </c>
      <c r="CL72" s="56">
        <f t="shared" si="22"/>
        <v>1207.5999999999999</v>
      </c>
      <c r="CM72" s="56">
        <f t="shared" si="22"/>
        <v>684.5</v>
      </c>
      <c r="CN72" s="56">
        <f t="shared" si="22"/>
        <v>30547.3</v>
      </c>
      <c r="CO72" s="56">
        <f t="shared" si="22"/>
        <v>14217.5</v>
      </c>
      <c r="CP72" s="56">
        <f t="shared" si="22"/>
        <v>912.3</v>
      </c>
      <c r="CQ72" s="56">
        <f t="shared" si="22"/>
        <v>766.8</v>
      </c>
      <c r="CR72" s="56">
        <f t="shared" si="22"/>
        <v>215.8</v>
      </c>
      <c r="CS72" s="56">
        <f t="shared" si="22"/>
        <v>278.39999999999998</v>
      </c>
      <c r="CT72" s="56">
        <f t="shared" si="22"/>
        <v>113.5</v>
      </c>
      <c r="CU72" s="56">
        <f t="shared" si="22"/>
        <v>69</v>
      </c>
      <c r="CV72" s="56">
        <f t="shared" si="22"/>
        <v>60</v>
      </c>
      <c r="CW72" s="56">
        <f t="shared" si="22"/>
        <v>198.7</v>
      </c>
      <c r="CX72" s="56">
        <f t="shared" si="22"/>
        <v>461.4</v>
      </c>
      <c r="CY72" s="56">
        <f t="shared" si="22"/>
        <v>60</v>
      </c>
      <c r="CZ72" s="56">
        <f t="shared" si="22"/>
        <v>1786.5</v>
      </c>
      <c r="DA72" s="56">
        <f t="shared" si="22"/>
        <v>203.5</v>
      </c>
      <c r="DB72" s="56">
        <f t="shared" si="22"/>
        <v>315.8</v>
      </c>
      <c r="DC72" s="56">
        <f t="shared" si="22"/>
        <v>193</v>
      </c>
      <c r="DD72" s="56">
        <f t="shared" si="22"/>
        <v>174.5</v>
      </c>
      <c r="DE72" s="56">
        <f t="shared" si="22"/>
        <v>284.8</v>
      </c>
      <c r="DF72" s="56">
        <f t="shared" si="22"/>
        <v>20529.7</v>
      </c>
      <c r="DG72" s="56">
        <f t="shared" si="22"/>
        <v>93.5</v>
      </c>
      <c r="DH72" s="56">
        <f t="shared" si="22"/>
        <v>1770.5</v>
      </c>
      <c r="DI72" s="56">
        <f t="shared" si="22"/>
        <v>2414.4</v>
      </c>
      <c r="DJ72" s="56">
        <f t="shared" si="22"/>
        <v>613.1</v>
      </c>
      <c r="DK72" s="56">
        <f t="shared" si="22"/>
        <v>477.7</v>
      </c>
      <c r="DL72" s="56">
        <f t="shared" si="22"/>
        <v>5676</v>
      </c>
      <c r="DM72" s="56">
        <f t="shared" si="22"/>
        <v>235</v>
      </c>
      <c r="DN72" s="56">
        <f t="shared" si="22"/>
        <v>1294.5</v>
      </c>
      <c r="DO72" s="56">
        <f t="shared" si="22"/>
        <v>3290</v>
      </c>
      <c r="DP72" s="56">
        <f t="shared" si="22"/>
        <v>199.1</v>
      </c>
      <c r="DQ72" s="56">
        <f t="shared" si="22"/>
        <v>887</v>
      </c>
      <c r="DR72" s="56">
        <f t="shared" si="22"/>
        <v>1305.5</v>
      </c>
      <c r="DS72" s="56">
        <f t="shared" si="22"/>
        <v>580</v>
      </c>
      <c r="DT72" s="56">
        <f t="shared" si="22"/>
        <v>176.5</v>
      </c>
      <c r="DU72" s="56">
        <f t="shared" si="22"/>
        <v>347.7</v>
      </c>
      <c r="DV72" s="56">
        <f t="shared" si="22"/>
        <v>205.8</v>
      </c>
      <c r="DW72" s="56">
        <f t="shared" si="22"/>
        <v>297.39999999999998</v>
      </c>
      <c r="DX72" s="56">
        <f t="shared" si="22"/>
        <v>168</v>
      </c>
      <c r="DY72" s="56">
        <f t="shared" si="22"/>
        <v>293.10000000000002</v>
      </c>
      <c r="DZ72" s="56">
        <f t="shared" si="22"/>
        <v>661.3</v>
      </c>
      <c r="EA72" s="56">
        <f t="shared" si="22"/>
        <v>526.9</v>
      </c>
      <c r="EB72" s="56">
        <f t="shared" si="22"/>
        <v>522.5</v>
      </c>
      <c r="EC72" s="56">
        <f t="shared" si="22"/>
        <v>278.60000000000002</v>
      </c>
      <c r="ED72" s="56">
        <f t="shared" si="22"/>
        <v>1549</v>
      </c>
      <c r="EE72" s="56">
        <f t="shared" si="22"/>
        <v>191.6</v>
      </c>
      <c r="EF72" s="56">
        <f t="shared" si="22"/>
        <v>1323.8</v>
      </c>
      <c r="EG72" s="56">
        <f t="shared" si="22"/>
        <v>253.5</v>
      </c>
      <c r="EH72" s="56">
        <f t="shared" si="22"/>
        <v>247.4</v>
      </c>
      <c r="EI72" s="56">
        <f t="shared" si="22"/>
        <v>13726.9</v>
      </c>
      <c r="EJ72" s="56">
        <f t="shared" si="22"/>
        <v>9921.6</v>
      </c>
      <c r="EK72" s="56">
        <f t="shared" si="22"/>
        <v>665.6</v>
      </c>
      <c r="EL72" s="56">
        <f t="shared" si="22"/>
        <v>457.3</v>
      </c>
      <c r="EM72" s="56">
        <f t="shared" si="22"/>
        <v>371.1</v>
      </c>
      <c r="EN72" s="56">
        <f t="shared" si="22"/>
        <v>888.6</v>
      </c>
      <c r="EO72" s="56">
        <f t="shared" si="22"/>
        <v>299.5</v>
      </c>
      <c r="EP72" s="56">
        <f t="shared" si="22"/>
        <v>428.5</v>
      </c>
      <c r="EQ72" s="56">
        <f t="shared" si="22"/>
        <v>2594.8000000000002</v>
      </c>
      <c r="ER72" s="56">
        <f t="shared" si="22"/>
        <v>307.60000000000002</v>
      </c>
      <c r="ES72" s="56">
        <f t="shared" si="22"/>
        <v>163</v>
      </c>
      <c r="ET72" s="56">
        <f t="shared" si="22"/>
        <v>197.5</v>
      </c>
      <c r="EU72" s="56">
        <f t="shared" si="22"/>
        <v>573.5</v>
      </c>
      <c r="EV72" s="56">
        <f t="shared" si="22"/>
        <v>72.3</v>
      </c>
      <c r="EW72" s="56">
        <f t="shared" si="22"/>
        <v>804.4</v>
      </c>
      <c r="EX72" s="56">
        <f t="shared" si="22"/>
        <v>173.5</v>
      </c>
      <c r="EY72" s="56">
        <f t="shared" si="22"/>
        <v>205.5</v>
      </c>
      <c r="EZ72" s="56">
        <f t="shared" si="22"/>
        <v>129.30000000000001</v>
      </c>
      <c r="FA72" s="56">
        <f t="shared" si="22"/>
        <v>3358.5</v>
      </c>
      <c r="FB72" s="56">
        <f t="shared" si="22"/>
        <v>276.10000000000002</v>
      </c>
      <c r="FC72" s="56">
        <f t="shared" si="22"/>
        <v>1771.7</v>
      </c>
      <c r="FD72" s="56">
        <f t="shared" si="22"/>
        <v>402</v>
      </c>
      <c r="FE72" s="56">
        <f t="shared" si="22"/>
        <v>77.3</v>
      </c>
      <c r="FF72" s="56">
        <f t="shared" si="22"/>
        <v>181</v>
      </c>
      <c r="FG72" s="56">
        <f t="shared" si="22"/>
        <v>119.8</v>
      </c>
      <c r="FH72" s="56">
        <f t="shared" si="22"/>
        <v>70</v>
      </c>
      <c r="FI72" s="56">
        <f t="shared" si="22"/>
        <v>1681.9</v>
      </c>
      <c r="FJ72" s="56">
        <f t="shared" si="22"/>
        <v>2016.5</v>
      </c>
      <c r="FK72" s="56">
        <f t="shared" si="22"/>
        <v>2527.9</v>
      </c>
      <c r="FL72" s="56">
        <f t="shared" si="22"/>
        <v>8538.5</v>
      </c>
      <c r="FM72" s="56">
        <f t="shared" si="22"/>
        <v>3981.5</v>
      </c>
      <c r="FN72" s="56">
        <f t="shared" si="22"/>
        <v>22422.3</v>
      </c>
      <c r="FO72" s="56">
        <f t="shared" si="22"/>
        <v>1117.2</v>
      </c>
      <c r="FP72" s="56">
        <f t="shared" si="22"/>
        <v>2341.5</v>
      </c>
      <c r="FQ72" s="56">
        <f t="shared" si="22"/>
        <v>982.5</v>
      </c>
      <c r="FR72" s="56">
        <f t="shared" si="22"/>
        <v>165.4</v>
      </c>
      <c r="FS72" s="56">
        <f t="shared" si="22"/>
        <v>164.6</v>
      </c>
      <c r="FT72" s="56">
        <f t="shared" si="22"/>
        <v>60</v>
      </c>
      <c r="FU72" s="56">
        <f t="shared" si="22"/>
        <v>784.3</v>
      </c>
      <c r="FV72" s="56">
        <f t="shared" si="22"/>
        <v>692</v>
      </c>
      <c r="FW72" s="56">
        <f t="shared" si="22"/>
        <v>141.30000000000001</v>
      </c>
      <c r="FX72" s="56">
        <f t="shared" si="22"/>
        <v>64.5</v>
      </c>
      <c r="FY72" s="26"/>
      <c r="FZ72" s="26">
        <f t="shared" ref="FZ72:FZ81" si="23">SUM(C72:FX72)</f>
        <v>812969.30000000063</v>
      </c>
      <c r="GA72" s="57"/>
      <c r="GB72" s="26">
        <f>FZ72-GA72</f>
        <v>812969.30000000063</v>
      </c>
      <c r="GC72" s="26"/>
      <c r="GD72" s="26"/>
      <c r="GE72" s="26"/>
      <c r="GF72" s="7"/>
      <c r="GG72" s="7"/>
      <c r="GH72" s="23"/>
      <c r="GI72" s="23"/>
      <c r="GJ72" s="23"/>
      <c r="GK72" s="23"/>
      <c r="GL72" s="23"/>
      <c r="GM72" s="23"/>
      <c r="GN72" s="23"/>
      <c r="GO72" s="23"/>
      <c r="GP72" s="7"/>
      <c r="GQ72" s="7"/>
      <c r="GR72" s="7"/>
      <c r="GS72" s="7"/>
      <c r="GT72" s="7"/>
      <c r="GU72" s="7"/>
      <c r="GV72" s="7"/>
    </row>
    <row r="73" spans="1:204" ht="15.5" x14ac:dyDescent="0.35">
      <c r="A73" s="12" t="s">
        <v>557</v>
      </c>
      <c r="B73" s="7" t="s">
        <v>558</v>
      </c>
      <c r="C73" s="26">
        <f t="shared" ref="C73:FX73" si="24">C13</f>
        <v>0</v>
      </c>
      <c r="D73" s="26">
        <f t="shared" si="24"/>
        <v>38</v>
      </c>
      <c r="E73" s="26">
        <f t="shared" si="24"/>
        <v>0</v>
      </c>
      <c r="F73" s="26">
        <f t="shared" si="24"/>
        <v>1</v>
      </c>
      <c r="G73" s="26">
        <f t="shared" si="24"/>
        <v>0</v>
      </c>
      <c r="H73" s="26">
        <f t="shared" si="24"/>
        <v>0</v>
      </c>
      <c r="I73" s="26">
        <f t="shared" si="24"/>
        <v>5</v>
      </c>
      <c r="J73" s="26">
        <f t="shared" si="24"/>
        <v>0</v>
      </c>
      <c r="K73" s="26">
        <f t="shared" si="24"/>
        <v>0</v>
      </c>
      <c r="L73" s="26">
        <f t="shared" si="24"/>
        <v>0</v>
      </c>
      <c r="M73" s="26">
        <f t="shared" si="24"/>
        <v>0</v>
      </c>
      <c r="N73" s="26">
        <f t="shared" si="24"/>
        <v>30.5</v>
      </c>
      <c r="O73" s="26">
        <f t="shared" si="24"/>
        <v>6</v>
      </c>
      <c r="P73" s="26">
        <f t="shared" si="24"/>
        <v>0</v>
      </c>
      <c r="Q73" s="26">
        <f t="shared" si="24"/>
        <v>3</v>
      </c>
      <c r="R73" s="26">
        <f t="shared" si="24"/>
        <v>0</v>
      </c>
      <c r="S73" s="26">
        <f t="shared" si="24"/>
        <v>0</v>
      </c>
      <c r="T73" s="26">
        <f t="shared" si="24"/>
        <v>0</v>
      </c>
      <c r="U73" s="26">
        <f t="shared" si="24"/>
        <v>0</v>
      </c>
      <c r="V73" s="26">
        <f t="shared" si="24"/>
        <v>0</v>
      </c>
      <c r="W73" s="26">
        <f t="shared" si="24"/>
        <v>0</v>
      </c>
      <c r="X73" s="26">
        <f t="shared" si="24"/>
        <v>0</v>
      </c>
      <c r="Y73" s="26">
        <f t="shared" si="24"/>
        <v>0</v>
      </c>
      <c r="Z73" s="26">
        <f t="shared" si="24"/>
        <v>0</v>
      </c>
      <c r="AA73" s="26">
        <f t="shared" si="24"/>
        <v>45</v>
      </c>
      <c r="AB73" s="26">
        <f t="shared" si="24"/>
        <v>1</v>
      </c>
      <c r="AC73" s="26">
        <f t="shared" si="24"/>
        <v>0</v>
      </c>
      <c r="AD73" s="26">
        <f t="shared" si="24"/>
        <v>0</v>
      </c>
      <c r="AE73" s="26">
        <f t="shared" si="24"/>
        <v>0</v>
      </c>
      <c r="AF73" s="26">
        <f t="shared" si="24"/>
        <v>0</v>
      </c>
      <c r="AG73" s="26">
        <f t="shared" si="24"/>
        <v>0</v>
      </c>
      <c r="AH73" s="26">
        <f t="shared" si="24"/>
        <v>0</v>
      </c>
      <c r="AI73" s="26">
        <f t="shared" si="24"/>
        <v>0</v>
      </c>
      <c r="AJ73" s="26">
        <f t="shared" si="24"/>
        <v>0</v>
      </c>
      <c r="AK73" s="26">
        <f t="shared" si="24"/>
        <v>0</v>
      </c>
      <c r="AL73" s="26">
        <f t="shared" si="24"/>
        <v>0</v>
      </c>
      <c r="AM73" s="26">
        <f t="shared" si="24"/>
        <v>0</v>
      </c>
      <c r="AN73" s="26">
        <f t="shared" si="24"/>
        <v>0</v>
      </c>
      <c r="AO73" s="26">
        <f t="shared" si="24"/>
        <v>0</v>
      </c>
      <c r="AP73" s="26">
        <f t="shared" si="24"/>
        <v>7.5</v>
      </c>
      <c r="AQ73" s="26">
        <f t="shared" si="24"/>
        <v>0</v>
      </c>
      <c r="AR73" s="26">
        <f t="shared" si="24"/>
        <v>8</v>
      </c>
      <c r="AS73" s="26">
        <f t="shared" si="24"/>
        <v>1</v>
      </c>
      <c r="AT73" s="26">
        <f t="shared" si="24"/>
        <v>0</v>
      </c>
      <c r="AU73" s="26">
        <f t="shared" si="24"/>
        <v>0</v>
      </c>
      <c r="AV73" s="26">
        <f t="shared" si="24"/>
        <v>0</v>
      </c>
      <c r="AW73" s="26">
        <f t="shared" si="24"/>
        <v>0</v>
      </c>
      <c r="AX73" s="26">
        <f t="shared" si="24"/>
        <v>0</v>
      </c>
      <c r="AY73" s="26">
        <f t="shared" si="24"/>
        <v>0</v>
      </c>
      <c r="AZ73" s="26">
        <f t="shared" si="24"/>
        <v>0</v>
      </c>
      <c r="BA73" s="26">
        <f t="shared" si="24"/>
        <v>0</v>
      </c>
      <c r="BB73" s="26">
        <f t="shared" si="24"/>
        <v>1</v>
      </c>
      <c r="BC73" s="26">
        <f t="shared" si="24"/>
        <v>17.5</v>
      </c>
      <c r="BD73" s="26">
        <f t="shared" si="24"/>
        <v>0</v>
      </c>
      <c r="BE73" s="26">
        <f t="shared" si="24"/>
        <v>0</v>
      </c>
      <c r="BF73" s="26">
        <f t="shared" si="24"/>
        <v>2</v>
      </c>
      <c r="BG73" s="26">
        <f t="shared" si="24"/>
        <v>0</v>
      </c>
      <c r="BH73" s="26">
        <f t="shared" si="24"/>
        <v>0</v>
      </c>
      <c r="BI73" s="26">
        <f t="shared" si="24"/>
        <v>0</v>
      </c>
      <c r="BJ73" s="26">
        <f t="shared" si="24"/>
        <v>2</v>
      </c>
      <c r="BK73" s="26">
        <f t="shared" si="24"/>
        <v>23.5</v>
      </c>
      <c r="BL73" s="26">
        <f t="shared" si="24"/>
        <v>0.5</v>
      </c>
      <c r="BM73" s="26">
        <f t="shared" si="24"/>
        <v>0</v>
      </c>
      <c r="BN73" s="26">
        <f t="shared" si="24"/>
        <v>12</v>
      </c>
      <c r="BO73" s="26">
        <f t="shared" si="24"/>
        <v>0</v>
      </c>
      <c r="BP73" s="26">
        <f t="shared" si="24"/>
        <v>0</v>
      </c>
      <c r="BQ73" s="26">
        <f t="shared" si="24"/>
        <v>0.5</v>
      </c>
      <c r="BR73" s="26">
        <f t="shared" si="24"/>
        <v>0</v>
      </c>
      <c r="BS73" s="26">
        <f t="shared" si="24"/>
        <v>0</v>
      </c>
      <c r="BT73" s="26">
        <f t="shared" si="24"/>
        <v>0</v>
      </c>
      <c r="BU73" s="26">
        <f t="shared" si="24"/>
        <v>0</v>
      </c>
      <c r="BV73" s="26">
        <f t="shared" si="24"/>
        <v>0</v>
      </c>
      <c r="BW73" s="26">
        <f t="shared" si="24"/>
        <v>0</v>
      </c>
      <c r="BX73" s="26">
        <f t="shared" si="24"/>
        <v>0</v>
      </c>
      <c r="BY73" s="26">
        <f t="shared" si="24"/>
        <v>0</v>
      </c>
      <c r="BZ73" s="26">
        <f t="shared" si="24"/>
        <v>0</v>
      </c>
      <c r="CA73" s="26">
        <f t="shared" si="24"/>
        <v>0</v>
      </c>
      <c r="CB73" s="26">
        <f t="shared" si="24"/>
        <v>17</v>
      </c>
      <c r="CC73" s="26">
        <f t="shared" si="24"/>
        <v>0</v>
      </c>
      <c r="CD73" s="26">
        <f t="shared" si="24"/>
        <v>0</v>
      </c>
      <c r="CE73" s="26">
        <f t="shared" si="24"/>
        <v>0</v>
      </c>
      <c r="CF73" s="26">
        <f t="shared" si="24"/>
        <v>0</v>
      </c>
      <c r="CG73" s="26">
        <f t="shared" si="24"/>
        <v>0</v>
      </c>
      <c r="CH73" s="26">
        <f t="shared" si="24"/>
        <v>0</v>
      </c>
      <c r="CI73" s="26">
        <f t="shared" si="24"/>
        <v>0</v>
      </c>
      <c r="CJ73" s="26">
        <f t="shared" si="24"/>
        <v>0</v>
      </c>
      <c r="CK73" s="26">
        <f t="shared" si="24"/>
        <v>0</v>
      </c>
      <c r="CL73" s="26">
        <f t="shared" si="24"/>
        <v>0</v>
      </c>
      <c r="CM73" s="26">
        <f t="shared" si="24"/>
        <v>0</v>
      </c>
      <c r="CN73" s="26">
        <f t="shared" si="24"/>
        <v>25.5</v>
      </c>
      <c r="CO73" s="26">
        <f t="shared" si="24"/>
        <v>1</v>
      </c>
      <c r="CP73" s="26">
        <f t="shared" si="24"/>
        <v>2</v>
      </c>
      <c r="CQ73" s="26">
        <f t="shared" si="24"/>
        <v>0</v>
      </c>
      <c r="CR73" s="26">
        <f t="shared" si="24"/>
        <v>0</v>
      </c>
      <c r="CS73" s="26">
        <f t="shared" si="24"/>
        <v>0</v>
      </c>
      <c r="CT73" s="26">
        <f t="shared" si="24"/>
        <v>0</v>
      </c>
      <c r="CU73" s="26">
        <f t="shared" si="24"/>
        <v>0</v>
      </c>
      <c r="CV73" s="26">
        <f t="shared" si="24"/>
        <v>0</v>
      </c>
      <c r="CW73" s="26">
        <f t="shared" si="24"/>
        <v>0</v>
      </c>
      <c r="CX73" s="26">
        <f t="shared" si="24"/>
        <v>0</v>
      </c>
      <c r="CY73" s="26">
        <f t="shared" si="24"/>
        <v>0</v>
      </c>
      <c r="CZ73" s="26">
        <f t="shared" si="24"/>
        <v>0</v>
      </c>
      <c r="DA73" s="26">
        <f t="shared" si="24"/>
        <v>0</v>
      </c>
      <c r="DB73" s="26">
        <f t="shared" si="24"/>
        <v>0</v>
      </c>
      <c r="DC73" s="26">
        <f t="shared" si="24"/>
        <v>0</v>
      </c>
      <c r="DD73" s="26">
        <f t="shared" si="24"/>
        <v>0</v>
      </c>
      <c r="DE73" s="26">
        <f t="shared" si="24"/>
        <v>0</v>
      </c>
      <c r="DF73" s="26">
        <f t="shared" si="24"/>
        <v>26</v>
      </c>
      <c r="DG73" s="26">
        <f t="shared" si="24"/>
        <v>0</v>
      </c>
      <c r="DH73" s="26">
        <f t="shared" si="24"/>
        <v>0</v>
      </c>
      <c r="DI73" s="26">
        <f t="shared" si="24"/>
        <v>0</v>
      </c>
      <c r="DJ73" s="26">
        <f t="shared" si="24"/>
        <v>0</v>
      </c>
      <c r="DK73" s="26">
        <f t="shared" si="24"/>
        <v>0</v>
      </c>
      <c r="DL73" s="26">
        <f t="shared" si="24"/>
        <v>0</v>
      </c>
      <c r="DM73" s="26">
        <f t="shared" si="24"/>
        <v>0</v>
      </c>
      <c r="DN73" s="26">
        <f t="shared" si="24"/>
        <v>0.5</v>
      </c>
      <c r="DO73" s="26">
        <f t="shared" si="24"/>
        <v>0</v>
      </c>
      <c r="DP73" s="26">
        <f t="shared" si="24"/>
        <v>0</v>
      </c>
      <c r="DQ73" s="26">
        <f t="shared" si="24"/>
        <v>0</v>
      </c>
      <c r="DR73" s="26">
        <f t="shared" si="24"/>
        <v>0</v>
      </c>
      <c r="DS73" s="26">
        <f t="shared" si="24"/>
        <v>0</v>
      </c>
      <c r="DT73" s="26">
        <f t="shared" si="24"/>
        <v>0</v>
      </c>
      <c r="DU73" s="26">
        <f t="shared" si="24"/>
        <v>0</v>
      </c>
      <c r="DV73" s="26">
        <f t="shared" si="24"/>
        <v>0</v>
      </c>
      <c r="DW73" s="26">
        <f t="shared" si="24"/>
        <v>0</v>
      </c>
      <c r="DX73" s="26">
        <f t="shared" si="24"/>
        <v>0</v>
      </c>
      <c r="DY73" s="26">
        <f t="shared" si="24"/>
        <v>0</v>
      </c>
      <c r="DZ73" s="26">
        <f t="shared" si="24"/>
        <v>0</v>
      </c>
      <c r="EA73" s="26">
        <f t="shared" si="24"/>
        <v>0</v>
      </c>
      <c r="EB73" s="26">
        <f t="shared" si="24"/>
        <v>0</v>
      </c>
      <c r="EC73" s="26">
        <f t="shared" si="24"/>
        <v>0</v>
      </c>
      <c r="ED73" s="26">
        <f t="shared" si="24"/>
        <v>0</v>
      </c>
      <c r="EE73" s="26">
        <f t="shared" si="24"/>
        <v>0</v>
      </c>
      <c r="EF73" s="26">
        <f t="shared" si="24"/>
        <v>0</v>
      </c>
      <c r="EG73" s="26">
        <f t="shared" si="24"/>
        <v>0</v>
      </c>
      <c r="EH73" s="26">
        <f t="shared" si="24"/>
        <v>0</v>
      </c>
      <c r="EI73" s="26">
        <f t="shared" si="24"/>
        <v>0</v>
      </c>
      <c r="EJ73" s="26">
        <f t="shared" si="24"/>
        <v>2</v>
      </c>
      <c r="EK73" s="26">
        <f t="shared" si="24"/>
        <v>0</v>
      </c>
      <c r="EL73" s="26">
        <f t="shared" si="24"/>
        <v>0</v>
      </c>
      <c r="EM73" s="26">
        <f t="shared" si="24"/>
        <v>0</v>
      </c>
      <c r="EN73" s="26">
        <f t="shared" si="24"/>
        <v>0</v>
      </c>
      <c r="EO73" s="26">
        <f t="shared" si="24"/>
        <v>0</v>
      </c>
      <c r="EP73" s="26">
        <f t="shared" si="24"/>
        <v>0</v>
      </c>
      <c r="EQ73" s="26">
        <f t="shared" si="24"/>
        <v>0</v>
      </c>
      <c r="ER73" s="26">
        <f t="shared" si="24"/>
        <v>0</v>
      </c>
      <c r="ES73" s="26">
        <f t="shared" si="24"/>
        <v>0</v>
      </c>
      <c r="ET73" s="26">
        <f t="shared" si="24"/>
        <v>0</v>
      </c>
      <c r="EU73" s="26">
        <f t="shared" si="24"/>
        <v>0</v>
      </c>
      <c r="EV73" s="26">
        <f t="shared" si="24"/>
        <v>0</v>
      </c>
      <c r="EW73" s="26">
        <f t="shared" si="24"/>
        <v>0</v>
      </c>
      <c r="EX73" s="26">
        <f t="shared" si="24"/>
        <v>0</v>
      </c>
      <c r="EY73" s="26">
        <f t="shared" si="24"/>
        <v>0</v>
      </c>
      <c r="EZ73" s="26">
        <f t="shared" si="24"/>
        <v>0</v>
      </c>
      <c r="FA73" s="26">
        <f t="shared" si="24"/>
        <v>0</v>
      </c>
      <c r="FB73" s="26">
        <f t="shared" si="24"/>
        <v>0</v>
      </c>
      <c r="FC73" s="26">
        <f t="shared" si="24"/>
        <v>0</v>
      </c>
      <c r="FD73" s="26">
        <f t="shared" si="24"/>
        <v>0</v>
      </c>
      <c r="FE73" s="26">
        <f t="shared" si="24"/>
        <v>0</v>
      </c>
      <c r="FF73" s="26">
        <f t="shared" si="24"/>
        <v>0</v>
      </c>
      <c r="FG73" s="26">
        <f t="shared" si="24"/>
        <v>0</v>
      </c>
      <c r="FH73" s="26">
        <f t="shared" si="24"/>
        <v>0</v>
      </c>
      <c r="FI73" s="26">
        <f t="shared" si="24"/>
        <v>0</v>
      </c>
      <c r="FJ73" s="26">
        <f t="shared" si="24"/>
        <v>0</v>
      </c>
      <c r="FK73" s="26">
        <f t="shared" si="24"/>
        <v>0</v>
      </c>
      <c r="FL73" s="26">
        <f t="shared" si="24"/>
        <v>0</v>
      </c>
      <c r="FM73" s="26">
        <f t="shared" si="24"/>
        <v>0</v>
      </c>
      <c r="FN73" s="26">
        <f t="shared" si="24"/>
        <v>13</v>
      </c>
      <c r="FO73" s="26">
        <f t="shared" si="24"/>
        <v>2</v>
      </c>
      <c r="FP73" s="26">
        <f t="shared" si="24"/>
        <v>0</v>
      </c>
      <c r="FQ73" s="26">
        <f t="shared" si="24"/>
        <v>0</v>
      </c>
      <c r="FR73" s="26">
        <f t="shared" si="24"/>
        <v>0</v>
      </c>
      <c r="FS73" s="26">
        <f t="shared" si="24"/>
        <v>0</v>
      </c>
      <c r="FT73" s="26">
        <f t="shared" si="24"/>
        <v>0</v>
      </c>
      <c r="FU73" s="26">
        <f t="shared" si="24"/>
        <v>0</v>
      </c>
      <c r="FV73" s="26">
        <f t="shared" si="24"/>
        <v>0</v>
      </c>
      <c r="FW73" s="26">
        <f t="shared" si="24"/>
        <v>0</v>
      </c>
      <c r="FX73" s="26">
        <f t="shared" si="24"/>
        <v>0</v>
      </c>
      <c r="FZ73" s="26">
        <f t="shared" si="23"/>
        <v>294</v>
      </c>
      <c r="GA73" s="25"/>
      <c r="GB73" s="26"/>
      <c r="GC73" s="26"/>
      <c r="GD73" s="26"/>
      <c r="GE73" s="26"/>
      <c r="GF73" s="26"/>
      <c r="GG73" s="7"/>
      <c r="GH73" s="23"/>
      <c r="GI73" s="23"/>
      <c r="GJ73" s="23"/>
      <c r="GK73" s="23"/>
      <c r="GL73" s="23"/>
      <c r="GM73" s="23"/>
      <c r="GN73" s="23"/>
      <c r="GO73" s="23"/>
      <c r="GP73" s="7"/>
      <c r="GQ73" s="7"/>
      <c r="GR73" s="7"/>
      <c r="GS73" s="7"/>
      <c r="GT73" s="7"/>
      <c r="GU73" s="7"/>
      <c r="GV73" s="7"/>
    </row>
    <row r="74" spans="1:204" ht="15.5" x14ac:dyDescent="0.35">
      <c r="A74" s="12" t="s">
        <v>559</v>
      </c>
      <c r="B74" s="7" t="s">
        <v>560</v>
      </c>
      <c r="C74" s="26">
        <f t="shared" ref="C74:FX74" si="25">C34</f>
        <v>0</v>
      </c>
      <c r="D74" s="26">
        <f t="shared" si="25"/>
        <v>0</v>
      </c>
      <c r="E74" s="26">
        <f t="shared" si="25"/>
        <v>0</v>
      </c>
      <c r="F74" s="26">
        <f t="shared" si="25"/>
        <v>0</v>
      </c>
      <c r="G74" s="26">
        <f t="shared" si="25"/>
        <v>0</v>
      </c>
      <c r="H74" s="26">
        <f t="shared" si="25"/>
        <v>0</v>
      </c>
      <c r="I74" s="26">
        <f t="shared" si="25"/>
        <v>0</v>
      </c>
      <c r="J74" s="26">
        <f t="shared" si="25"/>
        <v>0</v>
      </c>
      <c r="K74" s="26">
        <f t="shared" si="25"/>
        <v>0</v>
      </c>
      <c r="L74" s="26">
        <f t="shared" si="25"/>
        <v>0</v>
      </c>
      <c r="M74" s="26">
        <f t="shared" si="25"/>
        <v>0</v>
      </c>
      <c r="N74" s="26">
        <f t="shared" si="25"/>
        <v>0</v>
      </c>
      <c r="O74" s="26">
        <f t="shared" si="25"/>
        <v>0</v>
      </c>
      <c r="P74" s="26">
        <f t="shared" si="25"/>
        <v>0</v>
      </c>
      <c r="Q74" s="26">
        <f t="shared" si="25"/>
        <v>1</v>
      </c>
      <c r="R74" s="26">
        <f t="shared" si="25"/>
        <v>0</v>
      </c>
      <c r="S74" s="26">
        <f t="shared" si="25"/>
        <v>0</v>
      </c>
      <c r="T74" s="26">
        <f t="shared" si="25"/>
        <v>0</v>
      </c>
      <c r="U74" s="26">
        <f t="shared" si="25"/>
        <v>0</v>
      </c>
      <c r="V74" s="26">
        <f t="shared" si="25"/>
        <v>0</v>
      </c>
      <c r="W74" s="26">
        <f t="shared" si="25"/>
        <v>0</v>
      </c>
      <c r="X74" s="26">
        <f t="shared" si="25"/>
        <v>0</v>
      </c>
      <c r="Y74" s="26">
        <f t="shared" si="25"/>
        <v>0</v>
      </c>
      <c r="Z74" s="26">
        <f t="shared" si="25"/>
        <v>0</v>
      </c>
      <c r="AA74" s="26">
        <f t="shared" si="25"/>
        <v>0</v>
      </c>
      <c r="AB74" s="26">
        <f t="shared" si="25"/>
        <v>0</v>
      </c>
      <c r="AC74" s="26">
        <f t="shared" si="25"/>
        <v>0</v>
      </c>
      <c r="AD74" s="26">
        <f t="shared" si="25"/>
        <v>0</v>
      </c>
      <c r="AE74" s="26">
        <f t="shared" si="25"/>
        <v>0</v>
      </c>
      <c r="AF74" s="26">
        <f t="shared" si="25"/>
        <v>0</v>
      </c>
      <c r="AG74" s="26">
        <f t="shared" si="25"/>
        <v>0</v>
      </c>
      <c r="AH74" s="26">
        <f t="shared" si="25"/>
        <v>0</v>
      </c>
      <c r="AI74" s="26">
        <f t="shared" si="25"/>
        <v>0</v>
      </c>
      <c r="AJ74" s="26">
        <f t="shared" si="25"/>
        <v>0</v>
      </c>
      <c r="AK74" s="26">
        <f t="shared" si="25"/>
        <v>0</v>
      </c>
      <c r="AL74" s="26">
        <f t="shared" si="25"/>
        <v>0</v>
      </c>
      <c r="AM74" s="26">
        <f t="shared" si="25"/>
        <v>0</v>
      </c>
      <c r="AN74" s="26">
        <f t="shared" si="25"/>
        <v>0</v>
      </c>
      <c r="AO74" s="26">
        <f t="shared" si="25"/>
        <v>0</v>
      </c>
      <c r="AP74" s="26">
        <f t="shared" si="25"/>
        <v>0</v>
      </c>
      <c r="AQ74" s="26">
        <f t="shared" si="25"/>
        <v>0</v>
      </c>
      <c r="AR74" s="26">
        <f t="shared" si="25"/>
        <v>0</v>
      </c>
      <c r="AS74" s="26">
        <f t="shared" si="25"/>
        <v>0</v>
      </c>
      <c r="AT74" s="26">
        <f t="shared" si="25"/>
        <v>0</v>
      </c>
      <c r="AU74" s="26">
        <f t="shared" si="25"/>
        <v>0</v>
      </c>
      <c r="AV74" s="26">
        <f t="shared" si="25"/>
        <v>0</v>
      </c>
      <c r="AW74" s="26">
        <f t="shared" si="25"/>
        <v>0</v>
      </c>
      <c r="AX74" s="26">
        <f t="shared" si="25"/>
        <v>0</v>
      </c>
      <c r="AY74" s="26">
        <f t="shared" si="25"/>
        <v>0</v>
      </c>
      <c r="AZ74" s="26">
        <f t="shared" si="25"/>
        <v>0</v>
      </c>
      <c r="BA74" s="26">
        <f t="shared" si="25"/>
        <v>0</v>
      </c>
      <c r="BB74" s="26">
        <f t="shared" si="25"/>
        <v>0</v>
      </c>
      <c r="BC74" s="26">
        <f t="shared" si="25"/>
        <v>0</v>
      </c>
      <c r="BD74" s="26">
        <f t="shared" si="25"/>
        <v>0</v>
      </c>
      <c r="BE74" s="26">
        <f t="shared" si="25"/>
        <v>0</v>
      </c>
      <c r="BF74" s="26">
        <f t="shared" si="25"/>
        <v>0</v>
      </c>
      <c r="BG74" s="26">
        <f t="shared" si="25"/>
        <v>0</v>
      </c>
      <c r="BH74" s="26">
        <f t="shared" si="25"/>
        <v>0</v>
      </c>
      <c r="BI74" s="26">
        <f t="shared" si="25"/>
        <v>0</v>
      </c>
      <c r="BJ74" s="26">
        <f t="shared" si="25"/>
        <v>0</v>
      </c>
      <c r="BK74" s="26">
        <f t="shared" si="25"/>
        <v>0</v>
      </c>
      <c r="BL74" s="26">
        <f t="shared" si="25"/>
        <v>0</v>
      </c>
      <c r="BM74" s="26">
        <f t="shared" si="25"/>
        <v>0</v>
      </c>
      <c r="BN74" s="26">
        <f t="shared" si="25"/>
        <v>0</v>
      </c>
      <c r="BO74" s="26">
        <f t="shared" si="25"/>
        <v>0</v>
      </c>
      <c r="BP74" s="26">
        <f t="shared" si="25"/>
        <v>0</v>
      </c>
      <c r="BQ74" s="26">
        <f t="shared" si="25"/>
        <v>0</v>
      </c>
      <c r="BR74" s="26">
        <f t="shared" si="25"/>
        <v>0</v>
      </c>
      <c r="BS74" s="26">
        <f t="shared" si="25"/>
        <v>0</v>
      </c>
      <c r="BT74" s="26">
        <f t="shared" si="25"/>
        <v>0</v>
      </c>
      <c r="BU74" s="26">
        <f t="shared" si="25"/>
        <v>0</v>
      </c>
      <c r="BV74" s="26">
        <f t="shared" si="25"/>
        <v>0</v>
      </c>
      <c r="BW74" s="26">
        <f t="shared" si="25"/>
        <v>0</v>
      </c>
      <c r="BX74" s="26">
        <f t="shared" si="25"/>
        <v>0</v>
      </c>
      <c r="BY74" s="26">
        <f t="shared" si="25"/>
        <v>0</v>
      </c>
      <c r="BZ74" s="26">
        <f t="shared" si="25"/>
        <v>0</v>
      </c>
      <c r="CA74" s="26">
        <f t="shared" si="25"/>
        <v>0</v>
      </c>
      <c r="CB74" s="26">
        <f t="shared" si="25"/>
        <v>0</v>
      </c>
      <c r="CC74" s="26">
        <f t="shared" si="25"/>
        <v>0</v>
      </c>
      <c r="CD74" s="26">
        <f t="shared" si="25"/>
        <v>0</v>
      </c>
      <c r="CE74" s="26">
        <f t="shared" si="25"/>
        <v>0</v>
      </c>
      <c r="CF74" s="26">
        <f t="shared" si="25"/>
        <v>0</v>
      </c>
      <c r="CG74" s="26">
        <f t="shared" si="25"/>
        <v>0</v>
      </c>
      <c r="CH74" s="26">
        <f t="shared" si="25"/>
        <v>0</v>
      </c>
      <c r="CI74" s="26">
        <f t="shared" si="25"/>
        <v>0</v>
      </c>
      <c r="CJ74" s="26">
        <f t="shared" si="25"/>
        <v>0</v>
      </c>
      <c r="CK74" s="26">
        <f t="shared" si="25"/>
        <v>0</v>
      </c>
      <c r="CL74" s="26">
        <f t="shared" si="25"/>
        <v>0</v>
      </c>
      <c r="CM74" s="26">
        <f t="shared" si="25"/>
        <v>0</v>
      </c>
      <c r="CN74" s="26">
        <f t="shared" si="25"/>
        <v>0</v>
      </c>
      <c r="CO74" s="26">
        <f t="shared" si="25"/>
        <v>0</v>
      </c>
      <c r="CP74" s="26">
        <f t="shared" si="25"/>
        <v>0</v>
      </c>
      <c r="CQ74" s="26">
        <f t="shared" si="25"/>
        <v>0</v>
      </c>
      <c r="CR74" s="26">
        <f t="shared" si="25"/>
        <v>0</v>
      </c>
      <c r="CS74" s="26">
        <f t="shared" si="25"/>
        <v>0</v>
      </c>
      <c r="CT74" s="26">
        <f t="shared" si="25"/>
        <v>0</v>
      </c>
      <c r="CU74" s="26">
        <f t="shared" si="25"/>
        <v>0</v>
      </c>
      <c r="CV74" s="26">
        <f t="shared" si="25"/>
        <v>0</v>
      </c>
      <c r="CW74" s="26">
        <f t="shared" si="25"/>
        <v>0</v>
      </c>
      <c r="CX74" s="26">
        <f t="shared" si="25"/>
        <v>0</v>
      </c>
      <c r="CY74" s="26">
        <f t="shared" si="25"/>
        <v>0</v>
      </c>
      <c r="CZ74" s="26">
        <f t="shared" si="25"/>
        <v>0</v>
      </c>
      <c r="DA74" s="26">
        <f t="shared" si="25"/>
        <v>0</v>
      </c>
      <c r="DB74" s="26">
        <f t="shared" si="25"/>
        <v>0</v>
      </c>
      <c r="DC74" s="26">
        <f t="shared" si="25"/>
        <v>0</v>
      </c>
      <c r="DD74" s="26">
        <f t="shared" si="25"/>
        <v>0</v>
      </c>
      <c r="DE74" s="26">
        <f t="shared" si="25"/>
        <v>0</v>
      </c>
      <c r="DF74" s="26">
        <f t="shared" si="25"/>
        <v>0</v>
      </c>
      <c r="DG74" s="26">
        <f t="shared" si="25"/>
        <v>0</v>
      </c>
      <c r="DH74" s="26">
        <f t="shared" si="25"/>
        <v>0</v>
      </c>
      <c r="DI74" s="26">
        <f t="shared" si="25"/>
        <v>0</v>
      </c>
      <c r="DJ74" s="26">
        <f t="shared" si="25"/>
        <v>0</v>
      </c>
      <c r="DK74" s="26">
        <f t="shared" si="25"/>
        <v>0</v>
      </c>
      <c r="DL74" s="26">
        <f t="shared" si="25"/>
        <v>0</v>
      </c>
      <c r="DM74" s="26">
        <f t="shared" si="25"/>
        <v>0</v>
      </c>
      <c r="DN74" s="26">
        <f t="shared" si="25"/>
        <v>0</v>
      </c>
      <c r="DO74" s="26">
        <f t="shared" si="25"/>
        <v>0</v>
      </c>
      <c r="DP74" s="26">
        <f t="shared" si="25"/>
        <v>0</v>
      </c>
      <c r="DQ74" s="26">
        <f t="shared" si="25"/>
        <v>0</v>
      </c>
      <c r="DR74" s="26">
        <f t="shared" si="25"/>
        <v>0</v>
      </c>
      <c r="DS74" s="26">
        <f t="shared" si="25"/>
        <v>0</v>
      </c>
      <c r="DT74" s="26">
        <f t="shared" si="25"/>
        <v>0</v>
      </c>
      <c r="DU74" s="26">
        <f t="shared" si="25"/>
        <v>0</v>
      </c>
      <c r="DV74" s="26">
        <f t="shared" si="25"/>
        <v>0</v>
      </c>
      <c r="DW74" s="26">
        <f t="shared" si="25"/>
        <v>0</v>
      </c>
      <c r="DX74" s="26">
        <f t="shared" si="25"/>
        <v>0</v>
      </c>
      <c r="DY74" s="26">
        <f t="shared" si="25"/>
        <v>0</v>
      </c>
      <c r="DZ74" s="26">
        <f t="shared" si="25"/>
        <v>0</v>
      </c>
      <c r="EA74" s="26">
        <f t="shared" si="25"/>
        <v>0</v>
      </c>
      <c r="EB74" s="26">
        <f t="shared" si="25"/>
        <v>0</v>
      </c>
      <c r="EC74" s="26">
        <f t="shared" si="25"/>
        <v>0</v>
      </c>
      <c r="ED74" s="26">
        <f t="shared" si="25"/>
        <v>0</v>
      </c>
      <c r="EE74" s="26">
        <f t="shared" si="25"/>
        <v>0</v>
      </c>
      <c r="EF74" s="26">
        <f t="shared" si="25"/>
        <v>0</v>
      </c>
      <c r="EG74" s="26">
        <f t="shared" si="25"/>
        <v>0</v>
      </c>
      <c r="EH74" s="26">
        <f t="shared" si="25"/>
        <v>0</v>
      </c>
      <c r="EI74" s="26">
        <f t="shared" si="25"/>
        <v>0</v>
      </c>
      <c r="EJ74" s="26">
        <f t="shared" si="25"/>
        <v>0</v>
      </c>
      <c r="EK74" s="26">
        <f t="shared" si="25"/>
        <v>0</v>
      </c>
      <c r="EL74" s="26">
        <f t="shared" si="25"/>
        <v>0</v>
      </c>
      <c r="EM74" s="26">
        <f t="shared" si="25"/>
        <v>0</v>
      </c>
      <c r="EN74" s="26">
        <f t="shared" si="25"/>
        <v>0</v>
      </c>
      <c r="EO74" s="26">
        <f t="shared" si="25"/>
        <v>0</v>
      </c>
      <c r="EP74" s="26">
        <f t="shared" si="25"/>
        <v>0</v>
      </c>
      <c r="EQ74" s="26">
        <f t="shared" si="25"/>
        <v>0</v>
      </c>
      <c r="ER74" s="26">
        <f t="shared" si="25"/>
        <v>0</v>
      </c>
      <c r="ES74" s="26">
        <f t="shared" si="25"/>
        <v>0</v>
      </c>
      <c r="ET74" s="26">
        <f t="shared" si="25"/>
        <v>0</v>
      </c>
      <c r="EU74" s="26">
        <f t="shared" si="25"/>
        <v>0</v>
      </c>
      <c r="EV74" s="26">
        <f t="shared" si="25"/>
        <v>0</v>
      </c>
      <c r="EW74" s="26">
        <f t="shared" si="25"/>
        <v>0</v>
      </c>
      <c r="EX74" s="26">
        <f t="shared" si="25"/>
        <v>0</v>
      </c>
      <c r="EY74" s="26">
        <f t="shared" si="25"/>
        <v>0</v>
      </c>
      <c r="EZ74" s="26">
        <f t="shared" si="25"/>
        <v>0</v>
      </c>
      <c r="FA74" s="26">
        <f t="shared" si="25"/>
        <v>0</v>
      </c>
      <c r="FB74" s="26">
        <f t="shared" si="25"/>
        <v>0</v>
      </c>
      <c r="FC74" s="26">
        <f t="shared" si="25"/>
        <v>0</v>
      </c>
      <c r="FD74" s="26">
        <f t="shared" si="25"/>
        <v>0</v>
      </c>
      <c r="FE74" s="26">
        <f t="shared" si="25"/>
        <v>0</v>
      </c>
      <c r="FF74" s="26">
        <f t="shared" si="25"/>
        <v>0</v>
      </c>
      <c r="FG74" s="26">
        <f t="shared" si="25"/>
        <v>0</v>
      </c>
      <c r="FH74" s="26">
        <f t="shared" si="25"/>
        <v>0</v>
      </c>
      <c r="FI74" s="26">
        <f t="shared" si="25"/>
        <v>0</v>
      </c>
      <c r="FJ74" s="26">
        <f t="shared" si="25"/>
        <v>0</v>
      </c>
      <c r="FK74" s="26">
        <f t="shared" si="25"/>
        <v>0</v>
      </c>
      <c r="FL74" s="26">
        <f t="shared" si="25"/>
        <v>0</v>
      </c>
      <c r="FM74" s="26">
        <f t="shared" si="25"/>
        <v>0</v>
      </c>
      <c r="FN74" s="26">
        <f t="shared" si="25"/>
        <v>0</v>
      </c>
      <c r="FO74" s="26">
        <f t="shared" si="25"/>
        <v>0</v>
      </c>
      <c r="FP74" s="26">
        <f t="shared" si="25"/>
        <v>0</v>
      </c>
      <c r="FQ74" s="26">
        <f t="shared" si="25"/>
        <v>0</v>
      </c>
      <c r="FR74" s="26">
        <f t="shared" si="25"/>
        <v>0</v>
      </c>
      <c r="FS74" s="26">
        <f t="shared" si="25"/>
        <v>0</v>
      </c>
      <c r="FT74" s="26">
        <f t="shared" si="25"/>
        <v>0</v>
      </c>
      <c r="FU74" s="26">
        <f t="shared" si="25"/>
        <v>0</v>
      </c>
      <c r="FV74" s="26">
        <f t="shared" si="25"/>
        <v>0</v>
      </c>
      <c r="FW74" s="26">
        <f t="shared" si="25"/>
        <v>0</v>
      </c>
      <c r="FX74" s="26">
        <f t="shared" si="25"/>
        <v>0</v>
      </c>
      <c r="FY74" s="35"/>
      <c r="FZ74" s="26">
        <f t="shared" si="23"/>
        <v>1</v>
      </c>
      <c r="GA74" s="25"/>
      <c r="GB74" s="26"/>
      <c r="GC74" s="26"/>
      <c r="GD74" s="26"/>
      <c r="GE74" s="26"/>
      <c r="GF74" s="26"/>
      <c r="GG74" s="7"/>
      <c r="GH74" s="23"/>
      <c r="GI74" s="23"/>
      <c r="GJ74" s="23"/>
      <c r="GK74" s="23"/>
      <c r="GL74" s="23"/>
      <c r="GM74" s="23"/>
      <c r="GN74" s="23"/>
      <c r="GO74" s="23"/>
      <c r="GP74" s="7"/>
      <c r="GQ74" s="7"/>
      <c r="GR74" s="7"/>
      <c r="GS74" s="7"/>
      <c r="GT74" s="7"/>
      <c r="GU74" s="7"/>
      <c r="GV74" s="7"/>
    </row>
    <row r="75" spans="1:204" ht="15.5" x14ac:dyDescent="0.35">
      <c r="A75" s="12" t="s">
        <v>561</v>
      </c>
      <c r="B75" s="7" t="s">
        <v>562</v>
      </c>
      <c r="C75" s="26">
        <f t="shared" ref="C75:FX75" si="26">C15</f>
        <v>4</v>
      </c>
      <c r="D75" s="26">
        <f t="shared" si="26"/>
        <v>58</v>
      </c>
      <c r="E75" s="26">
        <f t="shared" si="26"/>
        <v>11</v>
      </c>
      <c r="F75" s="26">
        <f t="shared" si="26"/>
        <v>11</v>
      </c>
      <c r="G75" s="26">
        <f t="shared" si="26"/>
        <v>1</v>
      </c>
      <c r="H75" s="26">
        <f t="shared" si="26"/>
        <v>1</v>
      </c>
      <c r="I75" s="26">
        <f t="shared" si="26"/>
        <v>9</v>
      </c>
      <c r="J75" s="26">
        <f t="shared" si="26"/>
        <v>0</v>
      </c>
      <c r="K75" s="26">
        <f t="shared" si="26"/>
        <v>0</v>
      </c>
      <c r="L75" s="26">
        <f t="shared" si="26"/>
        <v>23</v>
      </c>
      <c r="M75" s="26">
        <f t="shared" si="26"/>
        <v>14</v>
      </c>
      <c r="N75" s="26">
        <f t="shared" si="26"/>
        <v>159.5</v>
      </c>
      <c r="O75" s="26">
        <f t="shared" si="26"/>
        <v>98</v>
      </c>
      <c r="P75" s="26">
        <f t="shared" si="26"/>
        <v>0</v>
      </c>
      <c r="Q75" s="26">
        <f t="shared" si="26"/>
        <v>209</v>
      </c>
      <c r="R75" s="26">
        <f t="shared" si="26"/>
        <v>1</v>
      </c>
      <c r="S75" s="26">
        <f t="shared" si="26"/>
        <v>0</v>
      </c>
      <c r="T75" s="26">
        <f t="shared" si="26"/>
        <v>0</v>
      </c>
      <c r="U75" s="26">
        <f t="shared" si="26"/>
        <v>0</v>
      </c>
      <c r="V75" s="26">
        <f t="shared" si="26"/>
        <v>0</v>
      </c>
      <c r="W75" s="26">
        <f t="shared" si="26"/>
        <v>1</v>
      </c>
      <c r="X75" s="26">
        <f t="shared" si="26"/>
        <v>0</v>
      </c>
      <c r="Y75" s="26">
        <f t="shared" si="26"/>
        <v>0</v>
      </c>
      <c r="Z75" s="26">
        <f t="shared" si="26"/>
        <v>0</v>
      </c>
      <c r="AA75" s="26">
        <f t="shared" si="26"/>
        <v>37</v>
      </c>
      <c r="AB75" s="26">
        <f t="shared" si="26"/>
        <v>46.5</v>
      </c>
      <c r="AC75" s="26">
        <f t="shared" si="26"/>
        <v>0</v>
      </c>
      <c r="AD75" s="26">
        <f t="shared" si="26"/>
        <v>6.5</v>
      </c>
      <c r="AE75" s="26">
        <f t="shared" si="26"/>
        <v>0</v>
      </c>
      <c r="AF75" s="26">
        <f t="shared" si="26"/>
        <v>0</v>
      </c>
      <c r="AG75" s="26">
        <f t="shared" si="26"/>
        <v>0</v>
      </c>
      <c r="AH75" s="26">
        <f t="shared" si="26"/>
        <v>0</v>
      </c>
      <c r="AI75" s="26">
        <f t="shared" si="26"/>
        <v>0</v>
      </c>
      <c r="AJ75" s="26">
        <f t="shared" si="26"/>
        <v>0</v>
      </c>
      <c r="AK75" s="26">
        <f t="shared" si="26"/>
        <v>0</v>
      </c>
      <c r="AL75" s="26">
        <f t="shared" si="26"/>
        <v>0</v>
      </c>
      <c r="AM75" s="26">
        <f t="shared" si="26"/>
        <v>0</v>
      </c>
      <c r="AN75" s="26">
        <f t="shared" si="26"/>
        <v>1</v>
      </c>
      <c r="AO75" s="26">
        <f t="shared" si="26"/>
        <v>0</v>
      </c>
      <c r="AP75" s="26">
        <f t="shared" si="26"/>
        <v>191</v>
      </c>
      <c r="AQ75" s="26">
        <f t="shared" si="26"/>
        <v>0</v>
      </c>
      <c r="AR75" s="26">
        <f t="shared" si="26"/>
        <v>155</v>
      </c>
      <c r="AS75" s="26">
        <f t="shared" si="26"/>
        <v>16</v>
      </c>
      <c r="AT75" s="26">
        <f t="shared" si="26"/>
        <v>3</v>
      </c>
      <c r="AU75" s="26">
        <f t="shared" si="26"/>
        <v>0</v>
      </c>
      <c r="AV75" s="26">
        <f t="shared" si="26"/>
        <v>0</v>
      </c>
      <c r="AW75" s="26">
        <f t="shared" si="26"/>
        <v>2</v>
      </c>
      <c r="AX75" s="26">
        <f t="shared" si="26"/>
        <v>0</v>
      </c>
      <c r="AY75" s="26">
        <f t="shared" si="26"/>
        <v>0</v>
      </c>
      <c r="AZ75" s="26">
        <f t="shared" si="26"/>
        <v>1</v>
      </c>
      <c r="BA75" s="26">
        <f t="shared" si="26"/>
        <v>0.5</v>
      </c>
      <c r="BB75" s="26">
        <f t="shared" si="26"/>
        <v>9</v>
      </c>
      <c r="BC75" s="26">
        <f t="shared" si="26"/>
        <v>30</v>
      </c>
      <c r="BD75" s="26">
        <f t="shared" si="26"/>
        <v>4</v>
      </c>
      <c r="BE75" s="26">
        <f t="shared" si="26"/>
        <v>0</v>
      </c>
      <c r="BF75" s="26">
        <f t="shared" si="26"/>
        <v>31.5</v>
      </c>
      <c r="BG75" s="26">
        <f t="shared" si="26"/>
        <v>0</v>
      </c>
      <c r="BH75" s="26">
        <f t="shared" si="26"/>
        <v>12</v>
      </c>
      <c r="BI75" s="26">
        <f t="shared" si="26"/>
        <v>0</v>
      </c>
      <c r="BJ75" s="26">
        <f t="shared" si="26"/>
        <v>15.5</v>
      </c>
      <c r="BK75" s="26">
        <f t="shared" si="26"/>
        <v>83</v>
      </c>
      <c r="BL75" s="26">
        <f t="shared" si="26"/>
        <v>2.5</v>
      </c>
      <c r="BM75" s="26">
        <f t="shared" si="26"/>
        <v>18.5</v>
      </c>
      <c r="BN75" s="26">
        <f t="shared" si="26"/>
        <v>33.5</v>
      </c>
      <c r="BO75" s="26">
        <f t="shared" si="26"/>
        <v>3</v>
      </c>
      <c r="BP75" s="26">
        <f t="shared" si="26"/>
        <v>0</v>
      </c>
      <c r="BQ75" s="26">
        <f t="shared" si="26"/>
        <v>2</v>
      </c>
      <c r="BR75" s="26">
        <f t="shared" si="26"/>
        <v>0</v>
      </c>
      <c r="BS75" s="26">
        <f t="shared" si="26"/>
        <v>0</v>
      </c>
      <c r="BT75" s="26">
        <f t="shared" si="26"/>
        <v>0</v>
      </c>
      <c r="BU75" s="26">
        <f t="shared" si="26"/>
        <v>0</v>
      </c>
      <c r="BV75" s="26">
        <f t="shared" si="26"/>
        <v>0</v>
      </c>
      <c r="BW75" s="26">
        <f t="shared" si="26"/>
        <v>0</v>
      </c>
      <c r="BX75" s="26">
        <f t="shared" si="26"/>
        <v>0</v>
      </c>
      <c r="BY75" s="26">
        <f t="shared" si="26"/>
        <v>0</v>
      </c>
      <c r="BZ75" s="26">
        <f t="shared" si="26"/>
        <v>0</v>
      </c>
      <c r="CA75" s="26">
        <f t="shared" si="26"/>
        <v>0</v>
      </c>
      <c r="CB75" s="26">
        <f t="shared" si="26"/>
        <v>235</v>
      </c>
      <c r="CC75" s="26">
        <f t="shared" si="26"/>
        <v>0</v>
      </c>
      <c r="CD75" s="26">
        <f t="shared" si="26"/>
        <v>0</v>
      </c>
      <c r="CE75" s="26">
        <f t="shared" si="26"/>
        <v>0</v>
      </c>
      <c r="CF75" s="26">
        <f t="shared" si="26"/>
        <v>0</v>
      </c>
      <c r="CG75" s="26">
        <f t="shared" si="26"/>
        <v>0</v>
      </c>
      <c r="CH75" s="26">
        <f t="shared" si="26"/>
        <v>0</v>
      </c>
      <c r="CI75" s="26">
        <f t="shared" si="26"/>
        <v>0</v>
      </c>
      <c r="CJ75" s="26">
        <f t="shared" si="26"/>
        <v>0</v>
      </c>
      <c r="CK75" s="26">
        <f t="shared" si="26"/>
        <v>0</v>
      </c>
      <c r="CL75" s="26">
        <f t="shared" si="26"/>
        <v>4</v>
      </c>
      <c r="CM75" s="26">
        <f t="shared" si="26"/>
        <v>0</v>
      </c>
      <c r="CN75" s="26">
        <f t="shared" si="26"/>
        <v>232</v>
      </c>
      <c r="CO75" s="26">
        <f t="shared" si="26"/>
        <v>69.5</v>
      </c>
      <c r="CP75" s="26">
        <f t="shared" si="26"/>
        <v>3</v>
      </c>
      <c r="CQ75" s="26">
        <f t="shared" si="26"/>
        <v>0</v>
      </c>
      <c r="CR75" s="26">
        <f t="shared" si="26"/>
        <v>0</v>
      </c>
      <c r="CS75" s="26">
        <f t="shared" si="26"/>
        <v>0</v>
      </c>
      <c r="CT75" s="26">
        <f t="shared" si="26"/>
        <v>0</v>
      </c>
      <c r="CU75" s="26">
        <f t="shared" si="26"/>
        <v>2</v>
      </c>
      <c r="CV75" s="26">
        <f t="shared" si="26"/>
        <v>0</v>
      </c>
      <c r="CW75" s="26">
        <f t="shared" si="26"/>
        <v>0</v>
      </c>
      <c r="CX75" s="26">
        <f t="shared" si="26"/>
        <v>0</v>
      </c>
      <c r="CY75" s="26">
        <f t="shared" si="26"/>
        <v>0</v>
      </c>
      <c r="CZ75" s="26">
        <f t="shared" si="26"/>
        <v>0</v>
      </c>
      <c r="DA75" s="26">
        <f t="shared" si="26"/>
        <v>0</v>
      </c>
      <c r="DB75" s="26">
        <f t="shared" si="26"/>
        <v>0</v>
      </c>
      <c r="DC75" s="26">
        <f t="shared" si="26"/>
        <v>0</v>
      </c>
      <c r="DD75" s="26">
        <f t="shared" si="26"/>
        <v>0</v>
      </c>
      <c r="DE75" s="26">
        <f t="shared" si="26"/>
        <v>0</v>
      </c>
      <c r="DF75" s="26">
        <f t="shared" si="26"/>
        <v>18.5</v>
      </c>
      <c r="DG75" s="26">
        <f t="shared" si="26"/>
        <v>0</v>
      </c>
      <c r="DH75" s="26">
        <f t="shared" si="26"/>
        <v>0</v>
      </c>
      <c r="DI75" s="26">
        <f t="shared" si="26"/>
        <v>0</v>
      </c>
      <c r="DJ75" s="26">
        <f t="shared" si="26"/>
        <v>0</v>
      </c>
      <c r="DK75" s="26">
        <f t="shared" si="26"/>
        <v>0</v>
      </c>
      <c r="DL75" s="26">
        <f t="shared" si="26"/>
        <v>0</v>
      </c>
      <c r="DM75" s="26">
        <f t="shared" si="26"/>
        <v>0</v>
      </c>
      <c r="DN75" s="26">
        <f t="shared" si="26"/>
        <v>1</v>
      </c>
      <c r="DO75" s="26">
        <f t="shared" si="26"/>
        <v>0</v>
      </c>
      <c r="DP75" s="26">
        <f t="shared" si="26"/>
        <v>0</v>
      </c>
      <c r="DQ75" s="26">
        <f t="shared" si="26"/>
        <v>1</v>
      </c>
      <c r="DR75" s="26">
        <f t="shared" si="26"/>
        <v>0</v>
      </c>
      <c r="DS75" s="26">
        <f t="shared" si="26"/>
        <v>0</v>
      </c>
      <c r="DT75" s="26">
        <f t="shared" si="26"/>
        <v>0</v>
      </c>
      <c r="DU75" s="26">
        <f t="shared" si="26"/>
        <v>0</v>
      </c>
      <c r="DV75" s="26">
        <f t="shared" si="26"/>
        <v>0</v>
      </c>
      <c r="DW75" s="26">
        <f t="shared" si="26"/>
        <v>0</v>
      </c>
      <c r="DX75" s="26">
        <f t="shared" si="26"/>
        <v>0</v>
      </c>
      <c r="DY75" s="26">
        <f t="shared" si="26"/>
        <v>0</v>
      </c>
      <c r="DZ75" s="26">
        <f t="shared" si="26"/>
        <v>1</v>
      </c>
      <c r="EA75" s="26">
        <f t="shared" si="26"/>
        <v>0</v>
      </c>
      <c r="EB75" s="26">
        <f t="shared" si="26"/>
        <v>0</v>
      </c>
      <c r="EC75" s="26">
        <f t="shared" si="26"/>
        <v>0</v>
      </c>
      <c r="ED75" s="26">
        <f t="shared" si="26"/>
        <v>0</v>
      </c>
      <c r="EE75" s="26">
        <f t="shared" si="26"/>
        <v>0</v>
      </c>
      <c r="EF75" s="26">
        <f t="shared" si="26"/>
        <v>2</v>
      </c>
      <c r="EG75" s="26">
        <f t="shared" si="26"/>
        <v>0</v>
      </c>
      <c r="EH75" s="26">
        <f t="shared" si="26"/>
        <v>0</v>
      </c>
      <c r="EI75" s="26">
        <f t="shared" si="26"/>
        <v>24.5</v>
      </c>
      <c r="EJ75" s="26">
        <f t="shared" si="26"/>
        <v>26</v>
      </c>
      <c r="EK75" s="26">
        <f t="shared" si="26"/>
        <v>0</v>
      </c>
      <c r="EL75" s="26">
        <f t="shared" si="26"/>
        <v>0</v>
      </c>
      <c r="EM75" s="26">
        <f t="shared" si="26"/>
        <v>0</v>
      </c>
      <c r="EN75" s="26">
        <f t="shared" si="26"/>
        <v>0</v>
      </c>
      <c r="EO75" s="26">
        <f t="shared" si="26"/>
        <v>0</v>
      </c>
      <c r="EP75" s="26">
        <f t="shared" si="26"/>
        <v>0</v>
      </c>
      <c r="EQ75" s="26">
        <f t="shared" si="26"/>
        <v>2</v>
      </c>
      <c r="ER75" s="26">
        <f t="shared" si="26"/>
        <v>2</v>
      </c>
      <c r="ES75" s="26">
        <f t="shared" si="26"/>
        <v>0</v>
      </c>
      <c r="ET75" s="26">
        <f t="shared" si="26"/>
        <v>0</v>
      </c>
      <c r="EU75" s="26">
        <f t="shared" si="26"/>
        <v>0</v>
      </c>
      <c r="EV75" s="26">
        <f t="shared" si="26"/>
        <v>0</v>
      </c>
      <c r="EW75" s="26">
        <f t="shared" si="26"/>
        <v>0</v>
      </c>
      <c r="EX75" s="26">
        <f t="shared" si="26"/>
        <v>0</v>
      </c>
      <c r="EY75" s="26">
        <f t="shared" si="26"/>
        <v>0</v>
      </c>
      <c r="EZ75" s="26">
        <f t="shared" si="26"/>
        <v>0</v>
      </c>
      <c r="FA75" s="26">
        <f t="shared" si="26"/>
        <v>12</v>
      </c>
      <c r="FB75" s="26">
        <f t="shared" si="26"/>
        <v>0</v>
      </c>
      <c r="FC75" s="26">
        <f t="shared" si="26"/>
        <v>4</v>
      </c>
      <c r="FD75" s="26">
        <f t="shared" si="26"/>
        <v>0</v>
      </c>
      <c r="FE75" s="26">
        <f t="shared" si="26"/>
        <v>0</v>
      </c>
      <c r="FF75" s="26">
        <f t="shared" si="26"/>
        <v>0</v>
      </c>
      <c r="FG75" s="26">
        <f t="shared" si="26"/>
        <v>0</v>
      </c>
      <c r="FH75" s="26">
        <f t="shared" si="26"/>
        <v>0</v>
      </c>
      <c r="FI75" s="26">
        <f t="shared" si="26"/>
        <v>0</v>
      </c>
      <c r="FJ75" s="26">
        <f t="shared" si="26"/>
        <v>0</v>
      </c>
      <c r="FK75" s="26">
        <f t="shared" si="26"/>
        <v>0</v>
      </c>
      <c r="FL75" s="26">
        <f t="shared" si="26"/>
        <v>0</v>
      </c>
      <c r="FM75" s="26">
        <f t="shared" si="26"/>
        <v>0</v>
      </c>
      <c r="FN75" s="26">
        <f t="shared" si="26"/>
        <v>15.5</v>
      </c>
      <c r="FO75" s="26">
        <f t="shared" si="26"/>
        <v>0</v>
      </c>
      <c r="FP75" s="26">
        <f t="shared" si="26"/>
        <v>0</v>
      </c>
      <c r="FQ75" s="26">
        <f t="shared" si="26"/>
        <v>0</v>
      </c>
      <c r="FR75" s="26">
        <f t="shared" si="26"/>
        <v>0</v>
      </c>
      <c r="FS75" s="26">
        <f t="shared" si="26"/>
        <v>0</v>
      </c>
      <c r="FT75" s="26">
        <f t="shared" si="26"/>
        <v>0</v>
      </c>
      <c r="FU75" s="26">
        <f t="shared" si="26"/>
        <v>0</v>
      </c>
      <c r="FV75" s="26">
        <f t="shared" si="26"/>
        <v>1</v>
      </c>
      <c r="FW75" s="26">
        <f t="shared" si="26"/>
        <v>2</v>
      </c>
      <c r="FX75" s="26">
        <f t="shared" si="26"/>
        <v>0</v>
      </c>
      <c r="FY75" s="35"/>
      <c r="FZ75" s="26">
        <f t="shared" si="23"/>
        <v>1962.5</v>
      </c>
      <c r="GA75" s="25"/>
      <c r="GB75" s="26"/>
      <c r="GC75" s="26"/>
      <c r="GD75" s="26"/>
      <c r="GE75" s="26"/>
      <c r="GF75" s="26"/>
      <c r="GG75" s="7"/>
      <c r="GH75" s="23"/>
      <c r="GI75" s="23"/>
      <c r="GJ75" s="23"/>
      <c r="GK75" s="23"/>
      <c r="GL75" s="23"/>
      <c r="GM75" s="23"/>
      <c r="GN75" s="23"/>
      <c r="GO75" s="23"/>
      <c r="GP75" s="7"/>
      <c r="GQ75" s="7"/>
      <c r="GR75" s="7"/>
      <c r="GS75" s="7"/>
      <c r="GT75" s="7"/>
      <c r="GU75" s="7"/>
      <c r="GV75" s="7"/>
    </row>
    <row r="76" spans="1:204" ht="15.5" x14ac:dyDescent="0.35">
      <c r="A76" s="12" t="s">
        <v>563</v>
      </c>
      <c r="B76" s="7" t="s">
        <v>564</v>
      </c>
      <c r="C76" s="26">
        <f t="shared" ref="C76:FX76" si="27">C35</f>
        <v>0</v>
      </c>
      <c r="D76" s="26">
        <f t="shared" si="27"/>
        <v>23</v>
      </c>
      <c r="E76" s="26">
        <f t="shared" si="27"/>
        <v>0</v>
      </c>
      <c r="F76" s="26">
        <f t="shared" si="27"/>
        <v>0</v>
      </c>
      <c r="G76" s="26">
        <f t="shared" si="27"/>
        <v>0</v>
      </c>
      <c r="H76" s="26">
        <f t="shared" si="27"/>
        <v>0</v>
      </c>
      <c r="I76" s="26">
        <f t="shared" si="27"/>
        <v>0</v>
      </c>
      <c r="J76" s="26">
        <f t="shared" si="27"/>
        <v>0</v>
      </c>
      <c r="K76" s="26">
        <f t="shared" si="27"/>
        <v>0</v>
      </c>
      <c r="L76" s="26">
        <f t="shared" si="27"/>
        <v>0</v>
      </c>
      <c r="M76" s="26">
        <f t="shared" si="27"/>
        <v>0</v>
      </c>
      <c r="N76" s="26">
        <f t="shared" si="27"/>
        <v>0</v>
      </c>
      <c r="O76" s="26">
        <f t="shared" si="27"/>
        <v>0</v>
      </c>
      <c r="P76" s="26">
        <f t="shared" si="27"/>
        <v>0</v>
      </c>
      <c r="Q76" s="26">
        <f t="shared" si="27"/>
        <v>0</v>
      </c>
      <c r="R76" s="26">
        <f t="shared" si="27"/>
        <v>0</v>
      </c>
      <c r="S76" s="26">
        <f t="shared" si="27"/>
        <v>0</v>
      </c>
      <c r="T76" s="26">
        <f t="shared" si="27"/>
        <v>0</v>
      </c>
      <c r="U76" s="26">
        <f t="shared" si="27"/>
        <v>0</v>
      </c>
      <c r="V76" s="26">
        <f t="shared" si="27"/>
        <v>0</v>
      </c>
      <c r="W76" s="26">
        <f t="shared" si="27"/>
        <v>0</v>
      </c>
      <c r="X76" s="26">
        <f t="shared" si="27"/>
        <v>0</v>
      </c>
      <c r="Y76" s="26">
        <f t="shared" si="27"/>
        <v>0</v>
      </c>
      <c r="Z76" s="26">
        <f t="shared" si="27"/>
        <v>0</v>
      </c>
      <c r="AA76" s="26">
        <f t="shared" si="27"/>
        <v>0</v>
      </c>
      <c r="AB76" s="26">
        <f t="shared" si="27"/>
        <v>0</v>
      </c>
      <c r="AC76" s="26">
        <f t="shared" si="27"/>
        <v>0</v>
      </c>
      <c r="AD76" s="26">
        <f t="shared" si="27"/>
        <v>0</v>
      </c>
      <c r="AE76" s="26">
        <f t="shared" si="27"/>
        <v>0</v>
      </c>
      <c r="AF76" s="26">
        <f t="shared" si="27"/>
        <v>0</v>
      </c>
      <c r="AG76" s="26">
        <f t="shared" si="27"/>
        <v>0</v>
      </c>
      <c r="AH76" s="26">
        <f t="shared" si="27"/>
        <v>0</v>
      </c>
      <c r="AI76" s="26">
        <f t="shared" si="27"/>
        <v>0</v>
      </c>
      <c r="AJ76" s="26">
        <f t="shared" si="27"/>
        <v>0</v>
      </c>
      <c r="AK76" s="26">
        <f t="shared" si="27"/>
        <v>0</v>
      </c>
      <c r="AL76" s="26">
        <f t="shared" si="27"/>
        <v>0</v>
      </c>
      <c r="AM76" s="26">
        <f t="shared" si="27"/>
        <v>0</v>
      </c>
      <c r="AN76" s="26">
        <f t="shared" si="27"/>
        <v>0</v>
      </c>
      <c r="AO76" s="26">
        <f t="shared" si="27"/>
        <v>0</v>
      </c>
      <c r="AP76" s="26">
        <f t="shared" si="27"/>
        <v>0</v>
      </c>
      <c r="AQ76" s="26">
        <f t="shared" si="27"/>
        <v>0</v>
      </c>
      <c r="AR76" s="26">
        <f t="shared" si="27"/>
        <v>0</v>
      </c>
      <c r="AS76" s="26">
        <f t="shared" si="27"/>
        <v>0</v>
      </c>
      <c r="AT76" s="26">
        <f t="shared" si="27"/>
        <v>0</v>
      </c>
      <c r="AU76" s="26">
        <f t="shared" si="27"/>
        <v>0</v>
      </c>
      <c r="AV76" s="26">
        <f t="shared" si="27"/>
        <v>0</v>
      </c>
      <c r="AW76" s="26">
        <f t="shared" si="27"/>
        <v>0</v>
      </c>
      <c r="AX76" s="26">
        <f t="shared" si="27"/>
        <v>0</v>
      </c>
      <c r="AY76" s="26">
        <f t="shared" si="27"/>
        <v>0</v>
      </c>
      <c r="AZ76" s="26">
        <f t="shared" si="27"/>
        <v>0</v>
      </c>
      <c r="BA76" s="26">
        <f t="shared" si="27"/>
        <v>0</v>
      </c>
      <c r="BB76" s="26">
        <f t="shared" si="27"/>
        <v>0</v>
      </c>
      <c r="BC76" s="26">
        <f t="shared" si="27"/>
        <v>0</v>
      </c>
      <c r="BD76" s="26">
        <f t="shared" si="27"/>
        <v>0</v>
      </c>
      <c r="BE76" s="26">
        <f t="shared" si="27"/>
        <v>0</v>
      </c>
      <c r="BF76" s="26">
        <f t="shared" si="27"/>
        <v>0</v>
      </c>
      <c r="BG76" s="26">
        <f t="shared" si="27"/>
        <v>0</v>
      </c>
      <c r="BH76" s="26">
        <f t="shared" si="27"/>
        <v>0</v>
      </c>
      <c r="BI76" s="26">
        <f t="shared" si="27"/>
        <v>0</v>
      </c>
      <c r="BJ76" s="26">
        <f t="shared" si="27"/>
        <v>0</v>
      </c>
      <c r="BK76" s="26">
        <f t="shared" si="27"/>
        <v>0</v>
      </c>
      <c r="BL76" s="26">
        <f t="shared" si="27"/>
        <v>0</v>
      </c>
      <c r="BM76" s="26">
        <f t="shared" si="27"/>
        <v>0</v>
      </c>
      <c r="BN76" s="26">
        <f t="shared" si="27"/>
        <v>0</v>
      </c>
      <c r="BO76" s="26">
        <f t="shared" si="27"/>
        <v>0</v>
      </c>
      <c r="BP76" s="26">
        <f t="shared" si="27"/>
        <v>0</v>
      </c>
      <c r="BQ76" s="26">
        <f t="shared" si="27"/>
        <v>0</v>
      </c>
      <c r="BR76" s="26">
        <f t="shared" si="27"/>
        <v>0</v>
      </c>
      <c r="BS76" s="26">
        <f t="shared" si="27"/>
        <v>0</v>
      </c>
      <c r="BT76" s="26">
        <f t="shared" si="27"/>
        <v>0</v>
      </c>
      <c r="BU76" s="26">
        <f t="shared" si="27"/>
        <v>0</v>
      </c>
      <c r="BV76" s="26">
        <f t="shared" si="27"/>
        <v>0</v>
      </c>
      <c r="BW76" s="26">
        <f t="shared" si="27"/>
        <v>0</v>
      </c>
      <c r="BX76" s="26">
        <f t="shared" si="27"/>
        <v>0</v>
      </c>
      <c r="BY76" s="26">
        <f t="shared" si="27"/>
        <v>0</v>
      </c>
      <c r="BZ76" s="26">
        <f t="shared" si="27"/>
        <v>0</v>
      </c>
      <c r="CA76" s="26">
        <f t="shared" si="27"/>
        <v>0</v>
      </c>
      <c r="CB76" s="26">
        <f t="shared" si="27"/>
        <v>0</v>
      </c>
      <c r="CC76" s="26">
        <f t="shared" si="27"/>
        <v>0</v>
      </c>
      <c r="CD76" s="26">
        <f t="shared" si="27"/>
        <v>0</v>
      </c>
      <c r="CE76" s="26">
        <f t="shared" si="27"/>
        <v>0</v>
      </c>
      <c r="CF76" s="26">
        <f t="shared" si="27"/>
        <v>0</v>
      </c>
      <c r="CG76" s="26">
        <f t="shared" si="27"/>
        <v>0</v>
      </c>
      <c r="CH76" s="26">
        <f t="shared" si="27"/>
        <v>0</v>
      </c>
      <c r="CI76" s="26">
        <f t="shared" si="27"/>
        <v>0</v>
      </c>
      <c r="CJ76" s="26">
        <f t="shared" si="27"/>
        <v>0</v>
      </c>
      <c r="CK76" s="26">
        <f t="shared" si="27"/>
        <v>0</v>
      </c>
      <c r="CL76" s="26">
        <f t="shared" si="27"/>
        <v>0</v>
      </c>
      <c r="CM76" s="26">
        <f t="shared" si="27"/>
        <v>0</v>
      </c>
      <c r="CN76" s="26">
        <f t="shared" si="27"/>
        <v>0</v>
      </c>
      <c r="CO76" s="26">
        <f t="shared" si="27"/>
        <v>0</v>
      </c>
      <c r="CP76" s="26">
        <f t="shared" si="27"/>
        <v>0</v>
      </c>
      <c r="CQ76" s="26">
        <f t="shared" si="27"/>
        <v>0</v>
      </c>
      <c r="CR76" s="26">
        <f t="shared" si="27"/>
        <v>0</v>
      </c>
      <c r="CS76" s="26">
        <f t="shared" si="27"/>
        <v>0</v>
      </c>
      <c r="CT76" s="26">
        <f t="shared" si="27"/>
        <v>0</v>
      </c>
      <c r="CU76" s="26">
        <f t="shared" si="27"/>
        <v>0</v>
      </c>
      <c r="CV76" s="26">
        <f t="shared" si="27"/>
        <v>0</v>
      </c>
      <c r="CW76" s="26">
        <f t="shared" si="27"/>
        <v>0</v>
      </c>
      <c r="CX76" s="26">
        <f t="shared" si="27"/>
        <v>0</v>
      </c>
      <c r="CY76" s="26">
        <f t="shared" si="27"/>
        <v>0</v>
      </c>
      <c r="CZ76" s="26">
        <f t="shared" si="27"/>
        <v>0</v>
      </c>
      <c r="DA76" s="26">
        <f t="shared" si="27"/>
        <v>0</v>
      </c>
      <c r="DB76" s="26">
        <f t="shared" si="27"/>
        <v>0</v>
      </c>
      <c r="DC76" s="26">
        <f t="shared" si="27"/>
        <v>0</v>
      </c>
      <c r="DD76" s="26">
        <f t="shared" si="27"/>
        <v>0</v>
      </c>
      <c r="DE76" s="26">
        <f t="shared" si="27"/>
        <v>0</v>
      </c>
      <c r="DF76" s="26">
        <f t="shared" si="27"/>
        <v>0</v>
      </c>
      <c r="DG76" s="26">
        <f t="shared" si="27"/>
        <v>0</v>
      </c>
      <c r="DH76" s="26">
        <f t="shared" si="27"/>
        <v>0</v>
      </c>
      <c r="DI76" s="26">
        <f t="shared" si="27"/>
        <v>0</v>
      </c>
      <c r="DJ76" s="26">
        <f t="shared" si="27"/>
        <v>0</v>
      </c>
      <c r="DK76" s="26">
        <f t="shared" si="27"/>
        <v>0</v>
      </c>
      <c r="DL76" s="26">
        <f t="shared" si="27"/>
        <v>0</v>
      </c>
      <c r="DM76" s="26">
        <f t="shared" si="27"/>
        <v>0</v>
      </c>
      <c r="DN76" s="26">
        <f t="shared" si="27"/>
        <v>0</v>
      </c>
      <c r="DO76" s="26">
        <f t="shared" si="27"/>
        <v>0</v>
      </c>
      <c r="DP76" s="26">
        <f t="shared" si="27"/>
        <v>0</v>
      </c>
      <c r="DQ76" s="26">
        <f t="shared" si="27"/>
        <v>0</v>
      </c>
      <c r="DR76" s="26">
        <f t="shared" si="27"/>
        <v>0</v>
      </c>
      <c r="DS76" s="26">
        <f t="shared" si="27"/>
        <v>0</v>
      </c>
      <c r="DT76" s="26">
        <f t="shared" si="27"/>
        <v>0</v>
      </c>
      <c r="DU76" s="26">
        <f t="shared" si="27"/>
        <v>0</v>
      </c>
      <c r="DV76" s="26">
        <f t="shared" si="27"/>
        <v>0</v>
      </c>
      <c r="DW76" s="26">
        <f t="shared" si="27"/>
        <v>0</v>
      </c>
      <c r="DX76" s="26">
        <f t="shared" si="27"/>
        <v>0</v>
      </c>
      <c r="DY76" s="26">
        <f t="shared" si="27"/>
        <v>0</v>
      </c>
      <c r="DZ76" s="26">
        <f t="shared" si="27"/>
        <v>0</v>
      </c>
      <c r="EA76" s="26">
        <f t="shared" si="27"/>
        <v>0</v>
      </c>
      <c r="EB76" s="26">
        <f t="shared" si="27"/>
        <v>0</v>
      </c>
      <c r="EC76" s="26">
        <f t="shared" si="27"/>
        <v>0</v>
      </c>
      <c r="ED76" s="26">
        <f t="shared" si="27"/>
        <v>0</v>
      </c>
      <c r="EE76" s="26">
        <f t="shared" si="27"/>
        <v>0</v>
      </c>
      <c r="EF76" s="26">
        <f t="shared" si="27"/>
        <v>0</v>
      </c>
      <c r="EG76" s="26">
        <f t="shared" si="27"/>
        <v>0</v>
      </c>
      <c r="EH76" s="26">
        <f t="shared" si="27"/>
        <v>0</v>
      </c>
      <c r="EI76" s="26">
        <f t="shared" si="27"/>
        <v>0</v>
      </c>
      <c r="EJ76" s="26">
        <f t="shared" si="27"/>
        <v>0</v>
      </c>
      <c r="EK76" s="26">
        <f t="shared" si="27"/>
        <v>0</v>
      </c>
      <c r="EL76" s="26">
        <f t="shared" si="27"/>
        <v>0</v>
      </c>
      <c r="EM76" s="26">
        <f t="shared" si="27"/>
        <v>0</v>
      </c>
      <c r="EN76" s="26">
        <f t="shared" si="27"/>
        <v>0</v>
      </c>
      <c r="EO76" s="26">
        <f t="shared" si="27"/>
        <v>0</v>
      </c>
      <c r="EP76" s="26">
        <f t="shared" si="27"/>
        <v>0</v>
      </c>
      <c r="EQ76" s="26">
        <f t="shared" si="27"/>
        <v>0</v>
      </c>
      <c r="ER76" s="26">
        <f t="shared" si="27"/>
        <v>0</v>
      </c>
      <c r="ES76" s="26">
        <f t="shared" si="27"/>
        <v>0</v>
      </c>
      <c r="ET76" s="26">
        <f t="shared" si="27"/>
        <v>0</v>
      </c>
      <c r="EU76" s="26">
        <f t="shared" si="27"/>
        <v>0</v>
      </c>
      <c r="EV76" s="26">
        <f t="shared" si="27"/>
        <v>0</v>
      </c>
      <c r="EW76" s="26">
        <f t="shared" si="27"/>
        <v>0</v>
      </c>
      <c r="EX76" s="26">
        <f t="shared" si="27"/>
        <v>0</v>
      </c>
      <c r="EY76" s="26">
        <f t="shared" si="27"/>
        <v>0</v>
      </c>
      <c r="EZ76" s="26">
        <f t="shared" si="27"/>
        <v>0</v>
      </c>
      <c r="FA76" s="26">
        <f t="shared" si="27"/>
        <v>0</v>
      </c>
      <c r="FB76" s="26">
        <f t="shared" si="27"/>
        <v>0</v>
      </c>
      <c r="FC76" s="26">
        <f t="shared" si="27"/>
        <v>0</v>
      </c>
      <c r="FD76" s="26">
        <f t="shared" si="27"/>
        <v>0</v>
      </c>
      <c r="FE76" s="26">
        <f t="shared" si="27"/>
        <v>0</v>
      </c>
      <c r="FF76" s="26">
        <f t="shared" si="27"/>
        <v>0</v>
      </c>
      <c r="FG76" s="26">
        <f t="shared" si="27"/>
        <v>0</v>
      </c>
      <c r="FH76" s="26">
        <f t="shared" si="27"/>
        <v>0</v>
      </c>
      <c r="FI76" s="26">
        <f t="shared" si="27"/>
        <v>0</v>
      </c>
      <c r="FJ76" s="26">
        <f t="shared" si="27"/>
        <v>0</v>
      </c>
      <c r="FK76" s="26">
        <f t="shared" si="27"/>
        <v>0</v>
      </c>
      <c r="FL76" s="26">
        <f t="shared" si="27"/>
        <v>0</v>
      </c>
      <c r="FM76" s="26">
        <f t="shared" si="27"/>
        <v>0</v>
      </c>
      <c r="FN76" s="26">
        <f t="shared" si="27"/>
        <v>0</v>
      </c>
      <c r="FO76" s="26">
        <f t="shared" si="27"/>
        <v>0</v>
      </c>
      <c r="FP76" s="26">
        <f t="shared" si="27"/>
        <v>0</v>
      </c>
      <c r="FQ76" s="26">
        <f t="shared" si="27"/>
        <v>0</v>
      </c>
      <c r="FR76" s="26">
        <f t="shared" si="27"/>
        <v>0</v>
      </c>
      <c r="FS76" s="26">
        <f t="shared" si="27"/>
        <v>0</v>
      </c>
      <c r="FT76" s="26">
        <f t="shared" si="27"/>
        <v>0</v>
      </c>
      <c r="FU76" s="26">
        <f t="shared" si="27"/>
        <v>0</v>
      </c>
      <c r="FV76" s="26">
        <f t="shared" si="27"/>
        <v>0</v>
      </c>
      <c r="FW76" s="26">
        <f t="shared" si="27"/>
        <v>0</v>
      </c>
      <c r="FX76" s="26">
        <f t="shared" si="27"/>
        <v>0</v>
      </c>
      <c r="FY76" s="35"/>
      <c r="FZ76" s="26">
        <f t="shared" si="23"/>
        <v>23</v>
      </c>
      <c r="GA76" s="25"/>
      <c r="GB76" s="26"/>
      <c r="GC76" s="26"/>
      <c r="GD76" s="26"/>
      <c r="GE76" s="26"/>
      <c r="GF76" s="26"/>
      <c r="GG76" s="7"/>
      <c r="GH76" s="23"/>
      <c r="GI76" s="23"/>
      <c r="GJ76" s="23"/>
      <c r="GK76" s="23"/>
      <c r="GL76" s="23"/>
      <c r="GM76" s="23"/>
      <c r="GN76" s="23"/>
      <c r="GO76" s="23"/>
      <c r="GP76" s="7"/>
      <c r="GQ76" s="7"/>
      <c r="GR76" s="7"/>
      <c r="GS76" s="7"/>
      <c r="GT76" s="7"/>
      <c r="GU76" s="7"/>
      <c r="GV76" s="7"/>
    </row>
    <row r="77" spans="1:204" ht="15.5" x14ac:dyDescent="0.35">
      <c r="A77" s="12" t="s">
        <v>565</v>
      </c>
      <c r="B77" s="7" t="s">
        <v>566</v>
      </c>
      <c r="C77" s="25">
        <f t="shared" ref="C77:FX77" si="28">C12</f>
        <v>152</v>
      </c>
      <c r="D77" s="25">
        <f t="shared" si="28"/>
        <v>499</v>
      </c>
      <c r="E77" s="25">
        <f t="shared" si="28"/>
        <v>0</v>
      </c>
      <c r="F77" s="25">
        <f t="shared" si="28"/>
        <v>2031</v>
      </c>
      <c r="G77" s="25">
        <f t="shared" si="28"/>
        <v>0</v>
      </c>
      <c r="H77" s="25">
        <f t="shared" si="28"/>
        <v>0</v>
      </c>
      <c r="I77" s="25">
        <f t="shared" si="28"/>
        <v>0</v>
      </c>
      <c r="J77" s="25">
        <f t="shared" si="28"/>
        <v>0</v>
      </c>
      <c r="K77" s="25">
        <f t="shared" si="28"/>
        <v>0</v>
      </c>
      <c r="L77" s="25">
        <f t="shared" si="28"/>
        <v>0</v>
      </c>
      <c r="M77" s="25">
        <f t="shared" si="28"/>
        <v>0</v>
      </c>
      <c r="N77" s="25">
        <f t="shared" si="28"/>
        <v>0</v>
      </c>
      <c r="O77" s="25">
        <f t="shared" si="28"/>
        <v>0</v>
      </c>
      <c r="P77" s="25">
        <f t="shared" si="28"/>
        <v>0</v>
      </c>
      <c r="Q77" s="25">
        <f t="shared" si="28"/>
        <v>0</v>
      </c>
      <c r="R77" s="25">
        <f t="shared" si="28"/>
        <v>6618</v>
      </c>
      <c r="S77" s="25">
        <f t="shared" si="28"/>
        <v>14</v>
      </c>
      <c r="T77" s="25">
        <f t="shared" si="28"/>
        <v>0</v>
      </c>
      <c r="U77" s="25">
        <f t="shared" si="28"/>
        <v>0</v>
      </c>
      <c r="V77" s="25">
        <f t="shared" si="28"/>
        <v>0</v>
      </c>
      <c r="W77" s="25">
        <f t="shared" si="28"/>
        <v>0</v>
      </c>
      <c r="X77" s="25">
        <f t="shared" si="28"/>
        <v>0</v>
      </c>
      <c r="Y77" s="25">
        <f t="shared" si="28"/>
        <v>473.5</v>
      </c>
      <c r="Z77" s="25">
        <f t="shared" si="28"/>
        <v>0</v>
      </c>
      <c r="AA77" s="25">
        <f t="shared" si="28"/>
        <v>336.5</v>
      </c>
      <c r="AB77" s="25">
        <f t="shared" si="28"/>
        <v>224</v>
      </c>
      <c r="AC77" s="25">
        <f t="shared" si="28"/>
        <v>0</v>
      </c>
      <c r="AD77" s="25">
        <f t="shared" si="28"/>
        <v>0</v>
      </c>
      <c r="AE77" s="25">
        <f t="shared" si="28"/>
        <v>0</v>
      </c>
      <c r="AF77" s="25">
        <f t="shared" si="28"/>
        <v>0</v>
      </c>
      <c r="AG77" s="25">
        <f t="shared" si="28"/>
        <v>0</v>
      </c>
      <c r="AH77" s="25">
        <f t="shared" si="28"/>
        <v>0</v>
      </c>
      <c r="AI77" s="25">
        <f t="shared" si="28"/>
        <v>0</v>
      </c>
      <c r="AJ77" s="25">
        <f t="shared" si="28"/>
        <v>0</v>
      </c>
      <c r="AK77" s="25">
        <f t="shared" si="28"/>
        <v>0</v>
      </c>
      <c r="AL77" s="25">
        <f t="shared" si="28"/>
        <v>0</v>
      </c>
      <c r="AM77" s="25">
        <f t="shared" si="28"/>
        <v>0</v>
      </c>
      <c r="AN77" s="25">
        <f t="shared" si="28"/>
        <v>0</v>
      </c>
      <c r="AO77" s="25">
        <f t="shared" si="28"/>
        <v>370.5</v>
      </c>
      <c r="AP77" s="25">
        <f t="shared" si="28"/>
        <v>595.5</v>
      </c>
      <c r="AQ77" s="25">
        <f t="shared" si="28"/>
        <v>0</v>
      </c>
      <c r="AR77" s="25">
        <f t="shared" si="28"/>
        <v>1303</v>
      </c>
      <c r="AS77" s="25">
        <f t="shared" si="28"/>
        <v>0</v>
      </c>
      <c r="AT77" s="25">
        <f t="shared" si="28"/>
        <v>0</v>
      </c>
      <c r="AU77" s="25">
        <f t="shared" si="28"/>
        <v>0</v>
      </c>
      <c r="AV77" s="25">
        <f t="shared" si="28"/>
        <v>0</v>
      </c>
      <c r="AW77" s="25">
        <f t="shared" si="28"/>
        <v>0</v>
      </c>
      <c r="AX77" s="25">
        <f t="shared" si="28"/>
        <v>0</v>
      </c>
      <c r="AY77" s="25">
        <f t="shared" si="28"/>
        <v>0</v>
      </c>
      <c r="AZ77" s="25">
        <f t="shared" si="28"/>
        <v>98</v>
      </c>
      <c r="BA77" s="25">
        <f t="shared" si="28"/>
        <v>240</v>
      </c>
      <c r="BB77" s="25">
        <f t="shared" si="28"/>
        <v>0</v>
      </c>
      <c r="BC77" s="25">
        <f t="shared" si="28"/>
        <v>475</v>
      </c>
      <c r="BD77" s="25">
        <f t="shared" si="28"/>
        <v>0</v>
      </c>
      <c r="BE77" s="25">
        <f t="shared" si="28"/>
        <v>0</v>
      </c>
      <c r="BF77" s="25">
        <f t="shared" si="28"/>
        <v>1194.5</v>
      </c>
      <c r="BG77" s="25">
        <f t="shared" si="28"/>
        <v>0</v>
      </c>
      <c r="BH77" s="25">
        <f t="shared" si="28"/>
        <v>28</v>
      </c>
      <c r="BI77" s="25">
        <f t="shared" si="28"/>
        <v>0</v>
      </c>
      <c r="BJ77" s="25">
        <f t="shared" si="28"/>
        <v>0</v>
      </c>
      <c r="BK77" s="25">
        <f t="shared" si="28"/>
        <v>13175.5</v>
      </c>
      <c r="BL77" s="25">
        <f t="shared" si="28"/>
        <v>0</v>
      </c>
      <c r="BM77" s="25">
        <f t="shared" si="28"/>
        <v>0</v>
      </c>
      <c r="BN77" s="25">
        <f t="shared" si="28"/>
        <v>0</v>
      </c>
      <c r="BO77" s="25">
        <f t="shared" si="28"/>
        <v>0</v>
      </c>
      <c r="BP77" s="25">
        <f t="shared" si="28"/>
        <v>0</v>
      </c>
      <c r="BQ77" s="25">
        <f t="shared" si="28"/>
        <v>0</v>
      </c>
      <c r="BR77" s="25">
        <f t="shared" si="28"/>
        <v>0</v>
      </c>
      <c r="BS77" s="25">
        <f t="shared" si="28"/>
        <v>0</v>
      </c>
      <c r="BT77" s="25">
        <f t="shared" si="28"/>
        <v>0</v>
      </c>
      <c r="BU77" s="25">
        <f t="shared" si="28"/>
        <v>0</v>
      </c>
      <c r="BV77" s="25">
        <f t="shared" si="28"/>
        <v>0</v>
      </c>
      <c r="BW77" s="25">
        <f t="shared" si="28"/>
        <v>0</v>
      </c>
      <c r="BX77" s="25">
        <f t="shared" si="28"/>
        <v>0</v>
      </c>
      <c r="BY77" s="25">
        <f t="shared" si="28"/>
        <v>0</v>
      </c>
      <c r="BZ77" s="25">
        <f t="shared" si="28"/>
        <v>0</v>
      </c>
      <c r="CA77" s="25">
        <f t="shared" si="28"/>
        <v>0</v>
      </c>
      <c r="CB77" s="25">
        <f t="shared" si="28"/>
        <v>815.5</v>
      </c>
      <c r="CC77" s="25">
        <f t="shared" si="28"/>
        <v>0</v>
      </c>
      <c r="CD77" s="25">
        <f t="shared" si="28"/>
        <v>0</v>
      </c>
      <c r="CE77" s="25">
        <f t="shared" si="28"/>
        <v>0</v>
      </c>
      <c r="CF77" s="25">
        <f t="shared" si="28"/>
        <v>0</v>
      </c>
      <c r="CG77" s="25">
        <f t="shared" si="28"/>
        <v>0</v>
      </c>
      <c r="CH77" s="25">
        <f t="shared" si="28"/>
        <v>0</v>
      </c>
      <c r="CI77" s="25">
        <f t="shared" si="28"/>
        <v>0</v>
      </c>
      <c r="CJ77" s="25">
        <f t="shared" si="28"/>
        <v>0</v>
      </c>
      <c r="CK77" s="25">
        <f t="shared" si="28"/>
        <v>23.5</v>
      </c>
      <c r="CL77" s="25">
        <f t="shared" si="28"/>
        <v>5.5</v>
      </c>
      <c r="CM77" s="25">
        <f t="shared" si="28"/>
        <v>2</v>
      </c>
      <c r="CN77" s="25">
        <f t="shared" si="28"/>
        <v>254</v>
      </c>
      <c r="CO77" s="25">
        <f t="shared" si="28"/>
        <v>0</v>
      </c>
      <c r="CP77" s="25">
        <f t="shared" si="28"/>
        <v>0</v>
      </c>
      <c r="CQ77" s="25">
        <f t="shared" si="28"/>
        <v>0</v>
      </c>
      <c r="CR77" s="25">
        <f t="shared" si="28"/>
        <v>0</v>
      </c>
      <c r="CS77" s="25">
        <f t="shared" si="28"/>
        <v>0</v>
      </c>
      <c r="CT77" s="25">
        <f t="shared" si="28"/>
        <v>0</v>
      </c>
      <c r="CU77" s="25">
        <f t="shared" si="28"/>
        <v>396</v>
      </c>
      <c r="CV77" s="25">
        <f t="shared" si="28"/>
        <v>0</v>
      </c>
      <c r="CW77" s="25">
        <f t="shared" si="28"/>
        <v>0</v>
      </c>
      <c r="CX77" s="25">
        <f t="shared" si="28"/>
        <v>0</v>
      </c>
      <c r="CY77" s="25">
        <f t="shared" si="28"/>
        <v>0</v>
      </c>
      <c r="CZ77" s="25">
        <f t="shared" si="28"/>
        <v>0</v>
      </c>
      <c r="DA77" s="25">
        <f t="shared" si="28"/>
        <v>0</v>
      </c>
      <c r="DB77" s="25">
        <f t="shared" si="28"/>
        <v>0</v>
      </c>
      <c r="DC77" s="25">
        <f t="shared" si="28"/>
        <v>0</v>
      </c>
      <c r="DD77" s="25">
        <f t="shared" si="28"/>
        <v>0</v>
      </c>
      <c r="DE77" s="25">
        <f t="shared" si="28"/>
        <v>0</v>
      </c>
      <c r="DF77" s="25">
        <f t="shared" si="28"/>
        <v>0</v>
      </c>
      <c r="DG77" s="25">
        <f t="shared" si="28"/>
        <v>0</v>
      </c>
      <c r="DH77" s="25">
        <f t="shared" si="28"/>
        <v>0</v>
      </c>
      <c r="DI77" s="25">
        <f t="shared" si="28"/>
        <v>4</v>
      </c>
      <c r="DJ77" s="25">
        <f t="shared" si="28"/>
        <v>1</v>
      </c>
      <c r="DK77" s="25">
        <f t="shared" si="28"/>
        <v>1</v>
      </c>
      <c r="DL77" s="25">
        <f t="shared" si="28"/>
        <v>0</v>
      </c>
      <c r="DM77" s="25">
        <f t="shared" si="28"/>
        <v>0</v>
      </c>
      <c r="DN77" s="25">
        <f t="shared" si="28"/>
        <v>0</v>
      </c>
      <c r="DO77" s="25">
        <f t="shared" si="28"/>
        <v>0</v>
      </c>
      <c r="DP77" s="25">
        <f t="shared" si="28"/>
        <v>0</v>
      </c>
      <c r="DQ77" s="25">
        <f t="shared" si="28"/>
        <v>0</v>
      </c>
      <c r="DR77" s="25">
        <f t="shared" si="28"/>
        <v>0</v>
      </c>
      <c r="DS77" s="25">
        <f t="shared" si="28"/>
        <v>0</v>
      </c>
      <c r="DT77" s="25">
        <f t="shared" si="28"/>
        <v>0</v>
      </c>
      <c r="DU77" s="25">
        <f t="shared" si="28"/>
        <v>0</v>
      </c>
      <c r="DV77" s="25">
        <f t="shared" si="28"/>
        <v>0</v>
      </c>
      <c r="DW77" s="25">
        <f t="shared" si="28"/>
        <v>0</v>
      </c>
      <c r="DX77" s="25">
        <f t="shared" si="28"/>
        <v>0</v>
      </c>
      <c r="DY77" s="25">
        <f t="shared" si="28"/>
        <v>0</v>
      </c>
      <c r="DZ77" s="25">
        <f t="shared" si="28"/>
        <v>0</v>
      </c>
      <c r="EA77" s="25">
        <f t="shared" si="28"/>
        <v>0</v>
      </c>
      <c r="EB77" s="25">
        <f t="shared" si="28"/>
        <v>0</v>
      </c>
      <c r="EC77" s="25">
        <f t="shared" si="28"/>
        <v>0</v>
      </c>
      <c r="ED77" s="25">
        <f t="shared" si="28"/>
        <v>0</v>
      </c>
      <c r="EE77" s="25">
        <f t="shared" si="28"/>
        <v>0</v>
      </c>
      <c r="EF77" s="25">
        <f t="shared" si="28"/>
        <v>0</v>
      </c>
      <c r="EG77" s="25">
        <f t="shared" si="28"/>
        <v>0</v>
      </c>
      <c r="EH77" s="25">
        <f t="shared" si="28"/>
        <v>0</v>
      </c>
      <c r="EI77" s="25">
        <f t="shared" si="28"/>
        <v>0</v>
      </c>
      <c r="EJ77" s="25">
        <f t="shared" si="28"/>
        <v>207.5</v>
      </c>
      <c r="EK77" s="25">
        <f t="shared" si="28"/>
        <v>0</v>
      </c>
      <c r="EL77" s="25">
        <f t="shared" si="28"/>
        <v>0</v>
      </c>
      <c r="EM77" s="25">
        <f t="shared" si="28"/>
        <v>0</v>
      </c>
      <c r="EN77" s="25">
        <f t="shared" si="28"/>
        <v>43</v>
      </c>
      <c r="EO77" s="25">
        <f t="shared" si="28"/>
        <v>0</v>
      </c>
      <c r="EP77" s="25">
        <f t="shared" si="28"/>
        <v>0</v>
      </c>
      <c r="EQ77" s="25">
        <f t="shared" si="28"/>
        <v>0</v>
      </c>
      <c r="ER77" s="25">
        <f t="shared" si="28"/>
        <v>0</v>
      </c>
      <c r="ES77" s="25">
        <f t="shared" si="28"/>
        <v>0</v>
      </c>
      <c r="ET77" s="25">
        <f t="shared" si="28"/>
        <v>0</v>
      </c>
      <c r="EU77" s="25">
        <f t="shared" si="28"/>
        <v>0</v>
      </c>
      <c r="EV77" s="25">
        <f t="shared" si="28"/>
        <v>0</v>
      </c>
      <c r="EW77" s="25">
        <f t="shared" si="28"/>
        <v>0</v>
      </c>
      <c r="EX77" s="25">
        <f t="shared" si="28"/>
        <v>0</v>
      </c>
      <c r="EY77" s="25">
        <f t="shared" si="28"/>
        <v>450</v>
      </c>
      <c r="EZ77" s="25">
        <f t="shared" si="28"/>
        <v>0</v>
      </c>
      <c r="FA77" s="25">
        <f t="shared" si="28"/>
        <v>0</v>
      </c>
      <c r="FB77" s="25">
        <f t="shared" si="28"/>
        <v>0</v>
      </c>
      <c r="FC77" s="25">
        <f t="shared" si="28"/>
        <v>0</v>
      </c>
      <c r="FD77" s="25">
        <f t="shared" si="28"/>
        <v>0</v>
      </c>
      <c r="FE77" s="25">
        <f t="shared" si="28"/>
        <v>0</v>
      </c>
      <c r="FF77" s="25">
        <f t="shared" si="28"/>
        <v>0</v>
      </c>
      <c r="FG77" s="25">
        <f t="shared" si="28"/>
        <v>0</v>
      </c>
      <c r="FH77" s="25">
        <f t="shared" si="28"/>
        <v>0</v>
      </c>
      <c r="FI77" s="25">
        <f t="shared" si="28"/>
        <v>0</v>
      </c>
      <c r="FJ77" s="25">
        <f t="shared" si="28"/>
        <v>0</v>
      </c>
      <c r="FK77" s="25">
        <f t="shared" si="28"/>
        <v>0</v>
      </c>
      <c r="FL77" s="25">
        <f t="shared" si="28"/>
        <v>0</v>
      </c>
      <c r="FM77" s="25">
        <f t="shared" si="28"/>
        <v>0</v>
      </c>
      <c r="FN77" s="25">
        <f t="shared" si="28"/>
        <v>254.5</v>
      </c>
      <c r="FO77" s="25">
        <f t="shared" si="28"/>
        <v>0</v>
      </c>
      <c r="FP77" s="25">
        <f t="shared" si="28"/>
        <v>0</v>
      </c>
      <c r="FQ77" s="25">
        <f t="shared" si="28"/>
        <v>0</v>
      </c>
      <c r="FR77" s="25">
        <f t="shared" si="28"/>
        <v>0</v>
      </c>
      <c r="FS77" s="25">
        <f t="shared" si="28"/>
        <v>0</v>
      </c>
      <c r="FT77" s="25">
        <f t="shared" si="28"/>
        <v>0</v>
      </c>
      <c r="FU77" s="25">
        <f t="shared" si="28"/>
        <v>0</v>
      </c>
      <c r="FV77" s="25">
        <f t="shared" si="28"/>
        <v>0</v>
      </c>
      <c r="FW77" s="25">
        <f t="shared" si="28"/>
        <v>0</v>
      </c>
      <c r="FX77" s="25">
        <f t="shared" si="28"/>
        <v>0</v>
      </c>
      <c r="FY77" s="35"/>
      <c r="FZ77" s="25">
        <f t="shared" si="23"/>
        <v>30285.5</v>
      </c>
      <c r="GA77" s="25"/>
      <c r="GB77" s="26"/>
      <c r="GC77" s="26"/>
      <c r="GD77" s="26"/>
      <c r="GE77" s="26"/>
      <c r="GF77" s="7"/>
      <c r="GG77" s="7"/>
      <c r="GH77" s="23"/>
      <c r="GI77" s="23"/>
      <c r="GJ77" s="23"/>
      <c r="GK77" s="23"/>
      <c r="GL77" s="23"/>
      <c r="GM77" s="23"/>
      <c r="GN77" s="23"/>
      <c r="GO77" s="23"/>
      <c r="GP77" s="7"/>
      <c r="GQ77" s="7"/>
      <c r="GR77" s="7"/>
      <c r="GS77" s="7"/>
      <c r="GT77" s="7"/>
      <c r="GU77" s="7"/>
      <c r="GV77" s="7"/>
    </row>
    <row r="78" spans="1:204" ht="15.5" x14ac:dyDescent="0.35">
      <c r="A78" s="12" t="s">
        <v>567</v>
      </c>
      <c r="B78" s="7" t="s">
        <v>568</v>
      </c>
      <c r="C78" s="25">
        <f t="shared" ref="C78:FX78" si="29">C33</f>
        <v>0</v>
      </c>
      <c r="D78" s="25">
        <f t="shared" si="29"/>
        <v>0</v>
      </c>
      <c r="E78" s="25">
        <f t="shared" si="29"/>
        <v>0</v>
      </c>
      <c r="F78" s="25">
        <f t="shared" si="29"/>
        <v>0</v>
      </c>
      <c r="G78" s="25">
        <f t="shared" si="29"/>
        <v>0</v>
      </c>
      <c r="H78" s="25">
        <f t="shared" si="29"/>
        <v>0</v>
      </c>
      <c r="I78" s="25">
        <f t="shared" si="29"/>
        <v>0</v>
      </c>
      <c r="J78" s="25">
        <f t="shared" si="29"/>
        <v>0</v>
      </c>
      <c r="K78" s="25">
        <f t="shared" si="29"/>
        <v>0</v>
      </c>
      <c r="L78" s="25">
        <f t="shared" si="29"/>
        <v>0</v>
      </c>
      <c r="M78" s="25">
        <f t="shared" si="29"/>
        <v>0</v>
      </c>
      <c r="N78" s="25">
        <f t="shared" si="29"/>
        <v>0</v>
      </c>
      <c r="O78" s="25">
        <f t="shared" si="29"/>
        <v>0</v>
      </c>
      <c r="P78" s="25">
        <f t="shared" si="29"/>
        <v>0</v>
      </c>
      <c r="Q78" s="25">
        <f t="shared" si="29"/>
        <v>0</v>
      </c>
      <c r="R78" s="25">
        <f t="shared" si="29"/>
        <v>0</v>
      </c>
      <c r="S78" s="25">
        <f t="shared" si="29"/>
        <v>0</v>
      </c>
      <c r="T78" s="25">
        <f t="shared" si="29"/>
        <v>0</v>
      </c>
      <c r="U78" s="25">
        <f t="shared" si="29"/>
        <v>0</v>
      </c>
      <c r="V78" s="25">
        <f t="shared" si="29"/>
        <v>0</v>
      </c>
      <c r="W78" s="25">
        <f t="shared" si="29"/>
        <v>0</v>
      </c>
      <c r="X78" s="25">
        <f t="shared" si="29"/>
        <v>0</v>
      </c>
      <c r="Y78" s="25">
        <f t="shared" si="29"/>
        <v>0</v>
      </c>
      <c r="Z78" s="25">
        <f t="shared" si="29"/>
        <v>0</v>
      </c>
      <c r="AA78" s="25">
        <f t="shared" si="29"/>
        <v>0</v>
      </c>
      <c r="AB78" s="25">
        <f t="shared" si="29"/>
        <v>0</v>
      </c>
      <c r="AC78" s="25">
        <f t="shared" si="29"/>
        <v>0</v>
      </c>
      <c r="AD78" s="25">
        <f t="shared" si="29"/>
        <v>0</v>
      </c>
      <c r="AE78" s="25">
        <f t="shared" si="29"/>
        <v>0</v>
      </c>
      <c r="AF78" s="25">
        <f t="shared" si="29"/>
        <v>0</v>
      </c>
      <c r="AG78" s="25">
        <f t="shared" si="29"/>
        <v>0</v>
      </c>
      <c r="AH78" s="25">
        <f t="shared" si="29"/>
        <v>0</v>
      </c>
      <c r="AI78" s="25">
        <f t="shared" si="29"/>
        <v>0</v>
      </c>
      <c r="AJ78" s="25">
        <f t="shared" si="29"/>
        <v>0</v>
      </c>
      <c r="AK78" s="25">
        <f t="shared" si="29"/>
        <v>0</v>
      </c>
      <c r="AL78" s="25">
        <f t="shared" si="29"/>
        <v>0</v>
      </c>
      <c r="AM78" s="25">
        <f t="shared" si="29"/>
        <v>0</v>
      </c>
      <c r="AN78" s="25">
        <f t="shared" si="29"/>
        <v>0</v>
      </c>
      <c r="AO78" s="25">
        <f t="shared" si="29"/>
        <v>0</v>
      </c>
      <c r="AP78" s="25">
        <f t="shared" si="29"/>
        <v>0</v>
      </c>
      <c r="AQ78" s="25">
        <f t="shared" si="29"/>
        <v>0</v>
      </c>
      <c r="AR78" s="25">
        <f t="shared" si="29"/>
        <v>0</v>
      </c>
      <c r="AS78" s="25">
        <f t="shared" si="29"/>
        <v>0</v>
      </c>
      <c r="AT78" s="25">
        <f t="shared" si="29"/>
        <v>0</v>
      </c>
      <c r="AU78" s="25">
        <f t="shared" si="29"/>
        <v>0</v>
      </c>
      <c r="AV78" s="25">
        <f t="shared" si="29"/>
        <v>0</v>
      </c>
      <c r="AW78" s="25">
        <f t="shared" si="29"/>
        <v>0</v>
      </c>
      <c r="AX78" s="25">
        <f t="shared" si="29"/>
        <v>0</v>
      </c>
      <c r="AY78" s="25">
        <f t="shared" si="29"/>
        <v>0</v>
      </c>
      <c r="AZ78" s="25">
        <f t="shared" si="29"/>
        <v>0</v>
      </c>
      <c r="BA78" s="25">
        <f t="shared" si="29"/>
        <v>0</v>
      </c>
      <c r="BB78" s="25">
        <f t="shared" si="29"/>
        <v>0</v>
      </c>
      <c r="BC78" s="25">
        <f t="shared" si="29"/>
        <v>0</v>
      </c>
      <c r="BD78" s="25">
        <f t="shared" si="29"/>
        <v>0</v>
      </c>
      <c r="BE78" s="25">
        <f t="shared" si="29"/>
        <v>0</v>
      </c>
      <c r="BF78" s="25">
        <f t="shared" si="29"/>
        <v>0</v>
      </c>
      <c r="BG78" s="25">
        <f t="shared" si="29"/>
        <v>0</v>
      </c>
      <c r="BH78" s="25">
        <f t="shared" si="29"/>
        <v>0</v>
      </c>
      <c r="BI78" s="25">
        <f t="shared" si="29"/>
        <v>0</v>
      </c>
      <c r="BJ78" s="25">
        <f t="shared" si="29"/>
        <v>0</v>
      </c>
      <c r="BK78" s="25">
        <f t="shared" si="29"/>
        <v>0</v>
      </c>
      <c r="BL78" s="25">
        <f t="shared" si="29"/>
        <v>0</v>
      </c>
      <c r="BM78" s="25">
        <f t="shared" si="29"/>
        <v>0</v>
      </c>
      <c r="BN78" s="25">
        <f t="shared" si="29"/>
        <v>0</v>
      </c>
      <c r="BO78" s="25">
        <f t="shared" si="29"/>
        <v>0</v>
      </c>
      <c r="BP78" s="25">
        <f t="shared" si="29"/>
        <v>0</v>
      </c>
      <c r="BQ78" s="25">
        <f t="shared" si="29"/>
        <v>0</v>
      </c>
      <c r="BR78" s="25">
        <f t="shared" si="29"/>
        <v>0</v>
      </c>
      <c r="BS78" s="25">
        <f t="shared" si="29"/>
        <v>0</v>
      </c>
      <c r="BT78" s="25">
        <f t="shared" si="29"/>
        <v>0</v>
      </c>
      <c r="BU78" s="25">
        <f t="shared" si="29"/>
        <v>0</v>
      </c>
      <c r="BV78" s="25">
        <f t="shared" si="29"/>
        <v>0</v>
      </c>
      <c r="BW78" s="25">
        <f t="shared" si="29"/>
        <v>0</v>
      </c>
      <c r="BX78" s="25">
        <f t="shared" si="29"/>
        <v>0</v>
      </c>
      <c r="BY78" s="25">
        <f t="shared" si="29"/>
        <v>0</v>
      </c>
      <c r="BZ78" s="25">
        <f t="shared" si="29"/>
        <v>0</v>
      </c>
      <c r="CA78" s="25">
        <f t="shared" si="29"/>
        <v>0</v>
      </c>
      <c r="CB78" s="25">
        <f t="shared" si="29"/>
        <v>0</v>
      </c>
      <c r="CC78" s="25">
        <f t="shared" si="29"/>
        <v>0</v>
      </c>
      <c r="CD78" s="25">
        <f t="shared" si="29"/>
        <v>0</v>
      </c>
      <c r="CE78" s="25">
        <f t="shared" si="29"/>
        <v>0</v>
      </c>
      <c r="CF78" s="25">
        <f t="shared" si="29"/>
        <v>0</v>
      </c>
      <c r="CG78" s="25">
        <f t="shared" si="29"/>
        <v>0</v>
      </c>
      <c r="CH78" s="25">
        <f t="shared" si="29"/>
        <v>0</v>
      </c>
      <c r="CI78" s="25">
        <f t="shared" si="29"/>
        <v>0</v>
      </c>
      <c r="CJ78" s="25">
        <f t="shared" si="29"/>
        <v>0</v>
      </c>
      <c r="CK78" s="25">
        <f t="shared" si="29"/>
        <v>0</v>
      </c>
      <c r="CL78" s="25">
        <f t="shared" si="29"/>
        <v>0</v>
      </c>
      <c r="CM78" s="25">
        <f t="shared" si="29"/>
        <v>0</v>
      </c>
      <c r="CN78" s="25">
        <f t="shared" si="29"/>
        <v>408</v>
      </c>
      <c r="CO78" s="25">
        <f t="shared" si="29"/>
        <v>0</v>
      </c>
      <c r="CP78" s="25">
        <f t="shared" si="29"/>
        <v>0</v>
      </c>
      <c r="CQ78" s="25">
        <f t="shared" si="29"/>
        <v>0</v>
      </c>
      <c r="CR78" s="25">
        <f t="shared" si="29"/>
        <v>0</v>
      </c>
      <c r="CS78" s="25">
        <f t="shared" si="29"/>
        <v>0</v>
      </c>
      <c r="CT78" s="25">
        <f t="shared" si="29"/>
        <v>0</v>
      </c>
      <c r="CU78" s="25">
        <f t="shared" si="29"/>
        <v>0</v>
      </c>
      <c r="CV78" s="25">
        <f t="shared" si="29"/>
        <v>0</v>
      </c>
      <c r="CW78" s="25">
        <f t="shared" si="29"/>
        <v>0</v>
      </c>
      <c r="CX78" s="25">
        <f t="shared" si="29"/>
        <v>0</v>
      </c>
      <c r="CY78" s="25">
        <f t="shared" si="29"/>
        <v>0</v>
      </c>
      <c r="CZ78" s="25">
        <f t="shared" si="29"/>
        <v>0</v>
      </c>
      <c r="DA78" s="25">
        <f t="shared" si="29"/>
        <v>0</v>
      </c>
      <c r="DB78" s="25">
        <f t="shared" si="29"/>
        <v>0</v>
      </c>
      <c r="DC78" s="25">
        <f t="shared" si="29"/>
        <v>0</v>
      </c>
      <c r="DD78" s="25">
        <f t="shared" si="29"/>
        <v>0</v>
      </c>
      <c r="DE78" s="25">
        <f t="shared" si="29"/>
        <v>0</v>
      </c>
      <c r="DF78" s="25">
        <f t="shared" si="29"/>
        <v>0</v>
      </c>
      <c r="DG78" s="25">
        <f t="shared" si="29"/>
        <v>0</v>
      </c>
      <c r="DH78" s="25">
        <f t="shared" si="29"/>
        <v>0</v>
      </c>
      <c r="DI78" s="25">
        <f t="shared" si="29"/>
        <v>0</v>
      </c>
      <c r="DJ78" s="25">
        <f t="shared" si="29"/>
        <v>0</v>
      </c>
      <c r="DK78" s="25">
        <f t="shared" si="29"/>
        <v>0</v>
      </c>
      <c r="DL78" s="25">
        <f t="shared" si="29"/>
        <v>0</v>
      </c>
      <c r="DM78" s="25">
        <f t="shared" si="29"/>
        <v>0</v>
      </c>
      <c r="DN78" s="25">
        <f t="shared" si="29"/>
        <v>0</v>
      </c>
      <c r="DO78" s="25">
        <f t="shared" si="29"/>
        <v>0</v>
      </c>
      <c r="DP78" s="25">
        <f t="shared" si="29"/>
        <v>0</v>
      </c>
      <c r="DQ78" s="25">
        <f t="shared" si="29"/>
        <v>0</v>
      </c>
      <c r="DR78" s="25">
        <f t="shared" si="29"/>
        <v>0</v>
      </c>
      <c r="DS78" s="25">
        <f t="shared" si="29"/>
        <v>0</v>
      </c>
      <c r="DT78" s="25">
        <f t="shared" si="29"/>
        <v>0</v>
      </c>
      <c r="DU78" s="25">
        <f t="shared" si="29"/>
        <v>0</v>
      </c>
      <c r="DV78" s="25">
        <f t="shared" si="29"/>
        <v>0</v>
      </c>
      <c r="DW78" s="25">
        <f t="shared" si="29"/>
        <v>0</v>
      </c>
      <c r="DX78" s="25">
        <f t="shared" si="29"/>
        <v>0</v>
      </c>
      <c r="DY78" s="25">
        <f t="shared" si="29"/>
        <v>0</v>
      </c>
      <c r="DZ78" s="25">
        <f t="shared" si="29"/>
        <v>0</v>
      </c>
      <c r="EA78" s="25">
        <f t="shared" si="29"/>
        <v>0</v>
      </c>
      <c r="EB78" s="25">
        <f t="shared" si="29"/>
        <v>0</v>
      </c>
      <c r="EC78" s="25">
        <f t="shared" si="29"/>
        <v>0</v>
      </c>
      <c r="ED78" s="25">
        <f t="shared" si="29"/>
        <v>0</v>
      </c>
      <c r="EE78" s="25">
        <f t="shared" si="29"/>
        <v>0</v>
      </c>
      <c r="EF78" s="25">
        <f t="shared" si="29"/>
        <v>0</v>
      </c>
      <c r="EG78" s="25">
        <f t="shared" si="29"/>
        <v>0</v>
      </c>
      <c r="EH78" s="25">
        <f t="shared" si="29"/>
        <v>0</v>
      </c>
      <c r="EI78" s="25">
        <f t="shared" si="29"/>
        <v>0</v>
      </c>
      <c r="EJ78" s="25">
        <f t="shared" si="29"/>
        <v>0</v>
      </c>
      <c r="EK78" s="25">
        <f t="shared" si="29"/>
        <v>0</v>
      </c>
      <c r="EL78" s="25">
        <f t="shared" si="29"/>
        <v>0</v>
      </c>
      <c r="EM78" s="25">
        <f t="shared" si="29"/>
        <v>0</v>
      </c>
      <c r="EN78" s="25">
        <f t="shared" si="29"/>
        <v>0</v>
      </c>
      <c r="EO78" s="25">
        <f t="shared" si="29"/>
        <v>0</v>
      </c>
      <c r="EP78" s="25">
        <f t="shared" si="29"/>
        <v>0</v>
      </c>
      <c r="EQ78" s="25">
        <f t="shared" si="29"/>
        <v>0</v>
      </c>
      <c r="ER78" s="25">
        <f t="shared" si="29"/>
        <v>0</v>
      </c>
      <c r="ES78" s="25">
        <f t="shared" si="29"/>
        <v>0</v>
      </c>
      <c r="ET78" s="25">
        <f t="shared" si="29"/>
        <v>0</v>
      </c>
      <c r="EU78" s="25">
        <f t="shared" si="29"/>
        <v>0</v>
      </c>
      <c r="EV78" s="25">
        <f t="shared" si="29"/>
        <v>0</v>
      </c>
      <c r="EW78" s="25">
        <f t="shared" si="29"/>
        <v>0</v>
      </c>
      <c r="EX78" s="25">
        <f t="shared" si="29"/>
        <v>0</v>
      </c>
      <c r="EY78" s="25">
        <f t="shared" si="29"/>
        <v>0</v>
      </c>
      <c r="EZ78" s="25">
        <f t="shared" si="29"/>
        <v>0</v>
      </c>
      <c r="FA78" s="25">
        <f t="shared" si="29"/>
        <v>0</v>
      </c>
      <c r="FB78" s="25">
        <f t="shared" si="29"/>
        <v>0</v>
      </c>
      <c r="FC78" s="25">
        <f t="shared" si="29"/>
        <v>0</v>
      </c>
      <c r="FD78" s="25">
        <f t="shared" si="29"/>
        <v>0</v>
      </c>
      <c r="FE78" s="25">
        <f t="shared" si="29"/>
        <v>0</v>
      </c>
      <c r="FF78" s="25">
        <f t="shared" si="29"/>
        <v>0</v>
      </c>
      <c r="FG78" s="25">
        <f t="shared" si="29"/>
        <v>0</v>
      </c>
      <c r="FH78" s="25">
        <f t="shared" si="29"/>
        <v>0</v>
      </c>
      <c r="FI78" s="25">
        <f t="shared" si="29"/>
        <v>0</v>
      </c>
      <c r="FJ78" s="25">
        <f t="shared" si="29"/>
        <v>0</v>
      </c>
      <c r="FK78" s="25">
        <f t="shared" si="29"/>
        <v>0</v>
      </c>
      <c r="FL78" s="25">
        <f t="shared" si="29"/>
        <v>0</v>
      </c>
      <c r="FM78" s="25">
        <f t="shared" si="29"/>
        <v>0</v>
      </c>
      <c r="FN78" s="25">
        <f t="shared" si="29"/>
        <v>0</v>
      </c>
      <c r="FO78" s="25">
        <f t="shared" si="29"/>
        <v>0</v>
      </c>
      <c r="FP78" s="25">
        <f t="shared" si="29"/>
        <v>0</v>
      </c>
      <c r="FQ78" s="25">
        <f t="shared" si="29"/>
        <v>0</v>
      </c>
      <c r="FR78" s="25">
        <f t="shared" si="29"/>
        <v>0</v>
      </c>
      <c r="FS78" s="25">
        <f t="shared" si="29"/>
        <v>0</v>
      </c>
      <c r="FT78" s="25">
        <f t="shared" si="29"/>
        <v>0</v>
      </c>
      <c r="FU78" s="25">
        <f t="shared" si="29"/>
        <v>0</v>
      </c>
      <c r="FV78" s="25">
        <f t="shared" si="29"/>
        <v>0</v>
      </c>
      <c r="FW78" s="25">
        <f t="shared" si="29"/>
        <v>0</v>
      </c>
      <c r="FX78" s="25">
        <f t="shared" si="29"/>
        <v>0</v>
      </c>
      <c r="FY78" s="25"/>
      <c r="FZ78" s="25">
        <f t="shared" si="23"/>
        <v>408</v>
      </c>
      <c r="GA78" s="58"/>
      <c r="GB78" s="26"/>
      <c r="GC78" s="26"/>
      <c r="GD78" s="26"/>
      <c r="GE78" s="26"/>
      <c r="GF78" s="7"/>
      <c r="GG78" s="7"/>
      <c r="GH78" s="23"/>
      <c r="GI78" s="23"/>
      <c r="GJ78" s="23"/>
      <c r="GK78" s="23"/>
      <c r="GL78" s="23"/>
      <c r="GM78" s="23"/>
      <c r="GN78" s="23"/>
      <c r="GO78" s="23"/>
      <c r="GP78" s="7"/>
      <c r="GQ78" s="7"/>
      <c r="GR78" s="7"/>
      <c r="GS78" s="7"/>
      <c r="GT78" s="7"/>
      <c r="GU78" s="7"/>
      <c r="GV78" s="7"/>
    </row>
    <row r="79" spans="1:204" ht="15.5" x14ac:dyDescent="0.35">
      <c r="A79" s="12" t="s">
        <v>2</v>
      </c>
      <c r="B79" s="7" t="s">
        <v>569</v>
      </c>
      <c r="C79" s="56">
        <f t="shared" ref="C79:FX79" si="30">ROUND(IF(SUM(C72:C78)&lt;60,60,SUM(C72:C78)),1)</f>
        <v>6540.5</v>
      </c>
      <c r="D79" s="56">
        <f t="shared" si="30"/>
        <v>38351</v>
      </c>
      <c r="E79" s="56">
        <f t="shared" si="30"/>
        <v>5631.8</v>
      </c>
      <c r="F79" s="56">
        <f t="shared" si="30"/>
        <v>24437.599999999999</v>
      </c>
      <c r="G79" s="56">
        <f t="shared" si="30"/>
        <v>1845</v>
      </c>
      <c r="H79" s="56">
        <f t="shared" si="30"/>
        <v>1096.5</v>
      </c>
      <c r="I79" s="56">
        <f t="shared" si="30"/>
        <v>7949</v>
      </c>
      <c r="J79" s="56">
        <f t="shared" si="30"/>
        <v>2040.6</v>
      </c>
      <c r="K79" s="56">
        <f t="shared" si="30"/>
        <v>251.7</v>
      </c>
      <c r="L79" s="56">
        <f t="shared" si="30"/>
        <v>2134.5</v>
      </c>
      <c r="M79" s="56">
        <f t="shared" si="30"/>
        <v>923.1</v>
      </c>
      <c r="N79" s="56">
        <f t="shared" si="30"/>
        <v>50359.9</v>
      </c>
      <c r="O79" s="56">
        <f t="shared" si="30"/>
        <v>12778.8</v>
      </c>
      <c r="P79" s="56">
        <f t="shared" si="30"/>
        <v>315.3</v>
      </c>
      <c r="Q79" s="56">
        <f t="shared" si="30"/>
        <v>39521.599999999999</v>
      </c>
      <c r="R79" s="56">
        <f t="shared" si="30"/>
        <v>7100.8</v>
      </c>
      <c r="S79" s="56">
        <f t="shared" si="30"/>
        <v>1587.5</v>
      </c>
      <c r="T79" s="56">
        <f t="shared" si="30"/>
        <v>161.1</v>
      </c>
      <c r="U79" s="56">
        <f t="shared" si="30"/>
        <v>60</v>
      </c>
      <c r="V79" s="56">
        <f t="shared" si="30"/>
        <v>256.39999999999998</v>
      </c>
      <c r="W79" s="56">
        <f t="shared" si="30"/>
        <v>60</v>
      </c>
      <c r="X79" s="56">
        <f t="shared" si="30"/>
        <v>60</v>
      </c>
      <c r="Y79" s="56">
        <f t="shared" si="30"/>
        <v>894.8</v>
      </c>
      <c r="Z79" s="56">
        <f t="shared" si="30"/>
        <v>231.1</v>
      </c>
      <c r="AA79" s="56">
        <f t="shared" si="30"/>
        <v>30894.6</v>
      </c>
      <c r="AB79" s="56">
        <f t="shared" si="30"/>
        <v>27122.2</v>
      </c>
      <c r="AC79" s="56">
        <f t="shared" si="30"/>
        <v>892.9</v>
      </c>
      <c r="AD79" s="56">
        <f t="shared" si="30"/>
        <v>1441.6</v>
      </c>
      <c r="AE79" s="56">
        <f t="shared" si="30"/>
        <v>97</v>
      </c>
      <c r="AF79" s="56">
        <f t="shared" si="30"/>
        <v>165.8</v>
      </c>
      <c r="AG79" s="56">
        <f t="shared" si="30"/>
        <v>593.4</v>
      </c>
      <c r="AH79" s="56">
        <f t="shared" si="30"/>
        <v>945.4</v>
      </c>
      <c r="AI79" s="56">
        <f t="shared" si="30"/>
        <v>383</v>
      </c>
      <c r="AJ79" s="56">
        <f t="shared" si="30"/>
        <v>181.5</v>
      </c>
      <c r="AK79" s="56">
        <f t="shared" si="30"/>
        <v>162.80000000000001</v>
      </c>
      <c r="AL79" s="56">
        <f t="shared" si="30"/>
        <v>288.5</v>
      </c>
      <c r="AM79" s="56">
        <f t="shared" si="30"/>
        <v>340</v>
      </c>
      <c r="AN79" s="56">
        <f t="shared" si="30"/>
        <v>292.5</v>
      </c>
      <c r="AO79" s="56">
        <f t="shared" si="30"/>
        <v>4325.2</v>
      </c>
      <c r="AP79" s="56">
        <f t="shared" si="30"/>
        <v>84753.600000000006</v>
      </c>
      <c r="AQ79" s="56">
        <f t="shared" si="30"/>
        <v>251</v>
      </c>
      <c r="AR79" s="56">
        <f t="shared" si="30"/>
        <v>61769.9</v>
      </c>
      <c r="AS79" s="56">
        <f t="shared" si="30"/>
        <v>6439.3</v>
      </c>
      <c r="AT79" s="56">
        <f t="shared" si="30"/>
        <v>2363.1999999999998</v>
      </c>
      <c r="AU79" s="56">
        <f t="shared" si="30"/>
        <v>271</v>
      </c>
      <c r="AV79" s="56">
        <f t="shared" si="30"/>
        <v>305.39999999999998</v>
      </c>
      <c r="AW79" s="56">
        <f t="shared" si="30"/>
        <v>257</v>
      </c>
      <c r="AX79" s="56">
        <f t="shared" si="30"/>
        <v>81</v>
      </c>
      <c r="AY79" s="56">
        <f t="shared" si="30"/>
        <v>402</v>
      </c>
      <c r="AZ79" s="56">
        <f t="shared" si="30"/>
        <v>12105.9</v>
      </c>
      <c r="BA79" s="56">
        <f t="shared" si="30"/>
        <v>9115</v>
      </c>
      <c r="BB79" s="56">
        <f t="shared" si="30"/>
        <v>7487.2</v>
      </c>
      <c r="BC79" s="56">
        <f t="shared" si="30"/>
        <v>24688.6</v>
      </c>
      <c r="BD79" s="56">
        <f t="shared" si="30"/>
        <v>3637.5</v>
      </c>
      <c r="BE79" s="56">
        <f t="shared" si="30"/>
        <v>1174.5</v>
      </c>
      <c r="BF79" s="56">
        <f t="shared" si="30"/>
        <v>25614.3</v>
      </c>
      <c r="BG79" s="56">
        <f t="shared" si="30"/>
        <v>920.6</v>
      </c>
      <c r="BH79" s="56">
        <f t="shared" si="30"/>
        <v>582.79999999999995</v>
      </c>
      <c r="BI79" s="56">
        <f t="shared" si="30"/>
        <v>257.3</v>
      </c>
      <c r="BJ79" s="56">
        <f t="shared" si="30"/>
        <v>6314.9</v>
      </c>
      <c r="BK79" s="56">
        <f t="shared" si="30"/>
        <v>35146.699999999997</v>
      </c>
      <c r="BL79" s="56">
        <f t="shared" si="30"/>
        <v>72.5</v>
      </c>
      <c r="BM79" s="56">
        <f t="shared" si="30"/>
        <v>359.3</v>
      </c>
      <c r="BN79" s="56">
        <f t="shared" si="30"/>
        <v>3108.1</v>
      </c>
      <c r="BO79" s="56">
        <f t="shared" si="30"/>
        <v>1235.5999999999999</v>
      </c>
      <c r="BP79" s="56">
        <f t="shared" si="30"/>
        <v>152</v>
      </c>
      <c r="BQ79" s="56">
        <f t="shared" si="30"/>
        <v>5872.1</v>
      </c>
      <c r="BR79" s="56">
        <f t="shared" si="30"/>
        <v>4488.3999999999996</v>
      </c>
      <c r="BS79" s="56">
        <f t="shared" si="30"/>
        <v>1158.0999999999999</v>
      </c>
      <c r="BT79" s="56">
        <f t="shared" si="30"/>
        <v>362.5</v>
      </c>
      <c r="BU79" s="56">
        <f t="shared" si="30"/>
        <v>392.6</v>
      </c>
      <c r="BV79" s="56">
        <f t="shared" si="30"/>
        <v>1245.3</v>
      </c>
      <c r="BW79" s="56">
        <f t="shared" si="30"/>
        <v>2017.5</v>
      </c>
      <c r="BX79" s="56">
        <f t="shared" si="30"/>
        <v>65.900000000000006</v>
      </c>
      <c r="BY79" s="56">
        <f t="shared" si="30"/>
        <v>421.9</v>
      </c>
      <c r="BZ79" s="56">
        <f t="shared" si="30"/>
        <v>228</v>
      </c>
      <c r="CA79" s="56">
        <f t="shared" si="30"/>
        <v>144.5</v>
      </c>
      <c r="CB79" s="56">
        <f t="shared" si="30"/>
        <v>73129.100000000006</v>
      </c>
      <c r="CC79" s="56">
        <f t="shared" si="30"/>
        <v>189.3</v>
      </c>
      <c r="CD79" s="56">
        <f t="shared" si="30"/>
        <v>60</v>
      </c>
      <c r="CE79" s="56">
        <f t="shared" si="30"/>
        <v>158.30000000000001</v>
      </c>
      <c r="CF79" s="56">
        <f t="shared" si="30"/>
        <v>105.3</v>
      </c>
      <c r="CG79" s="56">
        <f t="shared" si="30"/>
        <v>197.6</v>
      </c>
      <c r="CH79" s="56">
        <f t="shared" si="30"/>
        <v>95.1</v>
      </c>
      <c r="CI79" s="56">
        <f t="shared" si="30"/>
        <v>687.9</v>
      </c>
      <c r="CJ79" s="56">
        <f t="shared" si="30"/>
        <v>862.8</v>
      </c>
      <c r="CK79" s="56">
        <f t="shared" si="30"/>
        <v>4879.6000000000004</v>
      </c>
      <c r="CL79" s="56">
        <f t="shared" si="30"/>
        <v>1217.0999999999999</v>
      </c>
      <c r="CM79" s="56">
        <f t="shared" si="30"/>
        <v>686.5</v>
      </c>
      <c r="CN79" s="56">
        <f t="shared" si="30"/>
        <v>31466.799999999999</v>
      </c>
      <c r="CO79" s="56">
        <f t="shared" si="30"/>
        <v>14288</v>
      </c>
      <c r="CP79" s="56">
        <f t="shared" si="30"/>
        <v>917.3</v>
      </c>
      <c r="CQ79" s="56">
        <f t="shared" si="30"/>
        <v>766.8</v>
      </c>
      <c r="CR79" s="56">
        <f t="shared" si="30"/>
        <v>215.8</v>
      </c>
      <c r="CS79" s="56">
        <f t="shared" si="30"/>
        <v>278.39999999999998</v>
      </c>
      <c r="CT79" s="56">
        <f t="shared" si="30"/>
        <v>113.5</v>
      </c>
      <c r="CU79" s="56">
        <f t="shared" si="30"/>
        <v>467</v>
      </c>
      <c r="CV79" s="56">
        <f t="shared" si="30"/>
        <v>60</v>
      </c>
      <c r="CW79" s="56">
        <f t="shared" si="30"/>
        <v>198.7</v>
      </c>
      <c r="CX79" s="56">
        <f t="shared" si="30"/>
        <v>461.4</v>
      </c>
      <c r="CY79" s="56">
        <f t="shared" si="30"/>
        <v>60</v>
      </c>
      <c r="CZ79" s="56">
        <f t="shared" si="30"/>
        <v>1786.5</v>
      </c>
      <c r="DA79" s="56">
        <f t="shared" si="30"/>
        <v>203.5</v>
      </c>
      <c r="DB79" s="56">
        <f t="shared" si="30"/>
        <v>315.8</v>
      </c>
      <c r="DC79" s="56">
        <f t="shared" si="30"/>
        <v>193</v>
      </c>
      <c r="DD79" s="56">
        <f t="shared" si="30"/>
        <v>174.5</v>
      </c>
      <c r="DE79" s="56">
        <f t="shared" si="30"/>
        <v>284.8</v>
      </c>
      <c r="DF79" s="56">
        <f t="shared" si="30"/>
        <v>20574.2</v>
      </c>
      <c r="DG79" s="56">
        <f t="shared" si="30"/>
        <v>93.5</v>
      </c>
      <c r="DH79" s="56">
        <f t="shared" si="30"/>
        <v>1770.5</v>
      </c>
      <c r="DI79" s="56">
        <f t="shared" si="30"/>
        <v>2418.4</v>
      </c>
      <c r="DJ79" s="56">
        <f t="shared" si="30"/>
        <v>614.1</v>
      </c>
      <c r="DK79" s="56">
        <f t="shared" si="30"/>
        <v>478.7</v>
      </c>
      <c r="DL79" s="56">
        <f t="shared" si="30"/>
        <v>5676</v>
      </c>
      <c r="DM79" s="56">
        <f t="shared" si="30"/>
        <v>235</v>
      </c>
      <c r="DN79" s="56">
        <f t="shared" si="30"/>
        <v>1296</v>
      </c>
      <c r="DO79" s="56">
        <f t="shared" si="30"/>
        <v>3290</v>
      </c>
      <c r="DP79" s="56">
        <f t="shared" si="30"/>
        <v>199.1</v>
      </c>
      <c r="DQ79" s="56">
        <f t="shared" si="30"/>
        <v>888</v>
      </c>
      <c r="DR79" s="56">
        <f t="shared" si="30"/>
        <v>1305.5</v>
      </c>
      <c r="DS79" s="56">
        <f t="shared" si="30"/>
        <v>580</v>
      </c>
      <c r="DT79" s="56">
        <f t="shared" si="30"/>
        <v>176.5</v>
      </c>
      <c r="DU79" s="56">
        <f t="shared" si="30"/>
        <v>347.7</v>
      </c>
      <c r="DV79" s="56">
        <f t="shared" si="30"/>
        <v>205.8</v>
      </c>
      <c r="DW79" s="56">
        <f t="shared" si="30"/>
        <v>297.39999999999998</v>
      </c>
      <c r="DX79" s="56">
        <f t="shared" si="30"/>
        <v>168</v>
      </c>
      <c r="DY79" s="56">
        <f t="shared" si="30"/>
        <v>293.10000000000002</v>
      </c>
      <c r="DZ79" s="56">
        <f t="shared" si="30"/>
        <v>662.3</v>
      </c>
      <c r="EA79" s="56">
        <f t="shared" si="30"/>
        <v>526.9</v>
      </c>
      <c r="EB79" s="56">
        <f t="shared" si="30"/>
        <v>522.5</v>
      </c>
      <c r="EC79" s="56">
        <f t="shared" si="30"/>
        <v>278.60000000000002</v>
      </c>
      <c r="ED79" s="56">
        <f t="shared" si="30"/>
        <v>1549</v>
      </c>
      <c r="EE79" s="56">
        <f t="shared" si="30"/>
        <v>191.6</v>
      </c>
      <c r="EF79" s="56">
        <f t="shared" si="30"/>
        <v>1325.8</v>
      </c>
      <c r="EG79" s="56">
        <f t="shared" si="30"/>
        <v>253.5</v>
      </c>
      <c r="EH79" s="56">
        <f t="shared" si="30"/>
        <v>247.4</v>
      </c>
      <c r="EI79" s="56">
        <f t="shared" si="30"/>
        <v>13751.4</v>
      </c>
      <c r="EJ79" s="56">
        <f t="shared" si="30"/>
        <v>10157.1</v>
      </c>
      <c r="EK79" s="56">
        <f t="shared" si="30"/>
        <v>665.6</v>
      </c>
      <c r="EL79" s="56">
        <f t="shared" si="30"/>
        <v>457.3</v>
      </c>
      <c r="EM79" s="56">
        <f t="shared" si="30"/>
        <v>371.1</v>
      </c>
      <c r="EN79" s="56">
        <f t="shared" si="30"/>
        <v>931.6</v>
      </c>
      <c r="EO79" s="56">
        <f t="shared" si="30"/>
        <v>299.5</v>
      </c>
      <c r="EP79" s="56">
        <f t="shared" si="30"/>
        <v>428.5</v>
      </c>
      <c r="EQ79" s="56">
        <f t="shared" si="30"/>
        <v>2596.8000000000002</v>
      </c>
      <c r="ER79" s="56">
        <f t="shared" si="30"/>
        <v>309.60000000000002</v>
      </c>
      <c r="ES79" s="56">
        <f t="shared" si="30"/>
        <v>163</v>
      </c>
      <c r="ET79" s="56">
        <f t="shared" si="30"/>
        <v>197.5</v>
      </c>
      <c r="EU79" s="56">
        <f t="shared" si="30"/>
        <v>573.5</v>
      </c>
      <c r="EV79" s="56">
        <f t="shared" si="30"/>
        <v>72.3</v>
      </c>
      <c r="EW79" s="56">
        <f t="shared" si="30"/>
        <v>804.4</v>
      </c>
      <c r="EX79" s="56">
        <f t="shared" si="30"/>
        <v>173.5</v>
      </c>
      <c r="EY79" s="56">
        <f t="shared" si="30"/>
        <v>655.5</v>
      </c>
      <c r="EZ79" s="56">
        <f t="shared" si="30"/>
        <v>129.30000000000001</v>
      </c>
      <c r="FA79" s="56">
        <f t="shared" si="30"/>
        <v>3370.5</v>
      </c>
      <c r="FB79" s="56">
        <f t="shared" si="30"/>
        <v>276.10000000000002</v>
      </c>
      <c r="FC79" s="56">
        <f t="shared" si="30"/>
        <v>1775.7</v>
      </c>
      <c r="FD79" s="56">
        <f t="shared" si="30"/>
        <v>402</v>
      </c>
      <c r="FE79" s="56">
        <f t="shared" si="30"/>
        <v>77.3</v>
      </c>
      <c r="FF79" s="56">
        <f t="shared" si="30"/>
        <v>181</v>
      </c>
      <c r="FG79" s="56">
        <f t="shared" si="30"/>
        <v>119.8</v>
      </c>
      <c r="FH79" s="56">
        <f t="shared" si="30"/>
        <v>70</v>
      </c>
      <c r="FI79" s="56">
        <f t="shared" si="30"/>
        <v>1681.9</v>
      </c>
      <c r="FJ79" s="56">
        <f t="shared" si="30"/>
        <v>2016.5</v>
      </c>
      <c r="FK79" s="56">
        <f t="shared" si="30"/>
        <v>2527.9</v>
      </c>
      <c r="FL79" s="56">
        <f t="shared" si="30"/>
        <v>8538.5</v>
      </c>
      <c r="FM79" s="56">
        <f t="shared" si="30"/>
        <v>3981.5</v>
      </c>
      <c r="FN79" s="56">
        <f t="shared" si="30"/>
        <v>22705.3</v>
      </c>
      <c r="FO79" s="56">
        <f t="shared" si="30"/>
        <v>1119.2</v>
      </c>
      <c r="FP79" s="56">
        <f t="shared" si="30"/>
        <v>2341.5</v>
      </c>
      <c r="FQ79" s="56">
        <f t="shared" si="30"/>
        <v>982.5</v>
      </c>
      <c r="FR79" s="56">
        <f t="shared" si="30"/>
        <v>165.4</v>
      </c>
      <c r="FS79" s="56">
        <f t="shared" si="30"/>
        <v>164.6</v>
      </c>
      <c r="FT79" s="56">
        <f t="shared" si="30"/>
        <v>60</v>
      </c>
      <c r="FU79" s="56">
        <f t="shared" si="30"/>
        <v>784.3</v>
      </c>
      <c r="FV79" s="56">
        <f t="shared" si="30"/>
        <v>693</v>
      </c>
      <c r="FW79" s="56">
        <f t="shared" si="30"/>
        <v>143.30000000000001</v>
      </c>
      <c r="FX79" s="56">
        <f t="shared" si="30"/>
        <v>64.5</v>
      </c>
      <c r="FY79" s="25"/>
      <c r="FZ79" s="59">
        <f t="shared" si="23"/>
        <v>845943.30000000063</v>
      </c>
      <c r="GA79" s="57">
        <v>845943.3</v>
      </c>
      <c r="GB79" s="26">
        <f>FZ79-GA79</f>
        <v>0</v>
      </c>
      <c r="GC79" s="26"/>
      <c r="GD79" s="26"/>
      <c r="GE79" s="26"/>
      <c r="GF79" s="7"/>
      <c r="GG79" s="7"/>
      <c r="GH79" s="23"/>
      <c r="GI79" s="23"/>
      <c r="GJ79" s="23"/>
      <c r="GK79" s="23"/>
      <c r="GL79" s="23"/>
      <c r="GM79" s="23"/>
      <c r="GN79" s="23"/>
      <c r="GO79" s="23"/>
      <c r="GP79" s="7"/>
      <c r="GQ79" s="7"/>
      <c r="GR79" s="7"/>
      <c r="GS79" s="7"/>
      <c r="GT79" s="7"/>
      <c r="GU79" s="7"/>
      <c r="GV79" s="7"/>
    </row>
    <row r="80" spans="1:204" ht="15.5" x14ac:dyDescent="0.35">
      <c r="A80" s="60" t="s">
        <v>570</v>
      </c>
      <c r="B80" s="5" t="s">
        <v>571</v>
      </c>
      <c r="C80" s="26">
        <f t="shared" ref="C80:FX80" si="31">C79-C81</f>
        <v>6540.5</v>
      </c>
      <c r="D80" s="26">
        <f t="shared" si="31"/>
        <v>33688.1</v>
      </c>
      <c r="E80" s="26">
        <f t="shared" si="31"/>
        <v>4969.1000000000004</v>
      </c>
      <c r="F80" s="26">
        <f t="shared" si="31"/>
        <v>23508.3</v>
      </c>
      <c r="G80" s="26">
        <f t="shared" si="31"/>
        <v>1845</v>
      </c>
      <c r="H80" s="26">
        <f t="shared" si="31"/>
        <v>1096.5</v>
      </c>
      <c r="I80" s="26">
        <f t="shared" si="31"/>
        <v>7201</v>
      </c>
      <c r="J80" s="26">
        <f t="shared" si="31"/>
        <v>2040.6</v>
      </c>
      <c r="K80" s="26">
        <f t="shared" si="31"/>
        <v>251.7</v>
      </c>
      <c r="L80" s="26">
        <f t="shared" si="31"/>
        <v>2134.5</v>
      </c>
      <c r="M80" s="26">
        <f t="shared" si="31"/>
        <v>923.1</v>
      </c>
      <c r="N80" s="26">
        <f t="shared" si="31"/>
        <v>50269.9</v>
      </c>
      <c r="O80" s="26">
        <f t="shared" si="31"/>
        <v>12778.8</v>
      </c>
      <c r="P80" s="26">
        <f t="shared" si="31"/>
        <v>315.3</v>
      </c>
      <c r="Q80" s="26">
        <f t="shared" si="31"/>
        <v>37571.5</v>
      </c>
      <c r="R80" s="26">
        <f t="shared" si="31"/>
        <v>7100.8</v>
      </c>
      <c r="S80" s="26">
        <f t="shared" si="31"/>
        <v>1587.5</v>
      </c>
      <c r="T80" s="26">
        <f t="shared" si="31"/>
        <v>161.1</v>
      </c>
      <c r="U80" s="26">
        <f t="shared" si="31"/>
        <v>60</v>
      </c>
      <c r="V80" s="26">
        <f t="shared" si="31"/>
        <v>256.39999999999998</v>
      </c>
      <c r="W80" s="26">
        <f t="shared" si="31"/>
        <v>60</v>
      </c>
      <c r="X80" s="26">
        <f t="shared" si="31"/>
        <v>60</v>
      </c>
      <c r="Y80" s="26">
        <f t="shared" si="31"/>
        <v>894.8</v>
      </c>
      <c r="Z80" s="26">
        <f t="shared" si="31"/>
        <v>231.1</v>
      </c>
      <c r="AA80" s="26">
        <f t="shared" si="31"/>
        <v>30894.6</v>
      </c>
      <c r="AB80" s="26">
        <f t="shared" si="31"/>
        <v>27122.2</v>
      </c>
      <c r="AC80" s="26">
        <f t="shared" si="31"/>
        <v>892.9</v>
      </c>
      <c r="AD80" s="26">
        <f t="shared" si="31"/>
        <v>1287.5999999999999</v>
      </c>
      <c r="AE80" s="26">
        <f t="shared" si="31"/>
        <v>97</v>
      </c>
      <c r="AF80" s="26">
        <f t="shared" si="31"/>
        <v>165.8</v>
      </c>
      <c r="AG80" s="26">
        <f t="shared" si="31"/>
        <v>593.4</v>
      </c>
      <c r="AH80" s="26">
        <f t="shared" si="31"/>
        <v>945.4</v>
      </c>
      <c r="AI80" s="26">
        <f t="shared" si="31"/>
        <v>383</v>
      </c>
      <c r="AJ80" s="26">
        <f t="shared" si="31"/>
        <v>181.5</v>
      </c>
      <c r="AK80" s="26">
        <f t="shared" si="31"/>
        <v>162.80000000000001</v>
      </c>
      <c r="AL80" s="26">
        <f t="shared" si="31"/>
        <v>288.5</v>
      </c>
      <c r="AM80" s="26">
        <f t="shared" si="31"/>
        <v>340</v>
      </c>
      <c r="AN80" s="26">
        <f t="shared" si="31"/>
        <v>292.5</v>
      </c>
      <c r="AO80" s="26">
        <f t="shared" si="31"/>
        <v>4325.2</v>
      </c>
      <c r="AP80" s="26">
        <f t="shared" si="31"/>
        <v>84753.600000000006</v>
      </c>
      <c r="AQ80" s="26">
        <f t="shared" si="31"/>
        <v>251</v>
      </c>
      <c r="AR80" s="26">
        <f t="shared" si="31"/>
        <v>59762.6</v>
      </c>
      <c r="AS80" s="26">
        <f t="shared" si="31"/>
        <v>6139</v>
      </c>
      <c r="AT80" s="26">
        <f t="shared" si="31"/>
        <v>2363.1999999999998</v>
      </c>
      <c r="AU80" s="26">
        <f t="shared" si="31"/>
        <v>271</v>
      </c>
      <c r="AV80" s="26">
        <f t="shared" si="31"/>
        <v>305.39999999999998</v>
      </c>
      <c r="AW80" s="26">
        <f t="shared" si="31"/>
        <v>257</v>
      </c>
      <c r="AX80" s="26">
        <f t="shared" si="31"/>
        <v>81</v>
      </c>
      <c r="AY80" s="26">
        <f t="shared" si="31"/>
        <v>402</v>
      </c>
      <c r="AZ80" s="26">
        <f t="shared" si="31"/>
        <v>12105.9</v>
      </c>
      <c r="BA80" s="26">
        <f t="shared" si="31"/>
        <v>9115</v>
      </c>
      <c r="BB80" s="26">
        <f t="shared" si="31"/>
        <v>7487.2</v>
      </c>
      <c r="BC80" s="26">
        <f t="shared" si="31"/>
        <v>21734.799999999999</v>
      </c>
      <c r="BD80" s="26">
        <f t="shared" si="31"/>
        <v>3637.5</v>
      </c>
      <c r="BE80" s="26">
        <f t="shared" si="31"/>
        <v>1174.5</v>
      </c>
      <c r="BF80" s="26">
        <f t="shared" si="31"/>
        <v>25614.3</v>
      </c>
      <c r="BG80" s="26">
        <f t="shared" si="31"/>
        <v>920.6</v>
      </c>
      <c r="BH80" s="26">
        <f t="shared" si="31"/>
        <v>582.79999999999995</v>
      </c>
      <c r="BI80" s="26">
        <f t="shared" si="31"/>
        <v>257.3</v>
      </c>
      <c r="BJ80" s="26">
        <f t="shared" si="31"/>
        <v>6314.9</v>
      </c>
      <c r="BK80" s="26">
        <f t="shared" si="31"/>
        <v>35146.699999999997</v>
      </c>
      <c r="BL80" s="26">
        <f t="shared" si="31"/>
        <v>72.5</v>
      </c>
      <c r="BM80" s="26">
        <f t="shared" si="31"/>
        <v>359.3</v>
      </c>
      <c r="BN80" s="26">
        <f t="shared" si="31"/>
        <v>3108.1</v>
      </c>
      <c r="BO80" s="26">
        <f t="shared" si="31"/>
        <v>1235.5999999999999</v>
      </c>
      <c r="BP80" s="26">
        <f t="shared" si="31"/>
        <v>152</v>
      </c>
      <c r="BQ80" s="26">
        <f t="shared" si="31"/>
        <v>5634.6</v>
      </c>
      <c r="BR80" s="26">
        <f t="shared" si="31"/>
        <v>4488.3999999999996</v>
      </c>
      <c r="BS80" s="26">
        <f t="shared" si="31"/>
        <v>1158.0999999999999</v>
      </c>
      <c r="BT80" s="26">
        <f t="shared" si="31"/>
        <v>362.5</v>
      </c>
      <c r="BU80" s="26">
        <f t="shared" si="31"/>
        <v>392.6</v>
      </c>
      <c r="BV80" s="26">
        <f t="shared" si="31"/>
        <v>1245.3</v>
      </c>
      <c r="BW80" s="26">
        <f t="shared" si="31"/>
        <v>2017.5</v>
      </c>
      <c r="BX80" s="26">
        <f t="shared" si="31"/>
        <v>65.900000000000006</v>
      </c>
      <c r="BY80" s="26">
        <f t="shared" si="31"/>
        <v>421.9</v>
      </c>
      <c r="BZ80" s="26">
        <f t="shared" si="31"/>
        <v>228</v>
      </c>
      <c r="CA80" s="26">
        <f t="shared" si="31"/>
        <v>144.5</v>
      </c>
      <c r="CB80" s="26">
        <f t="shared" si="31"/>
        <v>72294.3</v>
      </c>
      <c r="CC80" s="26">
        <f t="shared" si="31"/>
        <v>189.3</v>
      </c>
      <c r="CD80" s="26">
        <f t="shared" si="31"/>
        <v>60</v>
      </c>
      <c r="CE80" s="26">
        <f t="shared" si="31"/>
        <v>158.30000000000001</v>
      </c>
      <c r="CF80" s="26">
        <f t="shared" si="31"/>
        <v>105.3</v>
      </c>
      <c r="CG80" s="26">
        <f t="shared" si="31"/>
        <v>197.6</v>
      </c>
      <c r="CH80" s="26">
        <f t="shared" si="31"/>
        <v>95.1</v>
      </c>
      <c r="CI80" s="26">
        <f t="shared" si="31"/>
        <v>687.9</v>
      </c>
      <c r="CJ80" s="26">
        <f t="shared" si="31"/>
        <v>862.8</v>
      </c>
      <c r="CK80" s="26">
        <f t="shared" si="31"/>
        <v>4297.4000000000005</v>
      </c>
      <c r="CL80" s="26">
        <f t="shared" si="31"/>
        <v>1217.0999999999999</v>
      </c>
      <c r="CM80" s="26">
        <f t="shared" si="31"/>
        <v>686.5</v>
      </c>
      <c r="CN80" s="26">
        <f t="shared" si="31"/>
        <v>28747.399999999998</v>
      </c>
      <c r="CO80" s="26">
        <f t="shared" si="31"/>
        <v>14288</v>
      </c>
      <c r="CP80" s="26">
        <f t="shared" si="31"/>
        <v>917.3</v>
      </c>
      <c r="CQ80" s="26">
        <f t="shared" si="31"/>
        <v>766.8</v>
      </c>
      <c r="CR80" s="26">
        <f t="shared" si="31"/>
        <v>215.8</v>
      </c>
      <c r="CS80" s="26">
        <f t="shared" si="31"/>
        <v>278.39999999999998</v>
      </c>
      <c r="CT80" s="26">
        <f t="shared" si="31"/>
        <v>113.5</v>
      </c>
      <c r="CU80" s="26">
        <f t="shared" si="31"/>
        <v>467</v>
      </c>
      <c r="CV80" s="26">
        <f t="shared" si="31"/>
        <v>60</v>
      </c>
      <c r="CW80" s="26">
        <f t="shared" si="31"/>
        <v>198.7</v>
      </c>
      <c r="CX80" s="26">
        <f t="shared" si="31"/>
        <v>461.4</v>
      </c>
      <c r="CY80" s="26">
        <f t="shared" si="31"/>
        <v>60</v>
      </c>
      <c r="CZ80" s="26">
        <f t="shared" si="31"/>
        <v>1786.5</v>
      </c>
      <c r="DA80" s="26">
        <f t="shared" si="31"/>
        <v>203.5</v>
      </c>
      <c r="DB80" s="26">
        <f t="shared" si="31"/>
        <v>315.8</v>
      </c>
      <c r="DC80" s="26">
        <f t="shared" si="31"/>
        <v>193</v>
      </c>
      <c r="DD80" s="26">
        <f t="shared" si="31"/>
        <v>174.5</v>
      </c>
      <c r="DE80" s="26">
        <f t="shared" si="31"/>
        <v>284.8</v>
      </c>
      <c r="DF80" s="26">
        <f t="shared" si="31"/>
        <v>19192.400000000001</v>
      </c>
      <c r="DG80" s="26">
        <f t="shared" si="31"/>
        <v>93.5</v>
      </c>
      <c r="DH80" s="26">
        <f t="shared" si="31"/>
        <v>1770.5</v>
      </c>
      <c r="DI80" s="26">
        <f t="shared" si="31"/>
        <v>2342.6</v>
      </c>
      <c r="DJ80" s="26">
        <f t="shared" si="31"/>
        <v>614.1</v>
      </c>
      <c r="DK80" s="26">
        <f t="shared" si="31"/>
        <v>478.7</v>
      </c>
      <c r="DL80" s="26">
        <f t="shared" si="31"/>
        <v>5676</v>
      </c>
      <c r="DM80" s="26">
        <f t="shared" si="31"/>
        <v>235</v>
      </c>
      <c r="DN80" s="26">
        <f t="shared" si="31"/>
        <v>1296</v>
      </c>
      <c r="DO80" s="26">
        <f t="shared" si="31"/>
        <v>3290</v>
      </c>
      <c r="DP80" s="26">
        <f t="shared" si="31"/>
        <v>199.1</v>
      </c>
      <c r="DQ80" s="26">
        <f t="shared" si="31"/>
        <v>888</v>
      </c>
      <c r="DR80" s="26">
        <f t="shared" si="31"/>
        <v>1305.5</v>
      </c>
      <c r="DS80" s="26">
        <f t="shared" si="31"/>
        <v>580</v>
      </c>
      <c r="DT80" s="26">
        <f t="shared" si="31"/>
        <v>176.5</v>
      </c>
      <c r="DU80" s="26">
        <f t="shared" si="31"/>
        <v>347.7</v>
      </c>
      <c r="DV80" s="26">
        <f t="shared" si="31"/>
        <v>205.8</v>
      </c>
      <c r="DW80" s="26">
        <f t="shared" si="31"/>
        <v>297.39999999999998</v>
      </c>
      <c r="DX80" s="26">
        <f t="shared" si="31"/>
        <v>168</v>
      </c>
      <c r="DY80" s="26">
        <f t="shared" si="31"/>
        <v>293.10000000000002</v>
      </c>
      <c r="DZ80" s="26">
        <f t="shared" si="31"/>
        <v>662.3</v>
      </c>
      <c r="EA80" s="26">
        <f t="shared" si="31"/>
        <v>506.9</v>
      </c>
      <c r="EB80" s="26">
        <f t="shared" si="31"/>
        <v>522.5</v>
      </c>
      <c r="EC80" s="26">
        <f t="shared" si="31"/>
        <v>278.60000000000002</v>
      </c>
      <c r="ED80" s="26">
        <f t="shared" si="31"/>
        <v>1549</v>
      </c>
      <c r="EE80" s="26">
        <f t="shared" si="31"/>
        <v>191.6</v>
      </c>
      <c r="EF80" s="26">
        <f t="shared" si="31"/>
        <v>1325.8</v>
      </c>
      <c r="EG80" s="26">
        <f t="shared" si="31"/>
        <v>253.5</v>
      </c>
      <c r="EH80" s="26">
        <f t="shared" si="31"/>
        <v>247.4</v>
      </c>
      <c r="EI80" s="26">
        <f t="shared" si="31"/>
        <v>13751.4</v>
      </c>
      <c r="EJ80" s="26">
        <f t="shared" si="31"/>
        <v>10157.1</v>
      </c>
      <c r="EK80" s="26">
        <f t="shared" si="31"/>
        <v>665.6</v>
      </c>
      <c r="EL80" s="26">
        <f t="shared" si="31"/>
        <v>457.3</v>
      </c>
      <c r="EM80" s="26">
        <f t="shared" si="31"/>
        <v>371.1</v>
      </c>
      <c r="EN80" s="26">
        <f t="shared" si="31"/>
        <v>931.6</v>
      </c>
      <c r="EO80" s="26">
        <f t="shared" si="31"/>
        <v>299.5</v>
      </c>
      <c r="EP80" s="26">
        <f t="shared" si="31"/>
        <v>428.5</v>
      </c>
      <c r="EQ80" s="26">
        <f t="shared" si="31"/>
        <v>2493.8000000000002</v>
      </c>
      <c r="ER80" s="26">
        <f t="shared" si="31"/>
        <v>309.60000000000002</v>
      </c>
      <c r="ES80" s="26">
        <f t="shared" si="31"/>
        <v>163</v>
      </c>
      <c r="ET80" s="26">
        <f t="shared" si="31"/>
        <v>197.5</v>
      </c>
      <c r="EU80" s="26">
        <f t="shared" si="31"/>
        <v>573.5</v>
      </c>
      <c r="EV80" s="26">
        <f t="shared" si="31"/>
        <v>72.3</v>
      </c>
      <c r="EW80" s="26">
        <f t="shared" si="31"/>
        <v>804.4</v>
      </c>
      <c r="EX80" s="26">
        <f t="shared" si="31"/>
        <v>173.5</v>
      </c>
      <c r="EY80" s="26">
        <f t="shared" si="31"/>
        <v>655.5</v>
      </c>
      <c r="EZ80" s="26">
        <f t="shared" si="31"/>
        <v>129.30000000000001</v>
      </c>
      <c r="FA80" s="26">
        <f t="shared" si="31"/>
        <v>3370.5</v>
      </c>
      <c r="FB80" s="26">
        <f t="shared" si="31"/>
        <v>276.10000000000002</v>
      </c>
      <c r="FC80" s="26">
        <f t="shared" si="31"/>
        <v>1775.7</v>
      </c>
      <c r="FD80" s="26">
        <f t="shared" si="31"/>
        <v>402</v>
      </c>
      <c r="FE80" s="26">
        <f t="shared" si="31"/>
        <v>77.3</v>
      </c>
      <c r="FF80" s="26">
        <f t="shared" si="31"/>
        <v>181</v>
      </c>
      <c r="FG80" s="26">
        <f t="shared" si="31"/>
        <v>119.8</v>
      </c>
      <c r="FH80" s="26">
        <f t="shared" si="31"/>
        <v>70</v>
      </c>
      <c r="FI80" s="26">
        <f t="shared" si="31"/>
        <v>1681.9</v>
      </c>
      <c r="FJ80" s="26">
        <f t="shared" si="31"/>
        <v>2016.5</v>
      </c>
      <c r="FK80" s="26">
        <f t="shared" si="31"/>
        <v>2527.9</v>
      </c>
      <c r="FL80" s="26">
        <f t="shared" si="31"/>
        <v>8538.5</v>
      </c>
      <c r="FM80" s="26">
        <f t="shared" si="31"/>
        <v>3981.5</v>
      </c>
      <c r="FN80" s="26">
        <f t="shared" si="31"/>
        <v>22705.3</v>
      </c>
      <c r="FO80" s="26">
        <f t="shared" si="31"/>
        <v>1119.2</v>
      </c>
      <c r="FP80" s="26">
        <f t="shared" si="31"/>
        <v>2341.5</v>
      </c>
      <c r="FQ80" s="26">
        <f t="shared" si="31"/>
        <v>982.5</v>
      </c>
      <c r="FR80" s="26">
        <f t="shared" si="31"/>
        <v>165.4</v>
      </c>
      <c r="FS80" s="26">
        <f t="shared" si="31"/>
        <v>164.6</v>
      </c>
      <c r="FT80" s="26">
        <f t="shared" si="31"/>
        <v>60</v>
      </c>
      <c r="FU80" s="26">
        <f t="shared" si="31"/>
        <v>784.3</v>
      </c>
      <c r="FV80" s="26">
        <f t="shared" si="31"/>
        <v>693</v>
      </c>
      <c r="FW80" s="26">
        <f t="shared" si="31"/>
        <v>143.30000000000001</v>
      </c>
      <c r="FX80" s="26">
        <f t="shared" si="31"/>
        <v>64.5</v>
      </c>
      <c r="FZ80" s="25">
        <f t="shared" si="23"/>
        <v>825530.40000000072</v>
      </c>
      <c r="GA80" s="25"/>
      <c r="GB80" s="25"/>
      <c r="GC80" s="25"/>
      <c r="GD80" s="25"/>
      <c r="GE80" s="25"/>
      <c r="GF80" s="7"/>
      <c r="GG80" s="7"/>
      <c r="GH80" s="23"/>
      <c r="GI80" s="23"/>
      <c r="GJ80" s="23"/>
      <c r="GK80" s="23"/>
      <c r="GL80" s="23"/>
      <c r="GM80" s="23"/>
      <c r="GN80" s="23"/>
      <c r="GO80" s="23"/>
      <c r="GP80" s="7"/>
      <c r="GQ80" s="7"/>
      <c r="GR80" s="7"/>
      <c r="GS80" s="7"/>
      <c r="GT80" s="7"/>
      <c r="GU80" s="7"/>
      <c r="GV80" s="7"/>
    </row>
    <row r="81" spans="1:204" ht="15.5" x14ac:dyDescent="0.35">
      <c r="A81" s="60" t="s">
        <v>572</v>
      </c>
      <c r="B81" s="5" t="s">
        <v>573</v>
      </c>
      <c r="C81" s="23">
        <f t="shared" ref="C81:FX81" si="32">C70+C71+C78+C74+C76</f>
        <v>0</v>
      </c>
      <c r="D81" s="23">
        <f t="shared" si="32"/>
        <v>4662.8999999999996</v>
      </c>
      <c r="E81" s="23">
        <f t="shared" si="32"/>
        <v>662.7</v>
      </c>
      <c r="F81" s="23">
        <f t="shared" si="32"/>
        <v>929.3</v>
      </c>
      <c r="G81" s="23">
        <f t="shared" si="32"/>
        <v>0</v>
      </c>
      <c r="H81" s="23">
        <f t="shared" si="32"/>
        <v>0</v>
      </c>
      <c r="I81" s="23">
        <f t="shared" si="32"/>
        <v>748</v>
      </c>
      <c r="J81" s="23">
        <f t="shared" si="32"/>
        <v>0</v>
      </c>
      <c r="K81" s="23">
        <f t="shared" si="32"/>
        <v>0</v>
      </c>
      <c r="L81" s="23">
        <f t="shared" si="32"/>
        <v>0</v>
      </c>
      <c r="M81" s="23">
        <f t="shared" si="32"/>
        <v>0</v>
      </c>
      <c r="N81" s="23">
        <f t="shared" si="32"/>
        <v>90</v>
      </c>
      <c r="O81" s="23">
        <f t="shared" si="32"/>
        <v>0</v>
      </c>
      <c r="P81" s="23">
        <f t="shared" si="32"/>
        <v>0</v>
      </c>
      <c r="Q81" s="23">
        <f t="shared" si="32"/>
        <v>1950.1</v>
      </c>
      <c r="R81" s="23">
        <f t="shared" si="32"/>
        <v>0</v>
      </c>
      <c r="S81" s="23">
        <f t="shared" si="32"/>
        <v>0</v>
      </c>
      <c r="T81" s="23">
        <f t="shared" si="32"/>
        <v>0</v>
      </c>
      <c r="U81" s="23">
        <f t="shared" si="32"/>
        <v>0</v>
      </c>
      <c r="V81" s="23">
        <f t="shared" si="32"/>
        <v>0</v>
      </c>
      <c r="W81" s="23">
        <f t="shared" si="32"/>
        <v>0</v>
      </c>
      <c r="X81" s="23">
        <f t="shared" si="32"/>
        <v>0</v>
      </c>
      <c r="Y81" s="23">
        <f t="shared" si="32"/>
        <v>0</v>
      </c>
      <c r="Z81" s="23">
        <f t="shared" si="32"/>
        <v>0</v>
      </c>
      <c r="AA81" s="23">
        <f t="shared" si="32"/>
        <v>0</v>
      </c>
      <c r="AB81" s="23">
        <f t="shared" si="32"/>
        <v>0</v>
      </c>
      <c r="AC81" s="23">
        <f t="shared" si="32"/>
        <v>0</v>
      </c>
      <c r="AD81" s="23">
        <f t="shared" si="32"/>
        <v>154</v>
      </c>
      <c r="AE81" s="23">
        <f t="shared" si="32"/>
        <v>0</v>
      </c>
      <c r="AF81" s="23">
        <f t="shared" si="32"/>
        <v>0</v>
      </c>
      <c r="AG81" s="23">
        <f t="shared" si="32"/>
        <v>0</v>
      </c>
      <c r="AH81" s="23">
        <f t="shared" si="32"/>
        <v>0</v>
      </c>
      <c r="AI81" s="23">
        <f t="shared" si="32"/>
        <v>0</v>
      </c>
      <c r="AJ81" s="23">
        <f t="shared" si="32"/>
        <v>0</v>
      </c>
      <c r="AK81" s="23">
        <f t="shared" si="32"/>
        <v>0</v>
      </c>
      <c r="AL81" s="23">
        <f t="shared" si="32"/>
        <v>0</v>
      </c>
      <c r="AM81" s="23">
        <f t="shared" si="32"/>
        <v>0</v>
      </c>
      <c r="AN81" s="23">
        <f t="shared" si="32"/>
        <v>0</v>
      </c>
      <c r="AO81" s="23">
        <f t="shared" si="32"/>
        <v>0</v>
      </c>
      <c r="AP81" s="23">
        <f t="shared" si="32"/>
        <v>0</v>
      </c>
      <c r="AQ81" s="23">
        <f t="shared" si="32"/>
        <v>0</v>
      </c>
      <c r="AR81" s="23">
        <f t="shared" si="32"/>
        <v>2007.3</v>
      </c>
      <c r="AS81" s="23">
        <f t="shared" si="32"/>
        <v>300.3</v>
      </c>
      <c r="AT81" s="23">
        <f t="shared" si="32"/>
        <v>0</v>
      </c>
      <c r="AU81" s="23">
        <f t="shared" si="32"/>
        <v>0</v>
      </c>
      <c r="AV81" s="23">
        <f t="shared" si="32"/>
        <v>0</v>
      </c>
      <c r="AW81" s="23">
        <f t="shared" si="32"/>
        <v>0</v>
      </c>
      <c r="AX81" s="23">
        <f t="shared" si="32"/>
        <v>0</v>
      </c>
      <c r="AY81" s="23">
        <f t="shared" si="32"/>
        <v>0</v>
      </c>
      <c r="AZ81" s="23">
        <f t="shared" si="32"/>
        <v>0</v>
      </c>
      <c r="BA81" s="23">
        <f t="shared" si="32"/>
        <v>0</v>
      </c>
      <c r="BB81" s="23">
        <f t="shared" si="32"/>
        <v>0</v>
      </c>
      <c r="BC81" s="23">
        <f t="shared" si="32"/>
        <v>2953.8</v>
      </c>
      <c r="BD81" s="23">
        <f t="shared" si="32"/>
        <v>0</v>
      </c>
      <c r="BE81" s="23">
        <f t="shared" si="32"/>
        <v>0</v>
      </c>
      <c r="BF81" s="23">
        <f t="shared" si="32"/>
        <v>0</v>
      </c>
      <c r="BG81" s="23">
        <f t="shared" si="32"/>
        <v>0</v>
      </c>
      <c r="BH81" s="23">
        <f t="shared" si="32"/>
        <v>0</v>
      </c>
      <c r="BI81" s="23">
        <f t="shared" si="32"/>
        <v>0</v>
      </c>
      <c r="BJ81" s="23">
        <f t="shared" si="32"/>
        <v>0</v>
      </c>
      <c r="BK81" s="23">
        <f t="shared" si="32"/>
        <v>0</v>
      </c>
      <c r="BL81" s="23">
        <f t="shared" si="32"/>
        <v>0</v>
      </c>
      <c r="BM81" s="23">
        <f t="shared" si="32"/>
        <v>0</v>
      </c>
      <c r="BN81" s="23">
        <f t="shared" si="32"/>
        <v>0</v>
      </c>
      <c r="BO81" s="23">
        <f t="shared" si="32"/>
        <v>0</v>
      </c>
      <c r="BP81" s="23">
        <f t="shared" si="32"/>
        <v>0</v>
      </c>
      <c r="BQ81" s="23">
        <f t="shared" si="32"/>
        <v>237.5</v>
      </c>
      <c r="BR81" s="23">
        <f t="shared" si="32"/>
        <v>0</v>
      </c>
      <c r="BS81" s="23">
        <f t="shared" si="32"/>
        <v>0</v>
      </c>
      <c r="BT81" s="23">
        <f t="shared" si="32"/>
        <v>0</v>
      </c>
      <c r="BU81" s="23">
        <f t="shared" si="32"/>
        <v>0</v>
      </c>
      <c r="BV81" s="23">
        <f t="shared" si="32"/>
        <v>0</v>
      </c>
      <c r="BW81" s="23">
        <f t="shared" si="32"/>
        <v>0</v>
      </c>
      <c r="BX81" s="23">
        <f t="shared" si="32"/>
        <v>0</v>
      </c>
      <c r="BY81" s="23">
        <f t="shared" si="32"/>
        <v>0</v>
      </c>
      <c r="BZ81" s="23">
        <f t="shared" si="32"/>
        <v>0</v>
      </c>
      <c r="CA81" s="23">
        <f t="shared" si="32"/>
        <v>0</v>
      </c>
      <c r="CB81" s="23">
        <f t="shared" si="32"/>
        <v>834.8</v>
      </c>
      <c r="CC81" s="23">
        <f t="shared" si="32"/>
        <v>0</v>
      </c>
      <c r="CD81" s="23">
        <f t="shared" si="32"/>
        <v>0</v>
      </c>
      <c r="CE81" s="23">
        <f t="shared" si="32"/>
        <v>0</v>
      </c>
      <c r="CF81" s="23">
        <f t="shared" si="32"/>
        <v>0</v>
      </c>
      <c r="CG81" s="23">
        <f t="shared" si="32"/>
        <v>0</v>
      </c>
      <c r="CH81" s="23">
        <f t="shared" si="32"/>
        <v>0</v>
      </c>
      <c r="CI81" s="23">
        <f t="shared" si="32"/>
        <v>0</v>
      </c>
      <c r="CJ81" s="23">
        <f t="shared" si="32"/>
        <v>0</v>
      </c>
      <c r="CK81" s="23">
        <f t="shared" si="32"/>
        <v>582.20000000000005</v>
      </c>
      <c r="CL81" s="23">
        <f t="shared" si="32"/>
        <v>0</v>
      </c>
      <c r="CM81" s="23">
        <f t="shared" si="32"/>
        <v>0</v>
      </c>
      <c r="CN81" s="23">
        <f t="shared" si="32"/>
        <v>2719.4</v>
      </c>
      <c r="CO81" s="23">
        <f t="shared" si="32"/>
        <v>0</v>
      </c>
      <c r="CP81" s="23">
        <f t="shared" si="32"/>
        <v>0</v>
      </c>
      <c r="CQ81" s="23">
        <f t="shared" si="32"/>
        <v>0</v>
      </c>
      <c r="CR81" s="23">
        <f t="shared" si="32"/>
        <v>0</v>
      </c>
      <c r="CS81" s="23">
        <f t="shared" si="32"/>
        <v>0</v>
      </c>
      <c r="CT81" s="23">
        <f t="shared" si="32"/>
        <v>0</v>
      </c>
      <c r="CU81" s="23">
        <f t="shared" si="32"/>
        <v>0</v>
      </c>
      <c r="CV81" s="23">
        <f t="shared" si="32"/>
        <v>0</v>
      </c>
      <c r="CW81" s="23">
        <f t="shared" si="32"/>
        <v>0</v>
      </c>
      <c r="CX81" s="23">
        <f t="shared" si="32"/>
        <v>0</v>
      </c>
      <c r="CY81" s="23">
        <f t="shared" si="32"/>
        <v>0</v>
      </c>
      <c r="CZ81" s="23">
        <f t="shared" si="32"/>
        <v>0</v>
      </c>
      <c r="DA81" s="23">
        <f t="shared" si="32"/>
        <v>0</v>
      </c>
      <c r="DB81" s="23">
        <f t="shared" si="32"/>
        <v>0</v>
      </c>
      <c r="DC81" s="23">
        <f t="shared" si="32"/>
        <v>0</v>
      </c>
      <c r="DD81" s="23">
        <f t="shared" si="32"/>
        <v>0</v>
      </c>
      <c r="DE81" s="23">
        <f t="shared" si="32"/>
        <v>0</v>
      </c>
      <c r="DF81" s="23">
        <f t="shared" si="32"/>
        <v>1381.8</v>
      </c>
      <c r="DG81" s="23">
        <f t="shared" si="32"/>
        <v>0</v>
      </c>
      <c r="DH81" s="23">
        <f t="shared" si="32"/>
        <v>0</v>
      </c>
      <c r="DI81" s="23">
        <f t="shared" si="32"/>
        <v>75.8</v>
      </c>
      <c r="DJ81" s="23">
        <f t="shared" si="32"/>
        <v>0</v>
      </c>
      <c r="DK81" s="23">
        <f t="shared" si="32"/>
        <v>0</v>
      </c>
      <c r="DL81" s="23">
        <f t="shared" si="32"/>
        <v>0</v>
      </c>
      <c r="DM81" s="23">
        <f t="shared" si="32"/>
        <v>0</v>
      </c>
      <c r="DN81" s="23">
        <f t="shared" si="32"/>
        <v>0</v>
      </c>
      <c r="DO81" s="23">
        <f t="shared" si="32"/>
        <v>0</v>
      </c>
      <c r="DP81" s="23">
        <f t="shared" si="32"/>
        <v>0</v>
      </c>
      <c r="DQ81" s="23">
        <f t="shared" si="32"/>
        <v>0</v>
      </c>
      <c r="DR81" s="23">
        <f t="shared" si="32"/>
        <v>0</v>
      </c>
      <c r="DS81" s="23">
        <f t="shared" si="32"/>
        <v>0</v>
      </c>
      <c r="DT81" s="23">
        <f t="shared" si="32"/>
        <v>0</v>
      </c>
      <c r="DU81" s="23">
        <f t="shared" si="32"/>
        <v>0</v>
      </c>
      <c r="DV81" s="23">
        <f t="shared" si="32"/>
        <v>0</v>
      </c>
      <c r="DW81" s="23">
        <f t="shared" si="32"/>
        <v>0</v>
      </c>
      <c r="DX81" s="23">
        <f t="shared" si="32"/>
        <v>0</v>
      </c>
      <c r="DY81" s="23">
        <f t="shared" si="32"/>
        <v>0</v>
      </c>
      <c r="DZ81" s="23">
        <f t="shared" si="32"/>
        <v>0</v>
      </c>
      <c r="EA81" s="23">
        <f t="shared" si="32"/>
        <v>20</v>
      </c>
      <c r="EB81" s="23">
        <f t="shared" si="32"/>
        <v>0</v>
      </c>
      <c r="EC81" s="23">
        <f t="shared" si="32"/>
        <v>0</v>
      </c>
      <c r="ED81" s="23">
        <f t="shared" si="32"/>
        <v>0</v>
      </c>
      <c r="EE81" s="23">
        <f t="shared" si="32"/>
        <v>0</v>
      </c>
      <c r="EF81" s="23">
        <f t="shared" si="32"/>
        <v>0</v>
      </c>
      <c r="EG81" s="23">
        <f t="shared" si="32"/>
        <v>0</v>
      </c>
      <c r="EH81" s="23">
        <f t="shared" si="32"/>
        <v>0</v>
      </c>
      <c r="EI81" s="23">
        <f t="shared" si="32"/>
        <v>0</v>
      </c>
      <c r="EJ81" s="23">
        <f t="shared" si="32"/>
        <v>0</v>
      </c>
      <c r="EK81" s="23">
        <f t="shared" si="32"/>
        <v>0</v>
      </c>
      <c r="EL81" s="23">
        <f t="shared" si="32"/>
        <v>0</v>
      </c>
      <c r="EM81" s="23">
        <f t="shared" si="32"/>
        <v>0</v>
      </c>
      <c r="EN81" s="23">
        <f t="shared" si="32"/>
        <v>0</v>
      </c>
      <c r="EO81" s="23">
        <f t="shared" si="32"/>
        <v>0</v>
      </c>
      <c r="EP81" s="23">
        <f t="shared" si="32"/>
        <v>0</v>
      </c>
      <c r="EQ81" s="23">
        <f t="shared" si="32"/>
        <v>103</v>
      </c>
      <c r="ER81" s="23">
        <f t="shared" si="32"/>
        <v>0</v>
      </c>
      <c r="ES81" s="23">
        <f t="shared" si="32"/>
        <v>0</v>
      </c>
      <c r="ET81" s="23">
        <f t="shared" si="32"/>
        <v>0</v>
      </c>
      <c r="EU81" s="23">
        <f t="shared" si="32"/>
        <v>0</v>
      </c>
      <c r="EV81" s="23">
        <f t="shared" si="32"/>
        <v>0</v>
      </c>
      <c r="EW81" s="23">
        <f t="shared" si="32"/>
        <v>0</v>
      </c>
      <c r="EX81" s="23">
        <f t="shared" si="32"/>
        <v>0</v>
      </c>
      <c r="EY81" s="23">
        <f t="shared" si="32"/>
        <v>0</v>
      </c>
      <c r="EZ81" s="23">
        <f t="shared" si="32"/>
        <v>0</v>
      </c>
      <c r="FA81" s="23">
        <f t="shared" si="32"/>
        <v>0</v>
      </c>
      <c r="FB81" s="23">
        <f t="shared" si="32"/>
        <v>0</v>
      </c>
      <c r="FC81" s="23">
        <f t="shared" si="32"/>
        <v>0</v>
      </c>
      <c r="FD81" s="23">
        <f t="shared" si="32"/>
        <v>0</v>
      </c>
      <c r="FE81" s="23">
        <f t="shared" si="32"/>
        <v>0</v>
      </c>
      <c r="FF81" s="23">
        <f t="shared" si="32"/>
        <v>0</v>
      </c>
      <c r="FG81" s="23">
        <f t="shared" si="32"/>
        <v>0</v>
      </c>
      <c r="FH81" s="23">
        <f t="shared" si="32"/>
        <v>0</v>
      </c>
      <c r="FI81" s="23">
        <f t="shared" si="32"/>
        <v>0</v>
      </c>
      <c r="FJ81" s="23">
        <f t="shared" si="32"/>
        <v>0</v>
      </c>
      <c r="FK81" s="23">
        <f t="shared" si="32"/>
        <v>0</v>
      </c>
      <c r="FL81" s="23">
        <f t="shared" si="32"/>
        <v>0</v>
      </c>
      <c r="FM81" s="23">
        <f t="shared" si="32"/>
        <v>0</v>
      </c>
      <c r="FN81" s="23">
        <f t="shared" si="32"/>
        <v>0</v>
      </c>
      <c r="FO81" s="23">
        <f t="shared" si="32"/>
        <v>0</v>
      </c>
      <c r="FP81" s="23">
        <f t="shared" si="32"/>
        <v>0</v>
      </c>
      <c r="FQ81" s="23">
        <f t="shared" si="32"/>
        <v>0</v>
      </c>
      <c r="FR81" s="23">
        <f t="shared" si="32"/>
        <v>0</v>
      </c>
      <c r="FS81" s="23">
        <f t="shared" si="32"/>
        <v>0</v>
      </c>
      <c r="FT81" s="23">
        <f t="shared" si="32"/>
        <v>0</v>
      </c>
      <c r="FU81" s="23">
        <f t="shared" si="32"/>
        <v>0</v>
      </c>
      <c r="FV81" s="23">
        <f t="shared" si="32"/>
        <v>0</v>
      </c>
      <c r="FW81" s="23">
        <f t="shared" si="32"/>
        <v>0</v>
      </c>
      <c r="FX81" s="23">
        <f t="shared" si="32"/>
        <v>0</v>
      </c>
      <c r="FY81" s="25"/>
      <c r="FZ81" s="25">
        <f t="shared" si="23"/>
        <v>20412.899999999998</v>
      </c>
      <c r="GA81" s="7"/>
      <c r="GB81" s="25"/>
      <c r="GC81" s="25"/>
      <c r="GD81" s="25"/>
      <c r="GE81" s="25"/>
      <c r="GF81" s="25"/>
      <c r="GG81" s="7"/>
      <c r="GH81" s="23"/>
      <c r="GI81" s="23"/>
      <c r="GJ81" s="23"/>
      <c r="GK81" s="23"/>
      <c r="GL81" s="23"/>
      <c r="GM81" s="23"/>
      <c r="GN81" s="23"/>
      <c r="GO81" s="23"/>
      <c r="GP81" s="7"/>
      <c r="GQ81" s="7"/>
      <c r="GR81" s="7"/>
      <c r="GS81" s="7"/>
      <c r="GT81" s="7"/>
      <c r="GU81" s="7"/>
      <c r="GV81" s="7"/>
    </row>
    <row r="82" spans="1:204" ht="15.5" x14ac:dyDescent="0.35">
      <c r="A82" s="12"/>
      <c r="B82" s="5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5"/>
      <c r="FZ82" s="25"/>
      <c r="GA82" s="7"/>
      <c r="GB82" s="25"/>
      <c r="GC82" s="25"/>
      <c r="GD82" s="25"/>
      <c r="GE82" s="25"/>
      <c r="GF82" s="25"/>
      <c r="GG82" s="7"/>
      <c r="GH82" s="23"/>
      <c r="GI82" s="23"/>
      <c r="GJ82" s="23"/>
      <c r="GK82" s="23"/>
      <c r="GL82" s="23"/>
      <c r="GM82" s="23"/>
      <c r="GN82" s="23"/>
      <c r="GO82" s="23"/>
      <c r="GP82" s="7"/>
      <c r="GQ82" s="7"/>
      <c r="GR82" s="7"/>
      <c r="GS82" s="7"/>
      <c r="GT82" s="7"/>
      <c r="GU82" s="7"/>
      <c r="GV82" s="7"/>
    </row>
    <row r="83" spans="1:204" ht="15.5" x14ac:dyDescent="0.35">
      <c r="A83" s="12"/>
      <c r="B83" s="5" t="s">
        <v>574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5"/>
      <c r="FZ83" s="25"/>
      <c r="GA83" s="7"/>
      <c r="GB83" s="25"/>
      <c r="GC83" s="25"/>
      <c r="GD83" s="25"/>
      <c r="GE83" s="25"/>
      <c r="GF83" s="25"/>
      <c r="GG83" s="7"/>
      <c r="GH83" s="23"/>
      <c r="GI83" s="23"/>
      <c r="GJ83" s="23"/>
      <c r="GK83" s="23"/>
      <c r="GL83" s="23"/>
      <c r="GM83" s="23"/>
      <c r="GN83" s="23"/>
      <c r="GO83" s="23"/>
      <c r="GP83" s="7"/>
      <c r="GQ83" s="7"/>
      <c r="GR83" s="7"/>
      <c r="GS83" s="7"/>
      <c r="GT83" s="7"/>
      <c r="GU83" s="7"/>
      <c r="GV83" s="7"/>
    </row>
    <row r="84" spans="1:204" ht="15.5" x14ac:dyDescent="0.35">
      <c r="A84" s="12" t="s">
        <v>575</v>
      </c>
      <c r="B84" s="7" t="s">
        <v>576</v>
      </c>
      <c r="C84" s="53">
        <f t="shared" ref="C84:FX84" si="33">$B$2</f>
        <v>8691.7999999999993</v>
      </c>
      <c r="D84" s="53">
        <f t="shared" si="33"/>
        <v>8691.7999999999993</v>
      </c>
      <c r="E84" s="53">
        <f t="shared" si="33"/>
        <v>8691.7999999999993</v>
      </c>
      <c r="F84" s="53">
        <f t="shared" si="33"/>
        <v>8691.7999999999993</v>
      </c>
      <c r="G84" s="53">
        <f t="shared" si="33"/>
        <v>8691.7999999999993</v>
      </c>
      <c r="H84" s="53">
        <f t="shared" si="33"/>
        <v>8691.7999999999993</v>
      </c>
      <c r="I84" s="53">
        <f t="shared" si="33"/>
        <v>8691.7999999999993</v>
      </c>
      <c r="J84" s="53">
        <f t="shared" si="33"/>
        <v>8691.7999999999993</v>
      </c>
      <c r="K84" s="53">
        <f t="shared" si="33"/>
        <v>8691.7999999999993</v>
      </c>
      <c r="L84" s="53">
        <f t="shared" si="33"/>
        <v>8691.7999999999993</v>
      </c>
      <c r="M84" s="53">
        <f t="shared" si="33"/>
        <v>8691.7999999999993</v>
      </c>
      <c r="N84" s="53">
        <f t="shared" si="33"/>
        <v>8691.7999999999993</v>
      </c>
      <c r="O84" s="53">
        <f t="shared" si="33"/>
        <v>8691.7999999999993</v>
      </c>
      <c r="P84" s="53">
        <f t="shared" si="33"/>
        <v>8691.7999999999993</v>
      </c>
      <c r="Q84" s="53">
        <f t="shared" si="33"/>
        <v>8691.7999999999993</v>
      </c>
      <c r="R84" s="53">
        <f t="shared" si="33"/>
        <v>8691.7999999999993</v>
      </c>
      <c r="S84" s="53">
        <f t="shared" si="33"/>
        <v>8691.7999999999993</v>
      </c>
      <c r="T84" s="53">
        <f t="shared" si="33"/>
        <v>8691.7999999999993</v>
      </c>
      <c r="U84" s="53">
        <f t="shared" si="33"/>
        <v>8691.7999999999993</v>
      </c>
      <c r="V84" s="53">
        <f t="shared" si="33"/>
        <v>8691.7999999999993</v>
      </c>
      <c r="W84" s="53">
        <f t="shared" si="33"/>
        <v>8691.7999999999993</v>
      </c>
      <c r="X84" s="53">
        <f t="shared" si="33"/>
        <v>8691.7999999999993</v>
      </c>
      <c r="Y84" s="53">
        <f t="shared" si="33"/>
        <v>8691.7999999999993</v>
      </c>
      <c r="Z84" s="53">
        <f t="shared" si="33"/>
        <v>8691.7999999999993</v>
      </c>
      <c r="AA84" s="53">
        <f t="shared" si="33"/>
        <v>8691.7999999999993</v>
      </c>
      <c r="AB84" s="53">
        <f t="shared" si="33"/>
        <v>8691.7999999999993</v>
      </c>
      <c r="AC84" s="53">
        <f t="shared" si="33"/>
        <v>8691.7999999999993</v>
      </c>
      <c r="AD84" s="53">
        <f t="shared" si="33"/>
        <v>8691.7999999999993</v>
      </c>
      <c r="AE84" s="53">
        <f t="shared" si="33"/>
        <v>8691.7999999999993</v>
      </c>
      <c r="AF84" s="53">
        <f t="shared" si="33"/>
        <v>8691.7999999999993</v>
      </c>
      <c r="AG84" s="53">
        <f t="shared" si="33"/>
        <v>8691.7999999999993</v>
      </c>
      <c r="AH84" s="53">
        <f t="shared" si="33"/>
        <v>8691.7999999999993</v>
      </c>
      <c r="AI84" s="53">
        <f t="shared" si="33"/>
        <v>8691.7999999999993</v>
      </c>
      <c r="AJ84" s="53">
        <f t="shared" si="33"/>
        <v>8691.7999999999993</v>
      </c>
      <c r="AK84" s="53">
        <f t="shared" si="33"/>
        <v>8691.7999999999993</v>
      </c>
      <c r="AL84" s="53">
        <f t="shared" si="33"/>
        <v>8691.7999999999993</v>
      </c>
      <c r="AM84" s="53">
        <f t="shared" si="33"/>
        <v>8691.7999999999993</v>
      </c>
      <c r="AN84" s="53">
        <f t="shared" si="33"/>
        <v>8691.7999999999993</v>
      </c>
      <c r="AO84" s="53">
        <f t="shared" si="33"/>
        <v>8691.7999999999993</v>
      </c>
      <c r="AP84" s="53">
        <f t="shared" si="33"/>
        <v>8691.7999999999993</v>
      </c>
      <c r="AQ84" s="53">
        <f t="shared" si="33"/>
        <v>8691.7999999999993</v>
      </c>
      <c r="AR84" s="53">
        <f t="shared" si="33"/>
        <v>8691.7999999999993</v>
      </c>
      <c r="AS84" s="53">
        <f t="shared" si="33"/>
        <v>8691.7999999999993</v>
      </c>
      <c r="AT84" s="53">
        <f t="shared" si="33"/>
        <v>8691.7999999999993</v>
      </c>
      <c r="AU84" s="53">
        <f t="shared" si="33"/>
        <v>8691.7999999999993</v>
      </c>
      <c r="AV84" s="53">
        <f t="shared" si="33"/>
        <v>8691.7999999999993</v>
      </c>
      <c r="AW84" s="53">
        <f t="shared" si="33"/>
        <v>8691.7999999999993</v>
      </c>
      <c r="AX84" s="53">
        <f t="shared" si="33"/>
        <v>8691.7999999999993</v>
      </c>
      <c r="AY84" s="53">
        <f t="shared" si="33"/>
        <v>8691.7999999999993</v>
      </c>
      <c r="AZ84" s="53">
        <f t="shared" si="33"/>
        <v>8691.7999999999993</v>
      </c>
      <c r="BA84" s="53">
        <f t="shared" si="33"/>
        <v>8691.7999999999993</v>
      </c>
      <c r="BB84" s="53">
        <f t="shared" si="33"/>
        <v>8691.7999999999993</v>
      </c>
      <c r="BC84" s="53">
        <f t="shared" si="33"/>
        <v>8691.7999999999993</v>
      </c>
      <c r="BD84" s="53">
        <f t="shared" si="33"/>
        <v>8691.7999999999993</v>
      </c>
      <c r="BE84" s="53">
        <f t="shared" si="33"/>
        <v>8691.7999999999993</v>
      </c>
      <c r="BF84" s="53">
        <f t="shared" si="33"/>
        <v>8691.7999999999993</v>
      </c>
      <c r="BG84" s="53">
        <f t="shared" si="33"/>
        <v>8691.7999999999993</v>
      </c>
      <c r="BH84" s="53">
        <f t="shared" si="33"/>
        <v>8691.7999999999993</v>
      </c>
      <c r="BI84" s="53">
        <f t="shared" si="33"/>
        <v>8691.7999999999993</v>
      </c>
      <c r="BJ84" s="53">
        <f t="shared" si="33"/>
        <v>8691.7999999999993</v>
      </c>
      <c r="BK84" s="53">
        <f t="shared" si="33"/>
        <v>8691.7999999999993</v>
      </c>
      <c r="BL84" s="53">
        <f t="shared" si="33"/>
        <v>8691.7999999999993</v>
      </c>
      <c r="BM84" s="53">
        <f t="shared" si="33"/>
        <v>8691.7999999999993</v>
      </c>
      <c r="BN84" s="53">
        <f t="shared" si="33"/>
        <v>8691.7999999999993</v>
      </c>
      <c r="BO84" s="53">
        <f t="shared" si="33"/>
        <v>8691.7999999999993</v>
      </c>
      <c r="BP84" s="53">
        <f t="shared" si="33"/>
        <v>8691.7999999999993</v>
      </c>
      <c r="BQ84" s="53">
        <f t="shared" si="33"/>
        <v>8691.7999999999993</v>
      </c>
      <c r="BR84" s="53">
        <f t="shared" si="33"/>
        <v>8691.7999999999993</v>
      </c>
      <c r="BS84" s="53">
        <f t="shared" si="33"/>
        <v>8691.7999999999993</v>
      </c>
      <c r="BT84" s="53">
        <f t="shared" si="33"/>
        <v>8691.7999999999993</v>
      </c>
      <c r="BU84" s="53">
        <f t="shared" si="33"/>
        <v>8691.7999999999993</v>
      </c>
      <c r="BV84" s="53">
        <f t="shared" si="33"/>
        <v>8691.7999999999993</v>
      </c>
      <c r="BW84" s="53">
        <f t="shared" si="33"/>
        <v>8691.7999999999993</v>
      </c>
      <c r="BX84" s="53">
        <f t="shared" si="33"/>
        <v>8691.7999999999993</v>
      </c>
      <c r="BY84" s="53">
        <f t="shared" si="33"/>
        <v>8691.7999999999993</v>
      </c>
      <c r="BZ84" s="53">
        <f t="shared" si="33"/>
        <v>8691.7999999999993</v>
      </c>
      <c r="CA84" s="53">
        <f t="shared" si="33"/>
        <v>8691.7999999999993</v>
      </c>
      <c r="CB84" s="53">
        <f t="shared" si="33"/>
        <v>8691.7999999999993</v>
      </c>
      <c r="CC84" s="53">
        <f t="shared" si="33"/>
        <v>8691.7999999999993</v>
      </c>
      <c r="CD84" s="53">
        <f t="shared" si="33"/>
        <v>8691.7999999999993</v>
      </c>
      <c r="CE84" s="53">
        <f t="shared" si="33"/>
        <v>8691.7999999999993</v>
      </c>
      <c r="CF84" s="53">
        <f t="shared" si="33"/>
        <v>8691.7999999999993</v>
      </c>
      <c r="CG84" s="53">
        <f t="shared" si="33"/>
        <v>8691.7999999999993</v>
      </c>
      <c r="CH84" s="53">
        <f t="shared" si="33"/>
        <v>8691.7999999999993</v>
      </c>
      <c r="CI84" s="53">
        <f t="shared" si="33"/>
        <v>8691.7999999999993</v>
      </c>
      <c r="CJ84" s="53">
        <f t="shared" si="33"/>
        <v>8691.7999999999993</v>
      </c>
      <c r="CK84" s="53">
        <f t="shared" si="33"/>
        <v>8691.7999999999993</v>
      </c>
      <c r="CL84" s="53">
        <f t="shared" si="33"/>
        <v>8691.7999999999993</v>
      </c>
      <c r="CM84" s="53">
        <f t="shared" si="33"/>
        <v>8691.7999999999993</v>
      </c>
      <c r="CN84" s="53">
        <f t="shared" si="33"/>
        <v>8691.7999999999993</v>
      </c>
      <c r="CO84" s="53">
        <f t="shared" si="33"/>
        <v>8691.7999999999993</v>
      </c>
      <c r="CP84" s="53">
        <f t="shared" si="33"/>
        <v>8691.7999999999993</v>
      </c>
      <c r="CQ84" s="53">
        <f t="shared" si="33"/>
        <v>8691.7999999999993</v>
      </c>
      <c r="CR84" s="53">
        <f t="shared" si="33"/>
        <v>8691.7999999999993</v>
      </c>
      <c r="CS84" s="53">
        <f t="shared" si="33"/>
        <v>8691.7999999999993</v>
      </c>
      <c r="CT84" s="53">
        <f t="shared" si="33"/>
        <v>8691.7999999999993</v>
      </c>
      <c r="CU84" s="53">
        <f t="shared" si="33"/>
        <v>8691.7999999999993</v>
      </c>
      <c r="CV84" s="53">
        <f t="shared" si="33"/>
        <v>8691.7999999999993</v>
      </c>
      <c r="CW84" s="53">
        <f t="shared" si="33"/>
        <v>8691.7999999999993</v>
      </c>
      <c r="CX84" s="53">
        <f t="shared" si="33"/>
        <v>8691.7999999999993</v>
      </c>
      <c r="CY84" s="53">
        <f t="shared" si="33"/>
        <v>8691.7999999999993</v>
      </c>
      <c r="CZ84" s="53">
        <f t="shared" si="33"/>
        <v>8691.7999999999993</v>
      </c>
      <c r="DA84" s="53">
        <f t="shared" si="33"/>
        <v>8691.7999999999993</v>
      </c>
      <c r="DB84" s="53">
        <f t="shared" si="33"/>
        <v>8691.7999999999993</v>
      </c>
      <c r="DC84" s="53">
        <f t="shared" si="33"/>
        <v>8691.7999999999993</v>
      </c>
      <c r="DD84" s="53">
        <f t="shared" si="33"/>
        <v>8691.7999999999993</v>
      </c>
      <c r="DE84" s="53">
        <f t="shared" si="33"/>
        <v>8691.7999999999993</v>
      </c>
      <c r="DF84" s="53">
        <f t="shared" si="33"/>
        <v>8691.7999999999993</v>
      </c>
      <c r="DG84" s="53">
        <f t="shared" si="33"/>
        <v>8691.7999999999993</v>
      </c>
      <c r="DH84" s="53">
        <f t="shared" si="33"/>
        <v>8691.7999999999993</v>
      </c>
      <c r="DI84" s="53">
        <f t="shared" si="33"/>
        <v>8691.7999999999993</v>
      </c>
      <c r="DJ84" s="53">
        <f t="shared" si="33"/>
        <v>8691.7999999999993</v>
      </c>
      <c r="DK84" s="53">
        <f t="shared" si="33"/>
        <v>8691.7999999999993</v>
      </c>
      <c r="DL84" s="53">
        <f t="shared" si="33"/>
        <v>8691.7999999999993</v>
      </c>
      <c r="DM84" s="53">
        <f t="shared" si="33"/>
        <v>8691.7999999999993</v>
      </c>
      <c r="DN84" s="53">
        <f t="shared" si="33"/>
        <v>8691.7999999999993</v>
      </c>
      <c r="DO84" s="53">
        <f t="shared" si="33"/>
        <v>8691.7999999999993</v>
      </c>
      <c r="DP84" s="53">
        <f t="shared" si="33"/>
        <v>8691.7999999999993</v>
      </c>
      <c r="DQ84" s="53">
        <f t="shared" si="33"/>
        <v>8691.7999999999993</v>
      </c>
      <c r="DR84" s="53">
        <f t="shared" si="33"/>
        <v>8691.7999999999993</v>
      </c>
      <c r="DS84" s="53">
        <f t="shared" si="33"/>
        <v>8691.7999999999993</v>
      </c>
      <c r="DT84" s="53">
        <f t="shared" si="33"/>
        <v>8691.7999999999993</v>
      </c>
      <c r="DU84" s="53">
        <f t="shared" si="33"/>
        <v>8691.7999999999993</v>
      </c>
      <c r="DV84" s="53">
        <f t="shared" si="33"/>
        <v>8691.7999999999993</v>
      </c>
      <c r="DW84" s="53">
        <f t="shared" si="33"/>
        <v>8691.7999999999993</v>
      </c>
      <c r="DX84" s="53">
        <f t="shared" si="33"/>
        <v>8691.7999999999993</v>
      </c>
      <c r="DY84" s="53">
        <f t="shared" si="33"/>
        <v>8691.7999999999993</v>
      </c>
      <c r="DZ84" s="53">
        <f t="shared" si="33"/>
        <v>8691.7999999999993</v>
      </c>
      <c r="EA84" s="53">
        <f t="shared" si="33"/>
        <v>8691.7999999999993</v>
      </c>
      <c r="EB84" s="53">
        <f t="shared" si="33"/>
        <v>8691.7999999999993</v>
      </c>
      <c r="EC84" s="53">
        <f t="shared" si="33"/>
        <v>8691.7999999999993</v>
      </c>
      <c r="ED84" s="53">
        <f t="shared" si="33"/>
        <v>8691.7999999999993</v>
      </c>
      <c r="EE84" s="53">
        <f t="shared" si="33"/>
        <v>8691.7999999999993</v>
      </c>
      <c r="EF84" s="53">
        <f t="shared" si="33"/>
        <v>8691.7999999999993</v>
      </c>
      <c r="EG84" s="53">
        <f t="shared" si="33"/>
        <v>8691.7999999999993</v>
      </c>
      <c r="EH84" s="53">
        <f t="shared" si="33"/>
        <v>8691.7999999999993</v>
      </c>
      <c r="EI84" s="53">
        <f t="shared" si="33"/>
        <v>8691.7999999999993</v>
      </c>
      <c r="EJ84" s="53">
        <f t="shared" si="33"/>
        <v>8691.7999999999993</v>
      </c>
      <c r="EK84" s="53">
        <f t="shared" si="33"/>
        <v>8691.7999999999993</v>
      </c>
      <c r="EL84" s="53">
        <f t="shared" si="33"/>
        <v>8691.7999999999993</v>
      </c>
      <c r="EM84" s="53">
        <f t="shared" si="33"/>
        <v>8691.7999999999993</v>
      </c>
      <c r="EN84" s="53">
        <f t="shared" si="33"/>
        <v>8691.7999999999993</v>
      </c>
      <c r="EO84" s="53">
        <f t="shared" si="33"/>
        <v>8691.7999999999993</v>
      </c>
      <c r="EP84" s="53">
        <f t="shared" si="33"/>
        <v>8691.7999999999993</v>
      </c>
      <c r="EQ84" s="53">
        <f t="shared" si="33"/>
        <v>8691.7999999999993</v>
      </c>
      <c r="ER84" s="53">
        <f t="shared" si="33"/>
        <v>8691.7999999999993</v>
      </c>
      <c r="ES84" s="53">
        <f t="shared" si="33"/>
        <v>8691.7999999999993</v>
      </c>
      <c r="ET84" s="53">
        <f t="shared" si="33"/>
        <v>8691.7999999999993</v>
      </c>
      <c r="EU84" s="53">
        <f t="shared" si="33"/>
        <v>8691.7999999999993</v>
      </c>
      <c r="EV84" s="53">
        <f t="shared" si="33"/>
        <v>8691.7999999999993</v>
      </c>
      <c r="EW84" s="53">
        <f t="shared" si="33"/>
        <v>8691.7999999999993</v>
      </c>
      <c r="EX84" s="53">
        <f t="shared" si="33"/>
        <v>8691.7999999999993</v>
      </c>
      <c r="EY84" s="53">
        <f t="shared" si="33"/>
        <v>8691.7999999999993</v>
      </c>
      <c r="EZ84" s="53">
        <f t="shared" si="33"/>
        <v>8691.7999999999993</v>
      </c>
      <c r="FA84" s="53">
        <f t="shared" si="33"/>
        <v>8691.7999999999993</v>
      </c>
      <c r="FB84" s="53">
        <f t="shared" si="33"/>
        <v>8691.7999999999993</v>
      </c>
      <c r="FC84" s="53">
        <f t="shared" si="33"/>
        <v>8691.7999999999993</v>
      </c>
      <c r="FD84" s="53">
        <f t="shared" si="33"/>
        <v>8691.7999999999993</v>
      </c>
      <c r="FE84" s="53">
        <f t="shared" si="33"/>
        <v>8691.7999999999993</v>
      </c>
      <c r="FF84" s="53">
        <f t="shared" si="33"/>
        <v>8691.7999999999993</v>
      </c>
      <c r="FG84" s="53">
        <f t="shared" si="33"/>
        <v>8691.7999999999993</v>
      </c>
      <c r="FH84" s="53">
        <f t="shared" si="33"/>
        <v>8691.7999999999993</v>
      </c>
      <c r="FI84" s="53">
        <f t="shared" si="33"/>
        <v>8691.7999999999993</v>
      </c>
      <c r="FJ84" s="53">
        <f t="shared" si="33"/>
        <v>8691.7999999999993</v>
      </c>
      <c r="FK84" s="53">
        <f t="shared" si="33"/>
        <v>8691.7999999999993</v>
      </c>
      <c r="FL84" s="53">
        <f t="shared" si="33"/>
        <v>8691.7999999999993</v>
      </c>
      <c r="FM84" s="53">
        <f t="shared" si="33"/>
        <v>8691.7999999999993</v>
      </c>
      <c r="FN84" s="53">
        <f t="shared" si="33"/>
        <v>8691.7999999999993</v>
      </c>
      <c r="FO84" s="53">
        <f t="shared" si="33"/>
        <v>8691.7999999999993</v>
      </c>
      <c r="FP84" s="53">
        <f t="shared" si="33"/>
        <v>8691.7999999999993</v>
      </c>
      <c r="FQ84" s="53">
        <f t="shared" si="33"/>
        <v>8691.7999999999993</v>
      </c>
      <c r="FR84" s="53">
        <f t="shared" si="33"/>
        <v>8691.7999999999993</v>
      </c>
      <c r="FS84" s="53">
        <f t="shared" si="33"/>
        <v>8691.7999999999993</v>
      </c>
      <c r="FT84" s="53">
        <f t="shared" si="33"/>
        <v>8691.7999999999993</v>
      </c>
      <c r="FU84" s="53">
        <f t="shared" si="33"/>
        <v>8691.7999999999993</v>
      </c>
      <c r="FV84" s="53">
        <f t="shared" si="33"/>
        <v>8691.7999999999993</v>
      </c>
      <c r="FW84" s="53">
        <f t="shared" si="33"/>
        <v>8691.7999999999993</v>
      </c>
      <c r="FX84" s="53">
        <f t="shared" si="33"/>
        <v>8691.7999999999993</v>
      </c>
      <c r="FY84" s="25"/>
      <c r="FZ84" s="25"/>
      <c r="GA84" s="7"/>
      <c r="GB84" s="25"/>
      <c r="GC84" s="25"/>
      <c r="GD84" s="25"/>
      <c r="GE84" s="25"/>
      <c r="GF84" s="25"/>
      <c r="GG84" s="7"/>
      <c r="GH84" s="23"/>
      <c r="GI84" s="23"/>
      <c r="GJ84" s="23"/>
      <c r="GK84" s="23"/>
      <c r="GL84" s="23"/>
      <c r="GM84" s="23"/>
      <c r="GN84" s="23"/>
      <c r="GO84" s="23"/>
      <c r="GP84" s="7"/>
      <c r="GQ84" s="7"/>
      <c r="GR84" s="7"/>
      <c r="GS84" s="7"/>
      <c r="GT84" s="7"/>
      <c r="GU84" s="7"/>
      <c r="GV84" s="7"/>
    </row>
    <row r="85" spans="1:204" ht="15.5" x14ac:dyDescent="0.35">
      <c r="A85" s="12" t="s">
        <v>577</v>
      </c>
      <c r="B85" s="7" t="s">
        <v>578</v>
      </c>
      <c r="C85" s="23">
        <f t="shared" ref="C85:FX85" si="34">C72</f>
        <v>6384.5</v>
      </c>
      <c r="D85" s="23">
        <f t="shared" si="34"/>
        <v>37733</v>
      </c>
      <c r="E85" s="23">
        <f t="shared" si="34"/>
        <v>5620.8</v>
      </c>
      <c r="F85" s="23">
        <f t="shared" si="34"/>
        <v>22394.6</v>
      </c>
      <c r="G85" s="23">
        <f t="shared" si="34"/>
        <v>1844</v>
      </c>
      <c r="H85" s="23">
        <f t="shared" si="34"/>
        <v>1095.5</v>
      </c>
      <c r="I85" s="23">
        <f t="shared" si="34"/>
        <v>7935</v>
      </c>
      <c r="J85" s="23">
        <f t="shared" si="34"/>
        <v>2040.6</v>
      </c>
      <c r="K85" s="23">
        <f t="shared" si="34"/>
        <v>251.7</v>
      </c>
      <c r="L85" s="23">
        <f t="shared" si="34"/>
        <v>2111.5</v>
      </c>
      <c r="M85" s="23">
        <f t="shared" si="34"/>
        <v>909.1</v>
      </c>
      <c r="N85" s="23">
        <f t="shared" si="34"/>
        <v>50169.9</v>
      </c>
      <c r="O85" s="23">
        <f t="shared" si="34"/>
        <v>12674.8</v>
      </c>
      <c r="P85" s="23">
        <f t="shared" si="34"/>
        <v>315.3</v>
      </c>
      <c r="Q85" s="23">
        <f t="shared" si="34"/>
        <v>39308.6</v>
      </c>
      <c r="R85" s="23">
        <f t="shared" si="34"/>
        <v>481.8</v>
      </c>
      <c r="S85" s="23">
        <f t="shared" si="34"/>
        <v>1573.5</v>
      </c>
      <c r="T85" s="23">
        <f t="shared" si="34"/>
        <v>161.1</v>
      </c>
      <c r="U85" s="23">
        <f t="shared" si="34"/>
        <v>60</v>
      </c>
      <c r="V85" s="23">
        <f t="shared" si="34"/>
        <v>256.39999999999998</v>
      </c>
      <c r="W85" s="23">
        <f t="shared" si="34"/>
        <v>59</v>
      </c>
      <c r="X85" s="23">
        <f t="shared" si="34"/>
        <v>60</v>
      </c>
      <c r="Y85" s="23">
        <f t="shared" si="34"/>
        <v>421.3</v>
      </c>
      <c r="Z85" s="23">
        <f t="shared" si="34"/>
        <v>231.1</v>
      </c>
      <c r="AA85" s="23">
        <f t="shared" si="34"/>
        <v>30476.1</v>
      </c>
      <c r="AB85" s="23">
        <f t="shared" si="34"/>
        <v>26850.7</v>
      </c>
      <c r="AC85" s="23">
        <f t="shared" si="34"/>
        <v>892.9</v>
      </c>
      <c r="AD85" s="23">
        <f t="shared" si="34"/>
        <v>1435.1</v>
      </c>
      <c r="AE85" s="23">
        <f t="shared" si="34"/>
        <v>97</v>
      </c>
      <c r="AF85" s="23">
        <f t="shared" si="34"/>
        <v>165.8</v>
      </c>
      <c r="AG85" s="23">
        <f t="shared" si="34"/>
        <v>593.4</v>
      </c>
      <c r="AH85" s="23">
        <f t="shared" si="34"/>
        <v>945.4</v>
      </c>
      <c r="AI85" s="23">
        <f t="shared" si="34"/>
        <v>383</v>
      </c>
      <c r="AJ85" s="23">
        <f t="shared" si="34"/>
        <v>181.5</v>
      </c>
      <c r="AK85" s="23">
        <f t="shared" si="34"/>
        <v>162.80000000000001</v>
      </c>
      <c r="AL85" s="23">
        <f t="shared" si="34"/>
        <v>288.5</v>
      </c>
      <c r="AM85" s="23">
        <f t="shared" si="34"/>
        <v>340</v>
      </c>
      <c r="AN85" s="23">
        <f t="shared" si="34"/>
        <v>291.5</v>
      </c>
      <c r="AO85" s="23">
        <f t="shared" si="34"/>
        <v>3954.7</v>
      </c>
      <c r="AP85" s="23">
        <f t="shared" si="34"/>
        <v>83959.6</v>
      </c>
      <c r="AQ85" s="23">
        <f t="shared" si="34"/>
        <v>251</v>
      </c>
      <c r="AR85" s="23">
        <f t="shared" si="34"/>
        <v>60303.9</v>
      </c>
      <c r="AS85" s="23">
        <f t="shared" si="34"/>
        <v>6422.3</v>
      </c>
      <c r="AT85" s="23">
        <f t="shared" si="34"/>
        <v>2360.1999999999998</v>
      </c>
      <c r="AU85" s="23">
        <f t="shared" si="34"/>
        <v>271</v>
      </c>
      <c r="AV85" s="23">
        <f t="shared" si="34"/>
        <v>305.39999999999998</v>
      </c>
      <c r="AW85" s="23">
        <f t="shared" si="34"/>
        <v>255</v>
      </c>
      <c r="AX85" s="23">
        <f t="shared" si="34"/>
        <v>81</v>
      </c>
      <c r="AY85" s="23">
        <f t="shared" si="34"/>
        <v>402</v>
      </c>
      <c r="AZ85" s="23">
        <f t="shared" si="34"/>
        <v>12006.9</v>
      </c>
      <c r="BA85" s="23">
        <f t="shared" si="34"/>
        <v>8874.5</v>
      </c>
      <c r="BB85" s="23">
        <f t="shared" si="34"/>
        <v>7477.2</v>
      </c>
      <c r="BC85" s="23">
        <f t="shared" si="34"/>
        <v>24166.1</v>
      </c>
      <c r="BD85" s="23">
        <f t="shared" si="34"/>
        <v>3633.5</v>
      </c>
      <c r="BE85" s="23">
        <f t="shared" si="34"/>
        <v>1174.5</v>
      </c>
      <c r="BF85" s="23">
        <f t="shared" si="34"/>
        <v>24386.3</v>
      </c>
      <c r="BG85" s="23">
        <f t="shared" si="34"/>
        <v>920.6</v>
      </c>
      <c r="BH85" s="23">
        <f t="shared" si="34"/>
        <v>542.79999999999995</v>
      </c>
      <c r="BI85" s="23">
        <f t="shared" si="34"/>
        <v>257.3</v>
      </c>
      <c r="BJ85" s="23">
        <f t="shared" si="34"/>
        <v>6297.4</v>
      </c>
      <c r="BK85" s="23">
        <f t="shared" si="34"/>
        <v>21864.7</v>
      </c>
      <c r="BL85" s="23">
        <f t="shared" si="34"/>
        <v>69.5</v>
      </c>
      <c r="BM85" s="23">
        <f t="shared" si="34"/>
        <v>340.8</v>
      </c>
      <c r="BN85" s="23">
        <f t="shared" si="34"/>
        <v>3062.6</v>
      </c>
      <c r="BO85" s="23">
        <f t="shared" si="34"/>
        <v>1232.5999999999999</v>
      </c>
      <c r="BP85" s="23">
        <f t="shared" si="34"/>
        <v>152</v>
      </c>
      <c r="BQ85" s="23">
        <f t="shared" si="34"/>
        <v>5869.6</v>
      </c>
      <c r="BR85" s="23">
        <f t="shared" si="34"/>
        <v>4488.3999999999996</v>
      </c>
      <c r="BS85" s="23">
        <f t="shared" si="34"/>
        <v>1158.0999999999999</v>
      </c>
      <c r="BT85" s="23">
        <f t="shared" si="34"/>
        <v>362.5</v>
      </c>
      <c r="BU85" s="23">
        <f t="shared" si="34"/>
        <v>392.6</v>
      </c>
      <c r="BV85" s="23">
        <f t="shared" si="34"/>
        <v>1245.3</v>
      </c>
      <c r="BW85" s="23">
        <f t="shared" si="34"/>
        <v>2017.5</v>
      </c>
      <c r="BX85" s="23">
        <f t="shared" si="34"/>
        <v>65.900000000000006</v>
      </c>
      <c r="BY85" s="23">
        <f t="shared" si="34"/>
        <v>421.9</v>
      </c>
      <c r="BZ85" s="23">
        <f t="shared" si="34"/>
        <v>228</v>
      </c>
      <c r="CA85" s="23">
        <f t="shared" si="34"/>
        <v>144.5</v>
      </c>
      <c r="CB85" s="23">
        <f t="shared" si="34"/>
        <v>72061.600000000006</v>
      </c>
      <c r="CC85" s="23">
        <f t="shared" si="34"/>
        <v>189.3</v>
      </c>
      <c r="CD85" s="23">
        <f t="shared" si="34"/>
        <v>60</v>
      </c>
      <c r="CE85" s="23">
        <f t="shared" si="34"/>
        <v>158.30000000000001</v>
      </c>
      <c r="CF85" s="23">
        <f t="shared" si="34"/>
        <v>105.3</v>
      </c>
      <c r="CG85" s="23">
        <f t="shared" si="34"/>
        <v>197.6</v>
      </c>
      <c r="CH85" s="23">
        <f t="shared" si="34"/>
        <v>95.1</v>
      </c>
      <c r="CI85" s="23">
        <f t="shared" si="34"/>
        <v>687.9</v>
      </c>
      <c r="CJ85" s="23">
        <f t="shared" si="34"/>
        <v>862.8</v>
      </c>
      <c r="CK85" s="23">
        <f t="shared" si="34"/>
        <v>4856.1000000000004</v>
      </c>
      <c r="CL85" s="23">
        <f t="shared" si="34"/>
        <v>1207.5999999999999</v>
      </c>
      <c r="CM85" s="23">
        <f t="shared" si="34"/>
        <v>684.5</v>
      </c>
      <c r="CN85" s="23">
        <f t="shared" si="34"/>
        <v>30547.3</v>
      </c>
      <c r="CO85" s="23">
        <f t="shared" si="34"/>
        <v>14217.5</v>
      </c>
      <c r="CP85" s="23">
        <f t="shared" si="34"/>
        <v>912.3</v>
      </c>
      <c r="CQ85" s="23">
        <f t="shared" si="34"/>
        <v>766.8</v>
      </c>
      <c r="CR85" s="23">
        <f t="shared" si="34"/>
        <v>215.8</v>
      </c>
      <c r="CS85" s="23">
        <f t="shared" si="34"/>
        <v>278.39999999999998</v>
      </c>
      <c r="CT85" s="23">
        <f t="shared" si="34"/>
        <v>113.5</v>
      </c>
      <c r="CU85" s="23">
        <f t="shared" si="34"/>
        <v>69</v>
      </c>
      <c r="CV85" s="23">
        <f t="shared" si="34"/>
        <v>60</v>
      </c>
      <c r="CW85" s="23">
        <f t="shared" si="34"/>
        <v>198.7</v>
      </c>
      <c r="CX85" s="23">
        <f t="shared" si="34"/>
        <v>461.4</v>
      </c>
      <c r="CY85" s="23">
        <f t="shared" si="34"/>
        <v>60</v>
      </c>
      <c r="CZ85" s="23">
        <f t="shared" si="34"/>
        <v>1786.5</v>
      </c>
      <c r="DA85" s="23">
        <f t="shared" si="34"/>
        <v>203.5</v>
      </c>
      <c r="DB85" s="23">
        <f t="shared" si="34"/>
        <v>315.8</v>
      </c>
      <c r="DC85" s="23">
        <f t="shared" si="34"/>
        <v>193</v>
      </c>
      <c r="DD85" s="23">
        <f t="shared" si="34"/>
        <v>174.5</v>
      </c>
      <c r="DE85" s="23">
        <f t="shared" si="34"/>
        <v>284.8</v>
      </c>
      <c r="DF85" s="23">
        <f t="shared" si="34"/>
        <v>20529.7</v>
      </c>
      <c r="DG85" s="23">
        <f t="shared" si="34"/>
        <v>93.5</v>
      </c>
      <c r="DH85" s="23">
        <f t="shared" si="34"/>
        <v>1770.5</v>
      </c>
      <c r="DI85" s="23">
        <f t="shared" si="34"/>
        <v>2414.4</v>
      </c>
      <c r="DJ85" s="23">
        <f t="shared" si="34"/>
        <v>613.1</v>
      </c>
      <c r="DK85" s="23">
        <f t="shared" si="34"/>
        <v>477.7</v>
      </c>
      <c r="DL85" s="23">
        <f t="shared" si="34"/>
        <v>5676</v>
      </c>
      <c r="DM85" s="23">
        <f t="shared" si="34"/>
        <v>235</v>
      </c>
      <c r="DN85" s="23">
        <f t="shared" si="34"/>
        <v>1294.5</v>
      </c>
      <c r="DO85" s="23">
        <f t="shared" si="34"/>
        <v>3290</v>
      </c>
      <c r="DP85" s="23">
        <f t="shared" si="34"/>
        <v>199.1</v>
      </c>
      <c r="DQ85" s="23">
        <f t="shared" si="34"/>
        <v>887</v>
      </c>
      <c r="DR85" s="23">
        <f t="shared" si="34"/>
        <v>1305.5</v>
      </c>
      <c r="DS85" s="23">
        <f t="shared" si="34"/>
        <v>580</v>
      </c>
      <c r="DT85" s="23">
        <f t="shared" si="34"/>
        <v>176.5</v>
      </c>
      <c r="DU85" s="23">
        <f t="shared" si="34"/>
        <v>347.7</v>
      </c>
      <c r="DV85" s="23">
        <f t="shared" si="34"/>
        <v>205.8</v>
      </c>
      <c r="DW85" s="23">
        <f t="shared" si="34"/>
        <v>297.39999999999998</v>
      </c>
      <c r="DX85" s="23">
        <f t="shared" si="34"/>
        <v>168</v>
      </c>
      <c r="DY85" s="23">
        <f t="shared" si="34"/>
        <v>293.10000000000002</v>
      </c>
      <c r="DZ85" s="23">
        <f t="shared" si="34"/>
        <v>661.3</v>
      </c>
      <c r="EA85" s="23">
        <f t="shared" si="34"/>
        <v>526.9</v>
      </c>
      <c r="EB85" s="23">
        <f t="shared" si="34"/>
        <v>522.5</v>
      </c>
      <c r="EC85" s="23">
        <f t="shared" si="34"/>
        <v>278.60000000000002</v>
      </c>
      <c r="ED85" s="23">
        <f t="shared" si="34"/>
        <v>1549</v>
      </c>
      <c r="EE85" s="23">
        <f t="shared" si="34"/>
        <v>191.6</v>
      </c>
      <c r="EF85" s="23">
        <f t="shared" si="34"/>
        <v>1323.8</v>
      </c>
      <c r="EG85" s="23">
        <f t="shared" si="34"/>
        <v>253.5</v>
      </c>
      <c r="EH85" s="23">
        <f t="shared" si="34"/>
        <v>247.4</v>
      </c>
      <c r="EI85" s="23">
        <f t="shared" si="34"/>
        <v>13726.9</v>
      </c>
      <c r="EJ85" s="23">
        <f t="shared" si="34"/>
        <v>9921.6</v>
      </c>
      <c r="EK85" s="23">
        <f t="shared" si="34"/>
        <v>665.6</v>
      </c>
      <c r="EL85" s="23">
        <f t="shared" si="34"/>
        <v>457.3</v>
      </c>
      <c r="EM85" s="23">
        <f t="shared" si="34"/>
        <v>371.1</v>
      </c>
      <c r="EN85" s="23">
        <f t="shared" si="34"/>
        <v>888.6</v>
      </c>
      <c r="EO85" s="23">
        <f t="shared" si="34"/>
        <v>299.5</v>
      </c>
      <c r="EP85" s="23">
        <f t="shared" si="34"/>
        <v>428.5</v>
      </c>
      <c r="EQ85" s="23">
        <f t="shared" si="34"/>
        <v>2594.8000000000002</v>
      </c>
      <c r="ER85" s="23">
        <f t="shared" si="34"/>
        <v>307.60000000000002</v>
      </c>
      <c r="ES85" s="23">
        <f t="shared" si="34"/>
        <v>163</v>
      </c>
      <c r="ET85" s="23">
        <f t="shared" si="34"/>
        <v>197.5</v>
      </c>
      <c r="EU85" s="23">
        <f t="shared" si="34"/>
        <v>573.5</v>
      </c>
      <c r="EV85" s="23">
        <f t="shared" si="34"/>
        <v>72.3</v>
      </c>
      <c r="EW85" s="23">
        <f t="shared" si="34"/>
        <v>804.4</v>
      </c>
      <c r="EX85" s="23">
        <f t="shared" si="34"/>
        <v>173.5</v>
      </c>
      <c r="EY85" s="23">
        <f t="shared" si="34"/>
        <v>205.5</v>
      </c>
      <c r="EZ85" s="23">
        <f t="shared" si="34"/>
        <v>129.30000000000001</v>
      </c>
      <c r="FA85" s="23">
        <f t="shared" si="34"/>
        <v>3358.5</v>
      </c>
      <c r="FB85" s="23">
        <f t="shared" si="34"/>
        <v>276.10000000000002</v>
      </c>
      <c r="FC85" s="23">
        <f t="shared" si="34"/>
        <v>1771.7</v>
      </c>
      <c r="FD85" s="23">
        <f t="shared" si="34"/>
        <v>402</v>
      </c>
      <c r="FE85" s="23">
        <f t="shared" si="34"/>
        <v>77.3</v>
      </c>
      <c r="FF85" s="23">
        <f t="shared" si="34"/>
        <v>181</v>
      </c>
      <c r="FG85" s="23">
        <f t="shared" si="34"/>
        <v>119.8</v>
      </c>
      <c r="FH85" s="23">
        <f t="shared" si="34"/>
        <v>70</v>
      </c>
      <c r="FI85" s="23">
        <f t="shared" si="34"/>
        <v>1681.9</v>
      </c>
      <c r="FJ85" s="23">
        <f t="shared" si="34"/>
        <v>2016.5</v>
      </c>
      <c r="FK85" s="23">
        <f t="shared" si="34"/>
        <v>2527.9</v>
      </c>
      <c r="FL85" s="23">
        <f t="shared" si="34"/>
        <v>8538.5</v>
      </c>
      <c r="FM85" s="23">
        <f t="shared" si="34"/>
        <v>3981.5</v>
      </c>
      <c r="FN85" s="23">
        <f t="shared" si="34"/>
        <v>22422.3</v>
      </c>
      <c r="FO85" s="23">
        <f t="shared" si="34"/>
        <v>1117.2</v>
      </c>
      <c r="FP85" s="23">
        <f t="shared" si="34"/>
        <v>2341.5</v>
      </c>
      <c r="FQ85" s="23">
        <f t="shared" si="34"/>
        <v>982.5</v>
      </c>
      <c r="FR85" s="23">
        <f t="shared" si="34"/>
        <v>165.4</v>
      </c>
      <c r="FS85" s="23">
        <f t="shared" si="34"/>
        <v>164.6</v>
      </c>
      <c r="FT85" s="23">
        <f t="shared" si="34"/>
        <v>60</v>
      </c>
      <c r="FU85" s="23">
        <f t="shared" si="34"/>
        <v>784.3</v>
      </c>
      <c r="FV85" s="23">
        <f t="shared" si="34"/>
        <v>692</v>
      </c>
      <c r="FW85" s="23">
        <f t="shared" si="34"/>
        <v>141.30000000000001</v>
      </c>
      <c r="FX85" s="23">
        <f t="shared" si="34"/>
        <v>64.5</v>
      </c>
      <c r="FY85" s="25"/>
      <c r="FZ85" s="25"/>
      <c r="GA85" s="7"/>
      <c r="GB85" s="25"/>
      <c r="GC85" s="25"/>
      <c r="GD85" s="25"/>
      <c r="GE85" s="25"/>
      <c r="GF85" s="25"/>
      <c r="GG85" s="7"/>
      <c r="GH85" s="23"/>
      <c r="GI85" s="23"/>
      <c r="GJ85" s="23"/>
      <c r="GK85" s="23"/>
      <c r="GL85" s="23"/>
      <c r="GM85" s="23"/>
      <c r="GN85" s="23"/>
      <c r="GO85" s="23"/>
      <c r="GP85" s="7"/>
      <c r="GQ85" s="7"/>
      <c r="GR85" s="7"/>
      <c r="GS85" s="7"/>
      <c r="GT85" s="7"/>
      <c r="GU85" s="7"/>
      <c r="GV85" s="7"/>
    </row>
    <row r="86" spans="1:204" ht="15.5" x14ac:dyDescent="0.35">
      <c r="A86" s="60" t="s">
        <v>579</v>
      </c>
      <c r="B86" s="5" t="s">
        <v>580</v>
      </c>
      <c r="C86" s="61">
        <f t="shared" ref="C86:FX86" si="35">C84*C85</f>
        <v>55492797.099999994</v>
      </c>
      <c r="D86" s="61">
        <f t="shared" si="35"/>
        <v>327967689.39999998</v>
      </c>
      <c r="E86" s="61">
        <f t="shared" si="35"/>
        <v>48854869.439999998</v>
      </c>
      <c r="F86" s="61">
        <f t="shared" si="35"/>
        <v>194649384.27999997</v>
      </c>
      <c r="G86" s="61">
        <f t="shared" si="35"/>
        <v>16027679.199999999</v>
      </c>
      <c r="H86" s="61">
        <f t="shared" si="35"/>
        <v>9521866.8999999985</v>
      </c>
      <c r="I86" s="61">
        <f t="shared" si="35"/>
        <v>68969433</v>
      </c>
      <c r="J86" s="61">
        <f t="shared" si="35"/>
        <v>17736487.079999998</v>
      </c>
      <c r="K86" s="61">
        <f t="shared" si="35"/>
        <v>2187726.0599999996</v>
      </c>
      <c r="L86" s="61">
        <f t="shared" si="35"/>
        <v>18352735.699999999</v>
      </c>
      <c r="M86" s="61">
        <f t="shared" si="35"/>
        <v>7901715.3799999999</v>
      </c>
      <c r="N86" s="61">
        <f t="shared" si="35"/>
        <v>436066736.81999999</v>
      </c>
      <c r="O86" s="61">
        <f t="shared" si="35"/>
        <v>110166826.63999999</v>
      </c>
      <c r="P86" s="61">
        <f t="shared" si="35"/>
        <v>2740524.54</v>
      </c>
      <c r="Q86" s="61">
        <f t="shared" si="35"/>
        <v>341662489.47999996</v>
      </c>
      <c r="R86" s="61">
        <f t="shared" si="35"/>
        <v>4187709.2399999998</v>
      </c>
      <c r="S86" s="61">
        <f t="shared" si="35"/>
        <v>13676547.299999999</v>
      </c>
      <c r="T86" s="61">
        <f t="shared" si="35"/>
        <v>1400248.9799999997</v>
      </c>
      <c r="U86" s="61">
        <f t="shared" si="35"/>
        <v>521507.99999999994</v>
      </c>
      <c r="V86" s="61">
        <f t="shared" si="35"/>
        <v>2228577.5199999996</v>
      </c>
      <c r="W86" s="61">
        <f t="shared" si="35"/>
        <v>512816.19999999995</v>
      </c>
      <c r="X86" s="61">
        <f t="shared" si="35"/>
        <v>521507.99999999994</v>
      </c>
      <c r="Y86" s="61">
        <f t="shared" si="35"/>
        <v>3661855.34</v>
      </c>
      <c r="Z86" s="61">
        <f t="shared" si="35"/>
        <v>2008674.9799999997</v>
      </c>
      <c r="AA86" s="61">
        <f t="shared" si="35"/>
        <v>264892165.97999996</v>
      </c>
      <c r="AB86" s="61">
        <f t="shared" si="35"/>
        <v>233380914.25999999</v>
      </c>
      <c r="AC86" s="61">
        <f t="shared" si="35"/>
        <v>7760908.2199999988</v>
      </c>
      <c r="AD86" s="61">
        <f t="shared" si="35"/>
        <v>12473602.179999998</v>
      </c>
      <c r="AE86" s="61">
        <f t="shared" si="35"/>
        <v>843104.6</v>
      </c>
      <c r="AF86" s="61">
        <f t="shared" si="35"/>
        <v>1441100.44</v>
      </c>
      <c r="AG86" s="61">
        <f t="shared" si="35"/>
        <v>5157714.1199999992</v>
      </c>
      <c r="AH86" s="61">
        <f t="shared" si="35"/>
        <v>8217227.7199999988</v>
      </c>
      <c r="AI86" s="61">
        <f t="shared" si="35"/>
        <v>3328959.4</v>
      </c>
      <c r="AJ86" s="61">
        <f t="shared" si="35"/>
        <v>1577561.7</v>
      </c>
      <c r="AK86" s="61">
        <f t="shared" si="35"/>
        <v>1415025.04</v>
      </c>
      <c r="AL86" s="61">
        <f t="shared" si="35"/>
        <v>2507584.2999999998</v>
      </c>
      <c r="AM86" s="61">
        <f t="shared" si="35"/>
        <v>2955211.9999999995</v>
      </c>
      <c r="AN86" s="61">
        <f t="shared" si="35"/>
        <v>2533659.6999999997</v>
      </c>
      <c r="AO86" s="61">
        <f t="shared" si="35"/>
        <v>34373461.459999993</v>
      </c>
      <c r="AP86" s="61">
        <f t="shared" si="35"/>
        <v>729760051.27999997</v>
      </c>
      <c r="AQ86" s="61">
        <f t="shared" si="35"/>
        <v>2181641.7999999998</v>
      </c>
      <c r="AR86" s="61">
        <f t="shared" si="35"/>
        <v>524149438.01999998</v>
      </c>
      <c r="AS86" s="61">
        <f t="shared" si="35"/>
        <v>55821347.140000001</v>
      </c>
      <c r="AT86" s="61">
        <f t="shared" si="35"/>
        <v>20514386.359999996</v>
      </c>
      <c r="AU86" s="61">
        <f t="shared" si="35"/>
        <v>2355477.7999999998</v>
      </c>
      <c r="AV86" s="61">
        <f t="shared" si="35"/>
        <v>2654475.7199999997</v>
      </c>
      <c r="AW86" s="61">
        <f t="shared" si="35"/>
        <v>2216409</v>
      </c>
      <c r="AX86" s="61">
        <f t="shared" si="35"/>
        <v>704035.79999999993</v>
      </c>
      <c r="AY86" s="61">
        <f t="shared" si="35"/>
        <v>3494103.5999999996</v>
      </c>
      <c r="AZ86" s="61">
        <f t="shared" si="35"/>
        <v>104361573.41999999</v>
      </c>
      <c r="BA86" s="61">
        <f t="shared" si="35"/>
        <v>77135379.099999994</v>
      </c>
      <c r="BB86" s="61">
        <f t="shared" si="35"/>
        <v>64990326.959999993</v>
      </c>
      <c r="BC86" s="61">
        <f t="shared" si="35"/>
        <v>210046907.97999996</v>
      </c>
      <c r="BD86" s="61">
        <f t="shared" si="35"/>
        <v>31581655.299999997</v>
      </c>
      <c r="BE86" s="61">
        <f t="shared" si="35"/>
        <v>10208519.1</v>
      </c>
      <c r="BF86" s="61">
        <f t="shared" si="35"/>
        <v>211960842.33999997</v>
      </c>
      <c r="BG86" s="61">
        <f t="shared" si="35"/>
        <v>8001671.0799999991</v>
      </c>
      <c r="BH86" s="61">
        <f t="shared" si="35"/>
        <v>4717909.0399999991</v>
      </c>
      <c r="BI86" s="61">
        <f t="shared" si="35"/>
        <v>2236400.14</v>
      </c>
      <c r="BJ86" s="61">
        <f t="shared" si="35"/>
        <v>54735741.319999993</v>
      </c>
      <c r="BK86" s="61">
        <f t="shared" si="35"/>
        <v>190043599.45999998</v>
      </c>
      <c r="BL86" s="61">
        <f t="shared" si="35"/>
        <v>604080.1</v>
      </c>
      <c r="BM86" s="61">
        <f t="shared" si="35"/>
        <v>2962165.44</v>
      </c>
      <c r="BN86" s="61">
        <f t="shared" si="35"/>
        <v>26619506.679999996</v>
      </c>
      <c r="BO86" s="61">
        <f t="shared" si="35"/>
        <v>10713512.679999998</v>
      </c>
      <c r="BP86" s="61">
        <f t="shared" si="35"/>
        <v>1321153.5999999999</v>
      </c>
      <c r="BQ86" s="61">
        <f t="shared" si="35"/>
        <v>51017389.280000001</v>
      </c>
      <c r="BR86" s="61">
        <f t="shared" si="35"/>
        <v>39012275.11999999</v>
      </c>
      <c r="BS86" s="61">
        <f t="shared" si="35"/>
        <v>10065973.579999998</v>
      </c>
      <c r="BT86" s="61">
        <f t="shared" si="35"/>
        <v>3150777.4999999995</v>
      </c>
      <c r="BU86" s="61">
        <f t="shared" si="35"/>
        <v>3412400.6799999997</v>
      </c>
      <c r="BV86" s="61">
        <f t="shared" si="35"/>
        <v>10823898.539999999</v>
      </c>
      <c r="BW86" s="61">
        <f t="shared" si="35"/>
        <v>17535706.5</v>
      </c>
      <c r="BX86" s="61">
        <f t="shared" si="35"/>
        <v>572789.62</v>
      </c>
      <c r="BY86" s="61">
        <f t="shared" si="35"/>
        <v>3667070.4199999995</v>
      </c>
      <c r="BZ86" s="61">
        <f t="shared" si="35"/>
        <v>1981730.4</v>
      </c>
      <c r="CA86" s="61">
        <f t="shared" si="35"/>
        <v>1255965.0999999999</v>
      </c>
      <c r="CB86" s="61">
        <f t="shared" si="35"/>
        <v>626345014.88</v>
      </c>
      <c r="CC86" s="61">
        <f t="shared" si="35"/>
        <v>1645357.74</v>
      </c>
      <c r="CD86" s="61">
        <f t="shared" si="35"/>
        <v>521507.99999999994</v>
      </c>
      <c r="CE86" s="61">
        <f t="shared" si="35"/>
        <v>1375911.94</v>
      </c>
      <c r="CF86" s="61">
        <f t="shared" si="35"/>
        <v>915246.53999999992</v>
      </c>
      <c r="CG86" s="61">
        <f t="shared" si="35"/>
        <v>1717499.6799999997</v>
      </c>
      <c r="CH86" s="61">
        <f t="shared" si="35"/>
        <v>826590.17999999993</v>
      </c>
      <c r="CI86" s="61">
        <f t="shared" si="35"/>
        <v>5979089.2199999997</v>
      </c>
      <c r="CJ86" s="61">
        <f t="shared" si="35"/>
        <v>7499285.0399999991</v>
      </c>
      <c r="CK86" s="61">
        <f t="shared" si="35"/>
        <v>42208249.979999997</v>
      </c>
      <c r="CL86" s="61">
        <f t="shared" si="35"/>
        <v>10496217.679999998</v>
      </c>
      <c r="CM86" s="61">
        <f t="shared" si="35"/>
        <v>5949537.0999999996</v>
      </c>
      <c r="CN86" s="61">
        <f t="shared" si="35"/>
        <v>265511022.13999999</v>
      </c>
      <c r="CO86" s="61">
        <f t="shared" si="35"/>
        <v>123575666.49999999</v>
      </c>
      <c r="CP86" s="61">
        <f t="shared" si="35"/>
        <v>7929529.1399999987</v>
      </c>
      <c r="CQ86" s="61">
        <f t="shared" si="35"/>
        <v>6664872.2399999993</v>
      </c>
      <c r="CR86" s="61">
        <f t="shared" si="35"/>
        <v>1875690.44</v>
      </c>
      <c r="CS86" s="61">
        <f t="shared" si="35"/>
        <v>2419797.1199999996</v>
      </c>
      <c r="CT86" s="61">
        <f t="shared" si="35"/>
        <v>986519.29999999993</v>
      </c>
      <c r="CU86" s="61">
        <f t="shared" si="35"/>
        <v>599734.19999999995</v>
      </c>
      <c r="CV86" s="61">
        <f t="shared" si="35"/>
        <v>521507.99999999994</v>
      </c>
      <c r="CW86" s="61">
        <f t="shared" si="35"/>
        <v>1727060.6599999997</v>
      </c>
      <c r="CX86" s="61">
        <f t="shared" si="35"/>
        <v>4010396.5199999996</v>
      </c>
      <c r="CY86" s="61">
        <f t="shared" si="35"/>
        <v>521507.99999999994</v>
      </c>
      <c r="CZ86" s="61">
        <f t="shared" si="35"/>
        <v>15527900.699999999</v>
      </c>
      <c r="DA86" s="61">
        <f t="shared" si="35"/>
        <v>1768781.2999999998</v>
      </c>
      <c r="DB86" s="61">
        <f t="shared" si="35"/>
        <v>2744870.44</v>
      </c>
      <c r="DC86" s="61">
        <f t="shared" si="35"/>
        <v>1677517.4</v>
      </c>
      <c r="DD86" s="61">
        <f t="shared" si="35"/>
        <v>1516719.0999999999</v>
      </c>
      <c r="DE86" s="61">
        <f t="shared" si="35"/>
        <v>2475424.6399999997</v>
      </c>
      <c r="DF86" s="61">
        <f t="shared" si="35"/>
        <v>178440046.45999998</v>
      </c>
      <c r="DG86" s="61">
        <f t="shared" si="35"/>
        <v>812683.29999999993</v>
      </c>
      <c r="DH86" s="61">
        <f t="shared" si="35"/>
        <v>15388831.899999999</v>
      </c>
      <c r="DI86" s="61">
        <f t="shared" si="35"/>
        <v>20985481.919999998</v>
      </c>
      <c r="DJ86" s="61">
        <f t="shared" si="35"/>
        <v>5328942.58</v>
      </c>
      <c r="DK86" s="61">
        <f t="shared" si="35"/>
        <v>4152072.8599999994</v>
      </c>
      <c r="DL86" s="61">
        <f t="shared" si="35"/>
        <v>49334656.799999997</v>
      </c>
      <c r="DM86" s="61">
        <f t="shared" si="35"/>
        <v>2042572.9999999998</v>
      </c>
      <c r="DN86" s="61">
        <f t="shared" si="35"/>
        <v>11251535.1</v>
      </c>
      <c r="DO86" s="61">
        <f t="shared" si="35"/>
        <v>28596021.999999996</v>
      </c>
      <c r="DP86" s="61">
        <f t="shared" si="35"/>
        <v>1730537.38</v>
      </c>
      <c r="DQ86" s="61">
        <f t="shared" si="35"/>
        <v>7709626.5999999996</v>
      </c>
      <c r="DR86" s="61">
        <f t="shared" si="35"/>
        <v>11347144.899999999</v>
      </c>
      <c r="DS86" s="61">
        <f t="shared" si="35"/>
        <v>5041244</v>
      </c>
      <c r="DT86" s="61">
        <f t="shared" si="35"/>
        <v>1534102.7</v>
      </c>
      <c r="DU86" s="61">
        <f t="shared" si="35"/>
        <v>3022138.86</v>
      </c>
      <c r="DV86" s="61">
        <f t="shared" si="35"/>
        <v>1788772.44</v>
      </c>
      <c r="DW86" s="61">
        <f t="shared" si="35"/>
        <v>2584941.3199999994</v>
      </c>
      <c r="DX86" s="61">
        <f t="shared" si="35"/>
        <v>1460222.4</v>
      </c>
      <c r="DY86" s="61">
        <f t="shared" si="35"/>
        <v>2547566.58</v>
      </c>
      <c r="DZ86" s="61">
        <f t="shared" si="35"/>
        <v>5747887.3399999989</v>
      </c>
      <c r="EA86" s="61">
        <f t="shared" si="35"/>
        <v>4579709.419999999</v>
      </c>
      <c r="EB86" s="61">
        <f t="shared" si="35"/>
        <v>4541465.5</v>
      </c>
      <c r="EC86" s="61">
        <f t="shared" si="35"/>
        <v>2421535.48</v>
      </c>
      <c r="ED86" s="61">
        <f t="shared" si="35"/>
        <v>13463598.199999999</v>
      </c>
      <c r="EE86" s="61">
        <f t="shared" si="35"/>
        <v>1665348.88</v>
      </c>
      <c r="EF86" s="61">
        <f t="shared" si="35"/>
        <v>11506204.839999998</v>
      </c>
      <c r="EG86" s="61">
        <f t="shared" si="35"/>
        <v>2203371.2999999998</v>
      </c>
      <c r="EH86" s="61">
        <f t="shared" si="35"/>
        <v>2150351.3199999998</v>
      </c>
      <c r="EI86" s="61">
        <f t="shared" si="35"/>
        <v>119311469.41999999</v>
      </c>
      <c r="EJ86" s="61">
        <f t="shared" si="35"/>
        <v>86236562.879999995</v>
      </c>
      <c r="EK86" s="61">
        <f t="shared" si="35"/>
        <v>5785262.0800000001</v>
      </c>
      <c r="EL86" s="61">
        <f t="shared" si="35"/>
        <v>3974760.1399999997</v>
      </c>
      <c r="EM86" s="61">
        <f t="shared" si="35"/>
        <v>3225526.98</v>
      </c>
      <c r="EN86" s="61">
        <f t="shared" si="35"/>
        <v>7723533.4799999995</v>
      </c>
      <c r="EO86" s="61">
        <f t="shared" si="35"/>
        <v>2603194.0999999996</v>
      </c>
      <c r="EP86" s="61">
        <f t="shared" si="35"/>
        <v>3724436.3</v>
      </c>
      <c r="EQ86" s="61">
        <f t="shared" si="35"/>
        <v>22553482.640000001</v>
      </c>
      <c r="ER86" s="61">
        <f t="shared" si="35"/>
        <v>2673597.6800000002</v>
      </c>
      <c r="ES86" s="61">
        <f t="shared" si="35"/>
        <v>1416763.4</v>
      </c>
      <c r="ET86" s="61">
        <f t="shared" si="35"/>
        <v>1716630.4999999998</v>
      </c>
      <c r="EU86" s="61">
        <f t="shared" si="35"/>
        <v>4984747.3</v>
      </c>
      <c r="EV86" s="61">
        <f t="shared" si="35"/>
        <v>628417.1399999999</v>
      </c>
      <c r="EW86" s="61">
        <f t="shared" si="35"/>
        <v>6991683.919999999</v>
      </c>
      <c r="EX86" s="61">
        <f t="shared" si="35"/>
        <v>1508027.2999999998</v>
      </c>
      <c r="EY86" s="61">
        <f t="shared" si="35"/>
        <v>1786164.9</v>
      </c>
      <c r="EZ86" s="61">
        <f t="shared" si="35"/>
        <v>1123849.74</v>
      </c>
      <c r="FA86" s="61">
        <f t="shared" si="35"/>
        <v>29191410.299999997</v>
      </c>
      <c r="FB86" s="61">
        <f t="shared" si="35"/>
        <v>2399805.98</v>
      </c>
      <c r="FC86" s="61">
        <f t="shared" si="35"/>
        <v>15399262.059999999</v>
      </c>
      <c r="FD86" s="61">
        <f t="shared" si="35"/>
        <v>3494103.5999999996</v>
      </c>
      <c r="FE86" s="61">
        <f t="shared" si="35"/>
        <v>671876.1399999999</v>
      </c>
      <c r="FF86" s="61">
        <f t="shared" si="35"/>
        <v>1573215.7999999998</v>
      </c>
      <c r="FG86" s="61">
        <f t="shared" si="35"/>
        <v>1041277.6399999999</v>
      </c>
      <c r="FH86" s="61">
        <f t="shared" si="35"/>
        <v>608426</v>
      </c>
      <c r="FI86" s="61">
        <f t="shared" si="35"/>
        <v>14618738.42</v>
      </c>
      <c r="FJ86" s="61">
        <f t="shared" si="35"/>
        <v>17527014.699999999</v>
      </c>
      <c r="FK86" s="61">
        <f t="shared" si="35"/>
        <v>21972001.219999999</v>
      </c>
      <c r="FL86" s="61">
        <f t="shared" si="35"/>
        <v>74214934.299999997</v>
      </c>
      <c r="FM86" s="61">
        <f t="shared" si="35"/>
        <v>34606401.699999996</v>
      </c>
      <c r="FN86" s="61">
        <f t="shared" si="35"/>
        <v>194890147.13999999</v>
      </c>
      <c r="FO86" s="61">
        <f t="shared" si="35"/>
        <v>9710478.959999999</v>
      </c>
      <c r="FP86" s="61">
        <f t="shared" si="35"/>
        <v>20351849.699999999</v>
      </c>
      <c r="FQ86" s="61">
        <f t="shared" si="35"/>
        <v>8539693.5</v>
      </c>
      <c r="FR86" s="61">
        <f t="shared" si="35"/>
        <v>1437623.72</v>
      </c>
      <c r="FS86" s="61">
        <f t="shared" si="35"/>
        <v>1430670.2799999998</v>
      </c>
      <c r="FT86" s="61">
        <f t="shared" si="35"/>
        <v>521507.99999999994</v>
      </c>
      <c r="FU86" s="61">
        <f t="shared" si="35"/>
        <v>6816978.7399999993</v>
      </c>
      <c r="FV86" s="61">
        <f t="shared" si="35"/>
        <v>6014725.5999999996</v>
      </c>
      <c r="FW86" s="61">
        <f t="shared" si="35"/>
        <v>1228151.3400000001</v>
      </c>
      <c r="FX86" s="61">
        <f t="shared" si="35"/>
        <v>560621.1</v>
      </c>
      <c r="FY86" s="25"/>
      <c r="FZ86" s="7">
        <f>SUM(C86:FX86)</f>
        <v>7066166561.7400017</v>
      </c>
      <c r="GA86" s="62">
        <v>7066166561.7400017</v>
      </c>
      <c r="GB86" s="26">
        <f>FZ86-GA86</f>
        <v>0</v>
      </c>
      <c r="GC86" s="25"/>
      <c r="GD86" s="25"/>
      <c r="GE86" s="25"/>
      <c r="GF86" s="25"/>
      <c r="GG86" s="7"/>
      <c r="GH86" s="23"/>
      <c r="GI86" s="23"/>
      <c r="GJ86" s="23"/>
      <c r="GK86" s="23"/>
      <c r="GL86" s="23"/>
      <c r="GM86" s="23"/>
      <c r="GN86" s="23"/>
      <c r="GO86" s="23"/>
      <c r="GP86" s="7"/>
      <c r="GQ86" s="7"/>
      <c r="GR86" s="7"/>
      <c r="GS86" s="7"/>
      <c r="GT86" s="7"/>
      <c r="GU86" s="7"/>
      <c r="GV86" s="7"/>
    </row>
    <row r="87" spans="1:204" ht="15.5" x14ac:dyDescent="0.35">
      <c r="A87" s="12"/>
      <c r="B87" s="5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5"/>
      <c r="FZ87" s="25"/>
      <c r="GA87" s="7"/>
      <c r="GB87" s="25"/>
      <c r="GC87" s="25"/>
      <c r="GD87" s="25"/>
      <c r="GE87" s="25"/>
      <c r="GF87" s="25"/>
      <c r="GG87" s="7"/>
      <c r="GH87" s="23"/>
      <c r="GI87" s="23"/>
      <c r="GJ87" s="23"/>
      <c r="GK87" s="23"/>
      <c r="GL87" s="23"/>
      <c r="GM87" s="23"/>
      <c r="GN87" s="23"/>
      <c r="GO87" s="23"/>
      <c r="GP87" s="7"/>
      <c r="GQ87" s="7"/>
      <c r="GR87" s="7"/>
      <c r="GS87" s="7"/>
      <c r="GT87" s="7"/>
      <c r="GU87" s="7"/>
      <c r="GV87" s="7"/>
    </row>
    <row r="88" spans="1:204" ht="15.5" x14ac:dyDescent="0.35">
      <c r="A88" s="7"/>
      <c r="B88" s="5" t="s">
        <v>581</v>
      </c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7"/>
      <c r="FZ88" s="7"/>
      <c r="GA88" s="25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31"/>
      <c r="GO88" s="31"/>
      <c r="GP88" s="31"/>
      <c r="GQ88" s="7"/>
      <c r="GR88" s="7"/>
      <c r="GS88" s="7"/>
      <c r="GT88" s="7"/>
      <c r="GU88" s="7"/>
      <c r="GV88" s="7"/>
    </row>
    <row r="89" spans="1:204" ht="15.5" x14ac:dyDescent="0.35">
      <c r="A89" s="12" t="s">
        <v>582</v>
      </c>
      <c r="B89" s="7" t="s">
        <v>583</v>
      </c>
      <c r="C89" s="23">
        <f t="shared" ref="C89:FX89" si="36">C17</f>
        <v>2311</v>
      </c>
      <c r="D89" s="23">
        <f t="shared" si="36"/>
        <v>9785</v>
      </c>
      <c r="E89" s="23">
        <f t="shared" si="36"/>
        <v>2809</v>
      </c>
      <c r="F89" s="23">
        <f t="shared" si="36"/>
        <v>3989</v>
      </c>
      <c r="G89" s="23">
        <f t="shared" si="36"/>
        <v>189</v>
      </c>
      <c r="H89" s="23">
        <f t="shared" si="36"/>
        <v>169</v>
      </c>
      <c r="I89" s="23">
        <f t="shared" si="36"/>
        <v>4032</v>
      </c>
      <c r="J89" s="23">
        <f t="shared" si="36"/>
        <v>831</v>
      </c>
      <c r="K89" s="23">
        <f t="shared" si="36"/>
        <v>83</v>
      </c>
      <c r="L89" s="23">
        <f t="shared" si="36"/>
        <v>732</v>
      </c>
      <c r="M89" s="23">
        <f t="shared" si="36"/>
        <v>521</v>
      </c>
      <c r="N89" s="23">
        <f t="shared" si="36"/>
        <v>8671</v>
      </c>
      <c r="O89" s="23">
        <f t="shared" si="36"/>
        <v>1022</v>
      </c>
      <c r="P89" s="23">
        <f t="shared" si="36"/>
        <v>65</v>
      </c>
      <c r="Q89" s="23">
        <f t="shared" si="36"/>
        <v>17070</v>
      </c>
      <c r="R89" s="23">
        <f t="shared" si="36"/>
        <v>839</v>
      </c>
      <c r="S89" s="23">
        <f t="shared" si="36"/>
        <v>529</v>
      </c>
      <c r="T89" s="23">
        <f t="shared" si="36"/>
        <v>57</v>
      </c>
      <c r="U89" s="23">
        <f t="shared" si="36"/>
        <v>22</v>
      </c>
      <c r="V89" s="23">
        <f t="shared" si="36"/>
        <v>100</v>
      </c>
      <c r="W89" s="23">
        <f t="shared" si="36"/>
        <v>50</v>
      </c>
      <c r="X89" s="23">
        <f t="shared" si="36"/>
        <v>14</v>
      </c>
      <c r="Y89" s="23">
        <f t="shared" si="36"/>
        <v>276</v>
      </c>
      <c r="Z89" s="23">
        <f t="shared" si="36"/>
        <v>60</v>
      </c>
      <c r="AA89" s="23">
        <f t="shared" si="36"/>
        <v>5295</v>
      </c>
      <c r="AB89" s="23">
        <f t="shared" si="36"/>
        <v>3397</v>
      </c>
      <c r="AC89" s="23">
        <f t="shared" si="36"/>
        <v>123</v>
      </c>
      <c r="AD89" s="23">
        <f t="shared" si="36"/>
        <v>283</v>
      </c>
      <c r="AE89" s="23">
        <f t="shared" si="36"/>
        <v>20</v>
      </c>
      <c r="AF89" s="23">
        <f t="shared" si="36"/>
        <v>34</v>
      </c>
      <c r="AG89" s="23">
        <f t="shared" si="36"/>
        <v>74</v>
      </c>
      <c r="AH89" s="23">
        <f t="shared" si="36"/>
        <v>356</v>
      </c>
      <c r="AI89" s="23">
        <f t="shared" si="36"/>
        <v>129</v>
      </c>
      <c r="AJ89" s="23">
        <f t="shared" si="36"/>
        <v>71</v>
      </c>
      <c r="AK89" s="23">
        <f t="shared" si="36"/>
        <v>106</v>
      </c>
      <c r="AL89" s="23">
        <f t="shared" si="36"/>
        <v>109</v>
      </c>
      <c r="AM89" s="23">
        <f t="shared" si="36"/>
        <v>175</v>
      </c>
      <c r="AN89" s="23">
        <f t="shared" si="36"/>
        <v>98</v>
      </c>
      <c r="AO89" s="23">
        <f t="shared" si="36"/>
        <v>1189</v>
      </c>
      <c r="AP89" s="23">
        <f t="shared" si="36"/>
        <v>30699</v>
      </c>
      <c r="AQ89" s="23">
        <f t="shared" si="36"/>
        <v>74</v>
      </c>
      <c r="AR89" s="23">
        <f t="shared" si="36"/>
        <v>3849</v>
      </c>
      <c r="AS89" s="23">
        <f t="shared" si="36"/>
        <v>1103</v>
      </c>
      <c r="AT89" s="23">
        <f t="shared" si="36"/>
        <v>221</v>
      </c>
      <c r="AU89" s="23">
        <f t="shared" si="36"/>
        <v>48</v>
      </c>
      <c r="AV89" s="23">
        <f t="shared" si="36"/>
        <v>107</v>
      </c>
      <c r="AW89" s="23">
        <f t="shared" si="36"/>
        <v>42</v>
      </c>
      <c r="AX89" s="23">
        <f t="shared" si="36"/>
        <v>0</v>
      </c>
      <c r="AY89" s="23">
        <f t="shared" si="36"/>
        <v>133</v>
      </c>
      <c r="AZ89" s="23">
        <f t="shared" si="36"/>
        <v>5157</v>
      </c>
      <c r="BA89" s="23">
        <f t="shared" si="36"/>
        <v>2278</v>
      </c>
      <c r="BB89" s="23">
        <f t="shared" si="36"/>
        <v>2184</v>
      </c>
      <c r="BC89" s="23">
        <f t="shared" si="36"/>
        <v>8604</v>
      </c>
      <c r="BD89" s="23">
        <f t="shared" si="36"/>
        <v>170</v>
      </c>
      <c r="BE89" s="23">
        <f t="shared" si="36"/>
        <v>210</v>
      </c>
      <c r="BF89" s="23">
        <f t="shared" si="36"/>
        <v>1507</v>
      </c>
      <c r="BG89" s="23">
        <f t="shared" si="36"/>
        <v>224</v>
      </c>
      <c r="BH89" s="23">
        <f t="shared" si="36"/>
        <v>65</v>
      </c>
      <c r="BI89" s="23">
        <f t="shared" si="36"/>
        <v>101</v>
      </c>
      <c r="BJ89" s="23">
        <f t="shared" si="36"/>
        <v>387</v>
      </c>
      <c r="BK89" s="23">
        <f t="shared" si="36"/>
        <v>3764</v>
      </c>
      <c r="BL89" s="23">
        <f t="shared" si="36"/>
        <v>24</v>
      </c>
      <c r="BM89" s="23">
        <f t="shared" si="36"/>
        <v>92</v>
      </c>
      <c r="BN89" s="23">
        <f t="shared" si="36"/>
        <v>1087</v>
      </c>
      <c r="BO89" s="23">
        <f t="shared" si="36"/>
        <v>366</v>
      </c>
      <c r="BP89" s="23">
        <f t="shared" si="36"/>
        <v>82</v>
      </c>
      <c r="BQ89" s="23">
        <f t="shared" si="36"/>
        <v>1279</v>
      </c>
      <c r="BR89" s="23">
        <f t="shared" si="36"/>
        <v>1093</v>
      </c>
      <c r="BS89" s="23">
        <f t="shared" si="36"/>
        <v>465</v>
      </c>
      <c r="BT89" s="23">
        <f t="shared" si="36"/>
        <v>61</v>
      </c>
      <c r="BU89" s="23">
        <f t="shared" si="36"/>
        <v>78</v>
      </c>
      <c r="BV89" s="23">
        <f t="shared" si="36"/>
        <v>206</v>
      </c>
      <c r="BW89" s="23">
        <f t="shared" si="36"/>
        <v>217</v>
      </c>
      <c r="BX89" s="23">
        <f t="shared" si="36"/>
        <v>14</v>
      </c>
      <c r="BY89" s="23">
        <f t="shared" si="36"/>
        <v>256</v>
      </c>
      <c r="BZ89" s="23">
        <f t="shared" si="36"/>
        <v>55</v>
      </c>
      <c r="CA89" s="23">
        <f t="shared" si="36"/>
        <v>33</v>
      </c>
      <c r="CB89" s="23">
        <f t="shared" si="36"/>
        <v>13384</v>
      </c>
      <c r="CC89" s="23">
        <f t="shared" si="36"/>
        <v>49</v>
      </c>
      <c r="CD89" s="23">
        <f t="shared" si="36"/>
        <v>7</v>
      </c>
      <c r="CE89" s="23">
        <f t="shared" si="36"/>
        <v>25</v>
      </c>
      <c r="CF89" s="23">
        <f t="shared" si="36"/>
        <v>41</v>
      </c>
      <c r="CG89" s="23">
        <f t="shared" si="36"/>
        <v>63</v>
      </c>
      <c r="CH89" s="23">
        <f t="shared" si="36"/>
        <v>36</v>
      </c>
      <c r="CI89" s="23">
        <f t="shared" si="36"/>
        <v>281</v>
      </c>
      <c r="CJ89" s="23">
        <f t="shared" si="36"/>
        <v>280</v>
      </c>
      <c r="CK89" s="23">
        <f t="shared" si="36"/>
        <v>852</v>
      </c>
      <c r="CL89" s="23">
        <f t="shared" si="36"/>
        <v>250</v>
      </c>
      <c r="CM89" s="23">
        <f t="shared" si="36"/>
        <v>180</v>
      </c>
      <c r="CN89" s="23">
        <f t="shared" si="36"/>
        <v>4931</v>
      </c>
      <c r="CO89" s="23">
        <f t="shared" si="36"/>
        <v>2428</v>
      </c>
      <c r="CP89" s="23">
        <f t="shared" si="36"/>
        <v>198</v>
      </c>
      <c r="CQ89" s="23">
        <f t="shared" si="36"/>
        <v>352</v>
      </c>
      <c r="CR89" s="23">
        <f t="shared" si="36"/>
        <v>62</v>
      </c>
      <c r="CS89" s="23">
        <f t="shared" si="36"/>
        <v>80</v>
      </c>
      <c r="CT89" s="23">
        <f t="shared" si="36"/>
        <v>54</v>
      </c>
      <c r="CU89" s="23">
        <f t="shared" si="36"/>
        <v>68</v>
      </c>
      <c r="CV89" s="23">
        <f t="shared" si="36"/>
        <v>3</v>
      </c>
      <c r="CW89" s="23">
        <f t="shared" si="36"/>
        <v>53</v>
      </c>
      <c r="CX89" s="23">
        <f t="shared" si="36"/>
        <v>117</v>
      </c>
      <c r="CY89" s="23">
        <f t="shared" si="36"/>
        <v>13.2</v>
      </c>
      <c r="CZ89" s="23">
        <f t="shared" si="36"/>
        <v>677</v>
      </c>
      <c r="DA89" s="23">
        <f t="shared" si="36"/>
        <v>36</v>
      </c>
      <c r="DB89" s="23">
        <f t="shared" si="36"/>
        <v>59</v>
      </c>
      <c r="DC89" s="23">
        <f t="shared" si="36"/>
        <v>28</v>
      </c>
      <c r="DD89" s="23">
        <f t="shared" si="36"/>
        <v>41</v>
      </c>
      <c r="DE89" s="23">
        <f t="shared" si="36"/>
        <v>34</v>
      </c>
      <c r="DF89" s="23">
        <f t="shared" si="36"/>
        <v>5994</v>
      </c>
      <c r="DG89" s="23">
        <f t="shared" si="36"/>
        <v>20</v>
      </c>
      <c r="DH89" s="23">
        <f t="shared" si="36"/>
        <v>548</v>
      </c>
      <c r="DI89" s="23">
        <f t="shared" si="36"/>
        <v>1006</v>
      </c>
      <c r="DJ89" s="23">
        <f t="shared" si="36"/>
        <v>126</v>
      </c>
      <c r="DK89" s="23">
        <f t="shared" si="36"/>
        <v>132</v>
      </c>
      <c r="DL89" s="23">
        <f t="shared" si="36"/>
        <v>1818</v>
      </c>
      <c r="DM89" s="23">
        <f t="shared" si="36"/>
        <v>81</v>
      </c>
      <c r="DN89" s="23">
        <f t="shared" si="36"/>
        <v>418</v>
      </c>
      <c r="DO89" s="23">
        <f t="shared" si="36"/>
        <v>925</v>
      </c>
      <c r="DP89" s="23">
        <f t="shared" si="36"/>
        <v>47</v>
      </c>
      <c r="DQ89" s="23">
        <f t="shared" si="36"/>
        <v>162</v>
      </c>
      <c r="DR89" s="23">
        <f t="shared" si="36"/>
        <v>640</v>
      </c>
      <c r="DS89" s="23">
        <f t="shared" si="36"/>
        <v>342</v>
      </c>
      <c r="DT89" s="23">
        <f t="shared" si="36"/>
        <v>72</v>
      </c>
      <c r="DU89" s="23">
        <f t="shared" si="36"/>
        <v>128</v>
      </c>
      <c r="DV89" s="23">
        <f t="shared" si="36"/>
        <v>56</v>
      </c>
      <c r="DW89" s="23">
        <f t="shared" si="36"/>
        <v>91</v>
      </c>
      <c r="DX89" s="23">
        <f t="shared" si="36"/>
        <v>24</v>
      </c>
      <c r="DY89" s="23">
        <f t="shared" si="36"/>
        <v>27</v>
      </c>
      <c r="DZ89" s="23">
        <f t="shared" si="36"/>
        <v>74</v>
      </c>
      <c r="EA89" s="23">
        <f t="shared" si="36"/>
        <v>130</v>
      </c>
      <c r="EB89" s="23">
        <f t="shared" si="36"/>
        <v>172</v>
      </c>
      <c r="EC89" s="23">
        <f t="shared" si="36"/>
        <v>68</v>
      </c>
      <c r="ED89" s="23">
        <f t="shared" si="36"/>
        <v>24</v>
      </c>
      <c r="EE89" s="23">
        <f t="shared" si="36"/>
        <v>69</v>
      </c>
      <c r="EF89" s="23">
        <f t="shared" si="36"/>
        <v>603</v>
      </c>
      <c r="EG89" s="23">
        <f t="shared" si="36"/>
        <v>100</v>
      </c>
      <c r="EH89" s="23">
        <f t="shared" si="36"/>
        <v>68</v>
      </c>
      <c r="EI89" s="23">
        <f t="shared" si="36"/>
        <v>6981</v>
      </c>
      <c r="EJ89" s="23">
        <f t="shared" si="36"/>
        <v>2957</v>
      </c>
      <c r="EK89" s="23">
        <f t="shared" si="36"/>
        <v>147</v>
      </c>
      <c r="EL89" s="23">
        <f t="shared" si="36"/>
        <v>123</v>
      </c>
      <c r="EM89" s="23">
        <f t="shared" si="36"/>
        <v>111</v>
      </c>
      <c r="EN89" s="23">
        <f t="shared" si="36"/>
        <v>401</v>
      </c>
      <c r="EO89" s="23">
        <f t="shared" si="36"/>
        <v>68</v>
      </c>
      <c r="EP89" s="23">
        <f t="shared" si="36"/>
        <v>53</v>
      </c>
      <c r="EQ89" s="23">
        <f t="shared" si="36"/>
        <v>54</v>
      </c>
      <c r="ER89" s="23">
        <f t="shared" si="36"/>
        <v>52</v>
      </c>
      <c r="ES89" s="23">
        <f t="shared" si="36"/>
        <v>45</v>
      </c>
      <c r="ET89" s="23">
        <f t="shared" si="36"/>
        <v>105</v>
      </c>
      <c r="EU89" s="23">
        <f t="shared" si="36"/>
        <v>308</v>
      </c>
      <c r="EV89" s="23">
        <f t="shared" si="36"/>
        <v>32</v>
      </c>
      <c r="EW89" s="23">
        <f t="shared" si="36"/>
        <v>111</v>
      </c>
      <c r="EX89" s="23">
        <f t="shared" si="36"/>
        <v>40</v>
      </c>
      <c r="EY89" s="23">
        <f t="shared" si="36"/>
        <v>163</v>
      </c>
      <c r="EZ89" s="23">
        <f t="shared" si="36"/>
        <v>39</v>
      </c>
      <c r="FA89" s="23">
        <f t="shared" si="36"/>
        <v>619</v>
      </c>
      <c r="FB89" s="23">
        <f t="shared" si="36"/>
        <v>87</v>
      </c>
      <c r="FC89" s="23">
        <f t="shared" si="36"/>
        <v>275</v>
      </c>
      <c r="FD89" s="23">
        <f t="shared" si="36"/>
        <v>127</v>
      </c>
      <c r="FE89" s="23">
        <f t="shared" si="36"/>
        <v>25</v>
      </c>
      <c r="FF89" s="23">
        <f t="shared" si="36"/>
        <v>63</v>
      </c>
      <c r="FG89" s="23">
        <f t="shared" si="36"/>
        <v>16</v>
      </c>
      <c r="FH89" s="23">
        <f t="shared" si="36"/>
        <v>18</v>
      </c>
      <c r="FI89" s="23">
        <f t="shared" si="36"/>
        <v>453</v>
      </c>
      <c r="FJ89" s="23">
        <f t="shared" si="36"/>
        <v>369</v>
      </c>
      <c r="FK89" s="23">
        <f t="shared" si="36"/>
        <v>506</v>
      </c>
      <c r="FL89" s="23">
        <f t="shared" si="36"/>
        <v>657</v>
      </c>
      <c r="FM89" s="23">
        <f t="shared" si="36"/>
        <v>275</v>
      </c>
      <c r="FN89" s="23">
        <f t="shared" si="36"/>
        <v>8885</v>
      </c>
      <c r="FO89" s="23">
        <f t="shared" si="36"/>
        <v>307</v>
      </c>
      <c r="FP89" s="23">
        <f t="shared" si="36"/>
        <v>752</v>
      </c>
      <c r="FQ89" s="23">
        <f t="shared" si="36"/>
        <v>184</v>
      </c>
      <c r="FR89" s="23">
        <f t="shared" si="36"/>
        <v>31</v>
      </c>
      <c r="FS89" s="23">
        <f t="shared" si="36"/>
        <v>18</v>
      </c>
      <c r="FT89" s="23">
        <f t="shared" si="36"/>
        <v>16</v>
      </c>
      <c r="FU89" s="23">
        <f t="shared" si="36"/>
        <v>332</v>
      </c>
      <c r="FV89" s="23">
        <f t="shared" si="36"/>
        <v>237</v>
      </c>
      <c r="FW89" s="23">
        <f t="shared" si="36"/>
        <v>50</v>
      </c>
      <c r="FX89" s="23">
        <f t="shared" si="36"/>
        <v>16</v>
      </c>
      <c r="FY89" s="63"/>
      <c r="FZ89" s="7">
        <f t="shared" ref="FZ89:FZ90" si="37">SUM(C89:FX89)</f>
        <v>196775.2</v>
      </c>
      <c r="GA89" s="25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</row>
    <row r="90" spans="1:204" ht="15.5" x14ac:dyDescent="0.35">
      <c r="A90" s="12" t="s">
        <v>584</v>
      </c>
      <c r="B90" s="7" t="s">
        <v>585</v>
      </c>
      <c r="C90" s="23">
        <f t="shared" ref="C90:FX90" si="38">C20</f>
        <v>5936.4</v>
      </c>
      <c r="D90" s="23">
        <f t="shared" si="38"/>
        <v>28893.599999999999</v>
      </c>
      <c r="E90" s="23">
        <f t="shared" si="38"/>
        <v>4468.8</v>
      </c>
      <c r="F90" s="23">
        <f t="shared" si="38"/>
        <v>15351.599999999999</v>
      </c>
      <c r="G90" s="23">
        <f t="shared" si="38"/>
        <v>850.8</v>
      </c>
      <c r="H90" s="23">
        <f t="shared" si="38"/>
        <v>794.4</v>
      </c>
      <c r="I90" s="23">
        <f t="shared" si="38"/>
        <v>6464.4</v>
      </c>
      <c r="J90" s="23">
        <f t="shared" si="38"/>
        <v>1663.2</v>
      </c>
      <c r="K90" s="23">
        <f t="shared" si="38"/>
        <v>186</v>
      </c>
      <c r="L90" s="23">
        <f t="shared" si="38"/>
        <v>1503.6</v>
      </c>
      <c r="M90" s="23">
        <f t="shared" si="38"/>
        <v>685.19999999999993</v>
      </c>
      <c r="N90" s="23">
        <f t="shared" si="38"/>
        <v>36894</v>
      </c>
      <c r="O90" s="23">
        <f t="shared" si="38"/>
        <v>9018</v>
      </c>
      <c r="P90" s="23">
        <f t="shared" si="38"/>
        <v>188.4</v>
      </c>
      <c r="Q90" s="23">
        <f t="shared" si="38"/>
        <v>28060.799999999999</v>
      </c>
      <c r="R90" s="23">
        <f t="shared" si="38"/>
        <v>3002.4</v>
      </c>
      <c r="S90" s="23">
        <f t="shared" si="38"/>
        <v>1274.3999999999999</v>
      </c>
      <c r="T90" s="23">
        <f t="shared" si="38"/>
        <v>124.8</v>
      </c>
      <c r="U90" s="23">
        <f t="shared" si="38"/>
        <v>37.199999999999996</v>
      </c>
      <c r="V90" s="23">
        <f t="shared" si="38"/>
        <v>208.79999999999998</v>
      </c>
      <c r="W90" s="23">
        <f t="shared" si="38"/>
        <v>181.2</v>
      </c>
      <c r="X90" s="23">
        <f t="shared" si="38"/>
        <v>36</v>
      </c>
      <c r="Y90" s="23">
        <f t="shared" si="38"/>
        <v>460.79999999999995</v>
      </c>
      <c r="Z90" s="23">
        <f t="shared" si="38"/>
        <v>170.4</v>
      </c>
      <c r="AA90" s="23">
        <f t="shared" si="38"/>
        <v>22339.200000000001</v>
      </c>
      <c r="AB90" s="23">
        <f t="shared" si="38"/>
        <v>19311.599999999999</v>
      </c>
      <c r="AC90" s="23">
        <f t="shared" si="38"/>
        <v>718.8</v>
      </c>
      <c r="AD90" s="23">
        <f t="shared" si="38"/>
        <v>1010.4</v>
      </c>
      <c r="AE90" s="23">
        <f t="shared" si="38"/>
        <v>67.2</v>
      </c>
      <c r="AF90" s="23">
        <f t="shared" si="38"/>
        <v>141.6</v>
      </c>
      <c r="AG90" s="23">
        <f t="shared" si="38"/>
        <v>415.2</v>
      </c>
      <c r="AH90" s="23">
        <f t="shared" si="38"/>
        <v>710.4</v>
      </c>
      <c r="AI90" s="23">
        <f t="shared" si="38"/>
        <v>262.8</v>
      </c>
      <c r="AJ90" s="23">
        <f t="shared" si="38"/>
        <v>108</v>
      </c>
      <c r="AK90" s="23">
        <f t="shared" si="38"/>
        <v>139.19999999999999</v>
      </c>
      <c r="AL90" s="23">
        <f t="shared" si="38"/>
        <v>169.2</v>
      </c>
      <c r="AM90" s="23">
        <f t="shared" si="38"/>
        <v>295.2</v>
      </c>
      <c r="AN90" s="23">
        <f t="shared" si="38"/>
        <v>248.39999999999998</v>
      </c>
      <c r="AO90" s="23">
        <f t="shared" si="38"/>
        <v>3228</v>
      </c>
      <c r="AP90" s="23">
        <f t="shared" si="38"/>
        <v>60844.799999999996</v>
      </c>
      <c r="AQ90" s="23">
        <f t="shared" si="38"/>
        <v>171.6</v>
      </c>
      <c r="AR90" s="23">
        <f t="shared" si="38"/>
        <v>45588</v>
      </c>
      <c r="AS90" s="23">
        <f t="shared" si="38"/>
        <v>4693.2</v>
      </c>
      <c r="AT90" s="23">
        <f t="shared" si="38"/>
        <v>1702.8</v>
      </c>
      <c r="AU90" s="23">
        <f t="shared" si="38"/>
        <v>177.6</v>
      </c>
      <c r="AV90" s="23">
        <f t="shared" si="38"/>
        <v>230.39999999999998</v>
      </c>
      <c r="AW90" s="23">
        <f t="shared" si="38"/>
        <v>178.79999999999998</v>
      </c>
      <c r="AX90" s="23">
        <f t="shared" si="38"/>
        <v>61.199999999999996</v>
      </c>
      <c r="AY90" s="23">
        <f t="shared" si="38"/>
        <v>319.2</v>
      </c>
      <c r="AZ90" s="23">
        <f t="shared" si="38"/>
        <v>10087.199999999999</v>
      </c>
      <c r="BA90" s="23">
        <f t="shared" si="38"/>
        <v>6768</v>
      </c>
      <c r="BB90" s="23">
        <f t="shared" si="38"/>
        <v>6028.8</v>
      </c>
      <c r="BC90" s="23">
        <f t="shared" si="38"/>
        <v>19404</v>
      </c>
      <c r="BD90" s="23">
        <f t="shared" si="38"/>
        <v>2425.1999999999998</v>
      </c>
      <c r="BE90" s="23">
        <f t="shared" si="38"/>
        <v>919.19999999999993</v>
      </c>
      <c r="BF90" s="23">
        <f t="shared" si="38"/>
        <v>18489.599999999999</v>
      </c>
      <c r="BG90" s="23">
        <f t="shared" si="38"/>
        <v>656.4</v>
      </c>
      <c r="BH90" s="23">
        <f t="shared" si="38"/>
        <v>358.8</v>
      </c>
      <c r="BI90" s="23">
        <f t="shared" si="38"/>
        <v>177.6</v>
      </c>
      <c r="BJ90" s="23">
        <f t="shared" si="38"/>
        <v>4314</v>
      </c>
      <c r="BK90" s="23">
        <f t="shared" si="38"/>
        <v>14372.4</v>
      </c>
      <c r="BL90" s="23">
        <f t="shared" si="38"/>
        <v>57.599999999999994</v>
      </c>
      <c r="BM90" s="23">
        <f t="shared" si="38"/>
        <v>207.6</v>
      </c>
      <c r="BN90" s="23">
        <f t="shared" si="38"/>
        <v>2450.4</v>
      </c>
      <c r="BO90" s="23">
        <f t="shared" si="38"/>
        <v>1017.5999999999999</v>
      </c>
      <c r="BP90" s="23">
        <f t="shared" si="38"/>
        <v>153.6</v>
      </c>
      <c r="BQ90" s="23">
        <f t="shared" si="38"/>
        <v>4099.2</v>
      </c>
      <c r="BR90" s="23">
        <f t="shared" si="38"/>
        <v>3291.6</v>
      </c>
      <c r="BS90" s="23">
        <f t="shared" si="38"/>
        <v>853.19999999999993</v>
      </c>
      <c r="BT90" s="23">
        <f t="shared" si="38"/>
        <v>291.59999999999997</v>
      </c>
      <c r="BU90" s="23">
        <f t="shared" si="38"/>
        <v>290.39999999999998</v>
      </c>
      <c r="BV90" s="23">
        <f t="shared" si="38"/>
        <v>890.4</v>
      </c>
      <c r="BW90" s="23">
        <f t="shared" si="38"/>
        <v>1508.3999999999999</v>
      </c>
      <c r="BX90" s="23">
        <f t="shared" si="38"/>
        <v>45.6</v>
      </c>
      <c r="BY90" s="23">
        <f t="shared" si="38"/>
        <v>372</v>
      </c>
      <c r="BZ90" s="23">
        <f t="shared" si="38"/>
        <v>128.4</v>
      </c>
      <c r="CA90" s="23">
        <f t="shared" si="38"/>
        <v>106.8</v>
      </c>
      <c r="CB90" s="23">
        <f t="shared" si="38"/>
        <v>54669.599999999999</v>
      </c>
      <c r="CC90" s="23">
        <f t="shared" si="38"/>
        <v>139.19999999999999</v>
      </c>
      <c r="CD90" s="23">
        <f t="shared" si="38"/>
        <v>122.39999999999999</v>
      </c>
      <c r="CE90" s="23">
        <f t="shared" si="38"/>
        <v>96</v>
      </c>
      <c r="CF90" s="23">
        <f t="shared" si="38"/>
        <v>99.6</v>
      </c>
      <c r="CG90" s="23">
        <f t="shared" si="38"/>
        <v>148.79999999999998</v>
      </c>
      <c r="CH90" s="23">
        <f t="shared" si="38"/>
        <v>66</v>
      </c>
      <c r="CI90" s="23">
        <f t="shared" si="38"/>
        <v>511.2</v>
      </c>
      <c r="CJ90" s="23">
        <f t="shared" si="38"/>
        <v>643.19999999999993</v>
      </c>
      <c r="CK90" s="23">
        <f t="shared" si="38"/>
        <v>4425.5999999999995</v>
      </c>
      <c r="CL90" s="23">
        <f t="shared" si="38"/>
        <v>985.19999999999993</v>
      </c>
      <c r="CM90" s="23">
        <f t="shared" si="38"/>
        <v>456</v>
      </c>
      <c r="CN90" s="23">
        <f t="shared" si="38"/>
        <v>23926.799999999999</v>
      </c>
      <c r="CO90" s="23">
        <f t="shared" si="38"/>
        <v>10768.8</v>
      </c>
      <c r="CP90" s="23">
        <f t="shared" si="38"/>
        <v>679.19999999999993</v>
      </c>
      <c r="CQ90" s="23">
        <f t="shared" si="38"/>
        <v>577.19999999999993</v>
      </c>
      <c r="CR90" s="23">
        <f t="shared" si="38"/>
        <v>177.6</v>
      </c>
      <c r="CS90" s="23">
        <f t="shared" si="38"/>
        <v>240</v>
      </c>
      <c r="CT90" s="23">
        <f t="shared" si="38"/>
        <v>80.399999999999991</v>
      </c>
      <c r="CU90" s="23">
        <f t="shared" si="38"/>
        <v>340.8</v>
      </c>
      <c r="CV90" s="23">
        <f t="shared" si="38"/>
        <v>14.399999999999999</v>
      </c>
      <c r="CW90" s="23">
        <f t="shared" si="38"/>
        <v>150</v>
      </c>
      <c r="CX90" s="23">
        <f t="shared" si="38"/>
        <v>315.59999999999997</v>
      </c>
      <c r="CY90" s="23">
        <f t="shared" si="38"/>
        <v>26.4</v>
      </c>
      <c r="CZ90" s="23">
        <f t="shared" si="38"/>
        <v>1434</v>
      </c>
      <c r="DA90" s="23">
        <f t="shared" si="38"/>
        <v>154.79999999999998</v>
      </c>
      <c r="DB90" s="23">
        <f t="shared" si="38"/>
        <v>228</v>
      </c>
      <c r="DC90" s="23">
        <f t="shared" si="38"/>
        <v>115.19999999999999</v>
      </c>
      <c r="DD90" s="23">
        <f t="shared" si="38"/>
        <v>126</v>
      </c>
      <c r="DE90" s="23">
        <f t="shared" si="38"/>
        <v>177.6</v>
      </c>
      <c r="DF90" s="23">
        <f t="shared" si="38"/>
        <v>15525.599999999999</v>
      </c>
      <c r="DG90" s="23">
        <f t="shared" si="38"/>
        <v>56.4</v>
      </c>
      <c r="DH90" s="23">
        <f t="shared" si="38"/>
        <v>1485.6</v>
      </c>
      <c r="DI90" s="23">
        <f t="shared" si="38"/>
        <v>1899.6</v>
      </c>
      <c r="DJ90" s="23">
        <f t="shared" si="38"/>
        <v>543.6</v>
      </c>
      <c r="DK90" s="23">
        <f t="shared" si="38"/>
        <v>338.4</v>
      </c>
      <c r="DL90" s="23">
        <f t="shared" si="38"/>
        <v>4126.8</v>
      </c>
      <c r="DM90" s="23">
        <f t="shared" si="38"/>
        <v>174</v>
      </c>
      <c r="DN90" s="23">
        <f t="shared" si="38"/>
        <v>985.19999999999993</v>
      </c>
      <c r="DO90" s="23">
        <f t="shared" si="38"/>
        <v>2394</v>
      </c>
      <c r="DP90" s="23">
        <f t="shared" si="38"/>
        <v>163.19999999999999</v>
      </c>
      <c r="DQ90" s="23">
        <f t="shared" si="38"/>
        <v>570</v>
      </c>
      <c r="DR90" s="23">
        <f t="shared" si="38"/>
        <v>1002</v>
      </c>
      <c r="DS90" s="23">
        <f t="shared" si="38"/>
        <v>495.59999999999997</v>
      </c>
      <c r="DT90" s="23">
        <f t="shared" si="38"/>
        <v>106.8</v>
      </c>
      <c r="DU90" s="23">
        <f t="shared" si="38"/>
        <v>266.39999999999998</v>
      </c>
      <c r="DV90" s="23">
        <f t="shared" si="38"/>
        <v>160.79999999999998</v>
      </c>
      <c r="DW90" s="23">
        <f t="shared" si="38"/>
        <v>235.2</v>
      </c>
      <c r="DX90" s="23">
        <f t="shared" si="38"/>
        <v>136.79999999999998</v>
      </c>
      <c r="DY90" s="23">
        <f t="shared" si="38"/>
        <v>223.2</v>
      </c>
      <c r="DZ90" s="23">
        <f t="shared" si="38"/>
        <v>536.4</v>
      </c>
      <c r="EA90" s="23">
        <f t="shared" si="38"/>
        <v>430.8</v>
      </c>
      <c r="EB90" s="23">
        <f t="shared" si="38"/>
        <v>394.8</v>
      </c>
      <c r="EC90" s="23">
        <f t="shared" si="38"/>
        <v>222</v>
      </c>
      <c r="ED90" s="23">
        <f t="shared" si="38"/>
        <v>1160.3999999999999</v>
      </c>
      <c r="EE90" s="23">
        <f t="shared" si="38"/>
        <v>122.39999999999999</v>
      </c>
      <c r="EF90" s="23">
        <f t="shared" si="38"/>
        <v>1033.2</v>
      </c>
      <c r="EG90" s="23">
        <f t="shared" si="38"/>
        <v>186</v>
      </c>
      <c r="EH90" s="23">
        <f t="shared" si="38"/>
        <v>198</v>
      </c>
      <c r="EI90" s="23">
        <f t="shared" si="38"/>
        <v>10844.4</v>
      </c>
      <c r="EJ90" s="23">
        <f t="shared" si="38"/>
        <v>7365.5999999999995</v>
      </c>
      <c r="EK90" s="23">
        <f t="shared" si="38"/>
        <v>490.79999999999995</v>
      </c>
      <c r="EL90" s="23">
        <f t="shared" si="38"/>
        <v>357.59999999999997</v>
      </c>
      <c r="EM90" s="23">
        <f t="shared" si="38"/>
        <v>310.8</v>
      </c>
      <c r="EN90" s="23">
        <f t="shared" si="38"/>
        <v>699.6</v>
      </c>
      <c r="EO90" s="23">
        <f t="shared" si="38"/>
        <v>244.79999999999998</v>
      </c>
      <c r="EP90" s="23">
        <f t="shared" si="38"/>
        <v>316.8</v>
      </c>
      <c r="EQ90" s="23">
        <f t="shared" si="38"/>
        <v>1966.8</v>
      </c>
      <c r="ER90" s="23">
        <f t="shared" si="38"/>
        <v>212.4</v>
      </c>
      <c r="ES90" s="23">
        <f t="shared" si="38"/>
        <v>134.4</v>
      </c>
      <c r="ET90" s="23">
        <f t="shared" si="38"/>
        <v>158.4</v>
      </c>
      <c r="EU90" s="23">
        <f t="shared" si="38"/>
        <v>408</v>
      </c>
      <c r="EV90" s="23">
        <f t="shared" si="38"/>
        <v>60</v>
      </c>
      <c r="EW90" s="23">
        <f t="shared" si="38"/>
        <v>604.79999999999995</v>
      </c>
      <c r="EX90" s="23">
        <f t="shared" si="38"/>
        <v>140.4</v>
      </c>
      <c r="EY90" s="23">
        <f t="shared" si="38"/>
        <v>393.59999999999997</v>
      </c>
      <c r="EZ90" s="23">
        <f t="shared" si="38"/>
        <v>99.6</v>
      </c>
      <c r="FA90" s="23">
        <f t="shared" si="38"/>
        <v>2515.1999999999998</v>
      </c>
      <c r="FB90" s="23">
        <f t="shared" si="38"/>
        <v>220.79999999999998</v>
      </c>
      <c r="FC90" s="23">
        <f t="shared" si="38"/>
        <v>1204.8</v>
      </c>
      <c r="FD90" s="23">
        <f t="shared" si="38"/>
        <v>306</v>
      </c>
      <c r="FE90" s="23">
        <f t="shared" si="38"/>
        <v>56.4</v>
      </c>
      <c r="FF90" s="23">
        <f t="shared" si="38"/>
        <v>146.4</v>
      </c>
      <c r="FG90" s="23">
        <f t="shared" si="38"/>
        <v>92.399999999999991</v>
      </c>
      <c r="FH90" s="23">
        <f t="shared" si="38"/>
        <v>57.599999999999994</v>
      </c>
      <c r="FI90" s="23">
        <f t="shared" si="38"/>
        <v>1282.8</v>
      </c>
      <c r="FJ90" s="23">
        <f t="shared" si="38"/>
        <v>1510.8</v>
      </c>
      <c r="FK90" s="23">
        <f t="shared" si="38"/>
        <v>1927.1999999999998</v>
      </c>
      <c r="FL90" s="23">
        <f t="shared" si="38"/>
        <v>5967.5999999999995</v>
      </c>
      <c r="FM90" s="23">
        <f t="shared" si="38"/>
        <v>2769.6</v>
      </c>
      <c r="FN90" s="23">
        <f t="shared" si="38"/>
        <v>15997.199999999999</v>
      </c>
      <c r="FO90" s="23">
        <f t="shared" si="38"/>
        <v>782.4</v>
      </c>
      <c r="FP90" s="23">
        <f t="shared" si="38"/>
        <v>1665.6</v>
      </c>
      <c r="FQ90" s="23">
        <f t="shared" si="38"/>
        <v>739.19999999999993</v>
      </c>
      <c r="FR90" s="23">
        <f t="shared" si="38"/>
        <v>116.39999999999999</v>
      </c>
      <c r="FS90" s="23">
        <f t="shared" si="38"/>
        <v>141.6</v>
      </c>
      <c r="FT90" s="23">
        <f t="shared" si="38"/>
        <v>48</v>
      </c>
      <c r="FU90" s="23">
        <f t="shared" si="38"/>
        <v>598.79999999999995</v>
      </c>
      <c r="FV90" s="23">
        <f t="shared" si="38"/>
        <v>510</v>
      </c>
      <c r="FW90" s="23">
        <f t="shared" si="38"/>
        <v>120</v>
      </c>
      <c r="FX90" s="23">
        <f t="shared" si="38"/>
        <v>50.4</v>
      </c>
      <c r="FY90" s="39"/>
      <c r="FZ90" s="7">
        <f t="shared" si="37"/>
        <v>610058.40000000037</v>
      </c>
      <c r="GA90" s="31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</row>
    <row r="91" spans="1:204" ht="15.5" x14ac:dyDescent="0.35">
      <c r="A91" s="12" t="s">
        <v>586</v>
      </c>
      <c r="B91" s="7" t="s">
        <v>587</v>
      </c>
      <c r="C91" s="64">
        <f t="shared" ref="C91:FX91" si="39">ROUND(C89/C90,4)</f>
        <v>0.38929999999999998</v>
      </c>
      <c r="D91" s="64">
        <f t="shared" si="39"/>
        <v>0.3387</v>
      </c>
      <c r="E91" s="64">
        <f t="shared" si="39"/>
        <v>0.62860000000000005</v>
      </c>
      <c r="F91" s="64">
        <f t="shared" si="39"/>
        <v>0.25979999999999998</v>
      </c>
      <c r="G91" s="64">
        <f t="shared" si="39"/>
        <v>0.22209999999999999</v>
      </c>
      <c r="H91" s="64">
        <f t="shared" si="39"/>
        <v>0.2127</v>
      </c>
      <c r="I91" s="64">
        <f t="shared" si="39"/>
        <v>0.62370000000000003</v>
      </c>
      <c r="J91" s="64">
        <f t="shared" si="39"/>
        <v>0.49959999999999999</v>
      </c>
      <c r="K91" s="64">
        <f t="shared" si="39"/>
        <v>0.44619999999999999</v>
      </c>
      <c r="L91" s="64">
        <f t="shared" si="39"/>
        <v>0.48680000000000001</v>
      </c>
      <c r="M91" s="64">
        <f t="shared" si="39"/>
        <v>0.76039999999999996</v>
      </c>
      <c r="N91" s="64">
        <f t="shared" si="39"/>
        <v>0.23499999999999999</v>
      </c>
      <c r="O91" s="64">
        <f t="shared" si="39"/>
        <v>0.1133</v>
      </c>
      <c r="P91" s="64">
        <f t="shared" si="39"/>
        <v>0.34499999999999997</v>
      </c>
      <c r="Q91" s="64">
        <f t="shared" si="39"/>
        <v>0.60829999999999995</v>
      </c>
      <c r="R91" s="64">
        <f t="shared" si="39"/>
        <v>0.27939999999999998</v>
      </c>
      <c r="S91" s="64">
        <f t="shared" si="39"/>
        <v>0.41510000000000002</v>
      </c>
      <c r="T91" s="64">
        <f t="shared" si="39"/>
        <v>0.45669999999999999</v>
      </c>
      <c r="U91" s="64">
        <f t="shared" si="39"/>
        <v>0.59140000000000004</v>
      </c>
      <c r="V91" s="64">
        <f t="shared" si="39"/>
        <v>0.47889999999999999</v>
      </c>
      <c r="W91" s="64">
        <f t="shared" si="39"/>
        <v>0.27589999999999998</v>
      </c>
      <c r="X91" s="64">
        <f t="shared" si="39"/>
        <v>0.38890000000000002</v>
      </c>
      <c r="Y91" s="64">
        <f t="shared" si="39"/>
        <v>0.59899999999999998</v>
      </c>
      <c r="Z91" s="64">
        <f t="shared" si="39"/>
        <v>0.35210000000000002</v>
      </c>
      <c r="AA91" s="64">
        <f t="shared" si="39"/>
        <v>0.23699999999999999</v>
      </c>
      <c r="AB91" s="64">
        <f t="shared" si="39"/>
        <v>0.1759</v>
      </c>
      <c r="AC91" s="64">
        <f t="shared" si="39"/>
        <v>0.1711</v>
      </c>
      <c r="AD91" s="64">
        <f t="shared" si="39"/>
        <v>0.28010000000000002</v>
      </c>
      <c r="AE91" s="64">
        <f t="shared" si="39"/>
        <v>0.29759999999999998</v>
      </c>
      <c r="AF91" s="64">
        <f t="shared" si="39"/>
        <v>0.24010000000000001</v>
      </c>
      <c r="AG91" s="64">
        <f t="shared" si="39"/>
        <v>0.1782</v>
      </c>
      <c r="AH91" s="64">
        <f t="shared" si="39"/>
        <v>0.50109999999999999</v>
      </c>
      <c r="AI91" s="64">
        <f t="shared" si="39"/>
        <v>0.4909</v>
      </c>
      <c r="AJ91" s="64">
        <f t="shared" si="39"/>
        <v>0.65739999999999998</v>
      </c>
      <c r="AK91" s="64">
        <f t="shared" si="39"/>
        <v>0.76149999999999995</v>
      </c>
      <c r="AL91" s="64">
        <f t="shared" si="39"/>
        <v>0.64419999999999999</v>
      </c>
      <c r="AM91" s="64">
        <f t="shared" si="39"/>
        <v>0.59279999999999999</v>
      </c>
      <c r="AN91" s="64">
        <f t="shared" si="39"/>
        <v>0.39450000000000002</v>
      </c>
      <c r="AO91" s="64">
        <f t="shared" si="39"/>
        <v>0.36830000000000002</v>
      </c>
      <c r="AP91" s="64">
        <f t="shared" si="39"/>
        <v>0.50449999999999995</v>
      </c>
      <c r="AQ91" s="64">
        <f t="shared" si="39"/>
        <v>0.43120000000000003</v>
      </c>
      <c r="AR91" s="64">
        <f t="shared" si="39"/>
        <v>8.4400000000000003E-2</v>
      </c>
      <c r="AS91" s="64">
        <f t="shared" si="39"/>
        <v>0.23499999999999999</v>
      </c>
      <c r="AT91" s="64">
        <f t="shared" si="39"/>
        <v>0.1298</v>
      </c>
      <c r="AU91" s="64">
        <f t="shared" si="39"/>
        <v>0.27029999999999998</v>
      </c>
      <c r="AV91" s="64">
        <f t="shared" si="39"/>
        <v>0.46439999999999998</v>
      </c>
      <c r="AW91" s="64">
        <f t="shared" si="39"/>
        <v>0.2349</v>
      </c>
      <c r="AX91" s="64">
        <f t="shared" si="39"/>
        <v>0</v>
      </c>
      <c r="AY91" s="64">
        <f t="shared" si="39"/>
        <v>0.41670000000000001</v>
      </c>
      <c r="AZ91" s="64">
        <f t="shared" si="39"/>
        <v>0.51119999999999999</v>
      </c>
      <c r="BA91" s="64">
        <f t="shared" si="39"/>
        <v>0.33660000000000001</v>
      </c>
      <c r="BB91" s="64">
        <f t="shared" si="39"/>
        <v>0.36230000000000001</v>
      </c>
      <c r="BC91" s="64">
        <f t="shared" si="39"/>
        <v>0.44340000000000002</v>
      </c>
      <c r="BD91" s="64">
        <f t="shared" si="39"/>
        <v>7.0099999999999996E-2</v>
      </c>
      <c r="BE91" s="64">
        <f t="shared" si="39"/>
        <v>0.22850000000000001</v>
      </c>
      <c r="BF91" s="64">
        <f t="shared" si="39"/>
        <v>8.1500000000000003E-2</v>
      </c>
      <c r="BG91" s="64">
        <f t="shared" si="39"/>
        <v>0.34129999999999999</v>
      </c>
      <c r="BH91" s="64">
        <f t="shared" si="39"/>
        <v>0.1812</v>
      </c>
      <c r="BI91" s="64">
        <f t="shared" si="39"/>
        <v>0.56869999999999998</v>
      </c>
      <c r="BJ91" s="64">
        <f t="shared" si="39"/>
        <v>8.9700000000000002E-2</v>
      </c>
      <c r="BK91" s="64">
        <f t="shared" si="39"/>
        <v>0.26190000000000002</v>
      </c>
      <c r="BL91" s="64">
        <f t="shared" si="39"/>
        <v>0.41670000000000001</v>
      </c>
      <c r="BM91" s="64">
        <f t="shared" si="39"/>
        <v>0.44319999999999998</v>
      </c>
      <c r="BN91" s="64">
        <f t="shared" si="39"/>
        <v>0.44359999999999999</v>
      </c>
      <c r="BO91" s="64">
        <f t="shared" si="39"/>
        <v>0.35970000000000002</v>
      </c>
      <c r="BP91" s="64">
        <f t="shared" si="39"/>
        <v>0.53390000000000004</v>
      </c>
      <c r="BQ91" s="64">
        <f t="shared" si="39"/>
        <v>0.312</v>
      </c>
      <c r="BR91" s="64">
        <f t="shared" si="39"/>
        <v>0.33210000000000001</v>
      </c>
      <c r="BS91" s="64">
        <f t="shared" si="39"/>
        <v>0.54500000000000004</v>
      </c>
      <c r="BT91" s="64">
        <f t="shared" si="39"/>
        <v>0.2092</v>
      </c>
      <c r="BU91" s="64">
        <f t="shared" si="39"/>
        <v>0.26860000000000001</v>
      </c>
      <c r="BV91" s="64">
        <f t="shared" si="39"/>
        <v>0.23139999999999999</v>
      </c>
      <c r="BW91" s="64">
        <f t="shared" si="39"/>
        <v>0.1439</v>
      </c>
      <c r="BX91" s="64">
        <f t="shared" si="39"/>
        <v>0.307</v>
      </c>
      <c r="BY91" s="64">
        <f t="shared" si="39"/>
        <v>0.68820000000000003</v>
      </c>
      <c r="BZ91" s="64">
        <f t="shared" si="39"/>
        <v>0.42830000000000001</v>
      </c>
      <c r="CA91" s="64">
        <f t="shared" si="39"/>
        <v>0.309</v>
      </c>
      <c r="CB91" s="64">
        <f t="shared" si="39"/>
        <v>0.24479999999999999</v>
      </c>
      <c r="CC91" s="64">
        <f t="shared" si="39"/>
        <v>0.35199999999999998</v>
      </c>
      <c r="CD91" s="64">
        <f t="shared" si="39"/>
        <v>5.7200000000000001E-2</v>
      </c>
      <c r="CE91" s="64">
        <f t="shared" si="39"/>
        <v>0.26040000000000002</v>
      </c>
      <c r="CF91" s="64">
        <f t="shared" si="39"/>
        <v>0.41160000000000002</v>
      </c>
      <c r="CG91" s="64">
        <f t="shared" si="39"/>
        <v>0.4234</v>
      </c>
      <c r="CH91" s="64">
        <f t="shared" si="39"/>
        <v>0.54549999999999998</v>
      </c>
      <c r="CI91" s="64">
        <f t="shared" si="39"/>
        <v>0.54969999999999997</v>
      </c>
      <c r="CJ91" s="64">
        <f t="shared" si="39"/>
        <v>0.43530000000000002</v>
      </c>
      <c r="CK91" s="64">
        <f t="shared" si="39"/>
        <v>0.1925</v>
      </c>
      <c r="CL91" s="64">
        <f t="shared" si="39"/>
        <v>0.25380000000000003</v>
      </c>
      <c r="CM91" s="64">
        <f t="shared" si="39"/>
        <v>0.3947</v>
      </c>
      <c r="CN91" s="64">
        <f t="shared" si="39"/>
        <v>0.20610000000000001</v>
      </c>
      <c r="CO91" s="64">
        <f t="shared" si="39"/>
        <v>0.22550000000000001</v>
      </c>
      <c r="CP91" s="64">
        <f t="shared" si="39"/>
        <v>0.29149999999999998</v>
      </c>
      <c r="CQ91" s="64">
        <f t="shared" si="39"/>
        <v>0.60980000000000001</v>
      </c>
      <c r="CR91" s="64">
        <f t="shared" si="39"/>
        <v>0.34910000000000002</v>
      </c>
      <c r="CS91" s="64">
        <f t="shared" si="39"/>
        <v>0.33329999999999999</v>
      </c>
      <c r="CT91" s="64">
        <f t="shared" si="39"/>
        <v>0.67159999999999997</v>
      </c>
      <c r="CU91" s="64">
        <f t="shared" si="39"/>
        <v>0.19950000000000001</v>
      </c>
      <c r="CV91" s="64">
        <f t="shared" si="39"/>
        <v>0.20830000000000001</v>
      </c>
      <c r="CW91" s="64">
        <f t="shared" si="39"/>
        <v>0.3533</v>
      </c>
      <c r="CX91" s="64">
        <f t="shared" si="39"/>
        <v>0.37069999999999997</v>
      </c>
      <c r="CY91" s="64">
        <f t="shared" si="39"/>
        <v>0.5</v>
      </c>
      <c r="CZ91" s="64">
        <f t="shared" si="39"/>
        <v>0.47210000000000002</v>
      </c>
      <c r="DA91" s="64">
        <f t="shared" si="39"/>
        <v>0.2326</v>
      </c>
      <c r="DB91" s="64">
        <f t="shared" si="39"/>
        <v>0.25879999999999997</v>
      </c>
      <c r="DC91" s="64">
        <f t="shared" si="39"/>
        <v>0.24310000000000001</v>
      </c>
      <c r="DD91" s="64">
        <f t="shared" si="39"/>
        <v>0.32540000000000002</v>
      </c>
      <c r="DE91" s="64">
        <f t="shared" si="39"/>
        <v>0.19139999999999999</v>
      </c>
      <c r="DF91" s="64">
        <f t="shared" si="39"/>
        <v>0.3861</v>
      </c>
      <c r="DG91" s="64">
        <f t="shared" si="39"/>
        <v>0.35460000000000003</v>
      </c>
      <c r="DH91" s="64">
        <f t="shared" si="39"/>
        <v>0.36890000000000001</v>
      </c>
      <c r="DI91" s="64">
        <f t="shared" si="39"/>
        <v>0.52959999999999996</v>
      </c>
      <c r="DJ91" s="64">
        <f t="shared" si="39"/>
        <v>0.23180000000000001</v>
      </c>
      <c r="DK91" s="64">
        <f t="shared" si="39"/>
        <v>0.3901</v>
      </c>
      <c r="DL91" s="64">
        <f t="shared" si="39"/>
        <v>0.4405</v>
      </c>
      <c r="DM91" s="64">
        <f t="shared" si="39"/>
        <v>0.46550000000000002</v>
      </c>
      <c r="DN91" s="64">
        <f t="shared" si="39"/>
        <v>0.42430000000000001</v>
      </c>
      <c r="DO91" s="64">
        <f t="shared" si="39"/>
        <v>0.38640000000000002</v>
      </c>
      <c r="DP91" s="64">
        <f t="shared" si="39"/>
        <v>0.28799999999999998</v>
      </c>
      <c r="DQ91" s="64">
        <f t="shared" si="39"/>
        <v>0.28420000000000001</v>
      </c>
      <c r="DR91" s="64">
        <f t="shared" si="39"/>
        <v>0.63870000000000005</v>
      </c>
      <c r="DS91" s="64">
        <f t="shared" si="39"/>
        <v>0.69010000000000005</v>
      </c>
      <c r="DT91" s="64">
        <f t="shared" si="39"/>
        <v>0.67420000000000002</v>
      </c>
      <c r="DU91" s="64">
        <f t="shared" si="39"/>
        <v>0.48049999999999998</v>
      </c>
      <c r="DV91" s="64">
        <f t="shared" si="39"/>
        <v>0.3483</v>
      </c>
      <c r="DW91" s="64">
        <f t="shared" si="39"/>
        <v>0.38690000000000002</v>
      </c>
      <c r="DX91" s="64">
        <f t="shared" si="39"/>
        <v>0.1754</v>
      </c>
      <c r="DY91" s="64">
        <f t="shared" si="39"/>
        <v>0.121</v>
      </c>
      <c r="DZ91" s="64">
        <f t="shared" si="39"/>
        <v>0.13800000000000001</v>
      </c>
      <c r="EA91" s="64">
        <f t="shared" si="39"/>
        <v>0.30180000000000001</v>
      </c>
      <c r="EB91" s="64">
        <f t="shared" si="39"/>
        <v>0.43569999999999998</v>
      </c>
      <c r="EC91" s="64">
        <f t="shared" si="39"/>
        <v>0.30630000000000002</v>
      </c>
      <c r="ED91" s="64">
        <f t="shared" si="39"/>
        <v>2.07E-2</v>
      </c>
      <c r="EE91" s="64">
        <f t="shared" si="39"/>
        <v>0.56369999999999998</v>
      </c>
      <c r="EF91" s="64">
        <f t="shared" si="39"/>
        <v>0.58360000000000001</v>
      </c>
      <c r="EG91" s="64">
        <f t="shared" si="39"/>
        <v>0.53759999999999997</v>
      </c>
      <c r="EH91" s="64">
        <f t="shared" si="39"/>
        <v>0.34339999999999998</v>
      </c>
      <c r="EI91" s="64">
        <f t="shared" si="39"/>
        <v>0.64370000000000005</v>
      </c>
      <c r="EJ91" s="64">
        <f t="shared" si="39"/>
        <v>0.40150000000000002</v>
      </c>
      <c r="EK91" s="64">
        <f t="shared" si="39"/>
        <v>0.29949999999999999</v>
      </c>
      <c r="EL91" s="64">
        <f t="shared" si="39"/>
        <v>0.34399999999999997</v>
      </c>
      <c r="EM91" s="64">
        <f t="shared" si="39"/>
        <v>0.35709999999999997</v>
      </c>
      <c r="EN91" s="64">
        <f t="shared" si="39"/>
        <v>0.57320000000000004</v>
      </c>
      <c r="EO91" s="64">
        <f t="shared" si="39"/>
        <v>0.27779999999999999</v>
      </c>
      <c r="EP91" s="64">
        <f t="shared" si="39"/>
        <v>0.1673</v>
      </c>
      <c r="EQ91" s="64">
        <f t="shared" si="39"/>
        <v>2.75E-2</v>
      </c>
      <c r="ER91" s="64">
        <f t="shared" si="39"/>
        <v>0.24479999999999999</v>
      </c>
      <c r="ES91" s="64">
        <f t="shared" si="39"/>
        <v>0.33479999999999999</v>
      </c>
      <c r="ET91" s="64">
        <f t="shared" si="39"/>
        <v>0.66290000000000004</v>
      </c>
      <c r="EU91" s="64">
        <f t="shared" si="39"/>
        <v>0.75490000000000002</v>
      </c>
      <c r="EV91" s="64">
        <f t="shared" si="39"/>
        <v>0.5333</v>
      </c>
      <c r="EW91" s="64">
        <f t="shared" si="39"/>
        <v>0.1835</v>
      </c>
      <c r="EX91" s="64">
        <f t="shared" si="39"/>
        <v>0.28489999999999999</v>
      </c>
      <c r="EY91" s="64">
        <f t="shared" si="39"/>
        <v>0.41410000000000002</v>
      </c>
      <c r="EZ91" s="64">
        <f t="shared" si="39"/>
        <v>0.3916</v>
      </c>
      <c r="FA91" s="64">
        <f t="shared" si="39"/>
        <v>0.24610000000000001</v>
      </c>
      <c r="FB91" s="64">
        <f t="shared" si="39"/>
        <v>0.39400000000000002</v>
      </c>
      <c r="FC91" s="64">
        <f t="shared" si="39"/>
        <v>0.2283</v>
      </c>
      <c r="FD91" s="64">
        <f t="shared" si="39"/>
        <v>0.41499999999999998</v>
      </c>
      <c r="FE91" s="64">
        <f t="shared" si="39"/>
        <v>0.44330000000000003</v>
      </c>
      <c r="FF91" s="64">
        <f t="shared" si="39"/>
        <v>0.43030000000000002</v>
      </c>
      <c r="FG91" s="64">
        <f t="shared" si="39"/>
        <v>0.17319999999999999</v>
      </c>
      <c r="FH91" s="64">
        <f t="shared" si="39"/>
        <v>0.3125</v>
      </c>
      <c r="FI91" s="64">
        <f t="shared" si="39"/>
        <v>0.35310000000000002</v>
      </c>
      <c r="FJ91" s="64">
        <f t="shared" si="39"/>
        <v>0.2442</v>
      </c>
      <c r="FK91" s="64">
        <f t="shared" si="39"/>
        <v>0.2626</v>
      </c>
      <c r="FL91" s="64">
        <f t="shared" si="39"/>
        <v>0.1101</v>
      </c>
      <c r="FM91" s="64">
        <f t="shared" si="39"/>
        <v>9.9299999999999999E-2</v>
      </c>
      <c r="FN91" s="64">
        <f t="shared" si="39"/>
        <v>0.5554</v>
      </c>
      <c r="FO91" s="64">
        <f t="shared" si="39"/>
        <v>0.39240000000000003</v>
      </c>
      <c r="FP91" s="64">
        <f t="shared" si="39"/>
        <v>0.45150000000000001</v>
      </c>
      <c r="FQ91" s="64">
        <f t="shared" si="39"/>
        <v>0.24890000000000001</v>
      </c>
      <c r="FR91" s="64">
        <f t="shared" si="39"/>
        <v>0.26629999999999998</v>
      </c>
      <c r="FS91" s="64">
        <f t="shared" si="39"/>
        <v>0.12709999999999999</v>
      </c>
      <c r="FT91" s="64">
        <f t="shared" si="39"/>
        <v>0.33329999999999999</v>
      </c>
      <c r="FU91" s="64">
        <f t="shared" si="39"/>
        <v>0.5544</v>
      </c>
      <c r="FV91" s="64">
        <f t="shared" si="39"/>
        <v>0.4647</v>
      </c>
      <c r="FW91" s="64">
        <f t="shared" si="39"/>
        <v>0.41670000000000001</v>
      </c>
      <c r="FX91" s="64">
        <f t="shared" si="39"/>
        <v>0.3175</v>
      </c>
      <c r="FY91" s="32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</row>
    <row r="92" spans="1:204" ht="15.5" x14ac:dyDescent="0.35">
      <c r="A92" s="12" t="s">
        <v>588</v>
      </c>
      <c r="B92" s="7" t="s">
        <v>589</v>
      </c>
      <c r="C92" s="23">
        <f t="shared" ref="C92:FX92" si="40">ROUND((C91*C21),1)</f>
        <v>2539</v>
      </c>
      <c r="D92" s="23">
        <f t="shared" si="40"/>
        <v>12576.3</v>
      </c>
      <c r="E92" s="23">
        <f t="shared" si="40"/>
        <v>3347.5</v>
      </c>
      <c r="F92" s="23">
        <f t="shared" si="40"/>
        <v>6343</v>
      </c>
      <c r="G92" s="23">
        <f t="shared" si="40"/>
        <v>409.5</v>
      </c>
      <c r="H92" s="23">
        <f t="shared" si="40"/>
        <v>227.8</v>
      </c>
      <c r="I92" s="23">
        <f t="shared" si="40"/>
        <v>4861.1000000000004</v>
      </c>
      <c r="J92" s="23">
        <f t="shared" si="40"/>
        <v>993.7</v>
      </c>
      <c r="K92" s="23">
        <f t="shared" si="40"/>
        <v>111.1</v>
      </c>
      <c r="L92" s="23">
        <f t="shared" si="40"/>
        <v>1016.4</v>
      </c>
      <c r="M92" s="23">
        <f t="shared" si="40"/>
        <v>645.70000000000005</v>
      </c>
      <c r="N92" s="23">
        <f t="shared" si="40"/>
        <v>11808.1</v>
      </c>
      <c r="O92" s="23">
        <f t="shared" si="40"/>
        <v>1401.6</v>
      </c>
      <c r="P92" s="23">
        <f t="shared" si="40"/>
        <v>107.6</v>
      </c>
      <c r="Q92" s="23">
        <f t="shared" si="40"/>
        <v>24359.9</v>
      </c>
      <c r="R92" s="23">
        <f t="shared" si="40"/>
        <v>2066.1</v>
      </c>
      <c r="S92" s="23">
        <f t="shared" si="40"/>
        <v>657.8</v>
      </c>
      <c r="T92" s="23">
        <f t="shared" si="40"/>
        <v>73.099999999999994</v>
      </c>
      <c r="U92" s="23">
        <f t="shared" si="40"/>
        <v>31.9</v>
      </c>
      <c r="V92" s="23">
        <f t="shared" si="40"/>
        <v>121.4</v>
      </c>
      <c r="W92" s="23">
        <f t="shared" si="40"/>
        <v>13.1</v>
      </c>
      <c r="X92" s="23">
        <f t="shared" si="40"/>
        <v>15.6</v>
      </c>
      <c r="Y92" s="23">
        <f t="shared" si="40"/>
        <v>523.20000000000005</v>
      </c>
      <c r="Z92" s="23">
        <f t="shared" si="40"/>
        <v>81.3</v>
      </c>
      <c r="AA92" s="23">
        <f t="shared" si="40"/>
        <v>7365.1</v>
      </c>
      <c r="AB92" s="23">
        <f t="shared" si="40"/>
        <v>4724.6000000000004</v>
      </c>
      <c r="AC92" s="23">
        <f t="shared" si="40"/>
        <v>145</v>
      </c>
      <c r="AD92" s="23">
        <f t="shared" si="40"/>
        <v>405.2</v>
      </c>
      <c r="AE92" s="23">
        <f t="shared" si="40"/>
        <v>28.9</v>
      </c>
      <c r="AF92" s="23">
        <f t="shared" si="40"/>
        <v>39.5</v>
      </c>
      <c r="AG92" s="23">
        <f t="shared" si="40"/>
        <v>104.3</v>
      </c>
      <c r="AH92" s="23">
        <f t="shared" si="40"/>
        <v>455</v>
      </c>
      <c r="AI92" s="23">
        <f t="shared" si="40"/>
        <v>188</v>
      </c>
      <c r="AJ92" s="23">
        <f t="shared" si="40"/>
        <v>119.3</v>
      </c>
      <c r="AK92" s="23">
        <f t="shared" si="40"/>
        <v>121.5</v>
      </c>
      <c r="AL92" s="23">
        <f t="shared" si="40"/>
        <v>183.9</v>
      </c>
      <c r="AM92" s="23">
        <f t="shared" si="40"/>
        <v>181.9</v>
      </c>
      <c r="AN92" s="23">
        <f t="shared" si="40"/>
        <v>106.7</v>
      </c>
      <c r="AO92" s="23">
        <f t="shared" si="40"/>
        <v>1517.7</v>
      </c>
      <c r="AP92" s="23">
        <f t="shared" si="40"/>
        <v>42425.599999999999</v>
      </c>
      <c r="AQ92" s="23">
        <f t="shared" si="40"/>
        <v>108.4</v>
      </c>
      <c r="AR92" s="23">
        <f t="shared" si="40"/>
        <v>5168.6000000000004</v>
      </c>
      <c r="AS92" s="23">
        <f t="shared" si="40"/>
        <v>1473.5</v>
      </c>
      <c r="AT92" s="23">
        <f t="shared" si="40"/>
        <v>331.9</v>
      </c>
      <c r="AU92" s="23">
        <f t="shared" si="40"/>
        <v>72.400000000000006</v>
      </c>
      <c r="AV92" s="23">
        <f t="shared" si="40"/>
        <v>137.5</v>
      </c>
      <c r="AW92" s="23">
        <f t="shared" si="40"/>
        <v>60.4</v>
      </c>
      <c r="AX92" s="23">
        <f t="shared" si="40"/>
        <v>0</v>
      </c>
      <c r="AY92" s="23">
        <f t="shared" si="40"/>
        <v>163.1</v>
      </c>
      <c r="AZ92" s="23">
        <f t="shared" si="40"/>
        <v>6180.1</v>
      </c>
      <c r="BA92" s="23">
        <f t="shared" si="40"/>
        <v>3059.6</v>
      </c>
      <c r="BB92" s="23">
        <f t="shared" si="40"/>
        <v>2705.7</v>
      </c>
      <c r="BC92" s="23">
        <f t="shared" si="40"/>
        <v>10943.5</v>
      </c>
      <c r="BD92" s="23">
        <f t="shared" si="40"/>
        <v>255.2</v>
      </c>
      <c r="BE92" s="23">
        <f t="shared" si="40"/>
        <v>249.5</v>
      </c>
      <c r="BF92" s="23">
        <f t="shared" si="40"/>
        <v>2140.9</v>
      </c>
      <c r="BG92" s="23">
        <f t="shared" si="40"/>
        <v>314.3</v>
      </c>
      <c r="BH92" s="23">
        <f t="shared" si="40"/>
        <v>104.7</v>
      </c>
      <c r="BI92" s="23">
        <f t="shared" si="40"/>
        <v>144.69999999999999</v>
      </c>
      <c r="BJ92" s="23">
        <f t="shared" si="40"/>
        <v>576.5</v>
      </c>
      <c r="BK92" s="23">
        <f t="shared" si="40"/>
        <v>7290.4</v>
      </c>
      <c r="BL92" s="23">
        <f t="shared" si="40"/>
        <v>37.6</v>
      </c>
      <c r="BM92" s="23">
        <f t="shared" si="40"/>
        <v>159.6</v>
      </c>
      <c r="BN92" s="23">
        <f t="shared" si="40"/>
        <v>1352.3</v>
      </c>
      <c r="BO92" s="23">
        <f t="shared" si="40"/>
        <v>427.7</v>
      </c>
      <c r="BP92" s="23">
        <f t="shared" si="40"/>
        <v>73.099999999999994</v>
      </c>
      <c r="BQ92" s="23">
        <f t="shared" si="40"/>
        <v>1779.5</v>
      </c>
      <c r="BR92" s="23">
        <f t="shared" si="40"/>
        <v>1455.4</v>
      </c>
      <c r="BS92" s="23">
        <f t="shared" si="40"/>
        <v>621.79999999999995</v>
      </c>
      <c r="BT92" s="23">
        <f t="shared" si="40"/>
        <v>74</v>
      </c>
      <c r="BU92" s="23">
        <f t="shared" si="40"/>
        <v>102.9</v>
      </c>
      <c r="BV92" s="23">
        <f t="shared" si="40"/>
        <v>288</v>
      </c>
      <c r="BW92" s="23">
        <f t="shared" si="40"/>
        <v>291</v>
      </c>
      <c r="BX92" s="23">
        <f t="shared" si="40"/>
        <v>17.5</v>
      </c>
      <c r="BY92" s="23">
        <f t="shared" si="40"/>
        <v>270.8</v>
      </c>
      <c r="BZ92" s="23">
        <f t="shared" si="40"/>
        <v>97.7</v>
      </c>
      <c r="CA92" s="23">
        <f t="shared" si="40"/>
        <v>43.7</v>
      </c>
      <c r="CB92" s="23">
        <f t="shared" si="40"/>
        <v>17892.7</v>
      </c>
      <c r="CC92" s="23">
        <f t="shared" si="40"/>
        <v>65.5</v>
      </c>
      <c r="CD92" s="23">
        <f t="shared" si="40"/>
        <v>1.7</v>
      </c>
      <c r="CE92" s="23">
        <f t="shared" si="40"/>
        <v>41.5</v>
      </c>
      <c r="CF92" s="23">
        <f t="shared" si="40"/>
        <v>41.2</v>
      </c>
      <c r="CG92" s="23">
        <f t="shared" si="40"/>
        <v>81.5</v>
      </c>
      <c r="CH92" s="23">
        <f t="shared" si="40"/>
        <v>49.1</v>
      </c>
      <c r="CI92" s="23">
        <f t="shared" si="40"/>
        <v>375.4</v>
      </c>
      <c r="CJ92" s="23">
        <f t="shared" si="40"/>
        <v>358.3</v>
      </c>
      <c r="CK92" s="23">
        <f t="shared" si="40"/>
        <v>935.3</v>
      </c>
      <c r="CL92" s="23">
        <f t="shared" si="40"/>
        <v>293.2</v>
      </c>
      <c r="CM92" s="23">
        <f t="shared" si="40"/>
        <v>243.5</v>
      </c>
      <c r="CN92" s="23">
        <f t="shared" si="40"/>
        <v>6287.5</v>
      </c>
      <c r="CO92" s="23">
        <f t="shared" si="40"/>
        <v>3185.5</v>
      </c>
      <c r="CP92" s="23">
        <f t="shared" si="40"/>
        <v>261.89999999999998</v>
      </c>
      <c r="CQ92" s="23">
        <f t="shared" si="40"/>
        <v>462.8</v>
      </c>
      <c r="CR92" s="23">
        <f t="shared" si="40"/>
        <v>68.2</v>
      </c>
      <c r="CS92" s="23">
        <f t="shared" si="40"/>
        <v>82.1</v>
      </c>
      <c r="CT92" s="23">
        <f t="shared" si="40"/>
        <v>75.2</v>
      </c>
      <c r="CU92" s="23">
        <f t="shared" si="40"/>
        <v>92.8</v>
      </c>
      <c r="CV92" s="23">
        <f t="shared" si="40"/>
        <v>5</v>
      </c>
      <c r="CW92" s="23">
        <f t="shared" si="40"/>
        <v>65.7</v>
      </c>
      <c r="CX92" s="23">
        <f t="shared" si="40"/>
        <v>169.6</v>
      </c>
      <c r="CY92" s="23">
        <f t="shared" si="40"/>
        <v>12.8</v>
      </c>
      <c r="CZ92" s="23">
        <f t="shared" si="40"/>
        <v>836.1</v>
      </c>
      <c r="DA92" s="23">
        <f t="shared" si="40"/>
        <v>47.5</v>
      </c>
      <c r="DB92" s="23">
        <f t="shared" si="40"/>
        <v>80.400000000000006</v>
      </c>
      <c r="DC92" s="23">
        <f t="shared" si="40"/>
        <v>46.9</v>
      </c>
      <c r="DD92" s="23">
        <f t="shared" si="40"/>
        <v>57.1</v>
      </c>
      <c r="DE92" s="23">
        <f t="shared" si="40"/>
        <v>53.6</v>
      </c>
      <c r="DF92" s="23">
        <f t="shared" si="40"/>
        <v>8045.4</v>
      </c>
      <c r="DG92" s="23">
        <f t="shared" si="40"/>
        <v>33.200000000000003</v>
      </c>
      <c r="DH92" s="23">
        <f t="shared" si="40"/>
        <v>622.70000000000005</v>
      </c>
      <c r="DI92" s="23">
        <f t="shared" si="40"/>
        <v>1246.0999999999999</v>
      </c>
      <c r="DJ92" s="23">
        <f t="shared" si="40"/>
        <v>138.80000000000001</v>
      </c>
      <c r="DK92" s="23">
        <f t="shared" si="40"/>
        <v>184.3</v>
      </c>
      <c r="DL92" s="23">
        <f t="shared" si="40"/>
        <v>2482.6</v>
      </c>
      <c r="DM92" s="23">
        <f t="shared" si="40"/>
        <v>109.9</v>
      </c>
      <c r="DN92" s="23">
        <f t="shared" si="40"/>
        <v>544.29999999999995</v>
      </c>
      <c r="DO92" s="23">
        <f t="shared" si="40"/>
        <v>1267.9000000000001</v>
      </c>
      <c r="DP92" s="23">
        <f t="shared" si="40"/>
        <v>57.3</v>
      </c>
      <c r="DQ92" s="23">
        <f t="shared" si="40"/>
        <v>249.1</v>
      </c>
      <c r="DR92" s="23">
        <f t="shared" si="40"/>
        <v>808.9</v>
      </c>
      <c r="DS92" s="23">
        <f t="shared" si="40"/>
        <v>376.1</v>
      </c>
      <c r="DT92" s="23">
        <f t="shared" si="40"/>
        <v>118.7</v>
      </c>
      <c r="DU92" s="23">
        <f t="shared" si="40"/>
        <v>166.3</v>
      </c>
      <c r="DV92" s="23">
        <f t="shared" si="40"/>
        <v>69.099999999999994</v>
      </c>
      <c r="DW92" s="23">
        <f t="shared" si="40"/>
        <v>110.5</v>
      </c>
      <c r="DX92" s="23">
        <f t="shared" si="40"/>
        <v>29.5</v>
      </c>
      <c r="DY92" s="23">
        <f t="shared" si="40"/>
        <v>33.9</v>
      </c>
      <c r="DZ92" s="23">
        <f t="shared" si="40"/>
        <v>83.7</v>
      </c>
      <c r="EA92" s="23">
        <f t="shared" si="40"/>
        <v>153.5</v>
      </c>
      <c r="EB92" s="23">
        <f t="shared" si="40"/>
        <v>217.6</v>
      </c>
      <c r="EC92" s="23">
        <f t="shared" si="40"/>
        <v>79.8</v>
      </c>
      <c r="ED92" s="23">
        <f t="shared" si="40"/>
        <v>32.1</v>
      </c>
      <c r="EE92" s="23">
        <f t="shared" si="40"/>
        <v>104.6</v>
      </c>
      <c r="EF92" s="23">
        <f t="shared" si="40"/>
        <v>736.5</v>
      </c>
      <c r="EG92" s="23">
        <f t="shared" si="40"/>
        <v>134.4</v>
      </c>
      <c r="EH92" s="23">
        <f t="shared" si="40"/>
        <v>84.5</v>
      </c>
      <c r="EI92" s="23">
        <f t="shared" si="40"/>
        <v>8558.7999999999993</v>
      </c>
      <c r="EJ92" s="23">
        <f t="shared" si="40"/>
        <v>4015.8</v>
      </c>
      <c r="EK92" s="23">
        <f t="shared" si="40"/>
        <v>199.5</v>
      </c>
      <c r="EL92" s="23">
        <f t="shared" si="40"/>
        <v>153.80000000000001</v>
      </c>
      <c r="EM92" s="23">
        <f t="shared" si="40"/>
        <v>125</v>
      </c>
      <c r="EN92" s="23">
        <f t="shared" si="40"/>
        <v>527.5</v>
      </c>
      <c r="EO92" s="23">
        <f t="shared" si="40"/>
        <v>79.7</v>
      </c>
      <c r="EP92" s="23">
        <f t="shared" si="40"/>
        <v>71.8</v>
      </c>
      <c r="EQ92" s="23">
        <f t="shared" si="40"/>
        <v>69.2</v>
      </c>
      <c r="ER92" s="23">
        <f t="shared" si="40"/>
        <v>75.8</v>
      </c>
      <c r="ES92" s="23">
        <f t="shared" si="40"/>
        <v>69.2</v>
      </c>
      <c r="ET92" s="23">
        <f t="shared" si="40"/>
        <v>132.6</v>
      </c>
      <c r="EU92" s="23">
        <f t="shared" si="40"/>
        <v>428.8</v>
      </c>
      <c r="EV92" s="23">
        <f t="shared" si="40"/>
        <v>35.200000000000003</v>
      </c>
      <c r="EW92" s="23">
        <f t="shared" si="40"/>
        <v>137</v>
      </c>
      <c r="EX92" s="23">
        <f t="shared" si="40"/>
        <v>49.4</v>
      </c>
      <c r="EY92" s="23">
        <f t="shared" si="40"/>
        <v>269</v>
      </c>
      <c r="EZ92" s="23">
        <f t="shared" si="40"/>
        <v>49.7</v>
      </c>
      <c r="FA92" s="23">
        <f t="shared" si="40"/>
        <v>802.8</v>
      </c>
      <c r="FB92" s="23">
        <f t="shared" si="40"/>
        <v>105.8</v>
      </c>
      <c r="FC92" s="23">
        <f t="shared" si="40"/>
        <v>386.9</v>
      </c>
      <c r="FD92" s="23">
        <f t="shared" si="40"/>
        <v>165.6</v>
      </c>
      <c r="FE92" s="23">
        <f t="shared" si="40"/>
        <v>31</v>
      </c>
      <c r="FF92" s="23">
        <f t="shared" si="40"/>
        <v>75.3</v>
      </c>
      <c r="FG92" s="23">
        <f t="shared" si="40"/>
        <v>19.7</v>
      </c>
      <c r="FH92" s="23">
        <f t="shared" si="40"/>
        <v>21.6</v>
      </c>
      <c r="FI92" s="23">
        <f t="shared" si="40"/>
        <v>580</v>
      </c>
      <c r="FJ92" s="23">
        <f t="shared" si="40"/>
        <v>490.2</v>
      </c>
      <c r="FK92" s="23">
        <f t="shared" si="40"/>
        <v>650.5</v>
      </c>
      <c r="FL92" s="23">
        <f t="shared" si="40"/>
        <v>940.7</v>
      </c>
      <c r="FM92" s="23">
        <f t="shared" si="40"/>
        <v>394</v>
      </c>
      <c r="FN92" s="23">
        <f t="shared" si="40"/>
        <v>12679.3</v>
      </c>
      <c r="FO92" s="23">
        <f t="shared" si="40"/>
        <v>439.5</v>
      </c>
      <c r="FP92" s="23">
        <f t="shared" si="40"/>
        <v>1057.9000000000001</v>
      </c>
      <c r="FQ92" s="23">
        <f t="shared" si="40"/>
        <v>244.9</v>
      </c>
      <c r="FR92" s="23">
        <f t="shared" si="40"/>
        <v>41.8</v>
      </c>
      <c r="FS92" s="23">
        <f t="shared" si="40"/>
        <v>20.399999999999999</v>
      </c>
      <c r="FT92" s="23">
        <f t="shared" si="40"/>
        <v>18</v>
      </c>
      <c r="FU92" s="23">
        <f t="shared" si="40"/>
        <v>421.6</v>
      </c>
      <c r="FV92" s="23">
        <f t="shared" si="40"/>
        <v>323.7</v>
      </c>
      <c r="FW92" s="23">
        <f t="shared" si="40"/>
        <v>54.2</v>
      </c>
      <c r="FX92" s="23">
        <f t="shared" si="40"/>
        <v>20.3</v>
      </c>
      <c r="FY92" s="32"/>
      <c r="FZ92" s="7"/>
      <c r="GA92" s="65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</row>
    <row r="93" spans="1:204" ht="15.5" x14ac:dyDescent="0.35">
      <c r="A93" s="12" t="s">
        <v>590</v>
      </c>
      <c r="B93" s="7" t="s">
        <v>591</v>
      </c>
      <c r="C93" s="23">
        <f t="shared" ref="C93:FX93" si="41">C18</f>
        <v>4792.3</v>
      </c>
      <c r="D93" s="23">
        <f t="shared" si="41"/>
        <v>19193</v>
      </c>
      <c r="E93" s="23">
        <f t="shared" si="41"/>
        <v>4709.3</v>
      </c>
      <c r="F93" s="23">
        <f t="shared" si="41"/>
        <v>12549.4</v>
      </c>
      <c r="G93" s="23">
        <f t="shared" si="41"/>
        <v>812.2</v>
      </c>
      <c r="H93" s="23">
        <f t="shared" si="41"/>
        <v>438.2</v>
      </c>
      <c r="I93" s="23">
        <f t="shared" si="41"/>
        <v>6388</v>
      </c>
      <c r="J93" s="23">
        <f t="shared" si="41"/>
        <v>1579.5</v>
      </c>
      <c r="K93" s="23">
        <f t="shared" si="41"/>
        <v>152.1</v>
      </c>
      <c r="L93" s="23">
        <f t="shared" si="41"/>
        <v>1348.7</v>
      </c>
      <c r="M93" s="23">
        <f t="shared" si="41"/>
        <v>729.9</v>
      </c>
      <c r="N93" s="23">
        <f t="shared" si="41"/>
        <v>18867.900000000001</v>
      </c>
      <c r="O93" s="23">
        <f t="shared" si="41"/>
        <v>3029.6</v>
      </c>
      <c r="P93" s="23">
        <f t="shared" si="41"/>
        <v>163.6</v>
      </c>
      <c r="Q93" s="23">
        <f t="shared" si="41"/>
        <v>31548.1</v>
      </c>
      <c r="R93" s="23">
        <f t="shared" si="41"/>
        <v>3944.3</v>
      </c>
      <c r="S93" s="23">
        <f t="shared" si="41"/>
        <v>938.6</v>
      </c>
      <c r="T93" s="23">
        <f t="shared" si="41"/>
        <v>118.5</v>
      </c>
      <c r="U93" s="23">
        <f t="shared" si="41"/>
        <v>36.5</v>
      </c>
      <c r="V93" s="23">
        <f t="shared" si="41"/>
        <v>188.9</v>
      </c>
      <c r="W93" s="23">
        <f t="shared" si="41"/>
        <v>37.200000000000003</v>
      </c>
      <c r="X93" s="23">
        <f t="shared" si="41"/>
        <v>22.6</v>
      </c>
      <c r="Y93" s="23">
        <f t="shared" si="41"/>
        <v>735.2</v>
      </c>
      <c r="Z93" s="23">
        <f t="shared" si="41"/>
        <v>90.1</v>
      </c>
      <c r="AA93" s="23">
        <f t="shared" si="41"/>
        <v>11330.4</v>
      </c>
      <c r="AB93" s="23">
        <f t="shared" si="41"/>
        <v>7389</v>
      </c>
      <c r="AC93" s="23">
        <f t="shared" si="41"/>
        <v>311.89999999999998</v>
      </c>
      <c r="AD93" s="23">
        <f t="shared" si="41"/>
        <v>559.29999999999995</v>
      </c>
      <c r="AE93" s="23">
        <f t="shared" si="41"/>
        <v>67.7</v>
      </c>
      <c r="AF93" s="23">
        <f t="shared" si="41"/>
        <v>89.6</v>
      </c>
      <c r="AG93" s="23">
        <f t="shared" si="41"/>
        <v>188.1</v>
      </c>
      <c r="AH93" s="23">
        <f t="shared" si="41"/>
        <v>624.1</v>
      </c>
      <c r="AI93" s="23">
        <f t="shared" si="41"/>
        <v>234.2</v>
      </c>
      <c r="AJ93" s="23">
        <f t="shared" si="41"/>
        <v>153.69999999999999</v>
      </c>
      <c r="AK93" s="23">
        <f t="shared" si="41"/>
        <v>148.5</v>
      </c>
      <c r="AL93" s="23">
        <f t="shared" si="41"/>
        <v>237.9</v>
      </c>
      <c r="AM93" s="23">
        <f t="shared" si="41"/>
        <v>201</v>
      </c>
      <c r="AN93" s="23">
        <f t="shared" si="41"/>
        <v>139.6</v>
      </c>
      <c r="AO93" s="23">
        <f t="shared" si="41"/>
        <v>2493.1</v>
      </c>
      <c r="AP93" s="23">
        <f t="shared" si="41"/>
        <v>52878.5</v>
      </c>
      <c r="AQ93" s="23">
        <f t="shared" si="41"/>
        <v>151.5</v>
      </c>
      <c r="AR93" s="23">
        <f t="shared" si="41"/>
        <v>10739.2</v>
      </c>
      <c r="AS93" s="23">
        <f t="shared" si="41"/>
        <v>2678</v>
      </c>
      <c r="AT93" s="23">
        <f t="shared" si="41"/>
        <v>605.20000000000005</v>
      </c>
      <c r="AU93" s="23">
        <f t="shared" si="41"/>
        <v>108.3</v>
      </c>
      <c r="AV93" s="23">
        <f t="shared" si="41"/>
        <v>187.1</v>
      </c>
      <c r="AW93" s="23">
        <f t="shared" si="41"/>
        <v>88.3</v>
      </c>
      <c r="AX93" s="23">
        <f t="shared" si="41"/>
        <v>44.4</v>
      </c>
      <c r="AY93" s="23">
        <f t="shared" si="41"/>
        <v>210.6</v>
      </c>
      <c r="AZ93" s="23">
        <f t="shared" si="41"/>
        <v>8114.5</v>
      </c>
      <c r="BA93" s="23">
        <f t="shared" si="41"/>
        <v>4395.8</v>
      </c>
      <c r="BB93" s="23">
        <f t="shared" si="41"/>
        <v>3664.6</v>
      </c>
      <c r="BC93" s="23">
        <f t="shared" si="41"/>
        <v>14233.5</v>
      </c>
      <c r="BD93" s="23">
        <f t="shared" si="41"/>
        <v>795.2</v>
      </c>
      <c r="BE93" s="23">
        <f t="shared" si="41"/>
        <v>415.3</v>
      </c>
      <c r="BF93" s="23">
        <f t="shared" si="41"/>
        <v>5915.8</v>
      </c>
      <c r="BG93" s="23">
        <f t="shared" si="41"/>
        <v>551.29999999999995</v>
      </c>
      <c r="BH93" s="23">
        <f t="shared" si="41"/>
        <v>170.4</v>
      </c>
      <c r="BI93" s="23">
        <f t="shared" si="41"/>
        <v>190.9</v>
      </c>
      <c r="BJ93" s="23">
        <f t="shared" si="41"/>
        <v>1101</v>
      </c>
      <c r="BK93" s="23">
        <f t="shared" si="41"/>
        <v>14155.7</v>
      </c>
      <c r="BL93" s="23">
        <f t="shared" si="41"/>
        <v>55.7</v>
      </c>
      <c r="BM93" s="23">
        <f t="shared" si="41"/>
        <v>229</v>
      </c>
      <c r="BN93" s="23">
        <f t="shared" si="41"/>
        <v>1807.7</v>
      </c>
      <c r="BO93" s="23">
        <f t="shared" si="41"/>
        <v>683.1</v>
      </c>
      <c r="BP93" s="23">
        <f t="shared" si="41"/>
        <v>87.6</v>
      </c>
      <c r="BQ93" s="23">
        <f t="shared" si="41"/>
        <v>2928.7</v>
      </c>
      <c r="BR93" s="23">
        <f t="shared" si="41"/>
        <v>2231.5</v>
      </c>
      <c r="BS93" s="23">
        <f t="shared" si="41"/>
        <v>772.3</v>
      </c>
      <c r="BT93" s="23">
        <f t="shared" si="41"/>
        <v>162.69999999999999</v>
      </c>
      <c r="BU93" s="23">
        <f t="shared" si="41"/>
        <v>166.7</v>
      </c>
      <c r="BV93" s="23">
        <f t="shared" si="41"/>
        <v>413.7</v>
      </c>
      <c r="BW93" s="23">
        <f t="shared" si="41"/>
        <v>715</v>
      </c>
      <c r="BX93" s="23">
        <f t="shared" si="41"/>
        <v>22.5</v>
      </c>
      <c r="BY93" s="23">
        <f t="shared" si="41"/>
        <v>343.9</v>
      </c>
      <c r="BZ93" s="23">
        <f t="shared" si="41"/>
        <v>163.6</v>
      </c>
      <c r="CA93" s="23">
        <f t="shared" si="41"/>
        <v>45.4</v>
      </c>
      <c r="CB93" s="23">
        <f t="shared" si="41"/>
        <v>22526.7</v>
      </c>
      <c r="CC93" s="23">
        <f t="shared" si="41"/>
        <v>121.6</v>
      </c>
      <c r="CD93" s="23">
        <f t="shared" si="41"/>
        <v>12.2</v>
      </c>
      <c r="CE93" s="23">
        <f t="shared" si="41"/>
        <v>73.8</v>
      </c>
      <c r="CF93" s="23">
        <f t="shared" si="41"/>
        <v>50</v>
      </c>
      <c r="CG93" s="23">
        <f t="shared" si="41"/>
        <v>86.8</v>
      </c>
      <c r="CH93" s="23">
        <f t="shared" si="41"/>
        <v>68</v>
      </c>
      <c r="CI93" s="23">
        <f t="shared" si="41"/>
        <v>430.8</v>
      </c>
      <c r="CJ93" s="23">
        <f t="shared" si="41"/>
        <v>511.5</v>
      </c>
      <c r="CK93" s="23">
        <f t="shared" si="41"/>
        <v>1796.8</v>
      </c>
      <c r="CL93" s="23">
        <f t="shared" si="41"/>
        <v>493.5</v>
      </c>
      <c r="CM93" s="23">
        <f t="shared" si="41"/>
        <v>352.2</v>
      </c>
      <c r="CN93" s="23">
        <f t="shared" si="41"/>
        <v>9777.4</v>
      </c>
      <c r="CO93" s="23">
        <f t="shared" si="41"/>
        <v>4698.3999999999996</v>
      </c>
      <c r="CP93" s="23">
        <f t="shared" si="41"/>
        <v>426.6</v>
      </c>
      <c r="CQ93" s="23">
        <f t="shared" si="41"/>
        <v>574.20000000000005</v>
      </c>
      <c r="CR93" s="23">
        <f t="shared" si="41"/>
        <v>73.3</v>
      </c>
      <c r="CS93" s="23">
        <f t="shared" si="41"/>
        <v>99.5</v>
      </c>
      <c r="CT93" s="23">
        <f t="shared" si="41"/>
        <v>90.6</v>
      </c>
      <c r="CU93" s="23">
        <f t="shared" si="41"/>
        <v>208.7</v>
      </c>
      <c r="CV93" s="23">
        <f t="shared" si="41"/>
        <v>9.1</v>
      </c>
      <c r="CW93" s="23">
        <f t="shared" si="41"/>
        <v>105.2</v>
      </c>
      <c r="CX93" s="23">
        <f t="shared" si="41"/>
        <v>231.2</v>
      </c>
      <c r="CY93" s="23">
        <f t="shared" si="41"/>
        <v>13.2</v>
      </c>
      <c r="CZ93" s="23">
        <f t="shared" si="41"/>
        <v>1003.3</v>
      </c>
      <c r="DA93" s="23">
        <f t="shared" si="41"/>
        <v>50.5</v>
      </c>
      <c r="DB93" s="23">
        <f t="shared" si="41"/>
        <v>91</v>
      </c>
      <c r="DC93" s="23">
        <f t="shared" si="41"/>
        <v>50.6</v>
      </c>
      <c r="DD93" s="23">
        <f t="shared" si="41"/>
        <v>109.8</v>
      </c>
      <c r="DE93" s="23">
        <f t="shared" si="41"/>
        <v>129.5</v>
      </c>
      <c r="DF93" s="23">
        <f t="shared" si="41"/>
        <v>11723.2</v>
      </c>
      <c r="DG93" s="23">
        <f t="shared" si="41"/>
        <v>37.6</v>
      </c>
      <c r="DH93" s="23">
        <f t="shared" si="41"/>
        <v>977.3</v>
      </c>
      <c r="DI93" s="23">
        <f t="shared" si="41"/>
        <v>1568.7</v>
      </c>
      <c r="DJ93" s="23">
        <f t="shared" si="41"/>
        <v>338.6</v>
      </c>
      <c r="DK93" s="23">
        <f t="shared" si="41"/>
        <v>196.6</v>
      </c>
      <c r="DL93" s="23">
        <f t="shared" si="41"/>
        <v>3187.1</v>
      </c>
      <c r="DM93" s="23">
        <f t="shared" si="41"/>
        <v>137.1</v>
      </c>
      <c r="DN93" s="23">
        <f t="shared" si="41"/>
        <v>851</v>
      </c>
      <c r="DO93" s="23">
        <f t="shared" si="41"/>
        <v>2012.2</v>
      </c>
      <c r="DP93" s="23">
        <f t="shared" si="41"/>
        <v>66.3</v>
      </c>
      <c r="DQ93" s="23">
        <f t="shared" si="41"/>
        <v>373.1</v>
      </c>
      <c r="DR93" s="23">
        <f t="shared" si="41"/>
        <v>982.1</v>
      </c>
      <c r="DS93" s="23">
        <f t="shared" si="41"/>
        <v>453.9</v>
      </c>
      <c r="DT93" s="23">
        <f t="shared" si="41"/>
        <v>152.19999999999999</v>
      </c>
      <c r="DU93" s="23">
        <f t="shared" si="41"/>
        <v>207.3</v>
      </c>
      <c r="DV93" s="23">
        <f t="shared" si="41"/>
        <v>92.1</v>
      </c>
      <c r="DW93" s="23">
        <f t="shared" si="41"/>
        <v>151.30000000000001</v>
      </c>
      <c r="DX93" s="23">
        <f t="shared" si="41"/>
        <v>56.7</v>
      </c>
      <c r="DY93" s="23">
        <f t="shared" si="41"/>
        <v>71.2</v>
      </c>
      <c r="DZ93" s="23">
        <f t="shared" si="41"/>
        <v>240.2</v>
      </c>
      <c r="EA93" s="23">
        <f t="shared" si="41"/>
        <v>222.4</v>
      </c>
      <c r="EB93" s="23">
        <f t="shared" si="41"/>
        <v>314.8</v>
      </c>
      <c r="EC93" s="23">
        <f t="shared" si="41"/>
        <v>96.6</v>
      </c>
      <c r="ED93" s="23">
        <f t="shared" si="41"/>
        <v>103</v>
      </c>
      <c r="EE93" s="23">
        <f t="shared" si="41"/>
        <v>132.30000000000001</v>
      </c>
      <c r="EF93" s="23">
        <f t="shared" si="41"/>
        <v>963.2</v>
      </c>
      <c r="EG93" s="23">
        <f t="shared" si="41"/>
        <v>161.30000000000001</v>
      </c>
      <c r="EH93" s="23">
        <f t="shared" si="41"/>
        <v>130.69999999999999</v>
      </c>
      <c r="EI93" s="23">
        <f t="shared" si="41"/>
        <v>10751.4</v>
      </c>
      <c r="EJ93" s="23">
        <f t="shared" si="41"/>
        <v>5234</v>
      </c>
      <c r="EK93" s="23">
        <f t="shared" si="41"/>
        <v>254.2</v>
      </c>
      <c r="EL93" s="23">
        <f t="shared" si="41"/>
        <v>215.9</v>
      </c>
      <c r="EM93" s="23">
        <f t="shared" si="41"/>
        <v>208.5</v>
      </c>
      <c r="EN93" s="23">
        <f t="shared" si="41"/>
        <v>680</v>
      </c>
      <c r="EO93" s="23">
        <f t="shared" si="41"/>
        <v>138.19999999999999</v>
      </c>
      <c r="EP93" s="23">
        <f t="shared" si="41"/>
        <v>118</v>
      </c>
      <c r="EQ93" s="23">
        <f t="shared" si="41"/>
        <v>480.4</v>
      </c>
      <c r="ER93" s="23">
        <f t="shared" si="41"/>
        <v>87.7</v>
      </c>
      <c r="ES93" s="23">
        <f t="shared" si="41"/>
        <v>124.4</v>
      </c>
      <c r="ET93" s="23">
        <f t="shared" si="41"/>
        <v>153.1</v>
      </c>
      <c r="EU93" s="23">
        <f t="shared" si="41"/>
        <v>532.79999999999995</v>
      </c>
      <c r="EV93" s="23">
        <f t="shared" si="41"/>
        <v>40.299999999999997</v>
      </c>
      <c r="EW93" s="23">
        <f t="shared" si="41"/>
        <v>229.6</v>
      </c>
      <c r="EX93" s="23">
        <f t="shared" si="41"/>
        <v>92.2</v>
      </c>
      <c r="EY93" s="23">
        <f t="shared" si="41"/>
        <v>427.7</v>
      </c>
      <c r="EZ93" s="23">
        <f t="shared" si="41"/>
        <v>69.900000000000006</v>
      </c>
      <c r="FA93" s="23">
        <f t="shared" si="41"/>
        <v>1285.8</v>
      </c>
      <c r="FB93" s="23">
        <f t="shared" si="41"/>
        <v>214.1</v>
      </c>
      <c r="FC93" s="23">
        <f t="shared" si="41"/>
        <v>618.70000000000005</v>
      </c>
      <c r="FD93" s="23">
        <f t="shared" si="41"/>
        <v>228</v>
      </c>
      <c r="FE93" s="23">
        <f t="shared" si="41"/>
        <v>47.7</v>
      </c>
      <c r="FF93" s="23">
        <f t="shared" si="41"/>
        <v>102.8</v>
      </c>
      <c r="FG93" s="23">
        <f t="shared" si="41"/>
        <v>52.6</v>
      </c>
      <c r="FH93" s="23">
        <f t="shared" si="41"/>
        <v>32.1</v>
      </c>
      <c r="FI93" s="23">
        <f t="shared" si="41"/>
        <v>1032.5</v>
      </c>
      <c r="FJ93" s="23">
        <f t="shared" si="41"/>
        <v>747.8</v>
      </c>
      <c r="FK93" s="23">
        <f t="shared" si="41"/>
        <v>1374.3</v>
      </c>
      <c r="FL93" s="23">
        <f t="shared" si="41"/>
        <v>2171.9</v>
      </c>
      <c r="FM93" s="23">
        <f t="shared" si="41"/>
        <v>1300.2</v>
      </c>
      <c r="FN93" s="23">
        <f t="shared" si="41"/>
        <v>15884.6</v>
      </c>
      <c r="FO93" s="23">
        <f t="shared" si="41"/>
        <v>578.4</v>
      </c>
      <c r="FP93" s="23">
        <f t="shared" si="41"/>
        <v>1343.2</v>
      </c>
      <c r="FQ93" s="23">
        <f t="shared" si="41"/>
        <v>354</v>
      </c>
      <c r="FR93" s="23">
        <f t="shared" si="41"/>
        <v>44.2</v>
      </c>
      <c r="FS93" s="23">
        <f t="shared" si="41"/>
        <v>45</v>
      </c>
      <c r="FT93" s="23">
        <f t="shared" si="41"/>
        <v>32.1</v>
      </c>
      <c r="FU93" s="23">
        <f t="shared" si="41"/>
        <v>485.3</v>
      </c>
      <c r="FV93" s="23">
        <f t="shared" si="41"/>
        <v>434.2</v>
      </c>
      <c r="FW93" s="23">
        <f t="shared" si="41"/>
        <v>81.7</v>
      </c>
      <c r="FX93" s="23">
        <f t="shared" si="41"/>
        <v>29.3</v>
      </c>
      <c r="FY93" s="23"/>
      <c r="FZ93" s="25"/>
      <c r="GA93" s="7"/>
      <c r="GB93" s="32"/>
      <c r="GC93" s="32"/>
      <c r="GD93" s="32"/>
      <c r="GE93" s="32"/>
      <c r="GF93" s="32"/>
      <c r="GG93" s="7"/>
      <c r="GH93" s="32"/>
      <c r="GI93" s="32"/>
      <c r="GJ93" s="32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</row>
    <row r="94" spans="1:204" ht="15.5" x14ac:dyDescent="0.35">
      <c r="A94" s="12" t="s">
        <v>592</v>
      </c>
      <c r="B94" s="25" t="s">
        <v>593</v>
      </c>
      <c r="C94" s="23">
        <f t="shared" ref="C94:FX94" si="42">MAX(C92,C93)</f>
        <v>4792.3</v>
      </c>
      <c r="D94" s="23">
        <f t="shared" si="42"/>
        <v>19193</v>
      </c>
      <c r="E94" s="23">
        <f t="shared" si="42"/>
        <v>4709.3</v>
      </c>
      <c r="F94" s="23">
        <f t="shared" si="42"/>
        <v>12549.4</v>
      </c>
      <c r="G94" s="23">
        <f t="shared" si="42"/>
        <v>812.2</v>
      </c>
      <c r="H94" s="23">
        <f t="shared" si="42"/>
        <v>438.2</v>
      </c>
      <c r="I94" s="23">
        <f t="shared" si="42"/>
        <v>6388</v>
      </c>
      <c r="J94" s="23">
        <f t="shared" si="42"/>
        <v>1579.5</v>
      </c>
      <c r="K94" s="23">
        <f t="shared" si="42"/>
        <v>152.1</v>
      </c>
      <c r="L94" s="23">
        <f t="shared" si="42"/>
        <v>1348.7</v>
      </c>
      <c r="M94" s="23">
        <f t="shared" si="42"/>
        <v>729.9</v>
      </c>
      <c r="N94" s="23">
        <f t="shared" si="42"/>
        <v>18867.900000000001</v>
      </c>
      <c r="O94" s="23">
        <f t="shared" si="42"/>
        <v>3029.6</v>
      </c>
      <c r="P94" s="23">
        <f t="shared" si="42"/>
        <v>163.6</v>
      </c>
      <c r="Q94" s="23">
        <f t="shared" si="42"/>
        <v>31548.1</v>
      </c>
      <c r="R94" s="23">
        <f t="shared" si="42"/>
        <v>3944.3</v>
      </c>
      <c r="S94" s="23">
        <f t="shared" si="42"/>
        <v>938.6</v>
      </c>
      <c r="T94" s="23">
        <f t="shared" si="42"/>
        <v>118.5</v>
      </c>
      <c r="U94" s="23">
        <f t="shared" si="42"/>
        <v>36.5</v>
      </c>
      <c r="V94" s="23">
        <f t="shared" si="42"/>
        <v>188.9</v>
      </c>
      <c r="W94" s="23">
        <f t="shared" si="42"/>
        <v>37.200000000000003</v>
      </c>
      <c r="X94" s="23">
        <f t="shared" si="42"/>
        <v>22.6</v>
      </c>
      <c r="Y94" s="23">
        <f t="shared" si="42"/>
        <v>735.2</v>
      </c>
      <c r="Z94" s="23">
        <f t="shared" si="42"/>
        <v>90.1</v>
      </c>
      <c r="AA94" s="23">
        <f t="shared" si="42"/>
        <v>11330.4</v>
      </c>
      <c r="AB94" s="23">
        <f t="shared" si="42"/>
        <v>7389</v>
      </c>
      <c r="AC94" s="23">
        <f t="shared" si="42"/>
        <v>311.89999999999998</v>
      </c>
      <c r="AD94" s="23">
        <f t="shared" si="42"/>
        <v>559.29999999999995</v>
      </c>
      <c r="AE94" s="23">
        <f t="shared" si="42"/>
        <v>67.7</v>
      </c>
      <c r="AF94" s="23">
        <f t="shared" si="42"/>
        <v>89.6</v>
      </c>
      <c r="AG94" s="23">
        <f t="shared" si="42"/>
        <v>188.1</v>
      </c>
      <c r="AH94" s="23">
        <f t="shared" si="42"/>
        <v>624.1</v>
      </c>
      <c r="AI94" s="23">
        <f t="shared" si="42"/>
        <v>234.2</v>
      </c>
      <c r="AJ94" s="23">
        <f t="shared" si="42"/>
        <v>153.69999999999999</v>
      </c>
      <c r="AK94" s="23">
        <f t="shared" si="42"/>
        <v>148.5</v>
      </c>
      <c r="AL94" s="23">
        <f t="shared" si="42"/>
        <v>237.9</v>
      </c>
      <c r="AM94" s="23">
        <f t="shared" si="42"/>
        <v>201</v>
      </c>
      <c r="AN94" s="23">
        <f t="shared" si="42"/>
        <v>139.6</v>
      </c>
      <c r="AO94" s="23">
        <f t="shared" si="42"/>
        <v>2493.1</v>
      </c>
      <c r="AP94" s="23">
        <f t="shared" si="42"/>
        <v>52878.5</v>
      </c>
      <c r="AQ94" s="23">
        <f t="shared" si="42"/>
        <v>151.5</v>
      </c>
      <c r="AR94" s="23">
        <f t="shared" si="42"/>
        <v>10739.2</v>
      </c>
      <c r="AS94" s="23">
        <f t="shared" si="42"/>
        <v>2678</v>
      </c>
      <c r="AT94" s="23">
        <f t="shared" si="42"/>
        <v>605.20000000000005</v>
      </c>
      <c r="AU94" s="23">
        <f t="shared" si="42"/>
        <v>108.3</v>
      </c>
      <c r="AV94" s="23">
        <f t="shared" si="42"/>
        <v>187.1</v>
      </c>
      <c r="AW94" s="23">
        <f t="shared" si="42"/>
        <v>88.3</v>
      </c>
      <c r="AX94" s="23">
        <f t="shared" si="42"/>
        <v>44.4</v>
      </c>
      <c r="AY94" s="23">
        <f t="shared" si="42"/>
        <v>210.6</v>
      </c>
      <c r="AZ94" s="23">
        <f t="shared" si="42"/>
        <v>8114.5</v>
      </c>
      <c r="BA94" s="23">
        <f t="shared" si="42"/>
        <v>4395.8</v>
      </c>
      <c r="BB94" s="23">
        <f t="shared" si="42"/>
        <v>3664.6</v>
      </c>
      <c r="BC94" s="23">
        <f t="shared" si="42"/>
        <v>14233.5</v>
      </c>
      <c r="BD94" s="23">
        <f t="shared" si="42"/>
        <v>795.2</v>
      </c>
      <c r="BE94" s="23">
        <f t="shared" si="42"/>
        <v>415.3</v>
      </c>
      <c r="BF94" s="23">
        <f t="shared" si="42"/>
        <v>5915.8</v>
      </c>
      <c r="BG94" s="23">
        <f t="shared" si="42"/>
        <v>551.29999999999995</v>
      </c>
      <c r="BH94" s="23">
        <f t="shared" si="42"/>
        <v>170.4</v>
      </c>
      <c r="BI94" s="23">
        <f t="shared" si="42"/>
        <v>190.9</v>
      </c>
      <c r="BJ94" s="23">
        <f t="shared" si="42"/>
        <v>1101</v>
      </c>
      <c r="BK94" s="23">
        <f t="shared" si="42"/>
        <v>14155.7</v>
      </c>
      <c r="BL94" s="23">
        <f t="shared" si="42"/>
        <v>55.7</v>
      </c>
      <c r="BM94" s="23">
        <f t="shared" si="42"/>
        <v>229</v>
      </c>
      <c r="BN94" s="23">
        <f t="shared" si="42"/>
        <v>1807.7</v>
      </c>
      <c r="BO94" s="23">
        <f t="shared" si="42"/>
        <v>683.1</v>
      </c>
      <c r="BP94" s="23">
        <f t="shared" si="42"/>
        <v>87.6</v>
      </c>
      <c r="BQ94" s="23">
        <f t="shared" si="42"/>
        <v>2928.7</v>
      </c>
      <c r="BR94" s="23">
        <f t="shared" si="42"/>
        <v>2231.5</v>
      </c>
      <c r="BS94" s="23">
        <f t="shared" si="42"/>
        <v>772.3</v>
      </c>
      <c r="BT94" s="23">
        <f t="shared" si="42"/>
        <v>162.69999999999999</v>
      </c>
      <c r="BU94" s="23">
        <f t="shared" si="42"/>
        <v>166.7</v>
      </c>
      <c r="BV94" s="23">
        <f t="shared" si="42"/>
        <v>413.7</v>
      </c>
      <c r="BW94" s="23">
        <f t="shared" si="42"/>
        <v>715</v>
      </c>
      <c r="BX94" s="23">
        <f t="shared" si="42"/>
        <v>22.5</v>
      </c>
      <c r="BY94" s="23">
        <f t="shared" si="42"/>
        <v>343.9</v>
      </c>
      <c r="BZ94" s="23">
        <f t="shared" si="42"/>
        <v>163.6</v>
      </c>
      <c r="CA94" s="23">
        <f t="shared" si="42"/>
        <v>45.4</v>
      </c>
      <c r="CB94" s="23">
        <f t="shared" si="42"/>
        <v>22526.7</v>
      </c>
      <c r="CC94" s="23">
        <f t="shared" si="42"/>
        <v>121.6</v>
      </c>
      <c r="CD94" s="23">
        <f t="shared" si="42"/>
        <v>12.2</v>
      </c>
      <c r="CE94" s="23">
        <f t="shared" si="42"/>
        <v>73.8</v>
      </c>
      <c r="CF94" s="23">
        <f t="shared" si="42"/>
        <v>50</v>
      </c>
      <c r="CG94" s="23">
        <f t="shared" si="42"/>
        <v>86.8</v>
      </c>
      <c r="CH94" s="23">
        <f t="shared" si="42"/>
        <v>68</v>
      </c>
      <c r="CI94" s="23">
        <f t="shared" si="42"/>
        <v>430.8</v>
      </c>
      <c r="CJ94" s="23">
        <f t="shared" si="42"/>
        <v>511.5</v>
      </c>
      <c r="CK94" s="23">
        <f t="shared" si="42"/>
        <v>1796.8</v>
      </c>
      <c r="CL94" s="23">
        <f t="shared" si="42"/>
        <v>493.5</v>
      </c>
      <c r="CM94" s="23">
        <f t="shared" si="42"/>
        <v>352.2</v>
      </c>
      <c r="CN94" s="23">
        <f t="shared" si="42"/>
        <v>9777.4</v>
      </c>
      <c r="CO94" s="23">
        <f t="shared" si="42"/>
        <v>4698.3999999999996</v>
      </c>
      <c r="CP94" s="23">
        <f t="shared" si="42"/>
        <v>426.6</v>
      </c>
      <c r="CQ94" s="23">
        <f t="shared" si="42"/>
        <v>574.20000000000005</v>
      </c>
      <c r="CR94" s="23">
        <f t="shared" si="42"/>
        <v>73.3</v>
      </c>
      <c r="CS94" s="23">
        <f t="shared" si="42"/>
        <v>99.5</v>
      </c>
      <c r="CT94" s="23">
        <f t="shared" si="42"/>
        <v>90.6</v>
      </c>
      <c r="CU94" s="23">
        <f t="shared" si="42"/>
        <v>208.7</v>
      </c>
      <c r="CV94" s="23">
        <f t="shared" si="42"/>
        <v>9.1</v>
      </c>
      <c r="CW94" s="23">
        <f t="shared" si="42"/>
        <v>105.2</v>
      </c>
      <c r="CX94" s="23">
        <f t="shared" si="42"/>
        <v>231.2</v>
      </c>
      <c r="CY94" s="23">
        <f t="shared" si="42"/>
        <v>13.2</v>
      </c>
      <c r="CZ94" s="23">
        <f t="shared" si="42"/>
        <v>1003.3</v>
      </c>
      <c r="DA94" s="23">
        <f t="shared" si="42"/>
        <v>50.5</v>
      </c>
      <c r="DB94" s="23">
        <f t="shared" si="42"/>
        <v>91</v>
      </c>
      <c r="DC94" s="23">
        <f t="shared" si="42"/>
        <v>50.6</v>
      </c>
      <c r="DD94" s="23">
        <f t="shared" si="42"/>
        <v>109.8</v>
      </c>
      <c r="DE94" s="23">
        <f t="shared" si="42"/>
        <v>129.5</v>
      </c>
      <c r="DF94" s="23">
        <f t="shared" si="42"/>
        <v>11723.2</v>
      </c>
      <c r="DG94" s="23">
        <f t="shared" si="42"/>
        <v>37.6</v>
      </c>
      <c r="DH94" s="23">
        <f t="shared" si="42"/>
        <v>977.3</v>
      </c>
      <c r="DI94" s="23">
        <f t="shared" si="42"/>
        <v>1568.7</v>
      </c>
      <c r="DJ94" s="23">
        <f t="shared" si="42"/>
        <v>338.6</v>
      </c>
      <c r="DK94" s="23">
        <f t="shared" si="42"/>
        <v>196.6</v>
      </c>
      <c r="DL94" s="23">
        <f t="shared" si="42"/>
        <v>3187.1</v>
      </c>
      <c r="DM94" s="23">
        <f t="shared" si="42"/>
        <v>137.1</v>
      </c>
      <c r="DN94" s="23">
        <f t="shared" si="42"/>
        <v>851</v>
      </c>
      <c r="DO94" s="23">
        <f t="shared" si="42"/>
        <v>2012.2</v>
      </c>
      <c r="DP94" s="23">
        <f t="shared" si="42"/>
        <v>66.3</v>
      </c>
      <c r="DQ94" s="23">
        <f t="shared" si="42"/>
        <v>373.1</v>
      </c>
      <c r="DR94" s="23">
        <f t="shared" si="42"/>
        <v>982.1</v>
      </c>
      <c r="DS94" s="23">
        <f t="shared" si="42"/>
        <v>453.9</v>
      </c>
      <c r="DT94" s="23">
        <f t="shared" si="42"/>
        <v>152.19999999999999</v>
      </c>
      <c r="DU94" s="23">
        <f t="shared" si="42"/>
        <v>207.3</v>
      </c>
      <c r="DV94" s="23">
        <f t="shared" si="42"/>
        <v>92.1</v>
      </c>
      <c r="DW94" s="23">
        <f t="shared" si="42"/>
        <v>151.30000000000001</v>
      </c>
      <c r="DX94" s="23">
        <f t="shared" si="42"/>
        <v>56.7</v>
      </c>
      <c r="DY94" s="23">
        <f t="shared" si="42"/>
        <v>71.2</v>
      </c>
      <c r="DZ94" s="23">
        <f t="shared" si="42"/>
        <v>240.2</v>
      </c>
      <c r="EA94" s="23">
        <f t="shared" si="42"/>
        <v>222.4</v>
      </c>
      <c r="EB94" s="23">
        <f t="shared" si="42"/>
        <v>314.8</v>
      </c>
      <c r="EC94" s="23">
        <f t="shared" si="42"/>
        <v>96.6</v>
      </c>
      <c r="ED94" s="23">
        <f t="shared" si="42"/>
        <v>103</v>
      </c>
      <c r="EE94" s="23">
        <f t="shared" si="42"/>
        <v>132.30000000000001</v>
      </c>
      <c r="EF94" s="23">
        <f t="shared" si="42"/>
        <v>963.2</v>
      </c>
      <c r="EG94" s="23">
        <f t="shared" si="42"/>
        <v>161.30000000000001</v>
      </c>
      <c r="EH94" s="23">
        <f t="shared" si="42"/>
        <v>130.69999999999999</v>
      </c>
      <c r="EI94" s="23">
        <f t="shared" si="42"/>
        <v>10751.4</v>
      </c>
      <c r="EJ94" s="23">
        <f t="shared" si="42"/>
        <v>5234</v>
      </c>
      <c r="EK94" s="23">
        <f t="shared" si="42"/>
        <v>254.2</v>
      </c>
      <c r="EL94" s="23">
        <f t="shared" si="42"/>
        <v>215.9</v>
      </c>
      <c r="EM94" s="23">
        <f t="shared" si="42"/>
        <v>208.5</v>
      </c>
      <c r="EN94" s="23">
        <f t="shared" si="42"/>
        <v>680</v>
      </c>
      <c r="EO94" s="23">
        <f t="shared" si="42"/>
        <v>138.19999999999999</v>
      </c>
      <c r="EP94" s="23">
        <f t="shared" si="42"/>
        <v>118</v>
      </c>
      <c r="EQ94" s="23">
        <f t="shared" si="42"/>
        <v>480.4</v>
      </c>
      <c r="ER94" s="23">
        <f t="shared" si="42"/>
        <v>87.7</v>
      </c>
      <c r="ES94" s="23">
        <f t="shared" si="42"/>
        <v>124.4</v>
      </c>
      <c r="ET94" s="23">
        <f t="shared" si="42"/>
        <v>153.1</v>
      </c>
      <c r="EU94" s="23">
        <f t="shared" si="42"/>
        <v>532.79999999999995</v>
      </c>
      <c r="EV94" s="23">
        <f t="shared" si="42"/>
        <v>40.299999999999997</v>
      </c>
      <c r="EW94" s="23">
        <f t="shared" si="42"/>
        <v>229.6</v>
      </c>
      <c r="EX94" s="23">
        <f t="shared" si="42"/>
        <v>92.2</v>
      </c>
      <c r="EY94" s="23">
        <f t="shared" si="42"/>
        <v>427.7</v>
      </c>
      <c r="EZ94" s="23">
        <f t="shared" si="42"/>
        <v>69.900000000000006</v>
      </c>
      <c r="FA94" s="23">
        <f t="shared" si="42"/>
        <v>1285.8</v>
      </c>
      <c r="FB94" s="23">
        <f t="shared" si="42"/>
        <v>214.1</v>
      </c>
      <c r="FC94" s="23">
        <f t="shared" si="42"/>
        <v>618.70000000000005</v>
      </c>
      <c r="FD94" s="23">
        <f t="shared" si="42"/>
        <v>228</v>
      </c>
      <c r="FE94" s="23">
        <f t="shared" si="42"/>
        <v>47.7</v>
      </c>
      <c r="FF94" s="23">
        <f t="shared" si="42"/>
        <v>102.8</v>
      </c>
      <c r="FG94" s="23">
        <f t="shared" si="42"/>
        <v>52.6</v>
      </c>
      <c r="FH94" s="23">
        <f t="shared" si="42"/>
        <v>32.1</v>
      </c>
      <c r="FI94" s="23">
        <f t="shared" si="42"/>
        <v>1032.5</v>
      </c>
      <c r="FJ94" s="23">
        <f t="shared" si="42"/>
        <v>747.8</v>
      </c>
      <c r="FK94" s="23">
        <f t="shared" si="42"/>
        <v>1374.3</v>
      </c>
      <c r="FL94" s="23">
        <f t="shared" si="42"/>
        <v>2171.9</v>
      </c>
      <c r="FM94" s="23">
        <f t="shared" si="42"/>
        <v>1300.2</v>
      </c>
      <c r="FN94" s="23">
        <f t="shared" si="42"/>
        <v>15884.6</v>
      </c>
      <c r="FO94" s="23">
        <f t="shared" si="42"/>
        <v>578.4</v>
      </c>
      <c r="FP94" s="23">
        <f t="shared" si="42"/>
        <v>1343.2</v>
      </c>
      <c r="FQ94" s="23">
        <f t="shared" si="42"/>
        <v>354</v>
      </c>
      <c r="FR94" s="23">
        <f t="shared" si="42"/>
        <v>44.2</v>
      </c>
      <c r="FS94" s="23">
        <f t="shared" si="42"/>
        <v>45</v>
      </c>
      <c r="FT94" s="23">
        <f t="shared" si="42"/>
        <v>32.1</v>
      </c>
      <c r="FU94" s="23">
        <f t="shared" si="42"/>
        <v>485.3</v>
      </c>
      <c r="FV94" s="23">
        <f t="shared" si="42"/>
        <v>434.2</v>
      </c>
      <c r="FW94" s="23">
        <f t="shared" si="42"/>
        <v>81.7</v>
      </c>
      <c r="FX94" s="23">
        <f t="shared" si="42"/>
        <v>29.3</v>
      </c>
      <c r="FY94" s="7"/>
      <c r="FZ94" s="25">
        <f>SUM(C94:FX94)</f>
        <v>387430.89999999997</v>
      </c>
      <c r="GA94" s="57">
        <v>387430.89999999997</v>
      </c>
      <c r="GB94" s="25">
        <f>FZ94-GA94</f>
        <v>0</v>
      </c>
      <c r="GC94" s="25"/>
      <c r="GD94" s="25"/>
      <c r="GE94" s="25"/>
      <c r="GF94" s="25"/>
      <c r="GG94" s="7"/>
      <c r="GH94" s="31"/>
      <c r="GI94" s="31"/>
      <c r="GJ94" s="31"/>
      <c r="GK94" s="31"/>
      <c r="GL94" s="31"/>
      <c r="GM94" s="31"/>
      <c r="GN94" s="7"/>
      <c r="GO94" s="7"/>
      <c r="GP94" s="7"/>
      <c r="GQ94" s="7"/>
      <c r="GR94" s="7"/>
      <c r="GS94" s="7"/>
      <c r="GT94" s="7"/>
      <c r="GU94" s="7"/>
      <c r="GV94" s="7"/>
    </row>
    <row r="95" spans="1:204" ht="15.5" x14ac:dyDescent="0.35">
      <c r="A95" s="12" t="s">
        <v>594</v>
      </c>
      <c r="B95" s="7" t="s">
        <v>595</v>
      </c>
      <c r="C95" s="53">
        <f t="shared" ref="C95:FX95" si="43">C84*0.25</f>
        <v>2172.9499999999998</v>
      </c>
      <c r="D95" s="53">
        <f t="shared" si="43"/>
        <v>2172.9499999999998</v>
      </c>
      <c r="E95" s="53">
        <f t="shared" si="43"/>
        <v>2172.9499999999998</v>
      </c>
      <c r="F95" s="53">
        <f t="shared" si="43"/>
        <v>2172.9499999999998</v>
      </c>
      <c r="G95" s="53">
        <f t="shared" si="43"/>
        <v>2172.9499999999998</v>
      </c>
      <c r="H95" s="53">
        <f t="shared" si="43"/>
        <v>2172.9499999999998</v>
      </c>
      <c r="I95" s="53">
        <f t="shared" si="43"/>
        <v>2172.9499999999998</v>
      </c>
      <c r="J95" s="53">
        <f t="shared" si="43"/>
        <v>2172.9499999999998</v>
      </c>
      <c r="K95" s="53">
        <f t="shared" si="43"/>
        <v>2172.9499999999998</v>
      </c>
      <c r="L95" s="53">
        <f t="shared" si="43"/>
        <v>2172.9499999999998</v>
      </c>
      <c r="M95" s="53">
        <f t="shared" si="43"/>
        <v>2172.9499999999998</v>
      </c>
      <c r="N95" s="53">
        <f t="shared" si="43"/>
        <v>2172.9499999999998</v>
      </c>
      <c r="O95" s="53">
        <f t="shared" si="43"/>
        <v>2172.9499999999998</v>
      </c>
      <c r="P95" s="53">
        <f t="shared" si="43"/>
        <v>2172.9499999999998</v>
      </c>
      <c r="Q95" s="53">
        <f t="shared" si="43"/>
        <v>2172.9499999999998</v>
      </c>
      <c r="R95" s="53">
        <f t="shared" si="43"/>
        <v>2172.9499999999998</v>
      </c>
      <c r="S95" s="53">
        <f t="shared" si="43"/>
        <v>2172.9499999999998</v>
      </c>
      <c r="T95" s="53">
        <f t="shared" si="43"/>
        <v>2172.9499999999998</v>
      </c>
      <c r="U95" s="53">
        <f t="shared" si="43"/>
        <v>2172.9499999999998</v>
      </c>
      <c r="V95" s="53">
        <f t="shared" si="43"/>
        <v>2172.9499999999998</v>
      </c>
      <c r="W95" s="53">
        <f t="shared" si="43"/>
        <v>2172.9499999999998</v>
      </c>
      <c r="X95" s="53">
        <f t="shared" si="43"/>
        <v>2172.9499999999998</v>
      </c>
      <c r="Y95" s="53">
        <f t="shared" si="43"/>
        <v>2172.9499999999998</v>
      </c>
      <c r="Z95" s="53">
        <f t="shared" si="43"/>
        <v>2172.9499999999998</v>
      </c>
      <c r="AA95" s="53">
        <f t="shared" si="43"/>
        <v>2172.9499999999998</v>
      </c>
      <c r="AB95" s="53">
        <f t="shared" si="43"/>
        <v>2172.9499999999998</v>
      </c>
      <c r="AC95" s="53">
        <f t="shared" si="43"/>
        <v>2172.9499999999998</v>
      </c>
      <c r="AD95" s="53">
        <f t="shared" si="43"/>
        <v>2172.9499999999998</v>
      </c>
      <c r="AE95" s="53">
        <f t="shared" si="43"/>
        <v>2172.9499999999998</v>
      </c>
      <c r="AF95" s="53">
        <f t="shared" si="43"/>
        <v>2172.9499999999998</v>
      </c>
      <c r="AG95" s="53">
        <f t="shared" si="43"/>
        <v>2172.9499999999998</v>
      </c>
      <c r="AH95" s="53">
        <f t="shared" si="43"/>
        <v>2172.9499999999998</v>
      </c>
      <c r="AI95" s="53">
        <f t="shared" si="43"/>
        <v>2172.9499999999998</v>
      </c>
      <c r="AJ95" s="53">
        <f t="shared" si="43"/>
        <v>2172.9499999999998</v>
      </c>
      <c r="AK95" s="53">
        <f t="shared" si="43"/>
        <v>2172.9499999999998</v>
      </c>
      <c r="AL95" s="53">
        <f t="shared" si="43"/>
        <v>2172.9499999999998</v>
      </c>
      <c r="AM95" s="53">
        <f t="shared" si="43"/>
        <v>2172.9499999999998</v>
      </c>
      <c r="AN95" s="53">
        <f t="shared" si="43"/>
        <v>2172.9499999999998</v>
      </c>
      <c r="AO95" s="53">
        <f t="shared" si="43"/>
        <v>2172.9499999999998</v>
      </c>
      <c r="AP95" s="53">
        <f t="shared" si="43"/>
        <v>2172.9499999999998</v>
      </c>
      <c r="AQ95" s="53">
        <f t="shared" si="43"/>
        <v>2172.9499999999998</v>
      </c>
      <c r="AR95" s="53">
        <f t="shared" si="43"/>
        <v>2172.9499999999998</v>
      </c>
      <c r="AS95" s="53">
        <f t="shared" si="43"/>
        <v>2172.9499999999998</v>
      </c>
      <c r="AT95" s="53">
        <f t="shared" si="43"/>
        <v>2172.9499999999998</v>
      </c>
      <c r="AU95" s="53">
        <f t="shared" si="43"/>
        <v>2172.9499999999998</v>
      </c>
      <c r="AV95" s="53">
        <f t="shared" si="43"/>
        <v>2172.9499999999998</v>
      </c>
      <c r="AW95" s="53">
        <f t="shared" si="43"/>
        <v>2172.9499999999998</v>
      </c>
      <c r="AX95" s="53">
        <f t="shared" si="43"/>
        <v>2172.9499999999998</v>
      </c>
      <c r="AY95" s="53">
        <f t="shared" si="43"/>
        <v>2172.9499999999998</v>
      </c>
      <c r="AZ95" s="53">
        <f t="shared" si="43"/>
        <v>2172.9499999999998</v>
      </c>
      <c r="BA95" s="53">
        <f t="shared" si="43"/>
        <v>2172.9499999999998</v>
      </c>
      <c r="BB95" s="53">
        <f t="shared" si="43"/>
        <v>2172.9499999999998</v>
      </c>
      <c r="BC95" s="53">
        <f t="shared" si="43"/>
        <v>2172.9499999999998</v>
      </c>
      <c r="BD95" s="53">
        <f t="shared" si="43"/>
        <v>2172.9499999999998</v>
      </c>
      <c r="BE95" s="53">
        <f t="shared" si="43"/>
        <v>2172.9499999999998</v>
      </c>
      <c r="BF95" s="53">
        <f t="shared" si="43"/>
        <v>2172.9499999999998</v>
      </c>
      <c r="BG95" s="53">
        <f t="shared" si="43"/>
        <v>2172.9499999999998</v>
      </c>
      <c r="BH95" s="53">
        <f t="shared" si="43"/>
        <v>2172.9499999999998</v>
      </c>
      <c r="BI95" s="53">
        <f t="shared" si="43"/>
        <v>2172.9499999999998</v>
      </c>
      <c r="BJ95" s="53">
        <f t="shared" si="43"/>
        <v>2172.9499999999998</v>
      </c>
      <c r="BK95" s="53">
        <f t="shared" si="43"/>
        <v>2172.9499999999998</v>
      </c>
      <c r="BL95" s="53">
        <f t="shared" si="43"/>
        <v>2172.9499999999998</v>
      </c>
      <c r="BM95" s="53">
        <f t="shared" si="43"/>
        <v>2172.9499999999998</v>
      </c>
      <c r="BN95" s="53">
        <f t="shared" si="43"/>
        <v>2172.9499999999998</v>
      </c>
      <c r="BO95" s="53">
        <f t="shared" si="43"/>
        <v>2172.9499999999998</v>
      </c>
      <c r="BP95" s="53">
        <f t="shared" si="43"/>
        <v>2172.9499999999998</v>
      </c>
      <c r="BQ95" s="53">
        <f t="shared" si="43"/>
        <v>2172.9499999999998</v>
      </c>
      <c r="BR95" s="53">
        <f t="shared" si="43"/>
        <v>2172.9499999999998</v>
      </c>
      <c r="BS95" s="53">
        <f t="shared" si="43"/>
        <v>2172.9499999999998</v>
      </c>
      <c r="BT95" s="53">
        <f t="shared" si="43"/>
        <v>2172.9499999999998</v>
      </c>
      <c r="BU95" s="53">
        <f t="shared" si="43"/>
        <v>2172.9499999999998</v>
      </c>
      <c r="BV95" s="53">
        <f t="shared" si="43"/>
        <v>2172.9499999999998</v>
      </c>
      <c r="BW95" s="53">
        <f t="shared" si="43"/>
        <v>2172.9499999999998</v>
      </c>
      <c r="BX95" s="53">
        <f t="shared" si="43"/>
        <v>2172.9499999999998</v>
      </c>
      <c r="BY95" s="53">
        <f t="shared" si="43"/>
        <v>2172.9499999999998</v>
      </c>
      <c r="BZ95" s="53">
        <f t="shared" si="43"/>
        <v>2172.9499999999998</v>
      </c>
      <c r="CA95" s="53">
        <f t="shared" si="43"/>
        <v>2172.9499999999998</v>
      </c>
      <c r="CB95" s="53">
        <f t="shared" si="43"/>
        <v>2172.9499999999998</v>
      </c>
      <c r="CC95" s="53">
        <f t="shared" si="43"/>
        <v>2172.9499999999998</v>
      </c>
      <c r="CD95" s="53">
        <f t="shared" si="43"/>
        <v>2172.9499999999998</v>
      </c>
      <c r="CE95" s="53">
        <f t="shared" si="43"/>
        <v>2172.9499999999998</v>
      </c>
      <c r="CF95" s="53">
        <f t="shared" si="43"/>
        <v>2172.9499999999998</v>
      </c>
      <c r="CG95" s="53">
        <f t="shared" si="43"/>
        <v>2172.9499999999998</v>
      </c>
      <c r="CH95" s="53">
        <f t="shared" si="43"/>
        <v>2172.9499999999998</v>
      </c>
      <c r="CI95" s="53">
        <f t="shared" si="43"/>
        <v>2172.9499999999998</v>
      </c>
      <c r="CJ95" s="53">
        <f t="shared" si="43"/>
        <v>2172.9499999999998</v>
      </c>
      <c r="CK95" s="53">
        <f t="shared" si="43"/>
        <v>2172.9499999999998</v>
      </c>
      <c r="CL95" s="53">
        <f t="shared" si="43"/>
        <v>2172.9499999999998</v>
      </c>
      <c r="CM95" s="53">
        <f t="shared" si="43"/>
        <v>2172.9499999999998</v>
      </c>
      <c r="CN95" s="53">
        <f t="shared" si="43"/>
        <v>2172.9499999999998</v>
      </c>
      <c r="CO95" s="53">
        <f t="shared" si="43"/>
        <v>2172.9499999999998</v>
      </c>
      <c r="CP95" s="53">
        <f t="shared" si="43"/>
        <v>2172.9499999999998</v>
      </c>
      <c r="CQ95" s="53">
        <f t="shared" si="43"/>
        <v>2172.9499999999998</v>
      </c>
      <c r="CR95" s="53">
        <f t="shared" si="43"/>
        <v>2172.9499999999998</v>
      </c>
      <c r="CS95" s="53">
        <f t="shared" si="43"/>
        <v>2172.9499999999998</v>
      </c>
      <c r="CT95" s="53">
        <f t="shared" si="43"/>
        <v>2172.9499999999998</v>
      </c>
      <c r="CU95" s="53">
        <f t="shared" si="43"/>
        <v>2172.9499999999998</v>
      </c>
      <c r="CV95" s="53">
        <f t="shared" si="43"/>
        <v>2172.9499999999998</v>
      </c>
      <c r="CW95" s="53">
        <f t="shared" si="43"/>
        <v>2172.9499999999998</v>
      </c>
      <c r="CX95" s="53">
        <f t="shared" si="43"/>
        <v>2172.9499999999998</v>
      </c>
      <c r="CY95" s="53">
        <f t="shared" si="43"/>
        <v>2172.9499999999998</v>
      </c>
      <c r="CZ95" s="53">
        <f t="shared" si="43"/>
        <v>2172.9499999999998</v>
      </c>
      <c r="DA95" s="53">
        <f t="shared" si="43"/>
        <v>2172.9499999999998</v>
      </c>
      <c r="DB95" s="53">
        <f t="shared" si="43"/>
        <v>2172.9499999999998</v>
      </c>
      <c r="DC95" s="53">
        <f t="shared" si="43"/>
        <v>2172.9499999999998</v>
      </c>
      <c r="DD95" s="53">
        <f t="shared" si="43"/>
        <v>2172.9499999999998</v>
      </c>
      <c r="DE95" s="53">
        <f t="shared" si="43"/>
        <v>2172.9499999999998</v>
      </c>
      <c r="DF95" s="53">
        <f t="shared" si="43"/>
        <v>2172.9499999999998</v>
      </c>
      <c r="DG95" s="53">
        <f t="shared" si="43"/>
        <v>2172.9499999999998</v>
      </c>
      <c r="DH95" s="53">
        <f t="shared" si="43"/>
        <v>2172.9499999999998</v>
      </c>
      <c r="DI95" s="53">
        <f t="shared" si="43"/>
        <v>2172.9499999999998</v>
      </c>
      <c r="DJ95" s="53">
        <f t="shared" si="43"/>
        <v>2172.9499999999998</v>
      </c>
      <c r="DK95" s="53">
        <f t="shared" si="43"/>
        <v>2172.9499999999998</v>
      </c>
      <c r="DL95" s="53">
        <f t="shared" si="43"/>
        <v>2172.9499999999998</v>
      </c>
      <c r="DM95" s="53">
        <f t="shared" si="43"/>
        <v>2172.9499999999998</v>
      </c>
      <c r="DN95" s="53">
        <f t="shared" si="43"/>
        <v>2172.9499999999998</v>
      </c>
      <c r="DO95" s="53">
        <f t="shared" si="43"/>
        <v>2172.9499999999998</v>
      </c>
      <c r="DP95" s="53">
        <f t="shared" si="43"/>
        <v>2172.9499999999998</v>
      </c>
      <c r="DQ95" s="53">
        <f t="shared" si="43"/>
        <v>2172.9499999999998</v>
      </c>
      <c r="DR95" s="53">
        <f t="shared" si="43"/>
        <v>2172.9499999999998</v>
      </c>
      <c r="DS95" s="53">
        <f t="shared" si="43"/>
        <v>2172.9499999999998</v>
      </c>
      <c r="DT95" s="53">
        <f t="shared" si="43"/>
        <v>2172.9499999999998</v>
      </c>
      <c r="DU95" s="53">
        <f t="shared" si="43"/>
        <v>2172.9499999999998</v>
      </c>
      <c r="DV95" s="53">
        <f t="shared" si="43"/>
        <v>2172.9499999999998</v>
      </c>
      <c r="DW95" s="53">
        <f t="shared" si="43"/>
        <v>2172.9499999999998</v>
      </c>
      <c r="DX95" s="53">
        <f t="shared" si="43"/>
        <v>2172.9499999999998</v>
      </c>
      <c r="DY95" s="53">
        <f t="shared" si="43"/>
        <v>2172.9499999999998</v>
      </c>
      <c r="DZ95" s="53">
        <f t="shared" si="43"/>
        <v>2172.9499999999998</v>
      </c>
      <c r="EA95" s="53">
        <f t="shared" si="43"/>
        <v>2172.9499999999998</v>
      </c>
      <c r="EB95" s="53">
        <f t="shared" si="43"/>
        <v>2172.9499999999998</v>
      </c>
      <c r="EC95" s="53">
        <f t="shared" si="43"/>
        <v>2172.9499999999998</v>
      </c>
      <c r="ED95" s="53">
        <f t="shared" si="43"/>
        <v>2172.9499999999998</v>
      </c>
      <c r="EE95" s="53">
        <f t="shared" si="43"/>
        <v>2172.9499999999998</v>
      </c>
      <c r="EF95" s="53">
        <f t="shared" si="43"/>
        <v>2172.9499999999998</v>
      </c>
      <c r="EG95" s="53">
        <f t="shared" si="43"/>
        <v>2172.9499999999998</v>
      </c>
      <c r="EH95" s="53">
        <f t="shared" si="43"/>
        <v>2172.9499999999998</v>
      </c>
      <c r="EI95" s="53">
        <f t="shared" si="43"/>
        <v>2172.9499999999998</v>
      </c>
      <c r="EJ95" s="53">
        <f t="shared" si="43"/>
        <v>2172.9499999999998</v>
      </c>
      <c r="EK95" s="53">
        <f t="shared" si="43"/>
        <v>2172.9499999999998</v>
      </c>
      <c r="EL95" s="53">
        <f t="shared" si="43"/>
        <v>2172.9499999999998</v>
      </c>
      <c r="EM95" s="53">
        <f t="shared" si="43"/>
        <v>2172.9499999999998</v>
      </c>
      <c r="EN95" s="53">
        <f t="shared" si="43"/>
        <v>2172.9499999999998</v>
      </c>
      <c r="EO95" s="53">
        <f t="shared" si="43"/>
        <v>2172.9499999999998</v>
      </c>
      <c r="EP95" s="53">
        <f t="shared" si="43"/>
        <v>2172.9499999999998</v>
      </c>
      <c r="EQ95" s="53">
        <f t="shared" si="43"/>
        <v>2172.9499999999998</v>
      </c>
      <c r="ER95" s="53">
        <f t="shared" si="43"/>
        <v>2172.9499999999998</v>
      </c>
      <c r="ES95" s="53">
        <f t="shared" si="43"/>
        <v>2172.9499999999998</v>
      </c>
      <c r="ET95" s="53">
        <f t="shared" si="43"/>
        <v>2172.9499999999998</v>
      </c>
      <c r="EU95" s="53">
        <f t="shared" si="43"/>
        <v>2172.9499999999998</v>
      </c>
      <c r="EV95" s="53">
        <f t="shared" si="43"/>
        <v>2172.9499999999998</v>
      </c>
      <c r="EW95" s="53">
        <f t="shared" si="43"/>
        <v>2172.9499999999998</v>
      </c>
      <c r="EX95" s="53">
        <f t="shared" si="43"/>
        <v>2172.9499999999998</v>
      </c>
      <c r="EY95" s="53">
        <f t="shared" si="43"/>
        <v>2172.9499999999998</v>
      </c>
      <c r="EZ95" s="53">
        <f t="shared" si="43"/>
        <v>2172.9499999999998</v>
      </c>
      <c r="FA95" s="53">
        <f t="shared" si="43"/>
        <v>2172.9499999999998</v>
      </c>
      <c r="FB95" s="53">
        <f t="shared" si="43"/>
        <v>2172.9499999999998</v>
      </c>
      <c r="FC95" s="53">
        <f t="shared" si="43"/>
        <v>2172.9499999999998</v>
      </c>
      <c r="FD95" s="53">
        <f t="shared" si="43"/>
        <v>2172.9499999999998</v>
      </c>
      <c r="FE95" s="53">
        <f t="shared" si="43"/>
        <v>2172.9499999999998</v>
      </c>
      <c r="FF95" s="53">
        <f t="shared" si="43"/>
        <v>2172.9499999999998</v>
      </c>
      <c r="FG95" s="53">
        <f t="shared" si="43"/>
        <v>2172.9499999999998</v>
      </c>
      <c r="FH95" s="53">
        <f t="shared" si="43"/>
        <v>2172.9499999999998</v>
      </c>
      <c r="FI95" s="53">
        <f t="shared" si="43"/>
        <v>2172.9499999999998</v>
      </c>
      <c r="FJ95" s="53">
        <f t="shared" si="43"/>
        <v>2172.9499999999998</v>
      </c>
      <c r="FK95" s="53">
        <f t="shared" si="43"/>
        <v>2172.9499999999998</v>
      </c>
      <c r="FL95" s="53">
        <f t="shared" si="43"/>
        <v>2172.9499999999998</v>
      </c>
      <c r="FM95" s="53">
        <f t="shared" si="43"/>
        <v>2172.9499999999998</v>
      </c>
      <c r="FN95" s="53">
        <f t="shared" si="43"/>
        <v>2172.9499999999998</v>
      </c>
      <c r="FO95" s="53">
        <f t="shared" si="43"/>
        <v>2172.9499999999998</v>
      </c>
      <c r="FP95" s="53">
        <f t="shared" si="43"/>
        <v>2172.9499999999998</v>
      </c>
      <c r="FQ95" s="53">
        <f t="shared" si="43"/>
        <v>2172.9499999999998</v>
      </c>
      <c r="FR95" s="53">
        <f t="shared" si="43"/>
        <v>2172.9499999999998</v>
      </c>
      <c r="FS95" s="53">
        <f t="shared" si="43"/>
        <v>2172.9499999999998</v>
      </c>
      <c r="FT95" s="53">
        <f t="shared" si="43"/>
        <v>2172.9499999999998</v>
      </c>
      <c r="FU95" s="53">
        <f t="shared" si="43"/>
        <v>2172.9499999999998</v>
      </c>
      <c r="FV95" s="53">
        <f t="shared" si="43"/>
        <v>2172.9499999999998</v>
      </c>
      <c r="FW95" s="53">
        <f t="shared" si="43"/>
        <v>2172.9499999999998</v>
      </c>
      <c r="FX95" s="53">
        <f t="shared" si="43"/>
        <v>2172.9499999999998</v>
      </c>
      <c r="FY95" s="25"/>
      <c r="FZ95" s="25"/>
      <c r="GA95" s="7"/>
      <c r="GB95" s="25"/>
      <c r="GC95" s="25"/>
      <c r="GD95" s="25"/>
      <c r="GE95" s="25"/>
      <c r="GF95" s="25"/>
      <c r="GG95" s="7"/>
      <c r="GH95" s="23"/>
      <c r="GI95" s="23"/>
      <c r="GJ95" s="23"/>
      <c r="GK95" s="23"/>
      <c r="GL95" s="23"/>
      <c r="GM95" s="23"/>
      <c r="GN95" s="23"/>
      <c r="GO95" s="23"/>
      <c r="GP95" s="7"/>
      <c r="GQ95" s="7"/>
      <c r="GR95" s="7"/>
      <c r="GS95" s="7"/>
      <c r="GT95" s="7"/>
      <c r="GU95" s="7"/>
      <c r="GV95" s="7"/>
    </row>
    <row r="96" spans="1:204" ht="15.5" x14ac:dyDescent="0.35">
      <c r="A96" s="12" t="s">
        <v>4</v>
      </c>
      <c r="B96" s="7" t="s">
        <v>596</v>
      </c>
      <c r="C96" s="66">
        <f t="shared" ref="C96:FX96" si="44">C94/C21</f>
        <v>0.73480120823686357</v>
      </c>
      <c r="D96" s="66">
        <f t="shared" si="44"/>
        <v>0.51689962564972669</v>
      </c>
      <c r="E96" s="66">
        <f t="shared" si="44"/>
        <v>0.88430915987531467</v>
      </c>
      <c r="F96" s="66">
        <f t="shared" si="44"/>
        <v>0.51400158098881432</v>
      </c>
      <c r="G96" s="66">
        <f t="shared" si="44"/>
        <v>0.4404794186235696</v>
      </c>
      <c r="H96" s="66">
        <f t="shared" si="44"/>
        <v>0.40915032679738561</v>
      </c>
      <c r="I96" s="66">
        <f t="shared" si="44"/>
        <v>0.81961534020195281</v>
      </c>
      <c r="J96" s="66">
        <f t="shared" si="44"/>
        <v>0.79411764705882348</v>
      </c>
      <c r="K96" s="66">
        <f t="shared" si="44"/>
        <v>0.61084337349397588</v>
      </c>
      <c r="L96" s="66">
        <f t="shared" si="44"/>
        <v>0.64592911877394643</v>
      </c>
      <c r="M96" s="66">
        <f t="shared" si="44"/>
        <v>0.85961606406783653</v>
      </c>
      <c r="N96" s="66">
        <f t="shared" si="44"/>
        <v>0.37550002587198544</v>
      </c>
      <c r="O96" s="66">
        <f t="shared" si="44"/>
        <v>0.24489729930724524</v>
      </c>
      <c r="P96" s="66">
        <f t="shared" si="44"/>
        <v>0.52435897435897438</v>
      </c>
      <c r="Q96" s="66">
        <f t="shared" si="44"/>
        <v>0.78780046846360907</v>
      </c>
      <c r="R96" s="66">
        <f t="shared" si="44"/>
        <v>0.53338832693243898</v>
      </c>
      <c r="S96" s="66">
        <f t="shared" si="44"/>
        <v>0.59232613908872911</v>
      </c>
      <c r="T96" s="66">
        <f t="shared" si="44"/>
        <v>0.74062499999999998</v>
      </c>
      <c r="U96" s="66">
        <f t="shared" si="44"/>
        <v>0.67592592592592593</v>
      </c>
      <c r="V96" s="66">
        <f t="shared" si="44"/>
        <v>0.74516765285996056</v>
      </c>
      <c r="W96" s="66">
        <f t="shared" si="44"/>
        <v>0.78315789473684216</v>
      </c>
      <c r="X96" s="66">
        <f t="shared" si="44"/>
        <v>0.56359102244389025</v>
      </c>
      <c r="Y96" s="66">
        <f t="shared" si="44"/>
        <v>0.84167143674871214</v>
      </c>
      <c r="Z96" s="66">
        <f t="shared" si="44"/>
        <v>0.39004329004329003</v>
      </c>
      <c r="AA96" s="66">
        <f t="shared" si="44"/>
        <v>0.364597042781523</v>
      </c>
      <c r="AB96" s="66">
        <f t="shared" si="44"/>
        <v>0.27509819616895326</v>
      </c>
      <c r="AC96" s="66">
        <f t="shared" si="44"/>
        <v>0.36802359882005897</v>
      </c>
      <c r="AD96" s="66">
        <f t="shared" si="44"/>
        <v>0.38660399529964745</v>
      </c>
      <c r="AE96" s="66">
        <f t="shared" si="44"/>
        <v>0.69793814432989698</v>
      </c>
      <c r="AF96" s="66">
        <f t="shared" si="44"/>
        <v>0.5446808510638298</v>
      </c>
      <c r="AG96" s="66">
        <f t="shared" si="44"/>
        <v>0.32126387702818104</v>
      </c>
      <c r="AH96" s="66">
        <f t="shared" si="44"/>
        <v>0.68733480176211459</v>
      </c>
      <c r="AI96" s="66">
        <f t="shared" si="44"/>
        <v>0.61148825065274148</v>
      </c>
      <c r="AJ96" s="66">
        <f t="shared" si="44"/>
        <v>0.84683195592286498</v>
      </c>
      <c r="AK96" s="66">
        <f t="shared" si="44"/>
        <v>0.93103448275862066</v>
      </c>
      <c r="AL96" s="66">
        <f t="shared" si="44"/>
        <v>0.83327495621716285</v>
      </c>
      <c r="AM96" s="66">
        <f t="shared" si="44"/>
        <v>0.65493646138807438</v>
      </c>
      <c r="AN96" s="66">
        <f t="shared" si="44"/>
        <v>0.51608133086876151</v>
      </c>
      <c r="AO96" s="66">
        <f t="shared" si="44"/>
        <v>0.60498920138804635</v>
      </c>
      <c r="AP96" s="66">
        <f t="shared" si="44"/>
        <v>0.62879930173709553</v>
      </c>
      <c r="AQ96" s="66">
        <f t="shared" si="44"/>
        <v>0.60238568588469188</v>
      </c>
      <c r="AR96" s="66">
        <f t="shared" si="44"/>
        <v>0.17536422629875539</v>
      </c>
      <c r="AS96" s="66">
        <f t="shared" si="44"/>
        <v>0.42709961404739882</v>
      </c>
      <c r="AT96" s="66">
        <f t="shared" si="44"/>
        <v>0.23668361360969889</v>
      </c>
      <c r="AU96" s="66">
        <f t="shared" si="44"/>
        <v>0.40410447761194029</v>
      </c>
      <c r="AV96" s="66">
        <f t="shared" si="44"/>
        <v>0.63209459459459461</v>
      </c>
      <c r="AW96" s="66">
        <f t="shared" si="44"/>
        <v>0.34357976653696498</v>
      </c>
      <c r="AX96" s="66">
        <f t="shared" si="44"/>
        <v>0.54814814814814816</v>
      </c>
      <c r="AY96" s="66">
        <f t="shared" si="44"/>
        <v>0.53793103448275859</v>
      </c>
      <c r="AZ96" s="66">
        <f t="shared" si="44"/>
        <v>0.67120783496286007</v>
      </c>
      <c r="BA96" s="66">
        <f t="shared" si="44"/>
        <v>0.48359699883385782</v>
      </c>
      <c r="BB96" s="66">
        <f t="shared" si="44"/>
        <v>0.4907004458965466</v>
      </c>
      <c r="BC96" s="66">
        <f t="shared" si="44"/>
        <v>0.57670101171351118</v>
      </c>
      <c r="BD96" s="66">
        <f t="shared" si="44"/>
        <v>0.21840153803900028</v>
      </c>
      <c r="BE96" s="66">
        <f t="shared" si="44"/>
        <v>0.38031135531135535</v>
      </c>
      <c r="BF96" s="66">
        <f t="shared" si="44"/>
        <v>0.22520166432549515</v>
      </c>
      <c r="BG96" s="66">
        <f t="shared" si="44"/>
        <v>0.59858849077090115</v>
      </c>
      <c r="BH96" s="66">
        <f t="shared" si="44"/>
        <v>0.29491173416407063</v>
      </c>
      <c r="BI96" s="66">
        <f t="shared" si="44"/>
        <v>0.75009823182711199</v>
      </c>
      <c r="BJ96" s="66">
        <f t="shared" si="44"/>
        <v>0.17130054610800802</v>
      </c>
      <c r="BK96" s="66">
        <f t="shared" si="44"/>
        <v>0.50853016722648325</v>
      </c>
      <c r="BL96" s="66">
        <f t="shared" si="44"/>
        <v>0.6175166297117517</v>
      </c>
      <c r="BM96" s="66">
        <f t="shared" si="44"/>
        <v>0.63611111111111107</v>
      </c>
      <c r="BN96" s="66">
        <f t="shared" si="44"/>
        <v>0.59299960635087257</v>
      </c>
      <c r="BO96" s="66">
        <f t="shared" si="44"/>
        <v>0.57451640033641715</v>
      </c>
      <c r="BP96" s="66">
        <f t="shared" si="44"/>
        <v>0.63941605839416049</v>
      </c>
      <c r="BQ96" s="66">
        <f t="shared" si="44"/>
        <v>0.51350071886944626</v>
      </c>
      <c r="BR96" s="66">
        <f t="shared" si="44"/>
        <v>0.50919587440671787</v>
      </c>
      <c r="BS96" s="66">
        <f t="shared" si="44"/>
        <v>0.67692172845998766</v>
      </c>
      <c r="BT96" s="66">
        <f t="shared" si="44"/>
        <v>0.4602545968882602</v>
      </c>
      <c r="BU96" s="66">
        <f t="shared" si="44"/>
        <v>0.4352480417754569</v>
      </c>
      <c r="BV96" s="66">
        <f t="shared" si="44"/>
        <v>0.33242265970269186</v>
      </c>
      <c r="BW96" s="66">
        <f t="shared" si="44"/>
        <v>0.35352286773794811</v>
      </c>
      <c r="BX96" s="66">
        <f t="shared" si="44"/>
        <v>0.39473684210526316</v>
      </c>
      <c r="BY96" s="66">
        <f t="shared" si="44"/>
        <v>0.87395171537484106</v>
      </c>
      <c r="BZ96" s="66">
        <f t="shared" si="44"/>
        <v>0.71754385964912282</v>
      </c>
      <c r="CA96" s="66">
        <f t="shared" si="44"/>
        <v>0.32084805653710247</v>
      </c>
      <c r="CB96" s="66">
        <f t="shared" si="44"/>
        <v>0.30819989273674536</v>
      </c>
      <c r="CC96" s="66">
        <f t="shared" si="44"/>
        <v>0.65376344086021498</v>
      </c>
      <c r="CD96" s="66">
        <f t="shared" si="44"/>
        <v>0.40666666666666662</v>
      </c>
      <c r="CE96" s="66">
        <f t="shared" si="44"/>
        <v>0.46269592476489024</v>
      </c>
      <c r="CF96" s="66">
        <f t="shared" si="44"/>
        <v>0.5</v>
      </c>
      <c r="CG96" s="66">
        <f t="shared" si="44"/>
        <v>0.45090909090909087</v>
      </c>
      <c r="CH96" s="66">
        <f t="shared" si="44"/>
        <v>0.75555555555555554</v>
      </c>
      <c r="CI96" s="66">
        <f t="shared" si="44"/>
        <v>0.6307467057101025</v>
      </c>
      <c r="CJ96" s="66">
        <f t="shared" si="44"/>
        <v>0.62150668286755772</v>
      </c>
      <c r="CK96" s="66">
        <f t="shared" si="44"/>
        <v>0.36981846622483838</v>
      </c>
      <c r="CL96" s="66">
        <f t="shared" si="44"/>
        <v>0.42723573716561342</v>
      </c>
      <c r="CM96" s="66">
        <f t="shared" si="44"/>
        <v>0.57082658022690436</v>
      </c>
      <c r="CN96" s="66">
        <f t="shared" si="44"/>
        <v>0.32049903628043586</v>
      </c>
      <c r="CO96" s="66">
        <f t="shared" si="44"/>
        <v>0.33260183205674559</v>
      </c>
      <c r="CP96" s="66">
        <f t="shared" si="44"/>
        <v>0.47484416740872665</v>
      </c>
      <c r="CQ96" s="66">
        <f t="shared" si="44"/>
        <v>0.75652173913043486</v>
      </c>
      <c r="CR96" s="66">
        <f t="shared" si="44"/>
        <v>0.37493606138107416</v>
      </c>
      <c r="CS96" s="66">
        <f t="shared" si="44"/>
        <v>0.40381493506493504</v>
      </c>
      <c r="CT96" s="66">
        <f t="shared" si="44"/>
        <v>0.80892857142857133</v>
      </c>
      <c r="CU96" s="66">
        <f t="shared" si="44"/>
        <v>0.44881720430107525</v>
      </c>
      <c r="CV96" s="66">
        <f t="shared" si="44"/>
        <v>0.37916666666666665</v>
      </c>
      <c r="CW96" s="66">
        <f t="shared" si="44"/>
        <v>0.56528747984954331</v>
      </c>
      <c r="CX96" s="66">
        <f t="shared" si="44"/>
        <v>0.50535519125683059</v>
      </c>
      <c r="CY96" s="66">
        <f t="shared" si="44"/>
        <v>0.51764705882352935</v>
      </c>
      <c r="CZ96" s="66">
        <f t="shared" si="44"/>
        <v>0.56651609260304914</v>
      </c>
      <c r="DA96" s="66">
        <f t="shared" si="44"/>
        <v>0.24754901960784315</v>
      </c>
      <c r="DB96" s="66">
        <f t="shared" si="44"/>
        <v>0.29307568438003223</v>
      </c>
      <c r="DC96" s="66">
        <f t="shared" si="44"/>
        <v>0.26217616580310882</v>
      </c>
      <c r="DD96" s="66">
        <f t="shared" si="44"/>
        <v>0.62564102564102564</v>
      </c>
      <c r="DE96" s="66">
        <f t="shared" si="44"/>
        <v>0.46250000000000002</v>
      </c>
      <c r="DF96" s="66">
        <f t="shared" si="44"/>
        <v>0.56259837985180638</v>
      </c>
      <c r="DG96" s="66">
        <f t="shared" si="44"/>
        <v>0.4021390374331551</v>
      </c>
      <c r="DH96" s="66">
        <f t="shared" si="44"/>
        <v>0.57896919431279614</v>
      </c>
      <c r="DI96" s="66">
        <f t="shared" si="44"/>
        <v>0.66668083297917557</v>
      </c>
      <c r="DJ96" s="66">
        <f t="shared" si="44"/>
        <v>0.56527545909849752</v>
      </c>
      <c r="DK96" s="66">
        <f t="shared" si="44"/>
        <v>0.41608465608465606</v>
      </c>
      <c r="DL96" s="66">
        <f t="shared" si="44"/>
        <v>0.56550977678412995</v>
      </c>
      <c r="DM96" s="66">
        <f t="shared" si="44"/>
        <v>0.58093220338983054</v>
      </c>
      <c r="DN96" s="66">
        <f t="shared" si="44"/>
        <v>0.66339257873401936</v>
      </c>
      <c r="DO96" s="66">
        <f t="shared" si="44"/>
        <v>0.61321387212775036</v>
      </c>
      <c r="DP96" s="66">
        <f t="shared" si="44"/>
        <v>0.33316582914572862</v>
      </c>
      <c r="DQ96" s="66">
        <f t="shared" si="44"/>
        <v>0.42571884984025565</v>
      </c>
      <c r="DR96" s="66">
        <f t="shared" si="44"/>
        <v>0.7754441373864982</v>
      </c>
      <c r="DS96" s="66">
        <f t="shared" si="44"/>
        <v>0.83284403669724771</v>
      </c>
      <c r="DT96" s="66">
        <f t="shared" si="44"/>
        <v>0.86477272727272725</v>
      </c>
      <c r="DU96" s="66">
        <f t="shared" si="44"/>
        <v>0.59913294797687866</v>
      </c>
      <c r="DV96" s="66">
        <f t="shared" si="44"/>
        <v>0.46397984886649873</v>
      </c>
      <c r="DW96" s="66">
        <f t="shared" si="44"/>
        <v>0.52994746059544662</v>
      </c>
      <c r="DX96" s="66">
        <f t="shared" si="44"/>
        <v>0.33750000000000002</v>
      </c>
      <c r="DY96" s="66">
        <f t="shared" si="44"/>
        <v>0.25428571428571428</v>
      </c>
      <c r="DZ96" s="66">
        <f t="shared" si="44"/>
        <v>0.39604286892003293</v>
      </c>
      <c r="EA96" s="66">
        <f t="shared" si="44"/>
        <v>0.43736479842674536</v>
      </c>
      <c r="EB96" s="66">
        <f t="shared" si="44"/>
        <v>0.63023023023023028</v>
      </c>
      <c r="EC96" s="66">
        <f t="shared" si="44"/>
        <v>0.37082533589251437</v>
      </c>
      <c r="ED96" s="66">
        <f t="shared" si="44"/>
        <v>6.6451612903225807E-2</v>
      </c>
      <c r="EE96" s="66">
        <f t="shared" si="44"/>
        <v>0.71320754716981138</v>
      </c>
      <c r="EF96" s="66">
        <f t="shared" si="44"/>
        <v>0.76323296354992076</v>
      </c>
      <c r="EG96" s="66">
        <f t="shared" si="44"/>
        <v>0.6452</v>
      </c>
      <c r="EH96" s="66">
        <f t="shared" si="44"/>
        <v>0.53130081300813004</v>
      </c>
      <c r="EI96" s="66">
        <f t="shared" si="44"/>
        <v>0.80860088896911175</v>
      </c>
      <c r="EJ96" s="66">
        <f t="shared" si="44"/>
        <v>0.52330057289115073</v>
      </c>
      <c r="EK96" s="66">
        <f t="shared" si="44"/>
        <v>0.38162438072361504</v>
      </c>
      <c r="EL96" s="66">
        <f t="shared" si="44"/>
        <v>0.48299776286353469</v>
      </c>
      <c r="EM96" s="66">
        <f t="shared" si="44"/>
        <v>0.59554413024850039</v>
      </c>
      <c r="EN96" s="66">
        <f t="shared" si="44"/>
        <v>0.73888949255677505</v>
      </c>
      <c r="EO96" s="66">
        <f t="shared" si="44"/>
        <v>0.48153310104529612</v>
      </c>
      <c r="EP96" s="66">
        <f t="shared" si="44"/>
        <v>0.27505827505827507</v>
      </c>
      <c r="EQ96" s="66">
        <f t="shared" si="44"/>
        <v>0.19090764584326814</v>
      </c>
      <c r="ER96" s="66">
        <f t="shared" si="44"/>
        <v>0.28336025848142166</v>
      </c>
      <c r="ES96" s="66">
        <f t="shared" si="44"/>
        <v>0.60212971926427883</v>
      </c>
      <c r="ET96" s="66">
        <f t="shared" si="44"/>
        <v>0.76511744127936032</v>
      </c>
      <c r="EU96" s="66">
        <f t="shared" si="44"/>
        <v>0.93802816901408448</v>
      </c>
      <c r="EV96" s="66">
        <f t="shared" si="44"/>
        <v>0.6106060606060606</v>
      </c>
      <c r="EW96" s="66">
        <f t="shared" si="44"/>
        <v>0.3075686537173476</v>
      </c>
      <c r="EX96" s="66">
        <f t="shared" si="44"/>
        <v>0.53141210374639769</v>
      </c>
      <c r="EY96" s="66">
        <f t="shared" si="44"/>
        <v>0.65830383253809444</v>
      </c>
      <c r="EZ96" s="66">
        <f t="shared" si="44"/>
        <v>0.55039370078740157</v>
      </c>
      <c r="FA96" s="66">
        <f t="shared" si="44"/>
        <v>0.39418743676998064</v>
      </c>
      <c r="FB96" s="66">
        <f t="shared" si="44"/>
        <v>0.79739292364990688</v>
      </c>
      <c r="FC96" s="66">
        <f t="shared" si="44"/>
        <v>0.36510090876903106</v>
      </c>
      <c r="FD96" s="66">
        <f t="shared" si="44"/>
        <v>0.5714285714285714</v>
      </c>
      <c r="FE96" s="66">
        <f t="shared" si="44"/>
        <v>0.68142857142857149</v>
      </c>
      <c r="FF96" s="66">
        <f t="shared" si="44"/>
        <v>0.58742857142857141</v>
      </c>
      <c r="FG96" s="66">
        <f t="shared" si="44"/>
        <v>0.46140350877192982</v>
      </c>
      <c r="FH96" s="66">
        <f t="shared" si="44"/>
        <v>0.46521739130434786</v>
      </c>
      <c r="FI96" s="66">
        <f t="shared" si="44"/>
        <v>0.62861491628614918</v>
      </c>
      <c r="FJ96" s="66">
        <f t="shared" si="44"/>
        <v>0.37250311332503111</v>
      </c>
      <c r="FK96" s="66">
        <f t="shared" si="44"/>
        <v>0.55482438433589021</v>
      </c>
      <c r="FL96" s="66">
        <f t="shared" si="44"/>
        <v>0.25419880385295118</v>
      </c>
      <c r="FM96" s="66">
        <f t="shared" si="44"/>
        <v>0.32768788749432937</v>
      </c>
      <c r="FN96" s="66">
        <f t="shared" si="44"/>
        <v>0.69580186778336517</v>
      </c>
      <c r="FO96" s="66">
        <f t="shared" si="44"/>
        <v>0.51642857142857146</v>
      </c>
      <c r="FP96" s="66">
        <f t="shared" si="44"/>
        <v>0.57328211694408882</v>
      </c>
      <c r="FQ96" s="66">
        <f t="shared" si="44"/>
        <v>0.3597560975609756</v>
      </c>
      <c r="FR96" s="66">
        <f t="shared" si="44"/>
        <v>0.28134945894334823</v>
      </c>
      <c r="FS96" s="66">
        <f t="shared" si="44"/>
        <v>0.28037383177570091</v>
      </c>
      <c r="FT96" s="66">
        <f t="shared" si="44"/>
        <v>0.59444444444444444</v>
      </c>
      <c r="FU96" s="66">
        <f t="shared" si="44"/>
        <v>0.63813280736357658</v>
      </c>
      <c r="FV96" s="66">
        <f t="shared" si="44"/>
        <v>0.62340272792534102</v>
      </c>
      <c r="FW96" s="66">
        <f t="shared" si="44"/>
        <v>0.62846153846153852</v>
      </c>
      <c r="FX96" s="66">
        <f t="shared" si="44"/>
        <v>0.45781250000000001</v>
      </c>
      <c r="FY96" s="25"/>
      <c r="FZ96" s="25"/>
      <c r="GA96" s="7"/>
      <c r="GB96" s="25"/>
      <c r="GC96" s="25"/>
      <c r="GD96" s="25"/>
      <c r="GE96" s="25"/>
      <c r="GF96" s="25"/>
      <c r="GG96" s="7"/>
      <c r="GH96" s="23"/>
      <c r="GI96" s="23"/>
      <c r="GJ96" s="23"/>
      <c r="GK96" s="23"/>
      <c r="GL96" s="23"/>
      <c r="GM96" s="23"/>
      <c r="GN96" s="23"/>
      <c r="GO96" s="23"/>
      <c r="GP96" s="7"/>
      <c r="GQ96" s="7"/>
      <c r="GR96" s="7"/>
      <c r="GS96" s="7"/>
      <c r="GT96" s="7"/>
      <c r="GU96" s="7"/>
      <c r="GV96" s="7"/>
    </row>
    <row r="97" spans="1:204" ht="15.5" x14ac:dyDescent="0.35">
      <c r="A97" s="12" t="s">
        <v>597</v>
      </c>
      <c r="B97" s="7" t="s">
        <v>598</v>
      </c>
      <c r="C97" s="53">
        <f t="shared" ref="C97:FX97" si="45">IF(AND(C96&gt;0.7,C79&lt;7000),C94*0.07*$B$2,0)</f>
        <v>2915759.9198000003</v>
      </c>
      <c r="D97" s="53">
        <f t="shared" si="45"/>
        <v>0</v>
      </c>
      <c r="E97" s="53">
        <f t="shared" si="45"/>
        <v>2865260.5618000003</v>
      </c>
      <c r="F97" s="53">
        <f t="shared" si="45"/>
        <v>0</v>
      </c>
      <c r="G97" s="53">
        <f t="shared" si="45"/>
        <v>0</v>
      </c>
      <c r="H97" s="53">
        <f t="shared" si="45"/>
        <v>0</v>
      </c>
      <c r="I97" s="53">
        <f t="shared" si="45"/>
        <v>0</v>
      </c>
      <c r="J97" s="53">
        <f t="shared" si="45"/>
        <v>961008.86699999997</v>
      </c>
      <c r="K97" s="53">
        <f t="shared" si="45"/>
        <v>0</v>
      </c>
      <c r="L97" s="53">
        <f t="shared" si="45"/>
        <v>0</v>
      </c>
      <c r="M97" s="53">
        <f t="shared" si="45"/>
        <v>444090.13740000001</v>
      </c>
      <c r="N97" s="53">
        <f t="shared" si="45"/>
        <v>0</v>
      </c>
      <c r="O97" s="53">
        <f t="shared" si="45"/>
        <v>0</v>
      </c>
      <c r="P97" s="53">
        <f t="shared" si="45"/>
        <v>0</v>
      </c>
      <c r="Q97" s="53">
        <f t="shared" si="45"/>
        <v>0</v>
      </c>
      <c r="R97" s="53">
        <f t="shared" si="45"/>
        <v>0</v>
      </c>
      <c r="S97" s="53">
        <f t="shared" si="45"/>
        <v>0</v>
      </c>
      <c r="T97" s="53">
        <f t="shared" si="45"/>
        <v>72098.481</v>
      </c>
      <c r="U97" s="53">
        <f t="shared" si="45"/>
        <v>0</v>
      </c>
      <c r="V97" s="53">
        <f t="shared" si="45"/>
        <v>114931.67140000001</v>
      </c>
      <c r="W97" s="53">
        <f t="shared" si="45"/>
        <v>22633.447200000002</v>
      </c>
      <c r="X97" s="53">
        <f t="shared" si="45"/>
        <v>0</v>
      </c>
      <c r="Y97" s="53">
        <f t="shared" si="45"/>
        <v>447314.79519999999</v>
      </c>
      <c r="Z97" s="53">
        <f t="shared" si="45"/>
        <v>0</v>
      </c>
      <c r="AA97" s="53">
        <f t="shared" si="45"/>
        <v>0</v>
      </c>
      <c r="AB97" s="53">
        <f t="shared" si="45"/>
        <v>0</v>
      </c>
      <c r="AC97" s="53">
        <f t="shared" si="45"/>
        <v>0</v>
      </c>
      <c r="AD97" s="53">
        <f t="shared" si="45"/>
        <v>0</v>
      </c>
      <c r="AE97" s="53">
        <f t="shared" si="45"/>
        <v>0</v>
      </c>
      <c r="AF97" s="53">
        <f t="shared" si="45"/>
        <v>0</v>
      </c>
      <c r="AG97" s="53">
        <f t="shared" si="45"/>
        <v>0</v>
      </c>
      <c r="AH97" s="53">
        <f t="shared" si="45"/>
        <v>0</v>
      </c>
      <c r="AI97" s="53">
        <f t="shared" si="45"/>
        <v>0</v>
      </c>
      <c r="AJ97" s="53">
        <f t="shared" si="45"/>
        <v>93515.076199999996</v>
      </c>
      <c r="AK97" s="53">
        <f t="shared" si="45"/>
        <v>90351.260999999999</v>
      </c>
      <c r="AL97" s="53">
        <f t="shared" si="45"/>
        <v>144744.5454</v>
      </c>
      <c r="AM97" s="53">
        <f t="shared" si="45"/>
        <v>0</v>
      </c>
      <c r="AN97" s="53">
        <f t="shared" si="45"/>
        <v>0</v>
      </c>
      <c r="AO97" s="53">
        <f t="shared" si="45"/>
        <v>0</v>
      </c>
      <c r="AP97" s="53">
        <f t="shared" si="45"/>
        <v>0</v>
      </c>
      <c r="AQ97" s="53">
        <f t="shared" si="45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5"/>
        <v>0</v>
      </c>
      <c r="BI97" s="53">
        <f t="shared" si="45"/>
        <v>116148.52340000001</v>
      </c>
      <c r="BJ97" s="53">
        <f t="shared" si="45"/>
        <v>0</v>
      </c>
      <c r="BK97" s="53">
        <f t="shared" si="45"/>
        <v>0</v>
      </c>
      <c r="BL97" s="53">
        <f t="shared" si="45"/>
        <v>0</v>
      </c>
      <c r="BM97" s="53">
        <f t="shared" si="45"/>
        <v>0</v>
      </c>
      <c r="BN97" s="53">
        <f t="shared" si="45"/>
        <v>0</v>
      </c>
      <c r="BO97" s="53">
        <f t="shared" si="45"/>
        <v>0</v>
      </c>
      <c r="BP97" s="53">
        <f t="shared" si="45"/>
        <v>0</v>
      </c>
      <c r="BQ97" s="53">
        <f t="shared" si="45"/>
        <v>0</v>
      </c>
      <c r="BR97" s="53">
        <f t="shared" si="45"/>
        <v>0</v>
      </c>
      <c r="BS97" s="53">
        <f t="shared" si="45"/>
        <v>0</v>
      </c>
      <c r="BT97" s="53">
        <f t="shared" si="45"/>
        <v>0</v>
      </c>
      <c r="BU97" s="53">
        <f t="shared" si="45"/>
        <v>0</v>
      </c>
      <c r="BV97" s="53">
        <f t="shared" si="45"/>
        <v>0</v>
      </c>
      <c r="BW97" s="53">
        <f t="shared" si="45"/>
        <v>0</v>
      </c>
      <c r="BX97" s="53">
        <f t="shared" si="45"/>
        <v>0</v>
      </c>
      <c r="BY97" s="53">
        <f t="shared" si="45"/>
        <v>209237.70139999999</v>
      </c>
      <c r="BZ97" s="53">
        <f t="shared" si="45"/>
        <v>99538.493599999987</v>
      </c>
      <c r="CA97" s="53">
        <f t="shared" si="45"/>
        <v>0</v>
      </c>
      <c r="CB97" s="53">
        <f t="shared" si="45"/>
        <v>0</v>
      </c>
      <c r="CC97" s="53">
        <f t="shared" si="45"/>
        <v>0</v>
      </c>
      <c r="CD97" s="53">
        <f t="shared" si="45"/>
        <v>0</v>
      </c>
      <c r="CE97" s="53">
        <f t="shared" si="45"/>
        <v>0</v>
      </c>
      <c r="CF97" s="53">
        <f t="shared" si="45"/>
        <v>0</v>
      </c>
      <c r="CG97" s="53">
        <f t="shared" si="45"/>
        <v>0</v>
      </c>
      <c r="CH97" s="53">
        <f t="shared" si="45"/>
        <v>41372.968000000001</v>
      </c>
      <c r="CI97" s="53">
        <f t="shared" si="45"/>
        <v>0</v>
      </c>
      <c r="CJ97" s="53">
        <f t="shared" si="45"/>
        <v>0</v>
      </c>
      <c r="CK97" s="53">
        <f t="shared" si="45"/>
        <v>0</v>
      </c>
      <c r="CL97" s="53">
        <f t="shared" si="45"/>
        <v>0</v>
      </c>
      <c r="CM97" s="53">
        <f t="shared" si="45"/>
        <v>0</v>
      </c>
      <c r="CN97" s="53">
        <f t="shared" si="45"/>
        <v>0</v>
      </c>
      <c r="CO97" s="53">
        <f t="shared" si="45"/>
        <v>0</v>
      </c>
      <c r="CP97" s="53">
        <f t="shared" si="45"/>
        <v>0</v>
      </c>
      <c r="CQ97" s="53">
        <f t="shared" si="45"/>
        <v>349358.20920000004</v>
      </c>
      <c r="CR97" s="53">
        <f t="shared" si="45"/>
        <v>0</v>
      </c>
      <c r="CS97" s="53">
        <f t="shared" si="45"/>
        <v>0</v>
      </c>
      <c r="CT97" s="53">
        <f t="shared" si="45"/>
        <v>55123.395600000003</v>
      </c>
      <c r="CU97" s="53">
        <f t="shared" si="45"/>
        <v>0</v>
      </c>
      <c r="CV97" s="53">
        <f t="shared" si="45"/>
        <v>0</v>
      </c>
      <c r="CW97" s="53">
        <f t="shared" si="45"/>
        <v>0</v>
      </c>
      <c r="CX97" s="53">
        <f t="shared" si="45"/>
        <v>0</v>
      </c>
      <c r="CY97" s="53">
        <f t="shared" si="45"/>
        <v>0</v>
      </c>
      <c r="CZ97" s="53">
        <f t="shared" si="45"/>
        <v>0</v>
      </c>
      <c r="DA97" s="53">
        <f t="shared" si="45"/>
        <v>0</v>
      </c>
      <c r="DB97" s="53">
        <f t="shared" si="45"/>
        <v>0</v>
      </c>
      <c r="DC97" s="53">
        <f t="shared" si="45"/>
        <v>0</v>
      </c>
      <c r="DD97" s="53">
        <f t="shared" si="45"/>
        <v>0</v>
      </c>
      <c r="DE97" s="53">
        <f t="shared" si="45"/>
        <v>0</v>
      </c>
      <c r="DF97" s="53">
        <f t="shared" si="45"/>
        <v>0</v>
      </c>
      <c r="DG97" s="53">
        <f t="shared" si="45"/>
        <v>0</v>
      </c>
      <c r="DH97" s="53">
        <f t="shared" si="45"/>
        <v>0</v>
      </c>
      <c r="DI97" s="53">
        <f t="shared" si="45"/>
        <v>0</v>
      </c>
      <c r="DJ97" s="53">
        <f t="shared" si="45"/>
        <v>0</v>
      </c>
      <c r="DK97" s="53">
        <f t="shared" si="45"/>
        <v>0</v>
      </c>
      <c r="DL97" s="53">
        <f t="shared" si="45"/>
        <v>0</v>
      </c>
      <c r="DM97" s="53">
        <f t="shared" si="45"/>
        <v>0</v>
      </c>
      <c r="DN97" s="53">
        <f t="shared" si="45"/>
        <v>0</v>
      </c>
      <c r="DO97" s="53">
        <f t="shared" si="45"/>
        <v>0</v>
      </c>
      <c r="DP97" s="53">
        <f t="shared" si="45"/>
        <v>0</v>
      </c>
      <c r="DQ97" s="53">
        <f t="shared" si="45"/>
        <v>0</v>
      </c>
      <c r="DR97" s="53">
        <f t="shared" si="45"/>
        <v>597535.17460000003</v>
      </c>
      <c r="DS97" s="53">
        <f t="shared" si="45"/>
        <v>276164.56139999995</v>
      </c>
      <c r="DT97" s="53">
        <f t="shared" si="45"/>
        <v>92602.437199999986</v>
      </c>
      <c r="DU97" s="53">
        <f t="shared" si="45"/>
        <v>0</v>
      </c>
      <c r="DV97" s="53">
        <f t="shared" si="45"/>
        <v>0</v>
      </c>
      <c r="DW97" s="53">
        <f t="shared" si="45"/>
        <v>0</v>
      </c>
      <c r="DX97" s="53">
        <f t="shared" si="45"/>
        <v>0</v>
      </c>
      <c r="DY97" s="53">
        <f t="shared" si="45"/>
        <v>0</v>
      </c>
      <c r="DZ97" s="53">
        <f t="shared" si="45"/>
        <v>0</v>
      </c>
      <c r="EA97" s="53">
        <f t="shared" si="45"/>
        <v>0</v>
      </c>
      <c r="EB97" s="53">
        <f t="shared" si="45"/>
        <v>0</v>
      </c>
      <c r="EC97" s="53">
        <f t="shared" si="45"/>
        <v>0</v>
      </c>
      <c r="ED97" s="53">
        <f t="shared" si="45"/>
        <v>0</v>
      </c>
      <c r="EE97" s="53">
        <f t="shared" si="45"/>
        <v>80494.7598</v>
      </c>
      <c r="EF97" s="53">
        <f t="shared" si="45"/>
        <v>586035.92319999996</v>
      </c>
      <c r="EG97" s="53">
        <f t="shared" si="45"/>
        <v>0</v>
      </c>
      <c r="EH97" s="53">
        <f t="shared" si="45"/>
        <v>0</v>
      </c>
      <c r="EI97" s="53">
        <f t="shared" si="45"/>
        <v>0</v>
      </c>
      <c r="EJ97" s="53">
        <f t="shared" si="45"/>
        <v>0</v>
      </c>
      <c r="EK97" s="53">
        <f t="shared" si="45"/>
        <v>0</v>
      </c>
      <c r="EL97" s="53">
        <f t="shared" si="45"/>
        <v>0</v>
      </c>
      <c r="EM97" s="53">
        <f t="shared" si="45"/>
        <v>0</v>
      </c>
      <c r="EN97" s="53">
        <f t="shared" si="45"/>
        <v>413729.68</v>
      </c>
      <c r="EO97" s="53">
        <f t="shared" si="45"/>
        <v>0</v>
      </c>
      <c r="EP97" s="53">
        <f t="shared" si="45"/>
        <v>0</v>
      </c>
      <c r="EQ97" s="53">
        <f t="shared" si="45"/>
        <v>0</v>
      </c>
      <c r="ER97" s="53">
        <f t="shared" si="45"/>
        <v>0</v>
      </c>
      <c r="ES97" s="53">
        <f t="shared" si="45"/>
        <v>0</v>
      </c>
      <c r="ET97" s="53">
        <f t="shared" si="45"/>
        <v>93150.020600000003</v>
      </c>
      <c r="EU97" s="53">
        <f t="shared" si="45"/>
        <v>324169.37279999995</v>
      </c>
      <c r="EV97" s="53">
        <f t="shared" si="45"/>
        <v>0</v>
      </c>
      <c r="EW97" s="53">
        <f t="shared" si="45"/>
        <v>0</v>
      </c>
      <c r="EX97" s="53">
        <f t="shared" si="45"/>
        <v>0</v>
      </c>
      <c r="EY97" s="53">
        <f t="shared" si="45"/>
        <v>0</v>
      </c>
      <c r="EZ97" s="53">
        <f t="shared" si="45"/>
        <v>0</v>
      </c>
      <c r="FA97" s="53">
        <f t="shared" si="45"/>
        <v>0</v>
      </c>
      <c r="FB97" s="53">
        <f t="shared" si="45"/>
        <v>130264.00660000001</v>
      </c>
      <c r="FC97" s="53">
        <f t="shared" si="45"/>
        <v>0</v>
      </c>
      <c r="FD97" s="53">
        <f t="shared" si="45"/>
        <v>0</v>
      </c>
      <c r="FE97" s="53">
        <f t="shared" si="45"/>
        <v>0</v>
      </c>
      <c r="FF97" s="53">
        <f t="shared" si="45"/>
        <v>0</v>
      </c>
      <c r="FG97" s="53">
        <f t="shared" si="45"/>
        <v>0</v>
      </c>
      <c r="FH97" s="53">
        <f t="shared" si="45"/>
        <v>0</v>
      </c>
      <c r="FI97" s="53">
        <f t="shared" si="45"/>
        <v>0</v>
      </c>
      <c r="FJ97" s="53">
        <f t="shared" si="45"/>
        <v>0</v>
      </c>
      <c r="FK97" s="53">
        <f t="shared" si="45"/>
        <v>0</v>
      </c>
      <c r="FL97" s="53">
        <f t="shared" si="45"/>
        <v>0</v>
      </c>
      <c r="FM97" s="53">
        <f t="shared" si="45"/>
        <v>0</v>
      </c>
      <c r="FN97" s="53">
        <f t="shared" si="45"/>
        <v>0</v>
      </c>
      <c r="FO97" s="53">
        <f t="shared" si="45"/>
        <v>0</v>
      </c>
      <c r="FP97" s="53">
        <f t="shared" si="45"/>
        <v>0</v>
      </c>
      <c r="FQ97" s="53">
        <f t="shared" si="45"/>
        <v>0</v>
      </c>
      <c r="FR97" s="53">
        <f t="shared" si="45"/>
        <v>0</v>
      </c>
      <c r="FS97" s="53">
        <f t="shared" si="45"/>
        <v>0</v>
      </c>
      <c r="FT97" s="53">
        <f t="shared" si="45"/>
        <v>0</v>
      </c>
      <c r="FU97" s="53">
        <f t="shared" si="45"/>
        <v>0</v>
      </c>
      <c r="FV97" s="53">
        <f t="shared" si="45"/>
        <v>0</v>
      </c>
      <c r="FW97" s="53">
        <f t="shared" si="45"/>
        <v>0</v>
      </c>
      <c r="FX97" s="53">
        <f t="shared" si="45"/>
        <v>0</v>
      </c>
      <c r="FY97" s="25"/>
      <c r="FZ97" s="25"/>
      <c r="GA97" s="7"/>
      <c r="GB97" s="25"/>
      <c r="GC97" s="25"/>
      <c r="GD97" s="25"/>
      <c r="GE97" s="25"/>
      <c r="GF97" s="25"/>
      <c r="GG97" s="7"/>
      <c r="GH97" s="23"/>
      <c r="GI97" s="23"/>
      <c r="GJ97" s="23"/>
      <c r="GK97" s="23"/>
      <c r="GL97" s="23"/>
      <c r="GM97" s="23"/>
      <c r="GN97" s="23"/>
      <c r="GO97" s="23"/>
      <c r="GP97" s="7"/>
      <c r="GQ97" s="7"/>
      <c r="GR97" s="7"/>
      <c r="GS97" s="7"/>
      <c r="GT97" s="7"/>
      <c r="GU97" s="7"/>
      <c r="GV97" s="7"/>
    </row>
    <row r="98" spans="1:204" ht="15.5" x14ac:dyDescent="0.35">
      <c r="A98" s="60" t="s">
        <v>599</v>
      </c>
      <c r="B98" s="5" t="s">
        <v>600</v>
      </c>
      <c r="C98" s="61">
        <f t="shared" ref="C98:FX98" si="46">(C94*C95)+C97</f>
        <v>13329188.2048</v>
      </c>
      <c r="D98" s="61">
        <f t="shared" si="46"/>
        <v>41705429.349999994</v>
      </c>
      <c r="E98" s="61">
        <f t="shared" si="46"/>
        <v>13098333.996799998</v>
      </c>
      <c r="F98" s="61">
        <f t="shared" si="46"/>
        <v>27269218.729999997</v>
      </c>
      <c r="G98" s="61">
        <f t="shared" si="46"/>
        <v>1764869.99</v>
      </c>
      <c r="H98" s="61">
        <f t="shared" si="46"/>
        <v>952186.69</v>
      </c>
      <c r="I98" s="61">
        <f t="shared" si="46"/>
        <v>13880804.6</v>
      </c>
      <c r="J98" s="61">
        <f t="shared" si="46"/>
        <v>4393183.392</v>
      </c>
      <c r="K98" s="61">
        <f t="shared" si="46"/>
        <v>330505.69499999995</v>
      </c>
      <c r="L98" s="61">
        <f t="shared" si="46"/>
        <v>2930657.665</v>
      </c>
      <c r="M98" s="61">
        <f t="shared" si="46"/>
        <v>2030126.3424</v>
      </c>
      <c r="N98" s="61">
        <f t="shared" si="46"/>
        <v>40999003.305</v>
      </c>
      <c r="O98" s="61">
        <f t="shared" si="46"/>
        <v>6583169.3199999994</v>
      </c>
      <c r="P98" s="61">
        <f t="shared" si="46"/>
        <v>355494.61999999994</v>
      </c>
      <c r="Q98" s="61">
        <f t="shared" si="46"/>
        <v>68552443.894999996</v>
      </c>
      <c r="R98" s="61">
        <f t="shared" si="46"/>
        <v>8570766.6850000005</v>
      </c>
      <c r="S98" s="61">
        <f t="shared" si="46"/>
        <v>2039530.8699999999</v>
      </c>
      <c r="T98" s="61">
        <f t="shared" si="46"/>
        <v>329593.05599999998</v>
      </c>
      <c r="U98" s="61">
        <f t="shared" si="46"/>
        <v>79312.674999999988</v>
      </c>
      <c r="V98" s="61">
        <f t="shared" si="46"/>
        <v>525401.9264</v>
      </c>
      <c r="W98" s="61">
        <f t="shared" si="46"/>
        <v>103467.18720000001</v>
      </c>
      <c r="X98" s="61">
        <f t="shared" si="46"/>
        <v>49108.67</v>
      </c>
      <c r="Y98" s="61">
        <f t="shared" si="46"/>
        <v>2044867.6351999999</v>
      </c>
      <c r="Z98" s="61">
        <f t="shared" si="46"/>
        <v>195782.79499999998</v>
      </c>
      <c r="AA98" s="61">
        <f t="shared" si="46"/>
        <v>24620392.679999996</v>
      </c>
      <c r="AB98" s="61">
        <f t="shared" si="46"/>
        <v>16055927.549999999</v>
      </c>
      <c r="AC98" s="61">
        <f t="shared" si="46"/>
        <v>677743.10499999986</v>
      </c>
      <c r="AD98" s="61">
        <f t="shared" si="46"/>
        <v>1215330.9349999998</v>
      </c>
      <c r="AE98" s="61">
        <f t="shared" si="46"/>
        <v>147108.715</v>
      </c>
      <c r="AF98" s="61">
        <f t="shared" si="46"/>
        <v>194696.31999999998</v>
      </c>
      <c r="AG98" s="61">
        <f t="shared" si="46"/>
        <v>408731.89499999996</v>
      </c>
      <c r="AH98" s="61">
        <f t="shared" si="46"/>
        <v>1356138.095</v>
      </c>
      <c r="AI98" s="61">
        <f t="shared" si="46"/>
        <v>508904.88999999996</v>
      </c>
      <c r="AJ98" s="61">
        <f t="shared" si="46"/>
        <v>427497.49119999993</v>
      </c>
      <c r="AK98" s="61">
        <f t="shared" si="46"/>
        <v>413034.33599999995</v>
      </c>
      <c r="AL98" s="61">
        <f t="shared" si="46"/>
        <v>661689.3504</v>
      </c>
      <c r="AM98" s="61">
        <f t="shared" si="46"/>
        <v>436762.94999999995</v>
      </c>
      <c r="AN98" s="61">
        <f t="shared" si="46"/>
        <v>303343.81999999995</v>
      </c>
      <c r="AO98" s="61">
        <f t="shared" si="46"/>
        <v>5417381.6449999996</v>
      </c>
      <c r="AP98" s="61">
        <f t="shared" si="46"/>
        <v>114902336.57499999</v>
      </c>
      <c r="AQ98" s="61">
        <f t="shared" si="46"/>
        <v>329201.92499999999</v>
      </c>
      <c r="AR98" s="61">
        <f t="shared" si="46"/>
        <v>23335744.640000001</v>
      </c>
      <c r="AS98" s="61">
        <f t="shared" si="46"/>
        <v>5819160.0999999996</v>
      </c>
      <c r="AT98" s="61">
        <f t="shared" si="46"/>
        <v>1315069.3400000001</v>
      </c>
      <c r="AU98" s="61">
        <f t="shared" si="46"/>
        <v>235330.48499999999</v>
      </c>
      <c r="AV98" s="61">
        <f t="shared" si="46"/>
        <v>406558.94499999995</v>
      </c>
      <c r="AW98" s="61">
        <f t="shared" si="46"/>
        <v>191871.48499999999</v>
      </c>
      <c r="AX98" s="61">
        <f t="shared" si="46"/>
        <v>96478.98</v>
      </c>
      <c r="AY98" s="61">
        <f t="shared" si="46"/>
        <v>457623.26999999996</v>
      </c>
      <c r="AZ98" s="61">
        <f t="shared" si="46"/>
        <v>17632402.774999999</v>
      </c>
      <c r="BA98" s="61">
        <f t="shared" si="46"/>
        <v>9551853.6099999994</v>
      </c>
      <c r="BB98" s="61">
        <f t="shared" si="46"/>
        <v>7962992.5699999994</v>
      </c>
      <c r="BC98" s="61">
        <f t="shared" si="46"/>
        <v>30928683.824999999</v>
      </c>
      <c r="BD98" s="61">
        <f t="shared" si="46"/>
        <v>1727929.8399999999</v>
      </c>
      <c r="BE98" s="61">
        <f t="shared" si="46"/>
        <v>902426.13499999989</v>
      </c>
      <c r="BF98" s="61">
        <f t="shared" si="46"/>
        <v>12854737.609999999</v>
      </c>
      <c r="BG98" s="61">
        <f t="shared" si="46"/>
        <v>1197947.3349999997</v>
      </c>
      <c r="BH98" s="61">
        <f t="shared" si="46"/>
        <v>370270.68</v>
      </c>
      <c r="BI98" s="61">
        <f t="shared" si="46"/>
        <v>530964.67839999998</v>
      </c>
      <c r="BJ98" s="61">
        <f t="shared" si="46"/>
        <v>2392417.9499999997</v>
      </c>
      <c r="BK98" s="61">
        <f t="shared" si="46"/>
        <v>30759628.314999998</v>
      </c>
      <c r="BL98" s="61">
        <f t="shared" si="46"/>
        <v>121033.315</v>
      </c>
      <c r="BM98" s="61">
        <f t="shared" si="46"/>
        <v>497605.54999999993</v>
      </c>
      <c r="BN98" s="61">
        <f t="shared" si="46"/>
        <v>3928041.7149999999</v>
      </c>
      <c r="BO98" s="61">
        <f t="shared" si="46"/>
        <v>1484342.145</v>
      </c>
      <c r="BP98" s="61">
        <f t="shared" si="46"/>
        <v>190350.41999999998</v>
      </c>
      <c r="BQ98" s="61">
        <f t="shared" si="46"/>
        <v>6363918.6649999991</v>
      </c>
      <c r="BR98" s="61">
        <f t="shared" si="46"/>
        <v>4848937.9249999998</v>
      </c>
      <c r="BS98" s="61">
        <f t="shared" si="46"/>
        <v>1678169.2849999997</v>
      </c>
      <c r="BT98" s="61">
        <f t="shared" si="46"/>
        <v>353538.96499999997</v>
      </c>
      <c r="BU98" s="61">
        <f t="shared" si="46"/>
        <v>362230.76499999996</v>
      </c>
      <c r="BV98" s="61">
        <f t="shared" si="46"/>
        <v>898949.41499999992</v>
      </c>
      <c r="BW98" s="61">
        <f t="shared" si="46"/>
        <v>1553659.2499999998</v>
      </c>
      <c r="BX98" s="61">
        <f t="shared" si="46"/>
        <v>48891.374999999993</v>
      </c>
      <c r="BY98" s="61">
        <f t="shared" si="46"/>
        <v>956515.20639999991</v>
      </c>
      <c r="BZ98" s="61">
        <f t="shared" si="46"/>
        <v>455033.11359999992</v>
      </c>
      <c r="CA98" s="61">
        <f t="shared" si="46"/>
        <v>98651.93</v>
      </c>
      <c r="CB98" s="61">
        <f t="shared" si="46"/>
        <v>48949392.765000001</v>
      </c>
      <c r="CC98" s="61">
        <f t="shared" si="46"/>
        <v>264230.71999999997</v>
      </c>
      <c r="CD98" s="61">
        <f t="shared" si="46"/>
        <v>26509.989999999998</v>
      </c>
      <c r="CE98" s="61">
        <f t="shared" si="46"/>
        <v>160363.71</v>
      </c>
      <c r="CF98" s="61">
        <f t="shared" si="46"/>
        <v>108647.49999999999</v>
      </c>
      <c r="CG98" s="61">
        <f t="shared" si="46"/>
        <v>188612.05999999997</v>
      </c>
      <c r="CH98" s="61">
        <f t="shared" si="46"/>
        <v>189133.56799999997</v>
      </c>
      <c r="CI98" s="61">
        <f t="shared" si="46"/>
        <v>936106.86</v>
      </c>
      <c r="CJ98" s="61">
        <f t="shared" si="46"/>
        <v>1111463.9249999998</v>
      </c>
      <c r="CK98" s="61">
        <f t="shared" si="46"/>
        <v>3904356.5599999996</v>
      </c>
      <c r="CL98" s="61">
        <f t="shared" si="46"/>
        <v>1072350.825</v>
      </c>
      <c r="CM98" s="61">
        <f t="shared" si="46"/>
        <v>765312.98999999987</v>
      </c>
      <c r="CN98" s="61">
        <f t="shared" si="46"/>
        <v>21245801.329999998</v>
      </c>
      <c r="CO98" s="61">
        <f t="shared" si="46"/>
        <v>10209388.279999997</v>
      </c>
      <c r="CP98" s="61">
        <f t="shared" si="46"/>
        <v>926980.47</v>
      </c>
      <c r="CQ98" s="61">
        <f t="shared" si="46"/>
        <v>1597066.0992000001</v>
      </c>
      <c r="CR98" s="61">
        <f t="shared" si="46"/>
        <v>159277.23499999999</v>
      </c>
      <c r="CS98" s="61">
        <f t="shared" si="46"/>
        <v>216208.52499999999</v>
      </c>
      <c r="CT98" s="61">
        <f t="shared" si="46"/>
        <v>251992.66559999995</v>
      </c>
      <c r="CU98" s="61">
        <f t="shared" si="46"/>
        <v>453494.66499999992</v>
      </c>
      <c r="CV98" s="61">
        <f t="shared" si="46"/>
        <v>19773.844999999998</v>
      </c>
      <c r="CW98" s="61">
        <f t="shared" si="46"/>
        <v>228594.34</v>
      </c>
      <c r="CX98" s="61">
        <f t="shared" si="46"/>
        <v>502386.03999999992</v>
      </c>
      <c r="CY98" s="61">
        <f t="shared" si="46"/>
        <v>28682.939999999995</v>
      </c>
      <c r="CZ98" s="61">
        <f t="shared" si="46"/>
        <v>2180120.7349999999</v>
      </c>
      <c r="DA98" s="61">
        <f t="shared" si="46"/>
        <v>109733.97499999999</v>
      </c>
      <c r="DB98" s="61">
        <f t="shared" si="46"/>
        <v>197738.44999999998</v>
      </c>
      <c r="DC98" s="61">
        <f t="shared" si="46"/>
        <v>109951.26999999999</v>
      </c>
      <c r="DD98" s="61">
        <f t="shared" si="46"/>
        <v>238589.90999999997</v>
      </c>
      <c r="DE98" s="61">
        <f t="shared" si="46"/>
        <v>281397.02499999997</v>
      </c>
      <c r="DF98" s="61">
        <f t="shared" si="46"/>
        <v>25473927.439999998</v>
      </c>
      <c r="DG98" s="61">
        <f t="shared" si="46"/>
        <v>81702.92</v>
      </c>
      <c r="DH98" s="61">
        <f t="shared" si="46"/>
        <v>2123624.0349999997</v>
      </c>
      <c r="DI98" s="61">
        <f t="shared" si="46"/>
        <v>3408706.665</v>
      </c>
      <c r="DJ98" s="61">
        <f t="shared" si="46"/>
        <v>735760.87</v>
      </c>
      <c r="DK98" s="61">
        <f t="shared" si="46"/>
        <v>427201.97</v>
      </c>
      <c r="DL98" s="61">
        <f t="shared" si="46"/>
        <v>6925408.9449999994</v>
      </c>
      <c r="DM98" s="61">
        <f t="shared" si="46"/>
        <v>297911.44499999995</v>
      </c>
      <c r="DN98" s="61">
        <f t="shared" si="46"/>
        <v>1849180.45</v>
      </c>
      <c r="DO98" s="61">
        <f t="shared" si="46"/>
        <v>4372409.9899999993</v>
      </c>
      <c r="DP98" s="61">
        <f t="shared" si="46"/>
        <v>144066.58499999999</v>
      </c>
      <c r="DQ98" s="61">
        <f t="shared" si="46"/>
        <v>810727.64500000002</v>
      </c>
      <c r="DR98" s="61">
        <f t="shared" si="46"/>
        <v>2731589.3695999999</v>
      </c>
      <c r="DS98" s="61">
        <f t="shared" si="46"/>
        <v>1262466.5663999999</v>
      </c>
      <c r="DT98" s="61">
        <f t="shared" si="46"/>
        <v>423325.42719999992</v>
      </c>
      <c r="DU98" s="61">
        <f t="shared" si="46"/>
        <v>450452.53499999997</v>
      </c>
      <c r="DV98" s="61">
        <f t="shared" si="46"/>
        <v>200128.69499999998</v>
      </c>
      <c r="DW98" s="61">
        <f t="shared" si="46"/>
        <v>328767.33500000002</v>
      </c>
      <c r="DX98" s="61">
        <f t="shared" si="46"/>
        <v>123206.265</v>
      </c>
      <c r="DY98" s="61">
        <f t="shared" si="46"/>
        <v>154714.03999999998</v>
      </c>
      <c r="DZ98" s="61">
        <f t="shared" si="46"/>
        <v>521942.58999999991</v>
      </c>
      <c r="EA98" s="61">
        <f t="shared" si="46"/>
        <v>483264.07999999996</v>
      </c>
      <c r="EB98" s="61">
        <f t="shared" si="46"/>
        <v>684044.65999999992</v>
      </c>
      <c r="EC98" s="61">
        <f t="shared" si="46"/>
        <v>209906.96999999997</v>
      </c>
      <c r="ED98" s="61">
        <f t="shared" si="46"/>
        <v>223813.84999999998</v>
      </c>
      <c r="EE98" s="61">
        <f t="shared" si="46"/>
        <v>367976.04479999997</v>
      </c>
      <c r="EF98" s="61">
        <f t="shared" si="46"/>
        <v>2679021.3632</v>
      </c>
      <c r="EG98" s="61">
        <f t="shared" si="46"/>
        <v>350496.83500000002</v>
      </c>
      <c r="EH98" s="61">
        <f t="shared" si="46"/>
        <v>284004.56499999994</v>
      </c>
      <c r="EI98" s="61">
        <f t="shared" si="46"/>
        <v>23362254.629999999</v>
      </c>
      <c r="EJ98" s="61">
        <f t="shared" si="46"/>
        <v>11373220.299999999</v>
      </c>
      <c r="EK98" s="61">
        <f t="shared" si="46"/>
        <v>552363.8899999999</v>
      </c>
      <c r="EL98" s="61">
        <f t="shared" si="46"/>
        <v>469139.90499999997</v>
      </c>
      <c r="EM98" s="61">
        <f t="shared" si="46"/>
        <v>453060.07499999995</v>
      </c>
      <c r="EN98" s="61">
        <f t="shared" si="46"/>
        <v>1891335.6799999997</v>
      </c>
      <c r="EO98" s="61">
        <f t="shared" si="46"/>
        <v>300301.68999999994</v>
      </c>
      <c r="EP98" s="61">
        <f t="shared" si="46"/>
        <v>256408.09999999998</v>
      </c>
      <c r="EQ98" s="61">
        <f t="shared" si="46"/>
        <v>1043885.1799999998</v>
      </c>
      <c r="ER98" s="61">
        <f t="shared" si="46"/>
        <v>190567.715</v>
      </c>
      <c r="ES98" s="61">
        <f t="shared" si="46"/>
        <v>270314.98</v>
      </c>
      <c r="ET98" s="61">
        <f t="shared" si="46"/>
        <v>425828.66559999995</v>
      </c>
      <c r="EU98" s="61">
        <f t="shared" si="46"/>
        <v>1481917.1327999998</v>
      </c>
      <c r="EV98" s="61">
        <f t="shared" si="46"/>
        <v>87569.88499999998</v>
      </c>
      <c r="EW98" s="61">
        <f t="shared" si="46"/>
        <v>498909.31999999995</v>
      </c>
      <c r="EX98" s="61">
        <f t="shared" si="46"/>
        <v>200345.99</v>
      </c>
      <c r="EY98" s="61">
        <f t="shared" si="46"/>
        <v>929370.71499999985</v>
      </c>
      <c r="EZ98" s="61">
        <f t="shared" si="46"/>
        <v>151889.20499999999</v>
      </c>
      <c r="FA98" s="61">
        <f t="shared" si="46"/>
        <v>2793979.11</v>
      </c>
      <c r="FB98" s="61">
        <f t="shared" si="46"/>
        <v>595492.60159999994</v>
      </c>
      <c r="FC98" s="61">
        <f t="shared" si="46"/>
        <v>1344404.165</v>
      </c>
      <c r="FD98" s="61">
        <f t="shared" si="46"/>
        <v>495432.6</v>
      </c>
      <c r="FE98" s="61">
        <f t="shared" si="46"/>
        <v>103649.715</v>
      </c>
      <c r="FF98" s="61">
        <f t="shared" si="46"/>
        <v>223379.25999999998</v>
      </c>
      <c r="FG98" s="61">
        <f t="shared" si="46"/>
        <v>114297.17</v>
      </c>
      <c r="FH98" s="61">
        <f t="shared" si="46"/>
        <v>69751.694999999992</v>
      </c>
      <c r="FI98" s="61">
        <f t="shared" si="46"/>
        <v>2243570.875</v>
      </c>
      <c r="FJ98" s="61">
        <f t="shared" si="46"/>
        <v>1624932.0099999998</v>
      </c>
      <c r="FK98" s="61">
        <f t="shared" si="46"/>
        <v>2986285.1849999996</v>
      </c>
      <c r="FL98" s="61">
        <f t="shared" si="46"/>
        <v>4719430.1049999995</v>
      </c>
      <c r="FM98" s="61">
        <f t="shared" si="46"/>
        <v>2825269.59</v>
      </c>
      <c r="FN98" s="61">
        <f t="shared" si="46"/>
        <v>34516441.57</v>
      </c>
      <c r="FO98" s="61">
        <f t="shared" si="46"/>
        <v>1256834.2799999998</v>
      </c>
      <c r="FP98" s="61">
        <f t="shared" si="46"/>
        <v>2918706.44</v>
      </c>
      <c r="FQ98" s="61">
        <f t="shared" si="46"/>
        <v>769224.29999999993</v>
      </c>
      <c r="FR98" s="61">
        <f t="shared" si="46"/>
        <v>96044.39</v>
      </c>
      <c r="FS98" s="61">
        <f t="shared" si="46"/>
        <v>97782.749999999985</v>
      </c>
      <c r="FT98" s="61">
        <f t="shared" si="46"/>
        <v>69751.694999999992</v>
      </c>
      <c r="FU98" s="61">
        <f t="shared" si="46"/>
        <v>1054532.635</v>
      </c>
      <c r="FV98" s="61">
        <f t="shared" si="46"/>
        <v>943494.8899999999</v>
      </c>
      <c r="FW98" s="61">
        <f t="shared" si="46"/>
        <v>177530.01499999998</v>
      </c>
      <c r="FX98" s="61">
        <f t="shared" si="46"/>
        <v>63667.434999999998</v>
      </c>
      <c r="FY98" s="25"/>
      <c r="FZ98" s="7">
        <f>SUM(C98:FX98)</f>
        <v>853504608.14580011</v>
      </c>
      <c r="GA98" s="62">
        <v>853504608.14580011</v>
      </c>
      <c r="GB98" s="25">
        <f>FZ98-GA98</f>
        <v>0</v>
      </c>
      <c r="GC98" s="25"/>
      <c r="GD98" s="25"/>
      <c r="GE98" s="25"/>
      <c r="GF98" s="25"/>
      <c r="GG98" s="7"/>
      <c r="GH98" s="23"/>
      <c r="GI98" s="23"/>
      <c r="GJ98" s="23"/>
      <c r="GK98" s="23"/>
      <c r="GL98" s="23"/>
      <c r="GM98" s="23"/>
      <c r="GN98" s="23"/>
      <c r="GO98" s="23"/>
      <c r="GP98" s="7"/>
      <c r="GQ98" s="7"/>
      <c r="GR98" s="7"/>
      <c r="GS98" s="7"/>
      <c r="GT98" s="7"/>
      <c r="GU98" s="7"/>
      <c r="GV98" s="7"/>
    </row>
    <row r="99" spans="1:204" ht="15.5" x14ac:dyDescent="0.35">
      <c r="A99" s="12"/>
      <c r="B99" s="5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25"/>
      <c r="FZ99" s="25"/>
      <c r="GA99" s="7"/>
      <c r="GB99" s="25"/>
      <c r="GC99" s="25"/>
      <c r="GD99" s="25"/>
      <c r="GE99" s="25"/>
      <c r="GF99" s="25"/>
      <c r="GG99" s="7"/>
      <c r="GH99" s="23"/>
      <c r="GI99" s="23"/>
      <c r="GJ99" s="23"/>
      <c r="GK99" s="23"/>
      <c r="GL99" s="23"/>
      <c r="GM99" s="23"/>
      <c r="GN99" s="23"/>
      <c r="GO99" s="23"/>
      <c r="GP99" s="7"/>
      <c r="GQ99" s="7"/>
      <c r="GR99" s="7"/>
      <c r="GS99" s="7"/>
      <c r="GT99" s="7"/>
      <c r="GU99" s="7"/>
      <c r="GV99" s="7"/>
    </row>
    <row r="100" spans="1:204" ht="15.5" x14ac:dyDescent="0.35">
      <c r="A100" s="12"/>
      <c r="B100" s="5" t="s">
        <v>601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7"/>
      <c r="FZ100" s="49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</row>
    <row r="101" spans="1:204" ht="15.5" x14ac:dyDescent="0.35">
      <c r="A101" s="12" t="s">
        <v>6</v>
      </c>
      <c r="B101" s="7" t="s">
        <v>602</v>
      </c>
      <c r="C101" s="23">
        <f t="shared" ref="C101:FX101" si="47">C28</f>
        <v>1359</v>
      </c>
      <c r="D101" s="23">
        <f t="shared" si="47"/>
        <v>4465</v>
      </c>
      <c r="E101" s="23">
        <f t="shared" si="47"/>
        <v>1525</v>
      </c>
      <c r="F101" s="23">
        <f t="shared" si="47"/>
        <v>2508</v>
      </c>
      <c r="G101" s="23">
        <f t="shared" si="47"/>
        <v>207</v>
      </c>
      <c r="H101" s="23">
        <f t="shared" si="47"/>
        <v>69</v>
      </c>
      <c r="I101" s="23">
        <f t="shared" si="47"/>
        <v>1835</v>
      </c>
      <c r="J101" s="23">
        <f t="shared" si="47"/>
        <v>185</v>
      </c>
      <c r="K101" s="23">
        <f t="shared" si="47"/>
        <v>3</v>
      </c>
      <c r="L101" s="23">
        <f t="shared" si="47"/>
        <v>184</v>
      </c>
      <c r="M101" s="23">
        <f t="shared" si="47"/>
        <v>187</v>
      </c>
      <c r="N101" s="23">
        <f t="shared" si="47"/>
        <v>5452</v>
      </c>
      <c r="O101" s="23">
        <f t="shared" si="47"/>
        <v>401</v>
      </c>
      <c r="P101" s="23">
        <f t="shared" si="47"/>
        <v>31</v>
      </c>
      <c r="Q101" s="23">
        <f t="shared" si="47"/>
        <v>11916</v>
      </c>
      <c r="R101" s="23">
        <f t="shared" si="47"/>
        <v>108</v>
      </c>
      <c r="S101" s="23">
        <f t="shared" si="47"/>
        <v>50</v>
      </c>
      <c r="T101" s="23">
        <f t="shared" si="47"/>
        <v>0</v>
      </c>
      <c r="U101" s="23">
        <f t="shared" si="47"/>
        <v>0</v>
      </c>
      <c r="V101" s="23">
        <f t="shared" si="47"/>
        <v>0</v>
      </c>
      <c r="W101" s="23">
        <f t="shared" si="47"/>
        <v>0</v>
      </c>
      <c r="X101" s="23">
        <f t="shared" si="47"/>
        <v>0</v>
      </c>
      <c r="Y101" s="23">
        <f t="shared" si="47"/>
        <v>4</v>
      </c>
      <c r="Z101" s="23">
        <f t="shared" si="47"/>
        <v>4</v>
      </c>
      <c r="AA101" s="23">
        <f t="shared" si="47"/>
        <v>2041</v>
      </c>
      <c r="AB101" s="23">
        <f t="shared" si="47"/>
        <v>1565</v>
      </c>
      <c r="AC101" s="23">
        <f t="shared" si="47"/>
        <v>32</v>
      </c>
      <c r="AD101" s="23">
        <f t="shared" si="47"/>
        <v>35</v>
      </c>
      <c r="AE101" s="23">
        <f t="shared" si="47"/>
        <v>3</v>
      </c>
      <c r="AF101" s="23">
        <f t="shared" si="47"/>
        <v>6</v>
      </c>
      <c r="AG101" s="23">
        <f t="shared" si="47"/>
        <v>12</v>
      </c>
      <c r="AH101" s="23">
        <f t="shared" si="47"/>
        <v>0</v>
      </c>
      <c r="AI101" s="23">
        <f t="shared" si="47"/>
        <v>3</v>
      </c>
      <c r="AJ101" s="23">
        <f t="shared" si="47"/>
        <v>2</v>
      </c>
      <c r="AK101" s="23">
        <f t="shared" si="47"/>
        <v>1</v>
      </c>
      <c r="AL101" s="23">
        <f t="shared" si="47"/>
        <v>21</v>
      </c>
      <c r="AM101" s="23">
        <f t="shared" si="47"/>
        <v>1</v>
      </c>
      <c r="AN101" s="23">
        <f t="shared" si="47"/>
        <v>0</v>
      </c>
      <c r="AO101" s="23">
        <f t="shared" si="47"/>
        <v>117</v>
      </c>
      <c r="AP101" s="23">
        <f t="shared" si="47"/>
        <v>16832</v>
      </c>
      <c r="AQ101" s="23">
        <f t="shared" si="47"/>
        <v>0</v>
      </c>
      <c r="AR101" s="23">
        <f t="shared" si="47"/>
        <v>1715</v>
      </c>
      <c r="AS101" s="23">
        <f t="shared" si="47"/>
        <v>1141</v>
      </c>
      <c r="AT101" s="23">
        <f t="shared" si="47"/>
        <v>32</v>
      </c>
      <c r="AU101" s="23">
        <f t="shared" si="47"/>
        <v>4</v>
      </c>
      <c r="AV101" s="23">
        <f t="shared" si="47"/>
        <v>3</v>
      </c>
      <c r="AW101" s="23">
        <f t="shared" si="47"/>
        <v>1</v>
      </c>
      <c r="AX101" s="23">
        <f t="shared" si="47"/>
        <v>5</v>
      </c>
      <c r="AY101" s="23">
        <f t="shared" si="47"/>
        <v>5</v>
      </c>
      <c r="AZ101" s="23">
        <f t="shared" si="47"/>
        <v>1133</v>
      </c>
      <c r="BA101" s="23">
        <f t="shared" si="47"/>
        <v>201</v>
      </c>
      <c r="BB101" s="23">
        <f t="shared" si="47"/>
        <v>184</v>
      </c>
      <c r="BC101" s="23">
        <f t="shared" si="47"/>
        <v>1622</v>
      </c>
      <c r="BD101" s="23">
        <f t="shared" si="47"/>
        <v>53</v>
      </c>
      <c r="BE101" s="23">
        <f t="shared" si="47"/>
        <v>3</v>
      </c>
      <c r="BF101" s="23">
        <f t="shared" si="47"/>
        <v>448</v>
      </c>
      <c r="BG101" s="23">
        <f t="shared" si="47"/>
        <v>78</v>
      </c>
      <c r="BH101" s="23">
        <f t="shared" si="47"/>
        <v>6</v>
      </c>
      <c r="BI101" s="23">
        <f t="shared" si="47"/>
        <v>15</v>
      </c>
      <c r="BJ101" s="23">
        <f t="shared" si="47"/>
        <v>68</v>
      </c>
      <c r="BK101" s="23">
        <f t="shared" si="47"/>
        <v>681</v>
      </c>
      <c r="BL101" s="23">
        <f t="shared" si="47"/>
        <v>1</v>
      </c>
      <c r="BM101" s="23">
        <f t="shared" si="47"/>
        <v>11</v>
      </c>
      <c r="BN101" s="23">
        <f t="shared" si="47"/>
        <v>11</v>
      </c>
      <c r="BO101" s="23">
        <f t="shared" si="47"/>
        <v>9</v>
      </c>
      <c r="BP101" s="23">
        <f t="shared" si="47"/>
        <v>1</v>
      </c>
      <c r="BQ101" s="23">
        <f t="shared" si="47"/>
        <v>1133</v>
      </c>
      <c r="BR101" s="23">
        <f t="shared" si="47"/>
        <v>764</v>
      </c>
      <c r="BS101" s="23">
        <f t="shared" si="47"/>
        <v>207</v>
      </c>
      <c r="BT101" s="23">
        <f t="shared" si="47"/>
        <v>2</v>
      </c>
      <c r="BU101" s="23">
        <f t="shared" si="47"/>
        <v>42</v>
      </c>
      <c r="BV101" s="23">
        <f t="shared" si="47"/>
        <v>85</v>
      </c>
      <c r="BW101" s="23">
        <f t="shared" si="47"/>
        <v>214</v>
      </c>
      <c r="BX101" s="23">
        <f t="shared" si="47"/>
        <v>0</v>
      </c>
      <c r="BY101" s="23">
        <f t="shared" si="47"/>
        <v>0</v>
      </c>
      <c r="BZ101" s="23">
        <f t="shared" si="47"/>
        <v>0</v>
      </c>
      <c r="CA101" s="23">
        <f t="shared" si="47"/>
        <v>5</v>
      </c>
      <c r="CB101" s="23">
        <f t="shared" si="47"/>
        <v>2880</v>
      </c>
      <c r="CC101" s="23">
        <f t="shared" si="47"/>
        <v>0</v>
      </c>
      <c r="CD101" s="23">
        <f t="shared" si="47"/>
        <v>1</v>
      </c>
      <c r="CE101" s="23">
        <f t="shared" si="47"/>
        <v>0</v>
      </c>
      <c r="CF101" s="23">
        <f t="shared" si="47"/>
        <v>0</v>
      </c>
      <c r="CG101" s="23">
        <f t="shared" si="47"/>
        <v>11</v>
      </c>
      <c r="CH101" s="23">
        <f t="shared" si="47"/>
        <v>6</v>
      </c>
      <c r="CI101" s="23">
        <f t="shared" si="47"/>
        <v>63</v>
      </c>
      <c r="CJ101" s="23">
        <f t="shared" si="47"/>
        <v>158</v>
      </c>
      <c r="CK101" s="23">
        <f t="shared" si="47"/>
        <v>168</v>
      </c>
      <c r="CL101" s="23">
        <f t="shared" si="47"/>
        <v>22</v>
      </c>
      <c r="CM101" s="23">
        <f t="shared" si="47"/>
        <v>8</v>
      </c>
      <c r="CN101" s="23">
        <f t="shared" si="47"/>
        <v>1199</v>
      </c>
      <c r="CO101" s="23">
        <f t="shared" si="47"/>
        <v>377</v>
      </c>
      <c r="CP101" s="23">
        <f t="shared" si="47"/>
        <v>139</v>
      </c>
      <c r="CQ101" s="23">
        <f t="shared" si="47"/>
        <v>3</v>
      </c>
      <c r="CR101" s="23">
        <f t="shared" si="47"/>
        <v>0</v>
      </c>
      <c r="CS101" s="23">
        <f t="shared" si="47"/>
        <v>1</v>
      </c>
      <c r="CT101" s="23">
        <f t="shared" si="47"/>
        <v>1</v>
      </c>
      <c r="CU101" s="23">
        <f t="shared" si="47"/>
        <v>3</v>
      </c>
      <c r="CV101" s="23">
        <f t="shared" si="47"/>
        <v>0</v>
      </c>
      <c r="CW101" s="23">
        <f t="shared" si="47"/>
        <v>1</v>
      </c>
      <c r="CX101" s="23">
        <f t="shared" si="47"/>
        <v>12</v>
      </c>
      <c r="CY101" s="23">
        <f t="shared" si="47"/>
        <v>0</v>
      </c>
      <c r="CZ101" s="23">
        <f t="shared" si="47"/>
        <v>39</v>
      </c>
      <c r="DA101" s="23">
        <f t="shared" si="47"/>
        <v>0</v>
      </c>
      <c r="DB101" s="23">
        <f t="shared" si="47"/>
        <v>7</v>
      </c>
      <c r="DC101" s="23">
        <f t="shared" si="47"/>
        <v>0</v>
      </c>
      <c r="DD101" s="23">
        <f t="shared" si="47"/>
        <v>7</v>
      </c>
      <c r="DE101" s="23">
        <f t="shared" si="47"/>
        <v>1</v>
      </c>
      <c r="DF101" s="23">
        <f t="shared" si="47"/>
        <v>654</v>
      </c>
      <c r="DG101" s="23">
        <f t="shared" si="47"/>
        <v>0</v>
      </c>
      <c r="DH101" s="23">
        <f t="shared" si="47"/>
        <v>120</v>
      </c>
      <c r="DI101" s="23">
        <f t="shared" si="47"/>
        <v>62</v>
      </c>
      <c r="DJ101" s="23">
        <f t="shared" si="47"/>
        <v>9</v>
      </c>
      <c r="DK101" s="23">
        <f t="shared" si="47"/>
        <v>19</v>
      </c>
      <c r="DL101" s="23">
        <f t="shared" si="47"/>
        <v>415</v>
      </c>
      <c r="DM101" s="23">
        <f t="shared" si="47"/>
        <v>0</v>
      </c>
      <c r="DN101" s="23">
        <f t="shared" si="47"/>
        <v>66</v>
      </c>
      <c r="DO101" s="23">
        <f t="shared" si="47"/>
        <v>533</v>
      </c>
      <c r="DP101" s="23">
        <f t="shared" si="47"/>
        <v>0</v>
      </c>
      <c r="DQ101" s="23">
        <f t="shared" si="47"/>
        <v>51</v>
      </c>
      <c r="DR101" s="23">
        <f t="shared" si="47"/>
        <v>17</v>
      </c>
      <c r="DS101" s="23">
        <f t="shared" si="47"/>
        <v>32</v>
      </c>
      <c r="DT101" s="23">
        <f t="shared" si="47"/>
        <v>6</v>
      </c>
      <c r="DU101" s="23">
        <f t="shared" si="47"/>
        <v>3</v>
      </c>
      <c r="DV101" s="23">
        <f t="shared" si="47"/>
        <v>1</v>
      </c>
      <c r="DW101" s="23">
        <f t="shared" si="47"/>
        <v>1</v>
      </c>
      <c r="DX101" s="23">
        <f t="shared" si="47"/>
        <v>1</v>
      </c>
      <c r="DY101" s="23">
        <f t="shared" si="47"/>
        <v>4</v>
      </c>
      <c r="DZ101" s="23">
        <f t="shared" si="47"/>
        <v>0</v>
      </c>
      <c r="EA101" s="23">
        <f t="shared" si="47"/>
        <v>28</v>
      </c>
      <c r="EB101" s="23">
        <f t="shared" si="47"/>
        <v>62</v>
      </c>
      <c r="EC101" s="23">
        <f t="shared" si="47"/>
        <v>9</v>
      </c>
      <c r="ED101" s="23">
        <f t="shared" si="47"/>
        <v>66</v>
      </c>
      <c r="EE101" s="23">
        <f t="shared" si="47"/>
        <v>19</v>
      </c>
      <c r="EF101" s="23">
        <f t="shared" si="47"/>
        <v>71</v>
      </c>
      <c r="EG101" s="23">
        <f t="shared" si="47"/>
        <v>44</v>
      </c>
      <c r="EH101" s="23">
        <f t="shared" si="47"/>
        <v>14</v>
      </c>
      <c r="EI101" s="23">
        <f t="shared" si="47"/>
        <v>421</v>
      </c>
      <c r="EJ101" s="23">
        <f t="shared" si="47"/>
        <v>200</v>
      </c>
      <c r="EK101" s="23">
        <f t="shared" si="47"/>
        <v>17</v>
      </c>
      <c r="EL101" s="23">
        <f t="shared" si="47"/>
        <v>1</v>
      </c>
      <c r="EM101" s="23">
        <f t="shared" si="47"/>
        <v>6</v>
      </c>
      <c r="EN101" s="23">
        <f t="shared" si="47"/>
        <v>10</v>
      </c>
      <c r="EO101" s="23">
        <f t="shared" si="47"/>
        <v>5</v>
      </c>
      <c r="EP101" s="23">
        <f t="shared" si="47"/>
        <v>17</v>
      </c>
      <c r="EQ101" s="23">
        <f t="shared" si="47"/>
        <v>184</v>
      </c>
      <c r="ER101" s="23">
        <f t="shared" si="47"/>
        <v>14</v>
      </c>
      <c r="ES101" s="23">
        <f t="shared" si="47"/>
        <v>3</v>
      </c>
      <c r="ET101" s="23">
        <f t="shared" si="47"/>
        <v>5</v>
      </c>
      <c r="EU101" s="23">
        <f t="shared" si="47"/>
        <v>102</v>
      </c>
      <c r="EV101" s="23">
        <f t="shared" si="47"/>
        <v>6</v>
      </c>
      <c r="EW101" s="23">
        <f t="shared" si="47"/>
        <v>59</v>
      </c>
      <c r="EX101" s="23">
        <f t="shared" si="47"/>
        <v>8</v>
      </c>
      <c r="EY101" s="23">
        <f t="shared" si="47"/>
        <v>17</v>
      </c>
      <c r="EZ101" s="23">
        <f t="shared" si="47"/>
        <v>0</v>
      </c>
      <c r="FA101" s="23">
        <f t="shared" si="47"/>
        <v>611</v>
      </c>
      <c r="FB101" s="23">
        <f t="shared" si="47"/>
        <v>3</v>
      </c>
      <c r="FC101" s="23">
        <f t="shared" si="47"/>
        <v>32</v>
      </c>
      <c r="FD101" s="23">
        <f t="shared" si="47"/>
        <v>4</v>
      </c>
      <c r="FE101" s="23">
        <f t="shared" si="47"/>
        <v>13</v>
      </c>
      <c r="FF101" s="23">
        <f t="shared" si="47"/>
        <v>2</v>
      </c>
      <c r="FG101" s="23">
        <f t="shared" si="47"/>
        <v>3</v>
      </c>
      <c r="FH101" s="23">
        <f t="shared" si="47"/>
        <v>0</v>
      </c>
      <c r="FI101" s="23">
        <f t="shared" si="47"/>
        <v>182</v>
      </c>
      <c r="FJ101" s="23">
        <f t="shared" si="47"/>
        <v>72</v>
      </c>
      <c r="FK101" s="23">
        <f t="shared" si="47"/>
        <v>246</v>
      </c>
      <c r="FL101" s="23">
        <f t="shared" si="47"/>
        <v>195</v>
      </c>
      <c r="FM101" s="23">
        <f t="shared" si="47"/>
        <v>93</v>
      </c>
      <c r="FN101" s="23">
        <f t="shared" si="47"/>
        <v>3402</v>
      </c>
      <c r="FO101" s="23">
        <f t="shared" si="47"/>
        <v>55</v>
      </c>
      <c r="FP101" s="23">
        <f t="shared" si="47"/>
        <v>325</v>
      </c>
      <c r="FQ101" s="23">
        <f t="shared" si="47"/>
        <v>60</v>
      </c>
      <c r="FR101" s="23">
        <f t="shared" si="47"/>
        <v>1</v>
      </c>
      <c r="FS101" s="23">
        <f t="shared" si="47"/>
        <v>0</v>
      </c>
      <c r="FT101" s="23">
        <f t="shared" si="47"/>
        <v>0</v>
      </c>
      <c r="FU101" s="23">
        <f t="shared" si="47"/>
        <v>137</v>
      </c>
      <c r="FV101" s="23">
        <f t="shared" si="47"/>
        <v>88</v>
      </c>
      <c r="FW101" s="23">
        <f t="shared" si="47"/>
        <v>5</v>
      </c>
      <c r="FX101" s="23">
        <f t="shared" si="47"/>
        <v>0</v>
      </c>
      <c r="FY101" s="7"/>
      <c r="FZ101" s="7">
        <f>SUM(C101:FX101)</f>
        <v>75065</v>
      </c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</row>
    <row r="102" spans="1:204" ht="15.5" x14ac:dyDescent="0.35">
      <c r="A102" s="12" t="s">
        <v>603</v>
      </c>
      <c r="B102" s="7" t="s">
        <v>604</v>
      </c>
      <c r="C102" s="49">
        <f t="shared" ref="C102:FX102" si="48">C84*0.25</f>
        <v>2172.9499999999998</v>
      </c>
      <c r="D102" s="49">
        <f t="shared" si="48"/>
        <v>2172.9499999999998</v>
      </c>
      <c r="E102" s="49">
        <f t="shared" si="48"/>
        <v>2172.9499999999998</v>
      </c>
      <c r="F102" s="49">
        <f t="shared" si="48"/>
        <v>2172.9499999999998</v>
      </c>
      <c r="G102" s="49">
        <f t="shared" si="48"/>
        <v>2172.9499999999998</v>
      </c>
      <c r="H102" s="49">
        <f t="shared" si="48"/>
        <v>2172.9499999999998</v>
      </c>
      <c r="I102" s="49">
        <f t="shared" si="48"/>
        <v>2172.9499999999998</v>
      </c>
      <c r="J102" s="49">
        <f t="shared" si="48"/>
        <v>2172.9499999999998</v>
      </c>
      <c r="K102" s="49">
        <f t="shared" si="48"/>
        <v>2172.9499999999998</v>
      </c>
      <c r="L102" s="49">
        <f t="shared" si="48"/>
        <v>2172.9499999999998</v>
      </c>
      <c r="M102" s="49">
        <f t="shared" si="48"/>
        <v>2172.9499999999998</v>
      </c>
      <c r="N102" s="49">
        <f t="shared" si="48"/>
        <v>2172.9499999999998</v>
      </c>
      <c r="O102" s="49">
        <f t="shared" si="48"/>
        <v>2172.9499999999998</v>
      </c>
      <c r="P102" s="49">
        <f t="shared" si="48"/>
        <v>2172.9499999999998</v>
      </c>
      <c r="Q102" s="49">
        <f t="shared" si="48"/>
        <v>2172.9499999999998</v>
      </c>
      <c r="R102" s="49">
        <f t="shared" si="48"/>
        <v>2172.9499999999998</v>
      </c>
      <c r="S102" s="49">
        <f t="shared" si="48"/>
        <v>2172.9499999999998</v>
      </c>
      <c r="T102" s="49">
        <f t="shared" si="48"/>
        <v>2172.9499999999998</v>
      </c>
      <c r="U102" s="49">
        <f t="shared" si="48"/>
        <v>2172.9499999999998</v>
      </c>
      <c r="V102" s="49">
        <f t="shared" si="48"/>
        <v>2172.9499999999998</v>
      </c>
      <c r="W102" s="49">
        <f t="shared" si="48"/>
        <v>2172.9499999999998</v>
      </c>
      <c r="X102" s="49">
        <f t="shared" si="48"/>
        <v>2172.9499999999998</v>
      </c>
      <c r="Y102" s="49">
        <f t="shared" si="48"/>
        <v>2172.9499999999998</v>
      </c>
      <c r="Z102" s="49">
        <f t="shared" si="48"/>
        <v>2172.9499999999998</v>
      </c>
      <c r="AA102" s="49">
        <f t="shared" si="48"/>
        <v>2172.9499999999998</v>
      </c>
      <c r="AB102" s="49">
        <f t="shared" si="48"/>
        <v>2172.9499999999998</v>
      </c>
      <c r="AC102" s="49">
        <f t="shared" si="48"/>
        <v>2172.9499999999998</v>
      </c>
      <c r="AD102" s="49">
        <f t="shared" si="48"/>
        <v>2172.9499999999998</v>
      </c>
      <c r="AE102" s="49">
        <f t="shared" si="48"/>
        <v>2172.9499999999998</v>
      </c>
      <c r="AF102" s="49">
        <f t="shared" si="48"/>
        <v>2172.9499999999998</v>
      </c>
      <c r="AG102" s="49">
        <f t="shared" si="48"/>
        <v>2172.9499999999998</v>
      </c>
      <c r="AH102" s="49">
        <f t="shared" si="48"/>
        <v>2172.9499999999998</v>
      </c>
      <c r="AI102" s="49">
        <f t="shared" si="48"/>
        <v>2172.9499999999998</v>
      </c>
      <c r="AJ102" s="49">
        <f t="shared" si="48"/>
        <v>2172.9499999999998</v>
      </c>
      <c r="AK102" s="49">
        <f t="shared" si="48"/>
        <v>2172.9499999999998</v>
      </c>
      <c r="AL102" s="49">
        <f t="shared" si="48"/>
        <v>2172.9499999999998</v>
      </c>
      <c r="AM102" s="49">
        <f t="shared" si="48"/>
        <v>2172.9499999999998</v>
      </c>
      <c r="AN102" s="49">
        <f t="shared" si="48"/>
        <v>2172.9499999999998</v>
      </c>
      <c r="AO102" s="49">
        <f t="shared" si="48"/>
        <v>2172.9499999999998</v>
      </c>
      <c r="AP102" s="49">
        <f t="shared" si="48"/>
        <v>2172.9499999999998</v>
      </c>
      <c r="AQ102" s="49">
        <f t="shared" si="48"/>
        <v>2172.9499999999998</v>
      </c>
      <c r="AR102" s="49">
        <f t="shared" si="48"/>
        <v>2172.9499999999998</v>
      </c>
      <c r="AS102" s="49">
        <f t="shared" si="48"/>
        <v>2172.9499999999998</v>
      </c>
      <c r="AT102" s="49">
        <f t="shared" si="48"/>
        <v>2172.9499999999998</v>
      </c>
      <c r="AU102" s="49">
        <f t="shared" si="48"/>
        <v>2172.9499999999998</v>
      </c>
      <c r="AV102" s="49">
        <f t="shared" si="48"/>
        <v>2172.9499999999998</v>
      </c>
      <c r="AW102" s="49">
        <f t="shared" si="48"/>
        <v>2172.9499999999998</v>
      </c>
      <c r="AX102" s="49">
        <f t="shared" si="48"/>
        <v>2172.9499999999998</v>
      </c>
      <c r="AY102" s="49">
        <f t="shared" si="48"/>
        <v>2172.9499999999998</v>
      </c>
      <c r="AZ102" s="49">
        <f t="shared" si="48"/>
        <v>2172.9499999999998</v>
      </c>
      <c r="BA102" s="49">
        <f t="shared" si="48"/>
        <v>2172.9499999999998</v>
      </c>
      <c r="BB102" s="49">
        <f t="shared" si="48"/>
        <v>2172.9499999999998</v>
      </c>
      <c r="BC102" s="49">
        <f t="shared" si="48"/>
        <v>2172.9499999999998</v>
      </c>
      <c r="BD102" s="49">
        <f t="shared" si="48"/>
        <v>2172.9499999999998</v>
      </c>
      <c r="BE102" s="49">
        <f t="shared" si="48"/>
        <v>2172.9499999999998</v>
      </c>
      <c r="BF102" s="49">
        <f t="shared" si="48"/>
        <v>2172.9499999999998</v>
      </c>
      <c r="BG102" s="49">
        <f t="shared" si="48"/>
        <v>2172.9499999999998</v>
      </c>
      <c r="BH102" s="49">
        <f t="shared" si="48"/>
        <v>2172.9499999999998</v>
      </c>
      <c r="BI102" s="49">
        <f t="shared" si="48"/>
        <v>2172.9499999999998</v>
      </c>
      <c r="BJ102" s="49">
        <f t="shared" si="48"/>
        <v>2172.9499999999998</v>
      </c>
      <c r="BK102" s="49">
        <f t="shared" si="48"/>
        <v>2172.9499999999998</v>
      </c>
      <c r="BL102" s="49">
        <f t="shared" si="48"/>
        <v>2172.9499999999998</v>
      </c>
      <c r="BM102" s="49">
        <f t="shared" si="48"/>
        <v>2172.9499999999998</v>
      </c>
      <c r="BN102" s="49">
        <f t="shared" si="48"/>
        <v>2172.9499999999998</v>
      </c>
      <c r="BO102" s="49">
        <f t="shared" si="48"/>
        <v>2172.9499999999998</v>
      </c>
      <c r="BP102" s="49">
        <f t="shared" si="48"/>
        <v>2172.9499999999998</v>
      </c>
      <c r="BQ102" s="49">
        <f t="shared" si="48"/>
        <v>2172.9499999999998</v>
      </c>
      <c r="BR102" s="49">
        <f t="shared" si="48"/>
        <v>2172.9499999999998</v>
      </c>
      <c r="BS102" s="49">
        <f t="shared" si="48"/>
        <v>2172.9499999999998</v>
      </c>
      <c r="BT102" s="49">
        <f t="shared" si="48"/>
        <v>2172.9499999999998</v>
      </c>
      <c r="BU102" s="49">
        <f t="shared" si="48"/>
        <v>2172.9499999999998</v>
      </c>
      <c r="BV102" s="49">
        <f t="shared" si="48"/>
        <v>2172.9499999999998</v>
      </c>
      <c r="BW102" s="49">
        <f t="shared" si="48"/>
        <v>2172.9499999999998</v>
      </c>
      <c r="BX102" s="49">
        <f t="shared" si="48"/>
        <v>2172.9499999999998</v>
      </c>
      <c r="BY102" s="49">
        <f t="shared" si="48"/>
        <v>2172.9499999999998</v>
      </c>
      <c r="BZ102" s="49">
        <f t="shared" si="48"/>
        <v>2172.9499999999998</v>
      </c>
      <c r="CA102" s="49">
        <f t="shared" si="48"/>
        <v>2172.9499999999998</v>
      </c>
      <c r="CB102" s="49">
        <f t="shared" si="48"/>
        <v>2172.9499999999998</v>
      </c>
      <c r="CC102" s="49">
        <f t="shared" si="48"/>
        <v>2172.9499999999998</v>
      </c>
      <c r="CD102" s="49">
        <f t="shared" si="48"/>
        <v>2172.9499999999998</v>
      </c>
      <c r="CE102" s="49">
        <f t="shared" si="48"/>
        <v>2172.9499999999998</v>
      </c>
      <c r="CF102" s="49">
        <f t="shared" si="48"/>
        <v>2172.9499999999998</v>
      </c>
      <c r="CG102" s="49">
        <f t="shared" si="48"/>
        <v>2172.9499999999998</v>
      </c>
      <c r="CH102" s="49">
        <f t="shared" si="48"/>
        <v>2172.9499999999998</v>
      </c>
      <c r="CI102" s="49">
        <f t="shared" si="48"/>
        <v>2172.9499999999998</v>
      </c>
      <c r="CJ102" s="49">
        <f t="shared" si="48"/>
        <v>2172.9499999999998</v>
      </c>
      <c r="CK102" s="49">
        <f t="shared" si="48"/>
        <v>2172.9499999999998</v>
      </c>
      <c r="CL102" s="49">
        <f t="shared" si="48"/>
        <v>2172.9499999999998</v>
      </c>
      <c r="CM102" s="49">
        <f t="shared" si="48"/>
        <v>2172.9499999999998</v>
      </c>
      <c r="CN102" s="49">
        <f t="shared" si="48"/>
        <v>2172.9499999999998</v>
      </c>
      <c r="CO102" s="49">
        <f t="shared" si="48"/>
        <v>2172.9499999999998</v>
      </c>
      <c r="CP102" s="49">
        <f t="shared" si="48"/>
        <v>2172.9499999999998</v>
      </c>
      <c r="CQ102" s="49">
        <f t="shared" si="48"/>
        <v>2172.9499999999998</v>
      </c>
      <c r="CR102" s="49">
        <f t="shared" si="48"/>
        <v>2172.9499999999998</v>
      </c>
      <c r="CS102" s="49">
        <f t="shared" si="48"/>
        <v>2172.9499999999998</v>
      </c>
      <c r="CT102" s="49">
        <f t="shared" si="48"/>
        <v>2172.9499999999998</v>
      </c>
      <c r="CU102" s="49">
        <f t="shared" si="48"/>
        <v>2172.9499999999998</v>
      </c>
      <c r="CV102" s="49">
        <f t="shared" si="48"/>
        <v>2172.9499999999998</v>
      </c>
      <c r="CW102" s="49">
        <f t="shared" si="48"/>
        <v>2172.9499999999998</v>
      </c>
      <c r="CX102" s="49">
        <f t="shared" si="48"/>
        <v>2172.9499999999998</v>
      </c>
      <c r="CY102" s="49">
        <f t="shared" si="48"/>
        <v>2172.9499999999998</v>
      </c>
      <c r="CZ102" s="49">
        <f t="shared" si="48"/>
        <v>2172.9499999999998</v>
      </c>
      <c r="DA102" s="49">
        <f t="shared" si="48"/>
        <v>2172.9499999999998</v>
      </c>
      <c r="DB102" s="49">
        <f t="shared" si="48"/>
        <v>2172.9499999999998</v>
      </c>
      <c r="DC102" s="49">
        <f t="shared" si="48"/>
        <v>2172.9499999999998</v>
      </c>
      <c r="DD102" s="49">
        <f t="shared" si="48"/>
        <v>2172.9499999999998</v>
      </c>
      <c r="DE102" s="49">
        <f t="shared" si="48"/>
        <v>2172.9499999999998</v>
      </c>
      <c r="DF102" s="49">
        <f t="shared" si="48"/>
        <v>2172.9499999999998</v>
      </c>
      <c r="DG102" s="49">
        <f t="shared" si="48"/>
        <v>2172.9499999999998</v>
      </c>
      <c r="DH102" s="49">
        <f t="shared" si="48"/>
        <v>2172.9499999999998</v>
      </c>
      <c r="DI102" s="49">
        <f t="shared" si="48"/>
        <v>2172.9499999999998</v>
      </c>
      <c r="DJ102" s="49">
        <f t="shared" si="48"/>
        <v>2172.9499999999998</v>
      </c>
      <c r="DK102" s="49">
        <f t="shared" si="48"/>
        <v>2172.9499999999998</v>
      </c>
      <c r="DL102" s="49">
        <f t="shared" si="48"/>
        <v>2172.9499999999998</v>
      </c>
      <c r="DM102" s="49">
        <f t="shared" si="48"/>
        <v>2172.9499999999998</v>
      </c>
      <c r="DN102" s="49">
        <f t="shared" si="48"/>
        <v>2172.9499999999998</v>
      </c>
      <c r="DO102" s="49">
        <f t="shared" si="48"/>
        <v>2172.9499999999998</v>
      </c>
      <c r="DP102" s="49">
        <f t="shared" si="48"/>
        <v>2172.9499999999998</v>
      </c>
      <c r="DQ102" s="49">
        <f t="shared" si="48"/>
        <v>2172.9499999999998</v>
      </c>
      <c r="DR102" s="49">
        <f t="shared" si="48"/>
        <v>2172.9499999999998</v>
      </c>
      <c r="DS102" s="49">
        <f t="shared" si="48"/>
        <v>2172.9499999999998</v>
      </c>
      <c r="DT102" s="49">
        <f t="shared" si="48"/>
        <v>2172.9499999999998</v>
      </c>
      <c r="DU102" s="49">
        <f t="shared" si="48"/>
        <v>2172.9499999999998</v>
      </c>
      <c r="DV102" s="49">
        <f t="shared" si="48"/>
        <v>2172.9499999999998</v>
      </c>
      <c r="DW102" s="49">
        <f t="shared" si="48"/>
        <v>2172.9499999999998</v>
      </c>
      <c r="DX102" s="49">
        <f t="shared" si="48"/>
        <v>2172.9499999999998</v>
      </c>
      <c r="DY102" s="49">
        <f t="shared" si="48"/>
        <v>2172.9499999999998</v>
      </c>
      <c r="DZ102" s="49">
        <f t="shared" si="48"/>
        <v>2172.9499999999998</v>
      </c>
      <c r="EA102" s="49">
        <f t="shared" si="48"/>
        <v>2172.9499999999998</v>
      </c>
      <c r="EB102" s="49">
        <f t="shared" si="48"/>
        <v>2172.9499999999998</v>
      </c>
      <c r="EC102" s="49">
        <f t="shared" si="48"/>
        <v>2172.9499999999998</v>
      </c>
      <c r="ED102" s="49">
        <f t="shared" si="48"/>
        <v>2172.9499999999998</v>
      </c>
      <c r="EE102" s="49">
        <f t="shared" si="48"/>
        <v>2172.9499999999998</v>
      </c>
      <c r="EF102" s="49">
        <f t="shared" si="48"/>
        <v>2172.9499999999998</v>
      </c>
      <c r="EG102" s="49">
        <f t="shared" si="48"/>
        <v>2172.9499999999998</v>
      </c>
      <c r="EH102" s="49">
        <f t="shared" si="48"/>
        <v>2172.9499999999998</v>
      </c>
      <c r="EI102" s="49">
        <f t="shared" si="48"/>
        <v>2172.9499999999998</v>
      </c>
      <c r="EJ102" s="49">
        <f t="shared" si="48"/>
        <v>2172.9499999999998</v>
      </c>
      <c r="EK102" s="49">
        <f t="shared" si="48"/>
        <v>2172.9499999999998</v>
      </c>
      <c r="EL102" s="49">
        <f t="shared" si="48"/>
        <v>2172.9499999999998</v>
      </c>
      <c r="EM102" s="49">
        <f t="shared" si="48"/>
        <v>2172.9499999999998</v>
      </c>
      <c r="EN102" s="49">
        <f t="shared" si="48"/>
        <v>2172.9499999999998</v>
      </c>
      <c r="EO102" s="49">
        <f t="shared" si="48"/>
        <v>2172.9499999999998</v>
      </c>
      <c r="EP102" s="49">
        <f t="shared" si="48"/>
        <v>2172.9499999999998</v>
      </c>
      <c r="EQ102" s="49">
        <f t="shared" si="48"/>
        <v>2172.9499999999998</v>
      </c>
      <c r="ER102" s="49">
        <f t="shared" si="48"/>
        <v>2172.9499999999998</v>
      </c>
      <c r="ES102" s="49">
        <f t="shared" si="48"/>
        <v>2172.9499999999998</v>
      </c>
      <c r="ET102" s="49">
        <f t="shared" si="48"/>
        <v>2172.9499999999998</v>
      </c>
      <c r="EU102" s="49">
        <f t="shared" si="48"/>
        <v>2172.9499999999998</v>
      </c>
      <c r="EV102" s="49">
        <f t="shared" si="48"/>
        <v>2172.9499999999998</v>
      </c>
      <c r="EW102" s="49">
        <f t="shared" si="48"/>
        <v>2172.9499999999998</v>
      </c>
      <c r="EX102" s="49">
        <f t="shared" si="48"/>
        <v>2172.9499999999998</v>
      </c>
      <c r="EY102" s="49">
        <f t="shared" si="48"/>
        <v>2172.9499999999998</v>
      </c>
      <c r="EZ102" s="49">
        <f t="shared" si="48"/>
        <v>2172.9499999999998</v>
      </c>
      <c r="FA102" s="49">
        <f t="shared" si="48"/>
        <v>2172.9499999999998</v>
      </c>
      <c r="FB102" s="49">
        <f t="shared" si="48"/>
        <v>2172.9499999999998</v>
      </c>
      <c r="FC102" s="49">
        <f t="shared" si="48"/>
        <v>2172.9499999999998</v>
      </c>
      <c r="FD102" s="49">
        <f t="shared" si="48"/>
        <v>2172.9499999999998</v>
      </c>
      <c r="FE102" s="49">
        <f t="shared" si="48"/>
        <v>2172.9499999999998</v>
      </c>
      <c r="FF102" s="49">
        <f t="shared" si="48"/>
        <v>2172.9499999999998</v>
      </c>
      <c r="FG102" s="49">
        <f t="shared" si="48"/>
        <v>2172.9499999999998</v>
      </c>
      <c r="FH102" s="49">
        <f t="shared" si="48"/>
        <v>2172.9499999999998</v>
      </c>
      <c r="FI102" s="49">
        <f t="shared" si="48"/>
        <v>2172.9499999999998</v>
      </c>
      <c r="FJ102" s="49">
        <f t="shared" si="48"/>
        <v>2172.9499999999998</v>
      </c>
      <c r="FK102" s="49">
        <f t="shared" si="48"/>
        <v>2172.9499999999998</v>
      </c>
      <c r="FL102" s="49">
        <f t="shared" si="48"/>
        <v>2172.9499999999998</v>
      </c>
      <c r="FM102" s="49">
        <f t="shared" si="48"/>
        <v>2172.9499999999998</v>
      </c>
      <c r="FN102" s="49">
        <f t="shared" si="48"/>
        <v>2172.9499999999998</v>
      </c>
      <c r="FO102" s="49">
        <f t="shared" si="48"/>
        <v>2172.9499999999998</v>
      </c>
      <c r="FP102" s="49">
        <f t="shared" si="48"/>
        <v>2172.9499999999998</v>
      </c>
      <c r="FQ102" s="49">
        <f t="shared" si="48"/>
        <v>2172.9499999999998</v>
      </c>
      <c r="FR102" s="49">
        <f t="shared" si="48"/>
        <v>2172.9499999999998</v>
      </c>
      <c r="FS102" s="49">
        <f t="shared" si="48"/>
        <v>2172.9499999999998</v>
      </c>
      <c r="FT102" s="49">
        <f t="shared" si="48"/>
        <v>2172.9499999999998</v>
      </c>
      <c r="FU102" s="49">
        <f t="shared" si="48"/>
        <v>2172.9499999999998</v>
      </c>
      <c r="FV102" s="49">
        <f t="shared" si="48"/>
        <v>2172.9499999999998</v>
      </c>
      <c r="FW102" s="49">
        <f t="shared" si="48"/>
        <v>2172.9499999999998</v>
      </c>
      <c r="FX102" s="49">
        <f t="shared" si="48"/>
        <v>2172.9499999999998</v>
      </c>
      <c r="FY102" s="7"/>
      <c r="FZ102" s="49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</row>
    <row r="103" spans="1:204" ht="15.5" x14ac:dyDescent="0.35">
      <c r="A103" s="60" t="s">
        <v>605</v>
      </c>
      <c r="B103" s="5" t="s">
        <v>606</v>
      </c>
      <c r="C103" s="61">
        <f t="shared" ref="C103:FX103" si="49">C101*C102</f>
        <v>2953039.05</v>
      </c>
      <c r="D103" s="61">
        <f t="shared" si="49"/>
        <v>9702221.75</v>
      </c>
      <c r="E103" s="61">
        <f t="shared" si="49"/>
        <v>3313748.7499999995</v>
      </c>
      <c r="F103" s="61">
        <f t="shared" si="49"/>
        <v>5449758.5999999996</v>
      </c>
      <c r="G103" s="61">
        <f t="shared" si="49"/>
        <v>449800.64999999997</v>
      </c>
      <c r="H103" s="61">
        <f t="shared" si="49"/>
        <v>149933.54999999999</v>
      </c>
      <c r="I103" s="61">
        <f t="shared" si="49"/>
        <v>3987363.2499999995</v>
      </c>
      <c r="J103" s="61">
        <f t="shared" si="49"/>
        <v>401995.74999999994</v>
      </c>
      <c r="K103" s="61">
        <f t="shared" si="49"/>
        <v>6518.8499999999995</v>
      </c>
      <c r="L103" s="61">
        <f t="shared" si="49"/>
        <v>399822.8</v>
      </c>
      <c r="M103" s="61">
        <f t="shared" si="49"/>
        <v>406341.64999999997</v>
      </c>
      <c r="N103" s="61">
        <f t="shared" si="49"/>
        <v>11846923.399999999</v>
      </c>
      <c r="O103" s="61">
        <f t="shared" si="49"/>
        <v>871352.95</v>
      </c>
      <c r="P103" s="61">
        <f t="shared" si="49"/>
        <v>67361.45</v>
      </c>
      <c r="Q103" s="61">
        <f t="shared" si="49"/>
        <v>25892872.199999999</v>
      </c>
      <c r="R103" s="61">
        <f t="shared" si="49"/>
        <v>234678.59999999998</v>
      </c>
      <c r="S103" s="61">
        <f t="shared" si="49"/>
        <v>108647.49999999999</v>
      </c>
      <c r="T103" s="61">
        <f t="shared" si="49"/>
        <v>0</v>
      </c>
      <c r="U103" s="61">
        <f t="shared" si="49"/>
        <v>0</v>
      </c>
      <c r="V103" s="61">
        <f t="shared" si="49"/>
        <v>0</v>
      </c>
      <c r="W103" s="61">
        <f t="shared" si="49"/>
        <v>0</v>
      </c>
      <c r="X103" s="61">
        <f t="shared" si="49"/>
        <v>0</v>
      </c>
      <c r="Y103" s="61">
        <f t="shared" si="49"/>
        <v>8691.7999999999993</v>
      </c>
      <c r="Z103" s="61">
        <f t="shared" si="49"/>
        <v>8691.7999999999993</v>
      </c>
      <c r="AA103" s="61">
        <f t="shared" si="49"/>
        <v>4434990.9499999993</v>
      </c>
      <c r="AB103" s="61">
        <f t="shared" si="49"/>
        <v>3400666.7499999995</v>
      </c>
      <c r="AC103" s="61">
        <f t="shared" si="49"/>
        <v>69534.399999999994</v>
      </c>
      <c r="AD103" s="61">
        <f t="shared" si="49"/>
        <v>76053.25</v>
      </c>
      <c r="AE103" s="61">
        <f t="shared" si="49"/>
        <v>6518.8499999999995</v>
      </c>
      <c r="AF103" s="61">
        <f t="shared" si="49"/>
        <v>13037.699999999999</v>
      </c>
      <c r="AG103" s="61">
        <f t="shared" si="49"/>
        <v>26075.399999999998</v>
      </c>
      <c r="AH103" s="61">
        <f t="shared" si="49"/>
        <v>0</v>
      </c>
      <c r="AI103" s="61">
        <f t="shared" si="49"/>
        <v>6518.8499999999995</v>
      </c>
      <c r="AJ103" s="61">
        <f t="shared" si="49"/>
        <v>4345.8999999999996</v>
      </c>
      <c r="AK103" s="61">
        <f t="shared" si="49"/>
        <v>2172.9499999999998</v>
      </c>
      <c r="AL103" s="61">
        <f t="shared" si="49"/>
        <v>45631.95</v>
      </c>
      <c r="AM103" s="61">
        <f t="shared" si="49"/>
        <v>2172.9499999999998</v>
      </c>
      <c r="AN103" s="61">
        <f t="shared" si="49"/>
        <v>0</v>
      </c>
      <c r="AO103" s="61">
        <f t="shared" si="49"/>
        <v>254235.14999999997</v>
      </c>
      <c r="AP103" s="61">
        <f t="shared" si="49"/>
        <v>36575094.399999999</v>
      </c>
      <c r="AQ103" s="61">
        <f t="shared" si="49"/>
        <v>0</v>
      </c>
      <c r="AR103" s="61">
        <f t="shared" si="49"/>
        <v>3726609.2499999995</v>
      </c>
      <c r="AS103" s="61">
        <f t="shared" si="49"/>
        <v>2479335.9499999997</v>
      </c>
      <c r="AT103" s="61">
        <f t="shared" si="49"/>
        <v>69534.399999999994</v>
      </c>
      <c r="AU103" s="61">
        <f t="shared" si="49"/>
        <v>8691.7999999999993</v>
      </c>
      <c r="AV103" s="61">
        <f t="shared" si="49"/>
        <v>6518.8499999999995</v>
      </c>
      <c r="AW103" s="61">
        <f t="shared" si="49"/>
        <v>2172.9499999999998</v>
      </c>
      <c r="AX103" s="61">
        <f t="shared" si="49"/>
        <v>10864.75</v>
      </c>
      <c r="AY103" s="61">
        <f t="shared" si="49"/>
        <v>10864.75</v>
      </c>
      <c r="AZ103" s="61">
        <f t="shared" si="49"/>
        <v>2461952.3499999996</v>
      </c>
      <c r="BA103" s="61">
        <f t="shared" si="49"/>
        <v>436762.94999999995</v>
      </c>
      <c r="BB103" s="61">
        <f t="shared" si="49"/>
        <v>399822.8</v>
      </c>
      <c r="BC103" s="61">
        <f t="shared" si="49"/>
        <v>3524524.9</v>
      </c>
      <c r="BD103" s="61">
        <f t="shared" si="49"/>
        <v>115166.34999999999</v>
      </c>
      <c r="BE103" s="61">
        <f t="shared" si="49"/>
        <v>6518.8499999999995</v>
      </c>
      <c r="BF103" s="61">
        <f t="shared" si="49"/>
        <v>973481.59999999986</v>
      </c>
      <c r="BG103" s="61">
        <f t="shared" si="49"/>
        <v>169490.09999999998</v>
      </c>
      <c r="BH103" s="61">
        <f t="shared" si="49"/>
        <v>13037.699999999999</v>
      </c>
      <c r="BI103" s="61">
        <f t="shared" si="49"/>
        <v>32594.249999999996</v>
      </c>
      <c r="BJ103" s="61">
        <f t="shared" si="49"/>
        <v>147760.59999999998</v>
      </c>
      <c r="BK103" s="61">
        <f t="shared" si="49"/>
        <v>1479778.95</v>
      </c>
      <c r="BL103" s="61">
        <f t="shared" si="49"/>
        <v>2172.9499999999998</v>
      </c>
      <c r="BM103" s="61">
        <f t="shared" si="49"/>
        <v>23902.449999999997</v>
      </c>
      <c r="BN103" s="61">
        <f t="shared" si="49"/>
        <v>23902.449999999997</v>
      </c>
      <c r="BO103" s="61">
        <f t="shared" si="49"/>
        <v>19556.55</v>
      </c>
      <c r="BP103" s="61">
        <f t="shared" si="49"/>
        <v>2172.9499999999998</v>
      </c>
      <c r="BQ103" s="61">
        <f t="shared" si="49"/>
        <v>2461952.3499999996</v>
      </c>
      <c r="BR103" s="61">
        <f t="shared" si="49"/>
        <v>1660133.7999999998</v>
      </c>
      <c r="BS103" s="61">
        <f t="shared" si="49"/>
        <v>449800.64999999997</v>
      </c>
      <c r="BT103" s="61">
        <f t="shared" si="49"/>
        <v>4345.8999999999996</v>
      </c>
      <c r="BU103" s="61">
        <f t="shared" si="49"/>
        <v>91263.9</v>
      </c>
      <c r="BV103" s="61">
        <f t="shared" si="49"/>
        <v>184700.74999999997</v>
      </c>
      <c r="BW103" s="61">
        <f t="shared" si="49"/>
        <v>465011.3</v>
      </c>
      <c r="BX103" s="61">
        <f t="shared" si="49"/>
        <v>0</v>
      </c>
      <c r="BY103" s="61">
        <f t="shared" si="49"/>
        <v>0</v>
      </c>
      <c r="BZ103" s="61">
        <f t="shared" si="49"/>
        <v>0</v>
      </c>
      <c r="CA103" s="61">
        <f t="shared" si="49"/>
        <v>10864.75</v>
      </c>
      <c r="CB103" s="61">
        <f t="shared" si="49"/>
        <v>6258095.9999999991</v>
      </c>
      <c r="CC103" s="61">
        <f t="shared" si="49"/>
        <v>0</v>
      </c>
      <c r="CD103" s="61">
        <f t="shared" si="49"/>
        <v>2172.9499999999998</v>
      </c>
      <c r="CE103" s="61">
        <f t="shared" si="49"/>
        <v>0</v>
      </c>
      <c r="CF103" s="61">
        <f t="shared" si="49"/>
        <v>0</v>
      </c>
      <c r="CG103" s="61">
        <f t="shared" si="49"/>
        <v>23902.449999999997</v>
      </c>
      <c r="CH103" s="61">
        <f t="shared" si="49"/>
        <v>13037.699999999999</v>
      </c>
      <c r="CI103" s="61">
        <f t="shared" si="49"/>
        <v>136895.84999999998</v>
      </c>
      <c r="CJ103" s="61">
        <f t="shared" si="49"/>
        <v>343326.1</v>
      </c>
      <c r="CK103" s="61">
        <f t="shared" si="49"/>
        <v>365055.6</v>
      </c>
      <c r="CL103" s="61">
        <f t="shared" si="49"/>
        <v>47804.899999999994</v>
      </c>
      <c r="CM103" s="61">
        <f t="shared" si="49"/>
        <v>17383.599999999999</v>
      </c>
      <c r="CN103" s="61">
        <f t="shared" si="49"/>
        <v>2605367.0499999998</v>
      </c>
      <c r="CO103" s="61">
        <f t="shared" si="49"/>
        <v>819202.14999999991</v>
      </c>
      <c r="CP103" s="61">
        <f t="shared" si="49"/>
        <v>302040.05</v>
      </c>
      <c r="CQ103" s="61">
        <f t="shared" si="49"/>
        <v>6518.8499999999995</v>
      </c>
      <c r="CR103" s="61">
        <f t="shared" si="49"/>
        <v>0</v>
      </c>
      <c r="CS103" s="61">
        <f t="shared" si="49"/>
        <v>2172.9499999999998</v>
      </c>
      <c r="CT103" s="61">
        <f t="shared" si="49"/>
        <v>2172.9499999999998</v>
      </c>
      <c r="CU103" s="61">
        <f t="shared" si="49"/>
        <v>6518.8499999999995</v>
      </c>
      <c r="CV103" s="61">
        <f t="shared" si="49"/>
        <v>0</v>
      </c>
      <c r="CW103" s="61">
        <f t="shared" si="49"/>
        <v>2172.9499999999998</v>
      </c>
      <c r="CX103" s="61">
        <f t="shared" si="49"/>
        <v>26075.399999999998</v>
      </c>
      <c r="CY103" s="61">
        <f t="shared" si="49"/>
        <v>0</v>
      </c>
      <c r="CZ103" s="61">
        <f t="shared" si="49"/>
        <v>84745.049999999988</v>
      </c>
      <c r="DA103" s="61">
        <f t="shared" si="49"/>
        <v>0</v>
      </c>
      <c r="DB103" s="61">
        <f t="shared" si="49"/>
        <v>15210.649999999998</v>
      </c>
      <c r="DC103" s="61">
        <f t="shared" si="49"/>
        <v>0</v>
      </c>
      <c r="DD103" s="61">
        <f t="shared" si="49"/>
        <v>15210.649999999998</v>
      </c>
      <c r="DE103" s="61">
        <f t="shared" si="49"/>
        <v>2172.9499999999998</v>
      </c>
      <c r="DF103" s="61">
        <f t="shared" si="49"/>
        <v>1421109.2999999998</v>
      </c>
      <c r="DG103" s="61">
        <f t="shared" si="49"/>
        <v>0</v>
      </c>
      <c r="DH103" s="61">
        <f t="shared" si="49"/>
        <v>260753.99999999997</v>
      </c>
      <c r="DI103" s="61">
        <f t="shared" si="49"/>
        <v>134722.9</v>
      </c>
      <c r="DJ103" s="61">
        <f t="shared" si="49"/>
        <v>19556.55</v>
      </c>
      <c r="DK103" s="61">
        <f t="shared" si="49"/>
        <v>41286.049999999996</v>
      </c>
      <c r="DL103" s="61">
        <f t="shared" si="49"/>
        <v>901774.24999999988</v>
      </c>
      <c r="DM103" s="61">
        <f t="shared" si="49"/>
        <v>0</v>
      </c>
      <c r="DN103" s="61">
        <f t="shared" si="49"/>
        <v>143414.69999999998</v>
      </c>
      <c r="DO103" s="61">
        <f t="shared" si="49"/>
        <v>1158182.3499999999</v>
      </c>
      <c r="DP103" s="61">
        <f t="shared" si="49"/>
        <v>0</v>
      </c>
      <c r="DQ103" s="61">
        <f t="shared" si="49"/>
        <v>110820.45</v>
      </c>
      <c r="DR103" s="61">
        <f t="shared" si="49"/>
        <v>36940.149999999994</v>
      </c>
      <c r="DS103" s="61">
        <f t="shared" si="49"/>
        <v>69534.399999999994</v>
      </c>
      <c r="DT103" s="61">
        <f t="shared" si="49"/>
        <v>13037.699999999999</v>
      </c>
      <c r="DU103" s="61">
        <f t="shared" si="49"/>
        <v>6518.8499999999995</v>
      </c>
      <c r="DV103" s="61">
        <f t="shared" si="49"/>
        <v>2172.9499999999998</v>
      </c>
      <c r="DW103" s="61">
        <f t="shared" si="49"/>
        <v>2172.9499999999998</v>
      </c>
      <c r="DX103" s="61">
        <f t="shared" si="49"/>
        <v>2172.9499999999998</v>
      </c>
      <c r="DY103" s="61">
        <f t="shared" si="49"/>
        <v>8691.7999999999993</v>
      </c>
      <c r="DZ103" s="61">
        <f t="shared" si="49"/>
        <v>0</v>
      </c>
      <c r="EA103" s="61">
        <f t="shared" si="49"/>
        <v>60842.599999999991</v>
      </c>
      <c r="EB103" s="61">
        <f t="shared" si="49"/>
        <v>134722.9</v>
      </c>
      <c r="EC103" s="61">
        <f t="shared" si="49"/>
        <v>19556.55</v>
      </c>
      <c r="ED103" s="61">
        <f t="shared" si="49"/>
        <v>143414.69999999998</v>
      </c>
      <c r="EE103" s="61">
        <f t="shared" si="49"/>
        <v>41286.049999999996</v>
      </c>
      <c r="EF103" s="61">
        <f t="shared" si="49"/>
        <v>154279.44999999998</v>
      </c>
      <c r="EG103" s="61">
        <f t="shared" si="49"/>
        <v>95609.799999999988</v>
      </c>
      <c r="EH103" s="61">
        <f t="shared" si="49"/>
        <v>30421.299999999996</v>
      </c>
      <c r="EI103" s="61">
        <f t="shared" si="49"/>
        <v>914811.95</v>
      </c>
      <c r="EJ103" s="61">
        <f t="shared" si="49"/>
        <v>434589.99999999994</v>
      </c>
      <c r="EK103" s="61">
        <f t="shared" si="49"/>
        <v>36940.149999999994</v>
      </c>
      <c r="EL103" s="61">
        <f t="shared" si="49"/>
        <v>2172.9499999999998</v>
      </c>
      <c r="EM103" s="61">
        <f t="shared" si="49"/>
        <v>13037.699999999999</v>
      </c>
      <c r="EN103" s="61">
        <f t="shared" si="49"/>
        <v>21729.5</v>
      </c>
      <c r="EO103" s="61">
        <f t="shared" si="49"/>
        <v>10864.75</v>
      </c>
      <c r="EP103" s="61">
        <f t="shared" si="49"/>
        <v>36940.149999999994</v>
      </c>
      <c r="EQ103" s="61">
        <f t="shared" si="49"/>
        <v>399822.8</v>
      </c>
      <c r="ER103" s="61">
        <f t="shared" si="49"/>
        <v>30421.299999999996</v>
      </c>
      <c r="ES103" s="61">
        <f t="shared" si="49"/>
        <v>6518.8499999999995</v>
      </c>
      <c r="ET103" s="61">
        <f t="shared" si="49"/>
        <v>10864.75</v>
      </c>
      <c r="EU103" s="61">
        <f t="shared" si="49"/>
        <v>221640.9</v>
      </c>
      <c r="EV103" s="61">
        <f t="shared" si="49"/>
        <v>13037.699999999999</v>
      </c>
      <c r="EW103" s="61">
        <f t="shared" si="49"/>
        <v>128204.04999999999</v>
      </c>
      <c r="EX103" s="61">
        <f t="shared" si="49"/>
        <v>17383.599999999999</v>
      </c>
      <c r="EY103" s="61">
        <f t="shared" si="49"/>
        <v>36940.149999999994</v>
      </c>
      <c r="EZ103" s="61">
        <f t="shared" si="49"/>
        <v>0</v>
      </c>
      <c r="FA103" s="61">
        <f t="shared" si="49"/>
        <v>1327672.45</v>
      </c>
      <c r="FB103" s="61">
        <f t="shared" si="49"/>
        <v>6518.8499999999995</v>
      </c>
      <c r="FC103" s="61">
        <f t="shared" si="49"/>
        <v>69534.399999999994</v>
      </c>
      <c r="FD103" s="61">
        <f t="shared" si="49"/>
        <v>8691.7999999999993</v>
      </c>
      <c r="FE103" s="61">
        <f t="shared" si="49"/>
        <v>28248.35</v>
      </c>
      <c r="FF103" s="61">
        <f t="shared" si="49"/>
        <v>4345.8999999999996</v>
      </c>
      <c r="FG103" s="61">
        <f t="shared" si="49"/>
        <v>6518.8499999999995</v>
      </c>
      <c r="FH103" s="61">
        <f t="shared" si="49"/>
        <v>0</v>
      </c>
      <c r="FI103" s="61">
        <f t="shared" si="49"/>
        <v>395476.89999999997</v>
      </c>
      <c r="FJ103" s="61">
        <f t="shared" si="49"/>
        <v>156452.4</v>
      </c>
      <c r="FK103" s="61">
        <f t="shared" si="49"/>
        <v>534545.69999999995</v>
      </c>
      <c r="FL103" s="61">
        <f t="shared" si="49"/>
        <v>423725.24999999994</v>
      </c>
      <c r="FM103" s="61">
        <f t="shared" si="49"/>
        <v>202084.34999999998</v>
      </c>
      <c r="FN103" s="61">
        <f t="shared" si="49"/>
        <v>7392375.8999999994</v>
      </c>
      <c r="FO103" s="61">
        <f t="shared" si="49"/>
        <v>119512.24999999999</v>
      </c>
      <c r="FP103" s="61">
        <f t="shared" si="49"/>
        <v>706208.74999999988</v>
      </c>
      <c r="FQ103" s="61">
        <f t="shared" si="49"/>
        <v>130376.99999999999</v>
      </c>
      <c r="FR103" s="61">
        <f t="shared" si="49"/>
        <v>2172.9499999999998</v>
      </c>
      <c r="FS103" s="61">
        <f t="shared" si="49"/>
        <v>0</v>
      </c>
      <c r="FT103" s="61">
        <f t="shared" si="49"/>
        <v>0</v>
      </c>
      <c r="FU103" s="61">
        <f t="shared" si="49"/>
        <v>297694.14999999997</v>
      </c>
      <c r="FV103" s="61">
        <f t="shared" si="49"/>
        <v>191219.59999999998</v>
      </c>
      <c r="FW103" s="61">
        <f t="shared" si="49"/>
        <v>10864.75</v>
      </c>
      <c r="FX103" s="61">
        <f t="shared" si="49"/>
        <v>0</v>
      </c>
      <c r="FY103" s="7"/>
      <c r="FZ103" s="7">
        <f>SUM(C103:FX103)</f>
        <v>163112491.74999994</v>
      </c>
      <c r="GA103" s="62">
        <v>163112491.74999994</v>
      </c>
      <c r="GB103" s="7">
        <f>FZ103-GA103</f>
        <v>0</v>
      </c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</row>
    <row r="104" spans="1:204" ht="15.5" x14ac:dyDescent="0.35">
      <c r="A104" s="12"/>
      <c r="B104" s="5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5"/>
      <c r="FZ104" s="25"/>
      <c r="GA104" s="7"/>
      <c r="GB104" s="25"/>
      <c r="GC104" s="25"/>
      <c r="GD104" s="25"/>
      <c r="GE104" s="25"/>
      <c r="GF104" s="25"/>
      <c r="GG104" s="7"/>
      <c r="GH104" s="23"/>
      <c r="GI104" s="23"/>
      <c r="GJ104" s="23"/>
      <c r="GK104" s="23"/>
      <c r="GL104" s="23"/>
      <c r="GM104" s="23"/>
      <c r="GN104" s="23"/>
      <c r="GO104" s="23"/>
      <c r="GP104" s="7"/>
      <c r="GQ104" s="7"/>
      <c r="GR104" s="7"/>
      <c r="GS104" s="7"/>
      <c r="GT104" s="7"/>
      <c r="GU104" s="7"/>
      <c r="GV104" s="7"/>
    </row>
    <row r="105" spans="1:204" ht="15.5" x14ac:dyDescent="0.35">
      <c r="A105" s="12"/>
      <c r="B105" s="5" t="s">
        <v>607</v>
      </c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5"/>
      <c r="FZ105" s="25"/>
      <c r="GA105" s="7"/>
      <c r="GB105" s="25"/>
      <c r="GC105" s="25"/>
      <c r="GD105" s="25"/>
      <c r="GE105" s="25"/>
      <c r="GF105" s="25"/>
      <c r="GG105" s="7"/>
      <c r="GH105" s="23"/>
      <c r="GI105" s="23"/>
      <c r="GJ105" s="23"/>
      <c r="GK105" s="23"/>
      <c r="GL105" s="23"/>
      <c r="GM105" s="23"/>
      <c r="GN105" s="23"/>
      <c r="GO105" s="23"/>
      <c r="GP105" s="7"/>
      <c r="GQ105" s="7"/>
      <c r="GR105" s="7"/>
      <c r="GS105" s="7"/>
      <c r="GT105" s="7"/>
      <c r="GU105" s="7"/>
      <c r="GV105" s="7"/>
    </row>
    <row r="106" spans="1:204" ht="15.5" x14ac:dyDescent="0.35">
      <c r="A106" s="12" t="s">
        <v>608</v>
      </c>
      <c r="B106" s="7" t="s">
        <v>609</v>
      </c>
      <c r="C106" s="23">
        <f t="shared" ref="C106:FX106" si="50">C13+C14+C34</f>
        <v>0</v>
      </c>
      <c r="D106" s="23">
        <f t="shared" si="50"/>
        <v>39.5</v>
      </c>
      <c r="E106" s="23">
        <f t="shared" si="50"/>
        <v>0</v>
      </c>
      <c r="F106" s="23">
        <f t="shared" si="50"/>
        <v>3</v>
      </c>
      <c r="G106" s="23">
        <f t="shared" si="50"/>
        <v>0</v>
      </c>
      <c r="H106" s="23">
        <f t="shared" si="50"/>
        <v>0</v>
      </c>
      <c r="I106" s="23">
        <f t="shared" si="50"/>
        <v>6</v>
      </c>
      <c r="J106" s="23">
        <f t="shared" si="50"/>
        <v>0</v>
      </c>
      <c r="K106" s="23">
        <f t="shared" si="50"/>
        <v>0</v>
      </c>
      <c r="L106" s="23">
        <f t="shared" si="50"/>
        <v>0</v>
      </c>
      <c r="M106" s="23">
        <f t="shared" si="50"/>
        <v>0</v>
      </c>
      <c r="N106" s="23">
        <f t="shared" si="50"/>
        <v>35.5</v>
      </c>
      <c r="O106" s="23">
        <f t="shared" si="50"/>
        <v>8</v>
      </c>
      <c r="P106" s="23">
        <f t="shared" si="50"/>
        <v>0</v>
      </c>
      <c r="Q106" s="23">
        <f t="shared" si="50"/>
        <v>9.5</v>
      </c>
      <c r="R106" s="23">
        <f t="shared" si="50"/>
        <v>0</v>
      </c>
      <c r="S106" s="23">
        <f t="shared" si="50"/>
        <v>0</v>
      </c>
      <c r="T106" s="23">
        <f t="shared" si="50"/>
        <v>0</v>
      </c>
      <c r="U106" s="23">
        <f t="shared" si="50"/>
        <v>0</v>
      </c>
      <c r="V106" s="23">
        <f t="shared" si="50"/>
        <v>0</v>
      </c>
      <c r="W106" s="23">
        <f t="shared" si="50"/>
        <v>0</v>
      </c>
      <c r="X106" s="23">
        <f t="shared" si="50"/>
        <v>0</v>
      </c>
      <c r="Y106" s="23">
        <f t="shared" si="50"/>
        <v>0</v>
      </c>
      <c r="Z106" s="23">
        <f t="shared" si="50"/>
        <v>0</v>
      </c>
      <c r="AA106" s="23">
        <f t="shared" si="50"/>
        <v>48.5</v>
      </c>
      <c r="AB106" s="23">
        <f t="shared" si="50"/>
        <v>2</v>
      </c>
      <c r="AC106" s="23">
        <f t="shared" si="50"/>
        <v>0</v>
      </c>
      <c r="AD106" s="23">
        <f t="shared" si="50"/>
        <v>0</v>
      </c>
      <c r="AE106" s="23">
        <f t="shared" si="50"/>
        <v>0</v>
      </c>
      <c r="AF106" s="23">
        <f t="shared" si="50"/>
        <v>0</v>
      </c>
      <c r="AG106" s="23">
        <f t="shared" si="50"/>
        <v>0</v>
      </c>
      <c r="AH106" s="23">
        <f t="shared" si="50"/>
        <v>0</v>
      </c>
      <c r="AI106" s="23">
        <f t="shared" si="50"/>
        <v>0</v>
      </c>
      <c r="AJ106" s="23">
        <f t="shared" si="50"/>
        <v>0</v>
      </c>
      <c r="AK106" s="23">
        <f t="shared" si="50"/>
        <v>0</v>
      </c>
      <c r="AL106" s="23">
        <f t="shared" si="50"/>
        <v>0</v>
      </c>
      <c r="AM106" s="23">
        <f t="shared" si="50"/>
        <v>0</v>
      </c>
      <c r="AN106" s="23">
        <f t="shared" si="50"/>
        <v>0</v>
      </c>
      <c r="AO106" s="23">
        <f t="shared" si="50"/>
        <v>0</v>
      </c>
      <c r="AP106" s="23">
        <f t="shared" si="50"/>
        <v>14.5</v>
      </c>
      <c r="AQ106" s="23">
        <f t="shared" si="50"/>
        <v>0.5</v>
      </c>
      <c r="AR106" s="23">
        <f t="shared" si="50"/>
        <v>10</v>
      </c>
      <c r="AS106" s="23">
        <f t="shared" si="50"/>
        <v>1</v>
      </c>
      <c r="AT106" s="23">
        <f t="shared" si="50"/>
        <v>1</v>
      </c>
      <c r="AU106" s="23">
        <f t="shared" si="50"/>
        <v>0</v>
      </c>
      <c r="AV106" s="23">
        <f t="shared" si="50"/>
        <v>0</v>
      </c>
      <c r="AW106" s="23">
        <f t="shared" si="50"/>
        <v>0</v>
      </c>
      <c r="AX106" s="23">
        <f t="shared" si="50"/>
        <v>0</v>
      </c>
      <c r="AY106" s="23">
        <f t="shared" si="50"/>
        <v>0</v>
      </c>
      <c r="AZ106" s="23">
        <f t="shared" si="50"/>
        <v>0</v>
      </c>
      <c r="BA106" s="23">
        <f t="shared" si="50"/>
        <v>0</v>
      </c>
      <c r="BB106" s="23">
        <f t="shared" si="50"/>
        <v>1</v>
      </c>
      <c r="BC106" s="23">
        <f t="shared" si="50"/>
        <v>21.5</v>
      </c>
      <c r="BD106" s="23">
        <f t="shared" si="50"/>
        <v>0</v>
      </c>
      <c r="BE106" s="23">
        <f t="shared" si="50"/>
        <v>0</v>
      </c>
      <c r="BF106" s="23">
        <f t="shared" si="50"/>
        <v>2</v>
      </c>
      <c r="BG106" s="23">
        <f t="shared" si="50"/>
        <v>0</v>
      </c>
      <c r="BH106" s="23">
        <f t="shared" si="50"/>
        <v>0</v>
      </c>
      <c r="BI106" s="23">
        <f t="shared" si="50"/>
        <v>0</v>
      </c>
      <c r="BJ106" s="23">
        <f t="shared" si="50"/>
        <v>2</v>
      </c>
      <c r="BK106" s="23">
        <f t="shared" si="50"/>
        <v>26</v>
      </c>
      <c r="BL106" s="23">
        <f t="shared" si="50"/>
        <v>2</v>
      </c>
      <c r="BM106" s="23">
        <f t="shared" si="50"/>
        <v>0</v>
      </c>
      <c r="BN106" s="23">
        <f t="shared" si="50"/>
        <v>15</v>
      </c>
      <c r="BO106" s="23">
        <f t="shared" si="50"/>
        <v>0</v>
      </c>
      <c r="BP106" s="23">
        <f t="shared" si="50"/>
        <v>0</v>
      </c>
      <c r="BQ106" s="23">
        <f t="shared" si="50"/>
        <v>1</v>
      </c>
      <c r="BR106" s="23">
        <f t="shared" si="50"/>
        <v>0</v>
      </c>
      <c r="BS106" s="23">
        <f t="shared" si="50"/>
        <v>0</v>
      </c>
      <c r="BT106" s="23">
        <f t="shared" si="50"/>
        <v>0</v>
      </c>
      <c r="BU106" s="23">
        <f t="shared" si="50"/>
        <v>0</v>
      </c>
      <c r="BV106" s="23">
        <f t="shared" si="50"/>
        <v>0</v>
      </c>
      <c r="BW106" s="23">
        <f t="shared" si="50"/>
        <v>0</v>
      </c>
      <c r="BX106" s="23">
        <f t="shared" si="50"/>
        <v>0</v>
      </c>
      <c r="BY106" s="23">
        <f t="shared" si="50"/>
        <v>3</v>
      </c>
      <c r="BZ106" s="23">
        <f t="shared" si="50"/>
        <v>0</v>
      </c>
      <c r="CA106" s="23">
        <f t="shared" si="50"/>
        <v>0</v>
      </c>
      <c r="CB106" s="23">
        <f t="shared" si="50"/>
        <v>18.5</v>
      </c>
      <c r="CC106" s="23">
        <f t="shared" si="50"/>
        <v>0</v>
      </c>
      <c r="CD106" s="23">
        <f t="shared" si="50"/>
        <v>0</v>
      </c>
      <c r="CE106" s="23">
        <f t="shared" si="50"/>
        <v>0</v>
      </c>
      <c r="CF106" s="23">
        <f t="shared" si="50"/>
        <v>0</v>
      </c>
      <c r="CG106" s="23">
        <f t="shared" si="50"/>
        <v>0</v>
      </c>
      <c r="CH106" s="23">
        <f t="shared" si="50"/>
        <v>0</v>
      </c>
      <c r="CI106" s="23">
        <f t="shared" si="50"/>
        <v>0</v>
      </c>
      <c r="CJ106" s="23">
        <f t="shared" si="50"/>
        <v>1</v>
      </c>
      <c r="CK106" s="23">
        <f t="shared" si="50"/>
        <v>0</v>
      </c>
      <c r="CL106" s="23">
        <f t="shared" si="50"/>
        <v>0</v>
      </c>
      <c r="CM106" s="23">
        <f t="shared" si="50"/>
        <v>0</v>
      </c>
      <c r="CN106" s="23">
        <f t="shared" si="50"/>
        <v>30.5</v>
      </c>
      <c r="CO106" s="23">
        <f t="shared" si="50"/>
        <v>3</v>
      </c>
      <c r="CP106" s="23">
        <f t="shared" si="50"/>
        <v>2</v>
      </c>
      <c r="CQ106" s="23">
        <f t="shared" si="50"/>
        <v>0</v>
      </c>
      <c r="CR106" s="23">
        <f t="shared" si="50"/>
        <v>0</v>
      </c>
      <c r="CS106" s="23">
        <f t="shared" si="50"/>
        <v>0</v>
      </c>
      <c r="CT106" s="23">
        <f t="shared" si="50"/>
        <v>0</v>
      </c>
      <c r="CU106" s="23">
        <f t="shared" si="50"/>
        <v>0</v>
      </c>
      <c r="CV106" s="23">
        <f t="shared" si="50"/>
        <v>0</v>
      </c>
      <c r="CW106" s="23">
        <f t="shared" si="50"/>
        <v>0</v>
      </c>
      <c r="CX106" s="23">
        <f t="shared" si="50"/>
        <v>0</v>
      </c>
      <c r="CY106" s="23">
        <f t="shared" si="50"/>
        <v>0</v>
      </c>
      <c r="CZ106" s="23">
        <f t="shared" si="50"/>
        <v>0</v>
      </c>
      <c r="DA106" s="23">
        <f t="shared" si="50"/>
        <v>0</v>
      </c>
      <c r="DB106" s="23">
        <f t="shared" si="50"/>
        <v>0</v>
      </c>
      <c r="DC106" s="23">
        <f t="shared" si="50"/>
        <v>0</v>
      </c>
      <c r="DD106" s="23">
        <f t="shared" si="50"/>
        <v>0</v>
      </c>
      <c r="DE106" s="23">
        <f t="shared" si="50"/>
        <v>0</v>
      </c>
      <c r="DF106" s="23">
        <f t="shared" si="50"/>
        <v>30</v>
      </c>
      <c r="DG106" s="23">
        <f t="shared" si="50"/>
        <v>0</v>
      </c>
      <c r="DH106" s="23">
        <f t="shared" si="50"/>
        <v>0</v>
      </c>
      <c r="DI106" s="23">
        <f t="shared" si="50"/>
        <v>0</v>
      </c>
      <c r="DJ106" s="23">
        <f t="shared" si="50"/>
        <v>0</v>
      </c>
      <c r="DK106" s="23">
        <f t="shared" si="50"/>
        <v>0</v>
      </c>
      <c r="DL106" s="23">
        <f t="shared" si="50"/>
        <v>0</v>
      </c>
      <c r="DM106" s="23">
        <f t="shared" si="50"/>
        <v>0</v>
      </c>
      <c r="DN106" s="23">
        <f t="shared" si="50"/>
        <v>0.5</v>
      </c>
      <c r="DO106" s="23">
        <f t="shared" si="50"/>
        <v>1</v>
      </c>
      <c r="DP106" s="23">
        <f t="shared" si="50"/>
        <v>0</v>
      </c>
      <c r="DQ106" s="23">
        <f t="shared" si="50"/>
        <v>0</v>
      </c>
      <c r="DR106" s="23">
        <f t="shared" si="50"/>
        <v>0</v>
      </c>
      <c r="DS106" s="23">
        <f t="shared" si="50"/>
        <v>0</v>
      </c>
      <c r="DT106" s="23">
        <f t="shared" si="50"/>
        <v>0</v>
      </c>
      <c r="DU106" s="23">
        <f t="shared" si="50"/>
        <v>0</v>
      </c>
      <c r="DV106" s="23">
        <f t="shared" si="50"/>
        <v>0</v>
      </c>
      <c r="DW106" s="23">
        <f t="shared" si="50"/>
        <v>0</v>
      </c>
      <c r="DX106" s="23">
        <f t="shared" si="50"/>
        <v>0</v>
      </c>
      <c r="DY106" s="23">
        <f t="shared" si="50"/>
        <v>0</v>
      </c>
      <c r="DZ106" s="23">
        <f t="shared" si="50"/>
        <v>0</v>
      </c>
      <c r="EA106" s="23">
        <f t="shared" si="50"/>
        <v>0</v>
      </c>
      <c r="EB106" s="23">
        <f t="shared" si="50"/>
        <v>0</v>
      </c>
      <c r="EC106" s="23">
        <f t="shared" si="50"/>
        <v>0</v>
      </c>
      <c r="ED106" s="23">
        <f t="shared" si="50"/>
        <v>0</v>
      </c>
      <c r="EE106" s="23">
        <f t="shared" si="50"/>
        <v>0</v>
      </c>
      <c r="EF106" s="23">
        <f t="shared" si="50"/>
        <v>0</v>
      </c>
      <c r="EG106" s="23">
        <f t="shared" si="50"/>
        <v>0</v>
      </c>
      <c r="EH106" s="23">
        <f t="shared" si="50"/>
        <v>0</v>
      </c>
      <c r="EI106" s="23">
        <f t="shared" si="50"/>
        <v>1</v>
      </c>
      <c r="EJ106" s="23">
        <f t="shared" si="50"/>
        <v>3</v>
      </c>
      <c r="EK106" s="23">
        <f t="shared" si="50"/>
        <v>0</v>
      </c>
      <c r="EL106" s="23">
        <f t="shared" si="50"/>
        <v>0</v>
      </c>
      <c r="EM106" s="23">
        <f t="shared" si="50"/>
        <v>0</v>
      </c>
      <c r="EN106" s="23">
        <f t="shared" si="50"/>
        <v>0</v>
      </c>
      <c r="EO106" s="23">
        <f t="shared" si="50"/>
        <v>0</v>
      </c>
      <c r="EP106" s="23">
        <f t="shared" si="50"/>
        <v>0</v>
      </c>
      <c r="EQ106" s="23">
        <f t="shared" si="50"/>
        <v>0</v>
      </c>
      <c r="ER106" s="23">
        <f t="shared" si="50"/>
        <v>0</v>
      </c>
      <c r="ES106" s="23">
        <f t="shared" si="50"/>
        <v>0</v>
      </c>
      <c r="ET106" s="23">
        <f t="shared" si="50"/>
        <v>0</v>
      </c>
      <c r="EU106" s="23">
        <f t="shared" si="50"/>
        <v>0</v>
      </c>
      <c r="EV106" s="23">
        <f t="shared" si="50"/>
        <v>0</v>
      </c>
      <c r="EW106" s="23">
        <f t="shared" si="50"/>
        <v>0</v>
      </c>
      <c r="EX106" s="23">
        <f t="shared" si="50"/>
        <v>0</v>
      </c>
      <c r="EY106" s="23">
        <f t="shared" si="50"/>
        <v>0</v>
      </c>
      <c r="EZ106" s="23">
        <f t="shared" si="50"/>
        <v>0</v>
      </c>
      <c r="FA106" s="23">
        <f t="shared" si="50"/>
        <v>0</v>
      </c>
      <c r="FB106" s="23">
        <f t="shared" si="50"/>
        <v>0</v>
      </c>
      <c r="FC106" s="23">
        <f t="shared" si="50"/>
        <v>0</v>
      </c>
      <c r="FD106" s="23">
        <f t="shared" si="50"/>
        <v>0</v>
      </c>
      <c r="FE106" s="23">
        <f t="shared" si="50"/>
        <v>0</v>
      </c>
      <c r="FF106" s="23">
        <f t="shared" si="50"/>
        <v>0</v>
      </c>
      <c r="FG106" s="23">
        <f t="shared" si="50"/>
        <v>0</v>
      </c>
      <c r="FH106" s="23">
        <f t="shared" si="50"/>
        <v>0</v>
      </c>
      <c r="FI106" s="23">
        <f t="shared" si="50"/>
        <v>0</v>
      </c>
      <c r="FJ106" s="23">
        <f t="shared" si="50"/>
        <v>0</v>
      </c>
      <c r="FK106" s="23">
        <f t="shared" si="50"/>
        <v>0</v>
      </c>
      <c r="FL106" s="23">
        <f t="shared" si="50"/>
        <v>0</v>
      </c>
      <c r="FM106" s="23">
        <f t="shared" si="50"/>
        <v>0</v>
      </c>
      <c r="FN106" s="23">
        <f t="shared" si="50"/>
        <v>13</v>
      </c>
      <c r="FO106" s="23">
        <f t="shared" si="50"/>
        <v>2</v>
      </c>
      <c r="FP106" s="23">
        <f t="shared" si="50"/>
        <v>0</v>
      </c>
      <c r="FQ106" s="23">
        <f t="shared" si="50"/>
        <v>0</v>
      </c>
      <c r="FR106" s="23">
        <f t="shared" si="50"/>
        <v>0</v>
      </c>
      <c r="FS106" s="23">
        <f t="shared" si="50"/>
        <v>0</v>
      </c>
      <c r="FT106" s="23">
        <f t="shared" si="50"/>
        <v>0</v>
      </c>
      <c r="FU106" s="23">
        <f t="shared" si="50"/>
        <v>0</v>
      </c>
      <c r="FV106" s="23">
        <f t="shared" si="50"/>
        <v>0</v>
      </c>
      <c r="FW106" s="23">
        <f t="shared" si="50"/>
        <v>0</v>
      </c>
      <c r="FX106" s="23">
        <f t="shared" si="50"/>
        <v>0</v>
      </c>
      <c r="FY106" s="25"/>
      <c r="FZ106" s="7">
        <f t="shared" ref="FZ106:FZ111" si="51">SUM(C106:FX106)</f>
        <v>358</v>
      </c>
      <c r="GA106" s="7"/>
      <c r="GB106" s="25"/>
      <c r="GC106" s="25"/>
      <c r="GD106" s="25"/>
      <c r="GE106" s="25"/>
      <c r="GF106" s="25"/>
      <c r="GG106" s="7"/>
      <c r="GH106" s="23"/>
      <c r="GI106" s="23"/>
      <c r="GJ106" s="23"/>
      <c r="GK106" s="23"/>
      <c r="GL106" s="23"/>
      <c r="GM106" s="23"/>
      <c r="GN106" s="23"/>
      <c r="GO106" s="23"/>
      <c r="GP106" s="7"/>
      <c r="GQ106" s="7"/>
      <c r="GR106" s="7"/>
      <c r="GS106" s="7"/>
      <c r="GT106" s="7"/>
      <c r="GU106" s="7"/>
      <c r="GV106" s="7"/>
    </row>
    <row r="107" spans="1:204" ht="15.5" x14ac:dyDescent="0.35">
      <c r="A107" s="12" t="s">
        <v>610</v>
      </c>
      <c r="B107" s="7" t="s">
        <v>611</v>
      </c>
      <c r="C107" s="23">
        <f t="shared" ref="C107:FX107" si="52">$B$3</f>
        <v>10480</v>
      </c>
      <c r="D107" s="23">
        <f t="shared" si="52"/>
        <v>10480</v>
      </c>
      <c r="E107" s="23">
        <f t="shared" si="52"/>
        <v>10480</v>
      </c>
      <c r="F107" s="23">
        <f t="shared" si="52"/>
        <v>10480</v>
      </c>
      <c r="G107" s="23">
        <f t="shared" si="52"/>
        <v>10480</v>
      </c>
      <c r="H107" s="23">
        <f t="shared" si="52"/>
        <v>10480</v>
      </c>
      <c r="I107" s="23">
        <f t="shared" si="52"/>
        <v>10480</v>
      </c>
      <c r="J107" s="23">
        <f t="shared" si="52"/>
        <v>10480</v>
      </c>
      <c r="K107" s="23">
        <f t="shared" si="52"/>
        <v>10480</v>
      </c>
      <c r="L107" s="23">
        <f t="shared" si="52"/>
        <v>10480</v>
      </c>
      <c r="M107" s="23">
        <f t="shared" si="52"/>
        <v>10480</v>
      </c>
      <c r="N107" s="23">
        <f t="shared" si="52"/>
        <v>10480</v>
      </c>
      <c r="O107" s="23">
        <f t="shared" si="52"/>
        <v>10480</v>
      </c>
      <c r="P107" s="23">
        <f t="shared" si="52"/>
        <v>10480</v>
      </c>
      <c r="Q107" s="23">
        <f t="shared" si="52"/>
        <v>10480</v>
      </c>
      <c r="R107" s="23">
        <f t="shared" si="52"/>
        <v>10480</v>
      </c>
      <c r="S107" s="23">
        <f t="shared" si="52"/>
        <v>10480</v>
      </c>
      <c r="T107" s="23">
        <f t="shared" si="52"/>
        <v>10480</v>
      </c>
      <c r="U107" s="23">
        <f t="shared" si="52"/>
        <v>10480</v>
      </c>
      <c r="V107" s="23">
        <f t="shared" si="52"/>
        <v>10480</v>
      </c>
      <c r="W107" s="23">
        <f t="shared" si="52"/>
        <v>10480</v>
      </c>
      <c r="X107" s="23">
        <f t="shared" si="52"/>
        <v>10480</v>
      </c>
      <c r="Y107" s="23">
        <f t="shared" si="52"/>
        <v>10480</v>
      </c>
      <c r="Z107" s="23">
        <f t="shared" si="52"/>
        <v>10480</v>
      </c>
      <c r="AA107" s="23">
        <f t="shared" si="52"/>
        <v>10480</v>
      </c>
      <c r="AB107" s="23">
        <f t="shared" si="52"/>
        <v>10480</v>
      </c>
      <c r="AC107" s="23">
        <f t="shared" si="52"/>
        <v>10480</v>
      </c>
      <c r="AD107" s="23">
        <f t="shared" si="52"/>
        <v>10480</v>
      </c>
      <c r="AE107" s="23">
        <f t="shared" si="52"/>
        <v>10480</v>
      </c>
      <c r="AF107" s="23">
        <f t="shared" si="52"/>
        <v>10480</v>
      </c>
      <c r="AG107" s="23">
        <f t="shared" si="52"/>
        <v>10480</v>
      </c>
      <c r="AH107" s="23">
        <f t="shared" si="52"/>
        <v>10480</v>
      </c>
      <c r="AI107" s="23">
        <f t="shared" si="52"/>
        <v>10480</v>
      </c>
      <c r="AJ107" s="23">
        <f t="shared" si="52"/>
        <v>10480</v>
      </c>
      <c r="AK107" s="23">
        <f t="shared" si="52"/>
        <v>10480</v>
      </c>
      <c r="AL107" s="23">
        <f t="shared" si="52"/>
        <v>10480</v>
      </c>
      <c r="AM107" s="23">
        <f t="shared" si="52"/>
        <v>10480</v>
      </c>
      <c r="AN107" s="23">
        <f t="shared" si="52"/>
        <v>10480</v>
      </c>
      <c r="AO107" s="23">
        <f t="shared" si="52"/>
        <v>10480</v>
      </c>
      <c r="AP107" s="23">
        <f t="shared" si="52"/>
        <v>10480</v>
      </c>
      <c r="AQ107" s="23">
        <f t="shared" si="52"/>
        <v>10480</v>
      </c>
      <c r="AR107" s="23">
        <f t="shared" si="52"/>
        <v>10480</v>
      </c>
      <c r="AS107" s="23">
        <f t="shared" si="52"/>
        <v>10480</v>
      </c>
      <c r="AT107" s="23">
        <f t="shared" si="52"/>
        <v>10480</v>
      </c>
      <c r="AU107" s="23">
        <f t="shared" si="52"/>
        <v>10480</v>
      </c>
      <c r="AV107" s="23">
        <f t="shared" si="52"/>
        <v>10480</v>
      </c>
      <c r="AW107" s="23">
        <f t="shared" si="52"/>
        <v>10480</v>
      </c>
      <c r="AX107" s="23">
        <f t="shared" si="52"/>
        <v>10480</v>
      </c>
      <c r="AY107" s="23">
        <f t="shared" si="52"/>
        <v>10480</v>
      </c>
      <c r="AZ107" s="23">
        <f t="shared" si="52"/>
        <v>10480</v>
      </c>
      <c r="BA107" s="23">
        <f t="shared" si="52"/>
        <v>10480</v>
      </c>
      <c r="BB107" s="23">
        <f t="shared" si="52"/>
        <v>10480</v>
      </c>
      <c r="BC107" s="23">
        <f t="shared" si="52"/>
        <v>10480</v>
      </c>
      <c r="BD107" s="23">
        <f t="shared" si="52"/>
        <v>10480</v>
      </c>
      <c r="BE107" s="23">
        <f t="shared" si="52"/>
        <v>10480</v>
      </c>
      <c r="BF107" s="23">
        <f t="shared" si="52"/>
        <v>10480</v>
      </c>
      <c r="BG107" s="23">
        <f t="shared" si="52"/>
        <v>10480</v>
      </c>
      <c r="BH107" s="23">
        <f t="shared" si="52"/>
        <v>10480</v>
      </c>
      <c r="BI107" s="23">
        <f t="shared" si="52"/>
        <v>10480</v>
      </c>
      <c r="BJ107" s="23">
        <f t="shared" si="52"/>
        <v>10480</v>
      </c>
      <c r="BK107" s="23">
        <f t="shared" si="52"/>
        <v>10480</v>
      </c>
      <c r="BL107" s="23">
        <f t="shared" si="52"/>
        <v>10480</v>
      </c>
      <c r="BM107" s="23">
        <f t="shared" si="52"/>
        <v>10480</v>
      </c>
      <c r="BN107" s="23">
        <f t="shared" si="52"/>
        <v>10480</v>
      </c>
      <c r="BO107" s="23">
        <f t="shared" si="52"/>
        <v>10480</v>
      </c>
      <c r="BP107" s="23">
        <f t="shared" si="52"/>
        <v>10480</v>
      </c>
      <c r="BQ107" s="23">
        <f t="shared" si="52"/>
        <v>10480</v>
      </c>
      <c r="BR107" s="23">
        <f t="shared" si="52"/>
        <v>10480</v>
      </c>
      <c r="BS107" s="23">
        <f t="shared" si="52"/>
        <v>10480</v>
      </c>
      <c r="BT107" s="23">
        <f t="shared" si="52"/>
        <v>10480</v>
      </c>
      <c r="BU107" s="23">
        <f t="shared" si="52"/>
        <v>10480</v>
      </c>
      <c r="BV107" s="23">
        <f t="shared" si="52"/>
        <v>10480</v>
      </c>
      <c r="BW107" s="23">
        <f t="shared" si="52"/>
        <v>10480</v>
      </c>
      <c r="BX107" s="23">
        <f t="shared" si="52"/>
        <v>10480</v>
      </c>
      <c r="BY107" s="23">
        <f t="shared" si="52"/>
        <v>10480</v>
      </c>
      <c r="BZ107" s="23">
        <f t="shared" si="52"/>
        <v>10480</v>
      </c>
      <c r="CA107" s="23">
        <f t="shared" si="52"/>
        <v>10480</v>
      </c>
      <c r="CB107" s="23">
        <f t="shared" si="52"/>
        <v>10480</v>
      </c>
      <c r="CC107" s="23">
        <f t="shared" si="52"/>
        <v>10480</v>
      </c>
      <c r="CD107" s="23">
        <f t="shared" si="52"/>
        <v>10480</v>
      </c>
      <c r="CE107" s="23">
        <f t="shared" si="52"/>
        <v>10480</v>
      </c>
      <c r="CF107" s="23">
        <f t="shared" si="52"/>
        <v>10480</v>
      </c>
      <c r="CG107" s="23">
        <f t="shared" si="52"/>
        <v>10480</v>
      </c>
      <c r="CH107" s="23">
        <f t="shared" si="52"/>
        <v>10480</v>
      </c>
      <c r="CI107" s="23">
        <f t="shared" si="52"/>
        <v>10480</v>
      </c>
      <c r="CJ107" s="23">
        <f t="shared" si="52"/>
        <v>10480</v>
      </c>
      <c r="CK107" s="23">
        <f t="shared" si="52"/>
        <v>10480</v>
      </c>
      <c r="CL107" s="23">
        <f t="shared" si="52"/>
        <v>10480</v>
      </c>
      <c r="CM107" s="23">
        <f t="shared" si="52"/>
        <v>10480</v>
      </c>
      <c r="CN107" s="23">
        <f t="shared" si="52"/>
        <v>10480</v>
      </c>
      <c r="CO107" s="23">
        <f t="shared" si="52"/>
        <v>10480</v>
      </c>
      <c r="CP107" s="23">
        <f t="shared" si="52"/>
        <v>10480</v>
      </c>
      <c r="CQ107" s="23">
        <f t="shared" si="52"/>
        <v>10480</v>
      </c>
      <c r="CR107" s="23">
        <f t="shared" si="52"/>
        <v>10480</v>
      </c>
      <c r="CS107" s="23">
        <f t="shared" si="52"/>
        <v>10480</v>
      </c>
      <c r="CT107" s="23">
        <f t="shared" si="52"/>
        <v>10480</v>
      </c>
      <c r="CU107" s="23">
        <f t="shared" si="52"/>
        <v>10480</v>
      </c>
      <c r="CV107" s="23">
        <f t="shared" si="52"/>
        <v>10480</v>
      </c>
      <c r="CW107" s="23">
        <f t="shared" si="52"/>
        <v>10480</v>
      </c>
      <c r="CX107" s="23">
        <f t="shared" si="52"/>
        <v>10480</v>
      </c>
      <c r="CY107" s="23">
        <f t="shared" si="52"/>
        <v>10480</v>
      </c>
      <c r="CZ107" s="23">
        <f t="shared" si="52"/>
        <v>10480</v>
      </c>
      <c r="DA107" s="23">
        <f t="shared" si="52"/>
        <v>10480</v>
      </c>
      <c r="DB107" s="23">
        <f t="shared" si="52"/>
        <v>10480</v>
      </c>
      <c r="DC107" s="23">
        <f t="shared" si="52"/>
        <v>10480</v>
      </c>
      <c r="DD107" s="23">
        <f t="shared" si="52"/>
        <v>10480</v>
      </c>
      <c r="DE107" s="23">
        <f t="shared" si="52"/>
        <v>10480</v>
      </c>
      <c r="DF107" s="23">
        <f t="shared" si="52"/>
        <v>10480</v>
      </c>
      <c r="DG107" s="23">
        <f t="shared" si="52"/>
        <v>10480</v>
      </c>
      <c r="DH107" s="23">
        <f t="shared" si="52"/>
        <v>10480</v>
      </c>
      <c r="DI107" s="23">
        <f t="shared" si="52"/>
        <v>10480</v>
      </c>
      <c r="DJ107" s="23">
        <f t="shared" si="52"/>
        <v>10480</v>
      </c>
      <c r="DK107" s="23">
        <f t="shared" si="52"/>
        <v>10480</v>
      </c>
      <c r="DL107" s="23">
        <f t="shared" si="52"/>
        <v>10480</v>
      </c>
      <c r="DM107" s="23">
        <f t="shared" si="52"/>
        <v>10480</v>
      </c>
      <c r="DN107" s="23">
        <f t="shared" si="52"/>
        <v>10480</v>
      </c>
      <c r="DO107" s="23">
        <f t="shared" si="52"/>
        <v>10480</v>
      </c>
      <c r="DP107" s="23">
        <f t="shared" si="52"/>
        <v>10480</v>
      </c>
      <c r="DQ107" s="23">
        <f t="shared" si="52"/>
        <v>10480</v>
      </c>
      <c r="DR107" s="23">
        <f t="shared" si="52"/>
        <v>10480</v>
      </c>
      <c r="DS107" s="23">
        <f t="shared" si="52"/>
        <v>10480</v>
      </c>
      <c r="DT107" s="23">
        <f t="shared" si="52"/>
        <v>10480</v>
      </c>
      <c r="DU107" s="23">
        <f t="shared" si="52"/>
        <v>10480</v>
      </c>
      <c r="DV107" s="23">
        <f t="shared" si="52"/>
        <v>10480</v>
      </c>
      <c r="DW107" s="23">
        <f t="shared" si="52"/>
        <v>10480</v>
      </c>
      <c r="DX107" s="23">
        <f t="shared" si="52"/>
        <v>10480</v>
      </c>
      <c r="DY107" s="23">
        <f t="shared" si="52"/>
        <v>10480</v>
      </c>
      <c r="DZ107" s="23">
        <f t="shared" si="52"/>
        <v>10480</v>
      </c>
      <c r="EA107" s="23">
        <f t="shared" si="52"/>
        <v>10480</v>
      </c>
      <c r="EB107" s="23">
        <f t="shared" si="52"/>
        <v>10480</v>
      </c>
      <c r="EC107" s="23">
        <f t="shared" si="52"/>
        <v>10480</v>
      </c>
      <c r="ED107" s="23">
        <f t="shared" si="52"/>
        <v>10480</v>
      </c>
      <c r="EE107" s="23">
        <f t="shared" si="52"/>
        <v>10480</v>
      </c>
      <c r="EF107" s="23">
        <f t="shared" si="52"/>
        <v>10480</v>
      </c>
      <c r="EG107" s="23">
        <f t="shared" si="52"/>
        <v>10480</v>
      </c>
      <c r="EH107" s="23">
        <f t="shared" si="52"/>
        <v>10480</v>
      </c>
      <c r="EI107" s="23">
        <f t="shared" si="52"/>
        <v>10480</v>
      </c>
      <c r="EJ107" s="23">
        <f t="shared" si="52"/>
        <v>10480</v>
      </c>
      <c r="EK107" s="23">
        <f t="shared" si="52"/>
        <v>10480</v>
      </c>
      <c r="EL107" s="23">
        <f t="shared" si="52"/>
        <v>10480</v>
      </c>
      <c r="EM107" s="23">
        <f t="shared" si="52"/>
        <v>10480</v>
      </c>
      <c r="EN107" s="23">
        <f t="shared" si="52"/>
        <v>10480</v>
      </c>
      <c r="EO107" s="23">
        <f t="shared" si="52"/>
        <v>10480</v>
      </c>
      <c r="EP107" s="23">
        <f t="shared" si="52"/>
        <v>10480</v>
      </c>
      <c r="EQ107" s="23">
        <f t="shared" si="52"/>
        <v>10480</v>
      </c>
      <c r="ER107" s="23">
        <f t="shared" si="52"/>
        <v>10480</v>
      </c>
      <c r="ES107" s="23">
        <f t="shared" si="52"/>
        <v>10480</v>
      </c>
      <c r="ET107" s="23">
        <f t="shared" si="52"/>
        <v>10480</v>
      </c>
      <c r="EU107" s="23">
        <f t="shared" si="52"/>
        <v>10480</v>
      </c>
      <c r="EV107" s="23">
        <f t="shared" si="52"/>
        <v>10480</v>
      </c>
      <c r="EW107" s="23">
        <f t="shared" si="52"/>
        <v>10480</v>
      </c>
      <c r="EX107" s="23">
        <f t="shared" si="52"/>
        <v>10480</v>
      </c>
      <c r="EY107" s="23">
        <f t="shared" si="52"/>
        <v>10480</v>
      </c>
      <c r="EZ107" s="23">
        <f t="shared" si="52"/>
        <v>10480</v>
      </c>
      <c r="FA107" s="23">
        <f t="shared" si="52"/>
        <v>10480</v>
      </c>
      <c r="FB107" s="23">
        <f t="shared" si="52"/>
        <v>10480</v>
      </c>
      <c r="FC107" s="23">
        <f t="shared" si="52"/>
        <v>10480</v>
      </c>
      <c r="FD107" s="23">
        <f t="shared" si="52"/>
        <v>10480</v>
      </c>
      <c r="FE107" s="23">
        <f t="shared" si="52"/>
        <v>10480</v>
      </c>
      <c r="FF107" s="23">
        <f t="shared" si="52"/>
        <v>10480</v>
      </c>
      <c r="FG107" s="23">
        <f t="shared" si="52"/>
        <v>10480</v>
      </c>
      <c r="FH107" s="23">
        <f t="shared" si="52"/>
        <v>10480</v>
      </c>
      <c r="FI107" s="23">
        <f t="shared" si="52"/>
        <v>10480</v>
      </c>
      <c r="FJ107" s="23">
        <f t="shared" si="52"/>
        <v>10480</v>
      </c>
      <c r="FK107" s="23">
        <f t="shared" si="52"/>
        <v>10480</v>
      </c>
      <c r="FL107" s="23">
        <f t="shared" si="52"/>
        <v>10480</v>
      </c>
      <c r="FM107" s="23">
        <f t="shared" si="52"/>
        <v>10480</v>
      </c>
      <c r="FN107" s="23">
        <f t="shared" si="52"/>
        <v>10480</v>
      </c>
      <c r="FO107" s="23">
        <f t="shared" si="52"/>
        <v>10480</v>
      </c>
      <c r="FP107" s="23">
        <f t="shared" si="52"/>
        <v>10480</v>
      </c>
      <c r="FQ107" s="23">
        <f t="shared" si="52"/>
        <v>10480</v>
      </c>
      <c r="FR107" s="23">
        <f t="shared" si="52"/>
        <v>10480</v>
      </c>
      <c r="FS107" s="23">
        <f t="shared" si="52"/>
        <v>10480</v>
      </c>
      <c r="FT107" s="23">
        <f t="shared" si="52"/>
        <v>10480</v>
      </c>
      <c r="FU107" s="23">
        <f t="shared" si="52"/>
        <v>10480</v>
      </c>
      <c r="FV107" s="23">
        <f t="shared" si="52"/>
        <v>10480</v>
      </c>
      <c r="FW107" s="23">
        <f t="shared" si="52"/>
        <v>10480</v>
      </c>
      <c r="FX107" s="23">
        <f t="shared" si="52"/>
        <v>10480</v>
      </c>
      <c r="FY107" s="25"/>
      <c r="FZ107" s="7">
        <f t="shared" si="51"/>
        <v>1865440</v>
      </c>
      <c r="GA107" s="7"/>
      <c r="GB107" s="25"/>
      <c r="GC107" s="25"/>
      <c r="GD107" s="25"/>
      <c r="GE107" s="25"/>
      <c r="GF107" s="25"/>
      <c r="GG107" s="7"/>
      <c r="GH107" s="23"/>
      <c r="GI107" s="23"/>
      <c r="GJ107" s="23"/>
      <c r="GK107" s="23"/>
      <c r="GL107" s="23"/>
      <c r="GM107" s="23"/>
      <c r="GN107" s="23"/>
      <c r="GO107" s="23"/>
      <c r="GP107" s="7"/>
      <c r="GQ107" s="7"/>
      <c r="GR107" s="7"/>
      <c r="GS107" s="7"/>
      <c r="GT107" s="7"/>
      <c r="GU107" s="7"/>
      <c r="GV107" s="7"/>
    </row>
    <row r="108" spans="1:204" ht="15.5" x14ac:dyDescent="0.35">
      <c r="A108" s="12" t="s">
        <v>612</v>
      </c>
      <c r="B108" s="7" t="s">
        <v>613</v>
      </c>
      <c r="C108" s="23">
        <f t="shared" ref="C108:FX108" si="53">C106*C107</f>
        <v>0</v>
      </c>
      <c r="D108" s="23">
        <f t="shared" si="53"/>
        <v>413960</v>
      </c>
      <c r="E108" s="23">
        <f t="shared" si="53"/>
        <v>0</v>
      </c>
      <c r="F108" s="23">
        <f t="shared" si="53"/>
        <v>31440</v>
      </c>
      <c r="G108" s="23">
        <f t="shared" si="53"/>
        <v>0</v>
      </c>
      <c r="H108" s="23">
        <f t="shared" si="53"/>
        <v>0</v>
      </c>
      <c r="I108" s="23">
        <f t="shared" si="53"/>
        <v>62880</v>
      </c>
      <c r="J108" s="23">
        <f t="shared" si="53"/>
        <v>0</v>
      </c>
      <c r="K108" s="23">
        <f t="shared" si="53"/>
        <v>0</v>
      </c>
      <c r="L108" s="23">
        <f t="shared" si="53"/>
        <v>0</v>
      </c>
      <c r="M108" s="23">
        <f t="shared" si="53"/>
        <v>0</v>
      </c>
      <c r="N108" s="23">
        <f t="shared" si="53"/>
        <v>372040</v>
      </c>
      <c r="O108" s="23">
        <f t="shared" si="53"/>
        <v>83840</v>
      </c>
      <c r="P108" s="23">
        <f t="shared" si="53"/>
        <v>0</v>
      </c>
      <c r="Q108" s="23">
        <f t="shared" si="53"/>
        <v>99560</v>
      </c>
      <c r="R108" s="23">
        <f t="shared" si="53"/>
        <v>0</v>
      </c>
      <c r="S108" s="23">
        <f t="shared" si="53"/>
        <v>0</v>
      </c>
      <c r="T108" s="23">
        <f t="shared" si="53"/>
        <v>0</v>
      </c>
      <c r="U108" s="23">
        <f t="shared" si="53"/>
        <v>0</v>
      </c>
      <c r="V108" s="23">
        <f t="shared" si="53"/>
        <v>0</v>
      </c>
      <c r="W108" s="23">
        <f t="shared" si="53"/>
        <v>0</v>
      </c>
      <c r="X108" s="23">
        <f t="shared" si="53"/>
        <v>0</v>
      </c>
      <c r="Y108" s="23">
        <f t="shared" si="53"/>
        <v>0</v>
      </c>
      <c r="Z108" s="23">
        <f t="shared" si="53"/>
        <v>0</v>
      </c>
      <c r="AA108" s="23">
        <f t="shared" si="53"/>
        <v>508280</v>
      </c>
      <c r="AB108" s="23">
        <f t="shared" si="53"/>
        <v>20960</v>
      </c>
      <c r="AC108" s="23">
        <f t="shared" si="53"/>
        <v>0</v>
      </c>
      <c r="AD108" s="23">
        <f t="shared" si="53"/>
        <v>0</v>
      </c>
      <c r="AE108" s="23">
        <f t="shared" si="53"/>
        <v>0</v>
      </c>
      <c r="AF108" s="23">
        <f t="shared" si="53"/>
        <v>0</v>
      </c>
      <c r="AG108" s="23">
        <f t="shared" si="53"/>
        <v>0</v>
      </c>
      <c r="AH108" s="23">
        <f t="shared" si="53"/>
        <v>0</v>
      </c>
      <c r="AI108" s="23">
        <f t="shared" si="53"/>
        <v>0</v>
      </c>
      <c r="AJ108" s="23">
        <f t="shared" si="53"/>
        <v>0</v>
      </c>
      <c r="AK108" s="23">
        <f t="shared" si="53"/>
        <v>0</v>
      </c>
      <c r="AL108" s="23">
        <f t="shared" si="53"/>
        <v>0</v>
      </c>
      <c r="AM108" s="23">
        <f t="shared" si="53"/>
        <v>0</v>
      </c>
      <c r="AN108" s="23">
        <f t="shared" si="53"/>
        <v>0</v>
      </c>
      <c r="AO108" s="23">
        <f t="shared" si="53"/>
        <v>0</v>
      </c>
      <c r="AP108" s="23">
        <f t="shared" si="53"/>
        <v>151960</v>
      </c>
      <c r="AQ108" s="23">
        <f t="shared" si="53"/>
        <v>5240</v>
      </c>
      <c r="AR108" s="23">
        <f t="shared" si="53"/>
        <v>104800</v>
      </c>
      <c r="AS108" s="23">
        <f t="shared" si="53"/>
        <v>10480</v>
      </c>
      <c r="AT108" s="23">
        <f t="shared" si="53"/>
        <v>10480</v>
      </c>
      <c r="AU108" s="23">
        <f t="shared" si="53"/>
        <v>0</v>
      </c>
      <c r="AV108" s="23">
        <f t="shared" si="53"/>
        <v>0</v>
      </c>
      <c r="AW108" s="23">
        <f t="shared" si="53"/>
        <v>0</v>
      </c>
      <c r="AX108" s="23">
        <f t="shared" si="53"/>
        <v>0</v>
      </c>
      <c r="AY108" s="23">
        <f t="shared" si="53"/>
        <v>0</v>
      </c>
      <c r="AZ108" s="23">
        <f t="shared" si="53"/>
        <v>0</v>
      </c>
      <c r="BA108" s="23">
        <f t="shared" si="53"/>
        <v>0</v>
      </c>
      <c r="BB108" s="23">
        <f t="shared" si="53"/>
        <v>10480</v>
      </c>
      <c r="BC108" s="23">
        <f t="shared" si="53"/>
        <v>225320</v>
      </c>
      <c r="BD108" s="23">
        <f t="shared" si="53"/>
        <v>0</v>
      </c>
      <c r="BE108" s="23">
        <f t="shared" si="53"/>
        <v>0</v>
      </c>
      <c r="BF108" s="23">
        <f t="shared" si="53"/>
        <v>20960</v>
      </c>
      <c r="BG108" s="23">
        <f t="shared" si="53"/>
        <v>0</v>
      </c>
      <c r="BH108" s="23">
        <f t="shared" si="53"/>
        <v>0</v>
      </c>
      <c r="BI108" s="23">
        <f t="shared" si="53"/>
        <v>0</v>
      </c>
      <c r="BJ108" s="23">
        <f t="shared" si="53"/>
        <v>20960</v>
      </c>
      <c r="BK108" s="23">
        <f t="shared" si="53"/>
        <v>272480</v>
      </c>
      <c r="BL108" s="23">
        <f t="shared" si="53"/>
        <v>20960</v>
      </c>
      <c r="BM108" s="23">
        <f t="shared" si="53"/>
        <v>0</v>
      </c>
      <c r="BN108" s="23">
        <f t="shared" si="53"/>
        <v>157200</v>
      </c>
      <c r="BO108" s="23">
        <f t="shared" si="53"/>
        <v>0</v>
      </c>
      <c r="BP108" s="23">
        <f t="shared" si="53"/>
        <v>0</v>
      </c>
      <c r="BQ108" s="23">
        <f t="shared" si="53"/>
        <v>10480</v>
      </c>
      <c r="BR108" s="23">
        <f t="shared" si="53"/>
        <v>0</v>
      </c>
      <c r="BS108" s="23">
        <f t="shared" si="53"/>
        <v>0</v>
      </c>
      <c r="BT108" s="23">
        <f t="shared" si="53"/>
        <v>0</v>
      </c>
      <c r="BU108" s="23">
        <f t="shared" si="53"/>
        <v>0</v>
      </c>
      <c r="BV108" s="23">
        <f t="shared" si="53"/>
        <v>0</v>
      </c>
      <c r="BW108" s="23">
        <f t="shared" si="53"/>
        <v>0</v>
      </c>
      <c r="BX108" s="23">
        <f t="shared" si="53"/>
        <v>0</v>
      </c>
      <c r="BY108" s="23">
        <f t="shared" si="53"/>
        <v>31440</v>
      </c>
      <c r="BZ108" s="23">
        <f t="shared" si="53"/>
        <v>0</v>
      </c>
      <c r="CA108" s="23">
        <f t="shared" si="53"/>
        <v>0</v>
      </c>
      <c r="CB108" s="23">
        <f t="shared" si="53"/>
        <v>193880</v>
      </c>
      <c r="CC108" s="23">
        <f t="shared" si="53"/>
        <v>0</v>
      </c>
      <c r="CD108" s="23">
        <f t="shared" si="53"/>
        <v>0</v>
      </c>
      <c r="CE108" s="23">
        <f t="shared" si="53"/>
        <v>0</v>
      </c>
      <c r="CF108" s="23">
        <f t="shared" si="53"/>
        <v>0</v>
      </c>
      <c r="CG108" s="23">
        <f t="shared" si="53"/>
        <v>0</v>
      </c>
      <c r="CH108" s="23">
        <f t="shared" si="53"/>
        <v>0</v>
      </c>
      <c r="CI108" s="23">
        <f t="shared" si="53"/>
        <v>0</v>
      </c>
      <c r="CJ108" s="23">
        <f t="shared" si="53"/>
        <v>10480</v>
      </c>
      <c r="CK108" s="23">
        <f t="shared" si="53"/>
        <v>0</v>
      </c>
      <c r="CL108" s="23">
        <f t="shared" si="53"/>
        <v>0</v>
      </c>
      <c r="CM108" s="23">
        <f t="shared" si="53"/>
        <v>0</v>
      </c>
      <c r="CN108" s="23">
        <f t="shared" si="53"/>
        <v>319640</v>
      </c>
      <c r="CO108" s="23">
        <f t="shared" si="53"/>
        <v>31440</v>
      </c>
      <c r="CP108" s="23">
        <f t="shared" si="53"/>
        <v>20960</v>
      </c>
      <c r="CQ108" s="23">
        <f t="shared" si="53"/>
        <v>0</v>
      </c>
      <c r="CR108" s="23">
        <f t="shared" si="53"/>
        <v>0</v>
      </c>
      <c r="CS108" s="23">
        <f t="shared" si="53"/>
        <v>0</v>
      </c>
      <c r="CT108" s="23">
        <f t="shared" si="53"/>
        <v>0</v>
      </c>
      <c r="CU108" s="23">
        <f t="shared" si="53"/>
        <v>0</v>
      </c>
      <c r="CV108" s="23">
        <f t="shared" si="53"/>
        <v>0</v>
      </c>
      <c r="CW108" s="23">
        <f t="shared" si="53"/>
        <v>0</v>
      </c>
      <c r="CX108" s="23">
        <f t="shared" si="53"/>
        <v>0</v>
      </c>
      <c r="CY108" s="23">
        <f t="shared" si="53"/>
        <v>0</v>
      </c>
      <c r="CZ108" s="23">
        <f t="shared" si="53"/>
        <v>0</v>
      </c>
      <c r="DA108" s="23">
        <f t="shared" si="53"/>
        <v>0</v>
      </c>
      <c r="DB108" s="23">
        <f t="shared" si="53"/>
        <v>0</v>
      </c>
      <c r="DC108" s="23">
        <f t="shared" si="53"/>
        <v>0</v>
      </c>
      <c r="DD108" s="23">
        <f t="shared" si="53"/>
        <v>0</v>
      </c>
      <c r="DE108" s="23">
        <f t="shared" si="53"/>
        <v>0</v>
      </c>
      <c r="DF108" s="23">
        <f t="shared" si="53"/>
        <v>314400</v>
      </c>
      <c r="DG108" s="23">
        <f t="shared" si="53"/>
        <v>0</v>
      </c>
      <c r="DH108" s="23">
        <f t="shared" si="53"/>
        <v>0</v>
      </c>
      <c r="DI108" s="23">
        <f t="shared" si="53"/>
        <v>0</v>
      </c>
      <c r="DJ108" s="23">
        <f t="shared" si="53"/>
        <v>0</v>
      </c>
      <c r="DK108" s="23">
        <f t="shared" si="53"/>
        <v>0</v>
      </c>
      <c r="DL108" s="23">
        <f t="shared" si="53"/>
        <v>0</v>
      </c>
      <c r="DM108" s="23">
        <f t="shared" si="53"/>
        <v>0</v>
      </c>
      <c r="DN108" s="23">
        <f t="shared" si="53"/>
        <v>5240</v>
      </c>
      <c r="DO108" s="23">
        <f t="shared" si="53"/>
        <v>10480</v>
      </c>
      <c r="DP108" s="23">
        <f t="shared" si="53"/>
        <v>0</v>
      </c>
      <c r="DQ108" s="23">
        <f t="shared" si="53"/>
        <v>0</v>
      </c>
      <c r="DR108" s="23">
        <f t="shared" si="53"/>
        <v>0</v>
      </c>
      <c r="DS108" s="23">
        <f t="shared" si="53"/>
        <v>0</v>
      </c>
      <c r="DT108" s="23">
        <f t="shared" si="53"/>
        <v>0</v>
      </c>
      <c r="DU108" s="23">
        <f t="shared" si="53"/>
        <v>0</v>
      </c>
      <c r="DV108" s="23">
        <f t="shared" si="53"/>
        <v>0</v>
      </c>
      <c r="DW108" s="23">
        <f t="shared" si="53"/>
        <v>0</v>
      </c>
      <c r="DX108" s="23">
        <f t="shared" si="53"/>
        <v>0</v>
      </c>
      <c r="DY108" s="23">
        <f t="shared" si="53"/>
        <v>0</v>
      </c>
      <c r="DZ108" s="23">
        <f t="shared" si="53"/>
        <v>0</v>
      </c>
      <c r="EA108" s="23">
        <f t="shared" si="53"/>
        <v>0</v>
      </c>
      <c r="EB108" s="23">
        <f t="shared" si="53"/>
        <v>0</v>
      </c>
      <c r="EC108" s="23">
        <f t="shared" si="53"/>
        <v>0</v>
      </c>
      <c r="ED108" s="23">
        <f t="shared" si="53"/>
        <v>0</v>
      </c>
      <c r="EE108" s="23">
        <f t="shared" si="53"/>
        <v>0</v>
      </c>
      <c r="EF108" s="23">
        <f t="shared" si="53"/>
        <v>0</v>
      </c>
      <c r="EG108" s="23">
        <f t="shared" si="53"/>
        <v>0</v>
      </c>
      <c r="EH108" s="23">
        <f t="shared" si="53"/>
        <v>0</v>
      </c>
      <c r="EI108" s="23">
        <f t="shared" si="53"/>
        <v>10480</v>
      </c>
      <c r="EJ108" s="23">
        <f t="shared" si="53"/>
        <v>31440</v>
      </c>
      <c r="EK108" s="23">
        <f t="shared" si="53"/>
        <v>0</v>
      </c>
      <c r="EL108" s="23">
        <f t="shared" si="53"/>
        <v>0</v>
      </c>
      <c r="EM108" s="23">
        <f t="shared" si="53"/>
        <v>0</v>
      </c>
      <c r="EN108" s="23">
        <f t="shared" si="53"/>
        <v>0</v>
      </c>
      <c r="EO108" s="23">
        <f t="shared" si="53"/>
        <v>0</v>
      </c>
      <c r="EP108" s="23">
        <f t="shared" si="53"/>
        <v>0</v>
      </c>
      <c r="EQ108" s="23">
        <f t="shared" si="53"/>
        <v>0</v>
      </c>
      <c r="ER108" s="23">
        <f t="shared" si="53"/>
        <v>0</v>
      </c>
      <c r="ES108" s="23">
        <f t="shared" si="53"/>
        <v>0</v>
      </c>
      <c r="ET108" s="23">
        <f t="shared" si="53"/>
        <v>0</v>
      </c>
      <c r="EU108" s="23">
        <f t="shared" si="53"/>
        <v>0</v>
      </c>
      <c r="EV108" s="23">
        <f t="shared" si="53"/>
        <v>0</v>
      </c>
      <c r="EW108" s="23">
        <f t="shared" si="53"/>
        <v>0</v>
      </c>
      <c r="EX108" s="23">
        <f t="shared" si="53"/>
        <v>0</v>
      </c>
      <c r="EY108" s="23">
        <f t="shared" si="53"/>
        <v>0</v>
      </c>
      <c r="EZ108" s="23">
        <f t="shared" si="53"/>
        <v>0</v>
      </c>
      <c r="FA108" s="23">
        <f t="shared" si="53"/>
        <v>0</v>
      </c>
      <c r="FB108" s="23">
        <f t="shared" si="53"/>
        <v>0</v>
      </c>
      <c r="FC108" s="23">
        <f t="shared" si="53"/>
        <v>0</v>
      </c>
      <c r="FD108" s="23">
        <f t="shared" si="53"/>
        <v>0</v>
      </c>
      <c r="FE108" s="23">
        <f t="shared" si="53"/>
        <v>0</v>
      </c>
      <c r="FF108" s="23">
        <f t="shared" si="53"/>
        <v>0</v>
      </c>
      <c r="FG108" s="23">
        <f t="shared" si="53"/>
        <v>0</v>
      </c>
      <c r="FH108" s="23">
        <f t="shared" si="53"/>
        <v>0</v>
      </c>
      <c r="FI108" s="23">
        <f t="shared" si="53"/>
        <v>0</v>
      </c>
      <c r="FJ108" s="23">
        <f t="shared" si="53"/>
        <v>0</v>
      </c>
      <c r="FK108" s="23">
        <f t="shared" si="53"/>
        <v>0</v>
      </c>
      <c r="FL108" s="23">
        <f t="shared" si="53"/>
        <v>0</v>
      </c>
      <c r="FM108" s="23">
        <f t="shared" si="53"/>
        <v>0</v>
      </c>
      <c r="FN108" s="23">
        <f t="shared" si="53"/>
        <v>136240</v>
      </c>
      <c r="FO108" s="23">
        <f t="shared" si="53"/>
        <v>20960</v>
      </c>
      <c r="FP108" s="23">
        <f t="shared" si="53"/>
        <v>0</v>
      </c>
      <c r="FQ108" s="23">
        <f t="shared" si="53"/>
        <v>0</v>
      </c>
      <c r="FR108" s="23">
        <f t="shared" si="53"/>
        <v>0</v>
      </c>
      <c r="FS108" s="23">
        <f t="shared" si="53"/>
        <v>0</v>
      </c>
      <c r="FT108" s="23">
        <f t="shared" si="53"/>
        <v>0</v>
      </c>
      <c r="FU108" s="23">
        <f t="shared" si="53"/>
        <v>0</v>
      </c>
      <c r="FV108" s="23">
        <f t="shared" si="53"/>
        <v>0</v>
      </c>
      <c r="FW108" s="23">
        <f t="shared" si="53"/>
        <v>0</v>
      </c>
      <c r="FX108" s="23">
        <f t="shared" si="53"/>
        <v>0</v>
      </c>
      <c r="FY108" s="25"/>
      <c r="FZ108" s="7">
        <f t="shared" si="51"/>
        <v>3751840</v>
      </c>
      <c r="GA108" s="7"/>
      <c r="GB108" s="25"/>
      <c r="GC108" s="25"/>
      <c r="GD108" s="25"/>
      <c r="GE108" s="25"/>
      <c r="GF108" s="25"/>
      <c r="GG108" s="7"/>
      <c r="GH108" s="23"/>
      <c r="GI108" s="23"/>
      <c r="GJ108" s="23"/>
      <c r="GK108" s="23"/>
      <c r="GL108" s="23"/>
      <c r="GM108" s="23"/>
      <c r="GN108" s="23"/>
      <c r="GO108" s="23"/>
      <c r="GP108" s="7"/>
      <c r="GQ108" s="7"/>
      <c r="GR108" s="7"/>
      <c r="GS108" s="7"/>
      <c r="GT108" s="7"/>
      <c r="GU108" s="7"/>
      <c r="GV108" s="7"/>
    </row>
    <row r="109" spans="1:204" ht="15.5" x14ac:dyDescent="0.35">
      <c r="A109" s="12" t="s">
        <v>614</v>
      </c>
      <c r="B109" s="7" t="s">
        <v>615</v>
      </c>
      <c r="C109" s="23">
        <f t="shared" ref="C109:FX109" si="54">C15+C35</f>
        <v>4</v>
      </c>
      <c r="D109" s="23">
        <f t="shared" si="54"/>
        <v>81</v>
      </c>
      <c r="E109" s="23">
        <f t="shared" si="54"/>
        <v>11</v>
      </c>
      <c r="F109" s="23">
        <f t="shared" si="54"/>
        <v>11</v>
      </c>
      <c r="G109" s="23">
        <f t="shared" si="54"/>
        <v>1</v>
      </c>
      <c r="H109" s="23">
        <f t="shared" si="54"/>
        <v>1</v>
      </c>
      <c r="I109" s="23">
        <f t="shared" si="54"/>
        <v>9</v>
      </c>
      <c r="J109" s="23">
        <f t="shared" si="54"/>
        <v>0</v>
      </c>
      <c r="K109" s="23">
        <f t="shared" si="54"/>
        <v>0</v>
      </c>
      <c r="L109" s="23">
        <f t="shared" si="54"/>
        <v>23</v>
      </c>
      <c r="M109" s="23">
        <f t="shared" si="54"/>
        <v>14</v>
      </c>
      <c r="N109" s="23">
        <f t="shared" si="54"/>
        <v>159.5</v>
      </c>
      <c r="O109" s="23">
        <f t="shared" si="54"/>
        <v>98</v>
      </c>
      <c r="P109" s="23">
        <f t="shared" si="54"/>
        <v>0</v>
      </c>
      <c r="Q109" s="23">
        <f t="shared" si="54"/>
        <v>209</v>
      </c>
      <c r="R109" s="23">
        <f t="shared" si="54"/>
        <v>1</v>
      </c>
      <c r="S109" s="23">
        <f t="shared" si="54"/>
        <v>0</v>
      </c>
      <c r="T109" s="23">
        <f t="shared" si="54"/>
        <v>0</v>
      </c>
      <c r="U109" s="23">
        <f t="shared" si="54"/>
        <v>0</v>
      </c>
      <c r="V109" s="23">
        <f t="shared" si="54"/>
        <v>0</v>
      </c>
      <c r="W109" s="23">
        <f t="shared" si="54"/>
        <v>1</v>
      </c>
      <c r="X109" s="23">
        <f t="shared" si="54"/>
        <v>0</v>
      </c>
      <c r="Y109" s="23">
        <f t="shared" si="54"/>
        <v>0</v>
      </c>
      <c r="Z109" s="23">
        <f t="shared" si="54"/>
        <v>0</v>
      </c>
      <c r="AA109" s="23">
        <f t="shared" si="54"/>
        <v>37</v>
      </c>
      <c r="AB109" s="23">
        <f t="shared" si="54"/>
        <v>46.5</v>
      </c>
      <c r="AC109" s="23">
        <f t="shared" si="54"/>
        <v>0</v>
      </c>
      <c r="AD109" s="23">
        <f t="shared" si="54"/>
        <v>6.5</v>
      </c>
      <c r="AE109" s="23">
        <f t="shared" si="54"/>
        <v>0</v>
      </c>
      <c r="AF109" s="23">
        <f t="shared" si="54"/>
        <v>0</v>
      </c>
      <c r="AG109" s="23">
        <f t="shared" si="54"/>
        <v>0</v>
      </c>
      <c r="AH109" s="23">
        <f t="shared" si="54"/>
        <v>0</v>
      </c>
      <c r="AI109" s="23">
        <f t="shared" si="54"/>
        <v>0</v>
      </c>
      <c r="AJ109" s="23">
        <f t="shared" si="54"/>
        <v>0</v>
      </c>
      <c r="AK109" s="23">
        <f t="shared" si="54"/>
        <v>0</v>
      </c>
      <c r="AL109" s="23">
        <f t="shared" si="54"/>
        <v>0</v>
      </c>
      <c r="AM109" s="23">
        <f t="shared" si="54"/>
        <v>0</v>
      </c>
      <c r="AN109" s="23">
        <f t="shared" si="54"/>
        <v>1</v>
      </c>
      <c r="AO109" s="23">
        <f t="shared" si="54"/>
        <v>0</v>
      </c>
      <c r="AP109" s="23">
        <f t="shared" si="54"/>
        <v>191</v>
      </c>
      <c r="AQ109" s="23">
        <f t="shared" si="54"/>
        <v>0</v>
      </c>
      <c r="AR109" s="23">
        <f t="shared" si="54"/>
        <v>155</v>
      </c>
      <c r="AS109" s="23">
        <f t="shared" si="54"/>
        <v>16</v>
      </c>
      <c r="AT109" s="23">
        <f t="shared" si="54"/>
        <v>3</v>
      </c>
      <c r="AU109" s="23">
        <f t="shared" si="54"/>
        <v>0</v>
      </c>
      <c r="AV109" s="23">
        <f t="shared" si="54"/>
        <v>0</v>
      </c>
      <c r="AW109" s="23">
        <f t="shared" si="54"/>
        <v>2</v>
      </c>
      <c r="AX109" s="23">
        <f t="shared" si="54"/>
        <v>0</v>
      </c>
      <c r="AY109" s="23">
        <f t="shared" si="54"/>
        <v>0</v>
      </c>
      <c r="AZ109" s="23">
        <f t="shared" si="54"/>
        <v>1</v>
      </c>
      <c r="BA109" s="23">
        <f t="shared" si="54"/>
        <v>0.5</v>
      </c>
      <c r="BB109" s="23">
        <f t="shared" si="54"/>
        <v>9</v>
      </c>
      <c r="BC109" s="23">
        <f t="shared" si="54"/>
        <v>30</v>
      </c>
      <c r="BD109" s="23">
        <f t="shared" si="54"/>
        <v>4</v>
      </c>
      <c r="BE109" s="23">
        <f t="shared" si="54"/>
        <v>0</v>
      </c>
      <c r="BF109" s="23">
        <f t="shared" si="54"/>
        <v>31.5</v>
      </c>
      <c r="BG109" s="23">
        <f t="shared" si="54"/>
        <v>0</v>
      </c>
      <c r="BH109" s="23">
        <f t="shared" si="54"/>
        <v>12</v>
      </c>
      <c r="BI109" s="23">
        <f t="shared" si="54"/>
        <v>0</v>
      </c>
      <c r="BJ109" s="23">
        <f t="shared" si="54"/>
        <v>15.5</v>
      </c>
      <c r="BK109" s="23">
        <f t="shared" si="54"/>
        <v>83</v>
      </c>
      <c r="BL109" s="23">
        <f t="shared" si="54"/>
        <v>2.5</v>
      </c>
      <c r="BM109" s="23">
        <f t="shared" si="54"/>
        <v>18.5</v>
      </c>
      <c r="BN109" s="23">
        <f t="shared" si="54"/>
        <v>33.5</v>
      </c>
      <c r="BO109" s="23">
        <f t="shared" si="54"/>
        <v>3</v>
      </c>
      <c r="BP109" s="23">
        <f t="shared" si="54"/>
        <v>0</v>
      </c>
      <c r="BQ109" s="23">
        <f t="shared" si="54"/>
        <v>2</v>
      </c>
      <c r="BR109" s="23">
        <f t="shared" si="54"/>
        <v>0</v>
      </c>
      <c r="BS109" s="23">
        <f t="shared" si="54"/>
        <v>0</v>
      </c>
      <c r="BT109" s="23">
        <f t="shared" si="54"/>
        <v>0</v>
      </c>
      <c r="BU109" s="23">
        <f t="shared" si="54"/>
        <v>0</v>
      </c>
      <c r="BV109" s="23">
        <f t="shared" si="54"/>
        <v>0</v>
      </c>
      <c r="BW109" s="23">
        <f t="shared" si="54"/>
        <v>0</v>
      </c>
      <c r="BX109" s="23">
        <f t="shared" si="54"/>
        <v>0</v>
      </c>
      <c r="BY109" s="23">
        <f t="shared" si="54"/>
        <v>0</v>
      </c>
      <c r="BZ109" s="23">
        <f t="shared" si="54"/>
        <v>0</v>
      </c>
      <c r="CA109" s="23">
        <f t="shared" si="54"/>
        <v>0</v>
      </c>
      <c r="CB109" s="23">
        <f t="shared" si="54"/>
        <v>235</v>
      </c>
      <c r="CC109" s="23">
        <f t="shared" si="54"/>
        <v>0</v>
      </c>
      <c r="CD109" s="23">
        <f t="shared" si="54"/>
        <v>0</v>
      </c>
      <c r="CE109" s="23">
        <f t="shared" si="54"/>
        <v>0</v>
      </c>
      <c r="CF109" s="23">
        <f t="shared" si="54"/>
        <v>0</v>
      </c>
      <c r="CG109" s="23">
        <f t="shared" si="54"/>
        <v>0</v>
      </c>
      <c r="CH109" s="23">
        <f t="shared" si="54"/>
        <v>0</v>
      </c>
      <c r="CI109" s="23">
        <f t="shared" si="54"/>
        <v>0</v>
      </c>
      <c r="CJ109" s="23">
        <f t="shared" si="54"/>
        <v>0</v>
      </c>
      <c r="CK109" s="23">
        <f t="shared" si="54"/>
        <v>0</v>
      </c>
      <c r="CL109" s="23">
        <f t="shared" si="54"/>
        <v>4</v>
      </c>
      <c r="CM109" s="23">
        <f t="shared" si="54"/>
        <v>0</v>
      </c>
      <c r="CN109" s="23">
        <f t="shared" si="54"/>
        <v>232</v>
      </c>
      <c r="CO109" s="23">
        <f t="shared" si="54"/>
        <v>69.5</v>
      </c>
      <c r="CP109" s="23">
        <f t="shared" si="54"/>
        <v>3</v>
      </c>
      <c r="CQ109" s="23">
        <f t="shared" si="54"/>
        <v>0</v>
      </c>
      <c r="CR109" s="23">
        <f t="shared" si="54"/>
        <v>0</v>
      </c>
      <c r="CS109" s="23">
        <f t="shared" si="54"/>
        <v>0</v>
      </c>
      <c r="CT109" s="23">
        <f t="shared" si="54"/>
        <v>0</v>
      </c>
      <c r="CU109" s="23">
        <f t="shared" si="54"/>
        <v>2</v>
      </c>
      <c r="CV109" s="23">
        <f t="shared" si="54"/>
        <v>0</v>
      </c>
      <c r="CW109" s="23">
        <f t="shared" si="54"/>
        <v>0</v>
      </c>
      <c r="CX109" s="23">
        <f t="shared" si="54"/>
        <v>0</v>
      </c>
      <c r="CY109" s="23">
        <f t="shared" si="54"/>
        <v>0</v>
      </c>
      <c r="CZ109" s="23">
        <f t="shared" si="54"/>
        <v>0</v>
      </c>
      <c r="DA109" s="23">
        <f t="shared" si="54"/>
        <v>0</v>
      </c>
      <c r="DB109" s="23">
        <f t="shared" si="54"/>
        <v>0</v>
      </c>
      <c r="DC109" s="23">
        <f t="shared" si="54"/>
        <v>0</v>
      </c>
      <c r="DD109" s="23">
        <f t="shared" si="54"/>
        <v>0</v>
      </c>
      <c r="DE109" s="23">
        <f t="shared" si="54"/>
        <v>0</v>
      </c>
      <c r="DF109" s="23">
        <f t="shared" si="54"/>
        <v>18.5</v>
      </c>
      <c r="DG109" s="23">
        <f t="shared" si="54"/>
        <v>0</v>
      </c>
      <c r="DH109" s="23">
        <f t="shared" si="54"/>
        <v>0</v>
      </c>
      <c r="DI109" s="23">
        <f t="shared" si="54"/>
        <v>0</v>
      </c>
      <c r="DJ109" s="23">
        <f t="shared" si="54"/>
        <v>0</v>
      </c>
      <c r="DK109" s="23">
        <f t="shared" si="54"/>
        <v>0</v>
      </c>
      <c r="DL109" s="23">
        <f t="shared" si="54"/>
        <v>0</v>
      </c>
      <c r="DM109" s="23">
        <f t="shared" si="54"/>
        <v>0</v>
      </c>
      <c r="DN109" s="23">
        <f t="shared" si="54"/>
        <v>1</v>
      </c>
      <c r="DO109" s="23">
        <f t="shared" si="54"/>
        <v>0</v>
      </c>
      <c r="DP109" s="23">
        <f t="shared" si="54"/>
        <v>0</v>
      </c>
      <c r="DQ109" s="23">
        <f t="shared" si="54"/>
        <v>1</v>
      </c>
      <c r="DR109" s="23">
        <f t="shared" si="54"/>
        <v>0</v>
      </c>
      <c r="DS109" s="23">
        <f t="shared" si="54"/>
        <v>0</v>
      </c>
      <c r="DT109" s="23">
        <f t="shared" si="54"/>
        <v>0</v>
      </c>
      <c r="DU109" s="23">
        <f t="shared" si="54"/>
        <v>0</v>
      </c>
      <c r="DV109" s="23">
        <f t="shared" si="54"/>
        <v>0</v>
      </c>
      <c r="DW109" s="23">
        <f t="shared" si="54"/>
        <v>0</v>
      </c>
      <c r="DX109" s="23">
        <f t="shared" si="54"/>
        <v>0</v>
      </c>
      <c r="DY109" s="23">
        <f t="shared" si="54"/>
        <v>0</v>
      </c>
      <c r="DZ109" s="23">
        <f t="shared" si="54"/>
        <v>1</v>
      </c>
      <c r="EA109" s="23">
        <f t="shared" si="54"/>
        <v>0</v>
      </c>
      <c r="EB109" s="23">
        <f t="shared" si="54"/>
        <v>0</v>
      </c>
      <c r="EC109" s="23">
        <f t="shared" si="54"/>
        <v>0</v>
      </c>
      <c r="ED109" s="23">
        <f t="shared" si="54"/>
        <v>0</v>
      </c>
      <c r="EE109" s="23">
        <f t="shared" si="54"/>
        <v>0</v>
      </c>
      <c r="EF109" s="23">
        <f t="shared" si="54"/>
        <v>2</v>
      </c>
      <c r="EG109" s="23">
        <f t="shared" si="54"/>
        <v>0</v>
      </c>
      <c r="EH109" s="23">
        <f t="shared" si="54"/>
        <v>0</v>
      </c>
      <c r="EI109" s="23">
        <f t="shared" si="54"/>
        <v>24.5</v>
      </c>
      <c r="EJ109" s="23">
        <f t="shared" si="54"/>
        <v>26</v>
      </c>
      <c r="EK109" s="23">
        <f t="shared" si="54"/>
        <v>0</v>
      </c>
      <c r="EL109" s="23">
        <f t="shared" si="54"/>
        <v>0</v>
      </c>
      <c r="EM109" s="23">
        <f t="shared" si="54"/>
        <v>0</v>
      </c>
      <c r="EN109" s="23">
        <f t="shared" si="54"/>
        <v>0</v>
      </c>
      <c r="EO109" s="23">
        <f t="shared" si="54"/>
        <v>0</v>
      </c>
      <c r="EP109" s="23">
        <f t="shared" si="54"/>
        <v>0</v>
      </c>
      <c r="EQ109" s="23">
        <f t="shared" si="54"/>
        <v>2</v>
      </c>
      <c r="ER109" s="23">
        <f t="shared" si="54"/>
        <v>2</v>
      </c>
      <c r="ES109" s="23">
        <f t="shared" si="54"/>
        <v>0</v>
      </c>
      <c r="ET109" s="23">
        <f t="shared" si="54"/>
        <v>0</v>
      </c>
      <c r="EU109" s="23">
        <f t="shared" si="54"/>
        <v>0</v>
      </c>
      <c r="EV109" s="23">
        <f t="shared" si="54"/>
        <v>0</v>
      </c>
      <c r="EW109" s="23">
        <f t="shared" si="54"/>
        <v>0</v>
      </c>
      <c r="EX109" s="23">
        <f t="shared" si="54"/>
        <v>0</v>
      </c>
      <c r="EY109" s="23">
        <f t="shared" si="54"/>
        <v>0</v>
      </c>
      <c r="EZ109" s="23">
        <f t="shared" si="54"/>
        <v>0</v>
      </c>
      <c r="FA109" s="23">
        <f t="shared" si="54"/>
        <v>12</v>
      </c>
      <c r="FB109" s="23">
        <f t="shared" si="54"/>
        <v>0</v>
      </c>
      <c r="FC109" s="23">
        <f t="shared" si="54"/>
        <v>4</v>
      </c>
      <c r="FD109" s="23">
        <f t="shared" si="54"/>
        <v>0</v>
      </c>
      <c r="FE109" s="23">
        <f t="shared" si="54"/>
        <v>0</v>
      </c>
      <c r="FF109" s="23">
        <f t="shared" si="54"/>
        <v>0</v>
      </c>
      <c r="FG109" s="23">
        <f t="shared" si="54"/>
        <v>0</v>
      </c>
      <c r="FH109" s="23">
        <f t="shared" si="54"/>
        <v>0</v>
      </c>
      <c r="FI109" s="23">
        <f t="shared" si="54"/>
        <v>0</v>
      </c>
      <c r="FJ109" s="23">
        <f t="shared" si="54"/>
        <v>0</v>
      </c>
      <c r="FK109" s="23">
        <f t="shared" si="54"/>
        <v>0</v>
      </c>
      <c r="FL109" s="23">
        <f t="shared" si="54"/>
        <v>0</v>
      </c>
      <c r="FM109" s="23">
        <f t="shared" si="54"/>
        <v>0</v>
      </c>
      <c r="FN109" s="23">
        <f t="shared" si="54"/>
        <v>15.5</v>
      </c>
      <c r="FO109" s="23">
        <f t="shared" si="54"/>
        <v>0</v>
      </c>
      <c r="FP109" s="23">
        <f t="shared" si="54"/>
        <v>0</v>
      </c>
      <c r="FQ109" s="23">
        <f t="shared" si="54"/>
        <v>0</v>
      </c>
      <c r="FR109" s="23">
        <f t="shared" si="54"/>
        <v>0</v>
      </c>
      <c r="FS109" s="23">
        <f t="shared" si="54"/>
        <v>0</v>
      </c>
      <c r="FT109" s="23">
        <f t="shared" si="54"/>
        <v>0</v>
      </c>
      <c r="FU109" s="23">
        <f t="shared" si="54"/>
        <v>0</v>
      </c>
      <c r="FV109" s="23">
        <f t="shared" si="54"/>
        <v>1</v>
      </c>
      <c r="FW109" s="23">
        <f t="shared" si="54"/>
        <v>2</v>
      </c>
      <c r="FX109" s="23">
        <f t="shared" si="54"/>
        <v>0</v>
      </c>
      <c r="FY109" s="25"/>
      <c r="FZ109" s="7">
        <f t="shared" si="51"/>
        <v>1985.5</v>
      </c>
      <c r="GA109" s="7"/>
      <c r="GB109" s="25"/>
      <c r="GC109" s="25"/>
      <c r="GD109" s="25"/>
      <c r="GE109" s="25"/>
      <c r="GF109" s="25"/>
      <c r="GG109" s="7"/>
      <c r="GH109" s="23"/>
      <c r="GI109" s="23"/>
      <c r="GJ109" s="23"/>
      <c r="GK109" s="23"/>
      <c r="GL109" s="23"/>
      <c r="GM109" s="23"/>
      <c r="GN109" s="23"/>
      <c r="GO109" s="23"/>
      <c r="GP109" s="7"/>
      <c r="GQ109" s="7"/>
      <c r="GR109" s="7"/>
      <c r="GS109" s="7"/>
      <c r="GT109" s="7"/>
      <c r="GU109" s="7"/>
      <c r="GV109" s="7"/>
    </row>
    <row r="110" spans="1:204" ht="15.5" x14ac:dyDescent="0.35">
      <c r="A110" s="12" t="s">
        <v>616</v>
      </c>
      <c r="B110" s="7" t="s">
        <v>617</v>
      </c>
      <c r="C110" s="23">
        <f t="shared" ref="C110:FX110" si="55">C109*7104</f>
        <v>28416</v>
      </c>
      <c r="D110" s="23">
        <f t="shared" si="55"/>
        <v>575424</v>
      </c>
      <c r="E110" s="23">
        <f t="shared" si="55"/>
        <v>78144</v>
      </c>
      <c r="F110" s="23">
        <f t="shared" si="55"/>
        <v>78144</v>
      </c>
      <c r="G110" s="23">
        <f t="shared" si="55"/>
        <v>7104</v>
      </c>
      <c r="H110" s="23">
        <f t="shared" si="55"/>
        <v>7104</v>
      </c>
      <c r="I110" s="23">
        <f t="shared" si="55"/>
        <v>63936</v>
      </c>
      <c r="J110" s="23">
        <f t="shared" si="55"/>
        <v>0</v>
      </c>
      <c r="K110" s="23">
        <f t="shared" si="55"/>
        <v>0</v>
      </c>
      <c r="L110" s="23">
        <f t="shared" si="55"/>
        <v>163392</v>
      </c>
      <c r="M110" s="23">
        <f t="shared" si="55"/>
        <v>99456</v>
      </c>
      <c r="N110" s="23">
        <f t="shared" si="55"/>
        <v>1133088</v>
      </c>
      <c r="O110" s="23">
        <f t="shared" si="55"/>
        <v>696192</v>
      </c>
      <c r="P110" s="23">
        <f t="shared" si="55"/>
        <v>0</v>
      </c>
      <c r="Q110" s="23">
        <f t="shared" si="55"/>
        <v>1484736</v>
      </c>
      <c r="R110" s="23">
        <f t="shared" si="55"/>
        <v>7104</v>
      </c>
      <c r="S110" s="23">
        <f t="shared" si="55"/>
        <v>0</v>
      </c>
      <c r="T110" s="23">
        <f t="shared" si="55"/>
        <v>0</v>
      </c>
      <c r="U110" s="23">
        <f t="shared" si="55"/>
        <v>0</v>
      </c>
      <c r="V110" s="23">
        <f t="shared" si="55"/>
        <v>0</v>
      </c>
      <c r="W110" s="23">
        <f t="shared" si="55"/>
        <v>7104</v>
      </c>
      <c r="X110" s="23">
        <f t="shared" si="55"/>
        <v>0</v>
      </c>
      <c r="Y110" s="23">
        <f t="shared" si="55"/>
        <v>0</v>
      </c>
      <c r="Z110" s="23">
        <f t="shared" si="55"/>
        <v>0</v>
      </c>
      <c r="AA110" s="23">
        <f t="shared" si="55"/>
        <v>262848</v>
      </c>
      <c r="AB110" s="23">
        <f t="shared" si="55"/>
        <v>330336</v>
      </c>
      <c r="AC110" s="23">
        <f t="shared" si="55"/>
        <v>0</v>
      </c>
      <c r="AD110" s="23">
        <f t="shared" si="55"/>
        <v>46176</v>
      </c>
      <c r="AE110" s="23">
        <f t="shared" si="55"/>
        <v>0</v>
      </c>
      <c r="AF110" s="23">
        <f t="shared" si="55"/>
        <v>0</v>
      </c>
      <c r="AG110" s="23">
        <f t="shared" si="55"/>
        <v>0</v>
      </c>
      <c r="AH110" s="23">
        <f t="shared" si="55"/>
        <v>0</v>
      </c>
      <c r="AI110" s="23">
        <f t="shared" si="55"/>
        <v>0</v>
      </c>
      <c r="AJ110" s="23">
        <f t="shared" si="55"/>
        <v>0</v>
      </c>
      <c r="AK110" s="23">
        <f t="shared" si="55"/>
        <v>0</v>
      </c>
      <c r="AL110" s="23">
        <f t="shared" si="55"/>
        <v>0</v>
      </c>
      <c r="AM110" s="23">
        <f t="shared" si="55"/>
        <v>0</v>
      </c>
      <c r="AN110" s="23">
        <f t="shared" si="55"/>
        <v>7104</v>
      </c>
      <c r="AO110" s="23">
        <f t="shared" si="55"/>
        <v>0</v>
      </c>
      <c r="AP110" s="23">
        <f t="shared" si="55"/>
        <v>1356864</v>
      </c>
      <c r="AQ110" s="23">
        <f t="shared" si="55"/>
        <v>0</v>
      </c>
      <c r="AR110" s="23">
        <f t="shared" si="55"/>
        <v>1101120</v>
      </c>
      <c r="AS110" s="23">
        <f t="shared" si="55"/>
        <v>113664</v>
      </c>
      <c r="AT110" s="23">
        <f t="shared" si="55"/>
        <v>21312</v>
      </c>
      <c r="AU110" s="23">
        <f t="shared" si="55"/>
        <v>0</v>
      </c>
      <c r="AV110" s="23">
        <f t="shared" si="55"/>
        <v>0</v>
      </c>
      <c r="AW110" s="23">
        <f t="shared" si="55"/>
        <v>14208</v>
      </c>
      <c r="AX110" s="23">
        <f t="shared" si="55"/>
        <v>0</v>
      </c>
      <c r="AY110" s="23">
        <f t="shared" si="55"/>
        <v>0</v>
      </c>
      <c r="AZ110" s="23">
        <f t="shared" si="55"/>
        <v>7104</v>
      </c>
      <c r="BA110" s="23">
        <f t="shared" si="55"/>
        <v>3552</v>
      </c>
      <c r="BB110" s="23">
        <f t="shared" si="55"/>
        <v>63936</v>
      </c>
      <c r="BC110" s="23">
        <f t="shared" si="55"/>
        <v>213120</v>
      </c>
      <c r="BD110" s="23">
        <f t="shared" si="55"/>
        <v>28416</v>
      </c>
      <c r="BE110" s="23">
        <f t="shared" si="55"/>
        <v>0</v>
      </c>
      <c r="BF110" s="23">
        <f t="shared" si="55"/>
        <v>223776</v>
      </c>
      <c r="BG110" s="23">
        <f t="shared" si="55"/>
        <v>0</v>
      </c>
      <c r="BH110" s="23">
        <f t="shared" si="55"/>
        <v>85248</v>
      </c>
      <c r="BI110" s="23">
        <f t="shared" si="55"/>
        <v>0</v>
      </c>
      <c r="BJ110" s="23">
        <f t="shared" si="55"/>
        <v>110112</v>
      </c>
      <c r="BK110" s="23">
        <f t="shared" si="55"/>
        <v>589632</v>
      </c>
      <c r="BL110" s="23">
        <f t="shared" si="55"/>
        <v>17760</v>
      </c>
      <c r="BM110" s="23">
        <f t="shared" si="55"/>
        <v>131424</v>
      </c>
      <c r="BN110" s="23">
        <f t="shared" si="55"/>
        <v>237984</v>
      </c>
      <c r="BO110" s="23">
        <f t="shared" si="55"/>
        <v>21312</v>
      </c>
      <c r="BP110" s="23">
        <f t="shared" si="55"/>
        <v>0</v>
      </c>
      <c r="BQ110" s="23">
        <f t="shared" si="55"/>
        <v>14208</v>
      </c>
      <c r="BR110" s="23">
        <f t="shared" si="55"/>
        <v>0</v>
      </c>
      <c r="BS110" s="23">
        <f t="shared" si="55"/>
        <v>0</v>
      </c>
      <c r="BT110" s="23">
        <f t="shared" si="55"/>
        <v>0</v>
      </c>
      <c r="BU110" s="23">
        <f t="shared" si="55"/>
        <v>0</v>
      </c>
      <c r="BV110" s="23">
        <f t="shared" si="55"/>
        <v>0</v>
      </c>
      <c r="BW110" s="23">
        <f t="shared" si="55"/>
        <v>0</v>
      </c>
      <c r="BX110" s="23">
        <f t="shared" si="55"/>
        <v>0</v>
      </c>
      <c r="BY110" s="23">
        <f t="shared" si="55"/>
        <v>0</v>
      </c>
      <c r="BZ110" s="23">
        <f t="shared" si="55"/>
        <v>0</v>
      </c>
      <c r="CA110" s="23">
        <f t="shared" si="55"/>
        <v>0</v>
      </c>
      <c r="CB110" s="23">
        <f t="shared" si="55"/>
        <v>1669440</v>
      </c>
      <c r="CC110" s="23">
        <f t="shared" si="55"/>
        <v>0</v>
      </c>
      <c r="CD110" s="23">
        <f t="shared" si="55"/>
        <v>0</v>
      </c>
      <c r="CE110" s="23">
        <f t="shared" si="55"/>
        <v>0</v>
      </c>
      <c r="CF110" s="23">
        <f t="shared" si="55"/>
        <v>0</v>
      </c>
      <c r="CG110" s="23">
        <f t="shared" si="55"/>
        <v>0</v>
      </c>
      <c r="CH110" s="23">
        <f t="shared" si="55"/>
        <v>0</v>
      </c>
      <c r="CI110" s="23">
        <f t="shared" si="55"/>
        <v>0</v>
      </c>
      <c r="CJ110" s="23">
        <f t="shared" si="55"/>
        <v>0</v>
      </c>
      <c r="CK110" s="23">
        <f t="shared" si="55"/>
        <v>0</v>
      </c>
      <c r="CL110" s="23">
        <f t="shared" si="55"/>
        <v>28416</v>
      </c>
      <c r="CM110" s="23">
        <f t="shared" si="55"/>
        <v>0</v>
      </c>
      <c r="CN110" s="23">
        <f t="shared" si="55"/>
        <v>1648128</v>
      </c>
      <c r="CO110" s="23">
        <f t="shared" si="55"/>
        <v>493728</v>
      </c>
      <c r="CP110" s="23">
        <f t="shared" si="55"/>
        <v>21312</v>
      </c>
      <c r="CQ110" s="23">
        <f t="shared" si="55"/>
        <v>0</v>
      </c>
      <c r="CR110" s="23">
        <f t="shared" si="55"/>
        <v>0</v>
      </c>
      <c r="CS110" s="23">
        <f t="shared" si="55"/>
        <v>0</v>
      </c>
      <c r="CT110" s="23">
        <f t="shared" si="55"/>
        <v>0</v>
      </c>
      <c r="CU110" s="23">
        <f t="shared" si="55"/>
        <v>14208</v>
      </c>
      <c r="CV110" s="23">
        <f t="shared" si="55"/>
        <v>0</v>
      </c>
      <c r="CW110" s="23">
        <f t="shared" si="55"/>
        <v>0</v>
      </c>
      <c r="CX110" s="23">
        <f t="shared" si="55"/>
        <v>0</v>
      </c>
      <c r="CY110" s="23">
        <f t="shared" si="55"/>
        <v>0</v>
      </c>
      <c r="CZ110" s="23">
        <f t="shared" si="55"/>
        <v>0</v>
      </c>
      <c r="DA110" s="23">
        <f t="shared" si="55"/>
        <v>0</v>
      </c>
      <c r="DB110" s="23">
        <f t="shared" si="55"/>
        <v>0</v>
      </c>
      <c r="DC110" s="23">
        <f t="shared" si="55"/>
        <v>0</v>
      </c>
      <c r="DD110" s="23">
        <f t="shared" si="55"/>
        <v>0</v>
      </c>
      <c r="DE110" s="23">
        <f t="shared" si="55"/>
        <v>0</v>
      </c>
      <c r="DF110" s="23">
        <f t="shared" si="55"/>
        <v>131424</v>
      </c>
      <c r="DG110" s="23">
        <f t="shared" si="55"/>
        <v>0</v>
      </c>
      <c r="DH110" s="23">
        <f t="shared" si="55"/>
        <v>0</v>
      </c>
      <c r="DI110" s="23">
        <f t="shared" si="55"/>
        <v>0</v>
      </c>
      <c r="DJ110" s="23">
        <f t="shared" si="55"/>
        <v>0</v>
      </c>
      <c r="DK110" s="23">
        <f t="shared" si="55"/>
        <v>0</v>
      </c>
      <c r="DL110" s="23">
        <f t="shared" si="55"/>
        <v>0</v>
      </c>
      <c r="DM110" s="23">
        <f t="shared" si="55"/>
        <v>0</v>
      </c>
      <c r="DN110" s="23">
        <f t="shared" si="55"/>
        <v>7104</v>
      </c>
      <c r="DO110" s="23">
        <f t="shared" si="55"/>
        <v>0</v>
      </c>
      <c r="DP110" s="23">
        <f t="shared" si="55"/>
        <v>0</v>
      </c>
      <c r="DQ110" s="23">
        <f t="shared" si="55"/>
        <v>7104</v>
      </c>
      <c r="DR110" s="23">
        <f t="shared" si="55"/>
        <v>0</v>
      </c>
      <c r="DS110" s="23">
        <f t="shared" si="55"/>
        <v>0</v>
      </c>
      <c r="DT110" s="23">
        <f t="shared" si="55"/>
        <v>0</v>
      </c>
      <c r="DU110" s="23">
        <f t="shared" si="55"/>
        <v>0</v>
      </c>
      <c r="DV110" s="23">
        <f t="shared" si="55"/>
        <v>0</v>
      </c>
      <c r="DW110" s="23">
        <f t="shared" si="55"/>
        <v>0</v>
      </c>
      <c r="DX110" s="23">
        <f t="shared" si="55"/>
        <v>0</v>
      </c>
      <c r="DY110" s="23">
        <f t="shared" si="55"/>
        <v>0</v>
      </c>
      <c r="DZ110" s="23">
        <f t="shared" si="55"/>
        <v>7104</v>
      </c>
      <c r="EA110" s="23">
        <f t="shared" si="55"/>
        <v>0</v>
      </c>
      <c r="EB110" s="23">
        <f t="shared" si="55"/>
        <v>0</v>
      </c>
      <c r="EC110" s="23">
        <f t="shared" si="55"/>
        <v>0</v>
      </c>
      <c r="ED110" s="23">
        <f t="shared" si="55"/>
        <v>0</v>
      </c>
      <c r="EE110" s="23">
        <f t="shared" si="55"/>
        <v>0</v>
      </c>
      <c r="EF110" s="23">
        <f t="shared" si="55"/>
        <v>14208</v>
      </c>
      <c r="EG110" s="23">
        <f t="shared" si="55"/>
        <v>0</v>
      </c>
      <c r="EH110" s="23">
        <f t="shared" si="55"/>
        <v>0</v>
      </c>
      <c r="EI110" s="23">
        <f t="shared" si="55"/>
        <v>174048</v>
      </c>
      <c r="EJ110" s="23">
        <f t="shared" si="55"/>
        <v>184704</v>
      </c>
      <c r="EK110" s="23">
        <f t="shared" si="55"/>
        <v>0</v>
      </c>
      <c r="EL110" s="23">
        <f t="shared" si="55"/>
        <v>0</v>
      </c>
      <c r="EM110" s="23">
        <f t="shared" si="55"/>
        <v>0</v>
      </c>
      <c r="EN110" s="23">
        <f t="shared" si="55"/>
        <v>0</v>
      </c>
      <c r="EO110" s="23">
        <f t="shared" si="55"/>
        <v>0</v>
      </c>
      <c r="EP110" s="23">
        <f t="shared" si="55"/>
        <v>0</v>
      </c>
      <c r="EQ110" s="23">
        <f t="shared" si="55"/>
        <v>14208</v>
      </c>
      <c r="ER110" s="23">
        <f t="shared" si="55"/>
        <v>14208</v>
      </c>
      <c r="ES110" s="23">
        <f t="shared" si="55"/>
        <v>0</v>
      </c>
      <c r="ET110" s="23">
        <f t="shared" si="55"/>
        <v>0</v>
      </c>
      <c r="EU110" s="23">
        <f t="shared" si="55"/>
        <v>0</v>
      </c>
      <c r="EV110" s="23">
        <f t="shared" si="55"/>
        <v>0</v>
      </c>
      <c r="EW110" s="23">
        <f t="shared" si="55"/>
        <v>0</v>
      </c>
      <c r="EX110" s="23">
        <f t="shared" si="55"/>
        <v>0</v>
      </c>
      <c r="EY110" s="23">
        <f t="shared" si="55"/>
        <v>0</v>
      </c>
      <c r="EZ110" s="23">
        <f t="shared" si="55"/>
        <v>0</v>
      </c>
      <c r="FA110" s="23">
        <f t="shared" si="55"/>
        <v>85248</v>
      </c>
      <c r="FB110" s="23">
        <f t="shared" si="55"/>
        <v>0</v>
      </c>
      <c r="FC110" s="23">
        <f t="shared" si="55"/>
        <v>28416</v>
      </c>
      <c r="FD110" s="23">
        <f t="shared" si="55"/>
        <v>0</v>
      </c>
      <c r="FE110" s="23">
        <f t="shared" si="55"/>
        <v>0</v>
      </c>
      <c r="FF110" s="23">
        <f t="shared" si="55"/>
        <v>0</v>
      </c>
      <c r="FG110" s="23">
        <f t="shared" si="55"/>
        <v>0</v>
      </c>
      <c r="FH110" s="23">
        <f t="shared" si="55"/>
        <v>0</v>
      </c>
      <c r="FI110" s="23">
        <f t="shared" si="55"/>
        <v>0</v>
      </c>
      <c r="FJ110" s="23">
        <f t="shared" si="55"/>
        <v>0</v>
      </c>
      <c r="FK110" s="23">
        <f t="shared" si="55"/>
        <v>0</v>
      </c>
      <c r="FL110" s="23">
        <f t="shared" si="55"/>
        <v>0</v>
      </c>
      <c r="FM110" s="23">
        <f t="shared" si="55"/>
        <v>0</v>
      </c>
      <c r="FN110" s="23">
        <f t="shared" si="55"/>
        <v>110112</v>
      </c>
      <c r="FO110" s="23">
        <f t="shared" si="55"/>
        <v>0</v>
      </c>
      <c r="FP110" s="23">
        <f t="shared" si="55"/>
        <v>0</v>
      </c>
      <c r="FQ110" s="23">
        <f t="shared" si="55"/>
        <v>0</v>
      </c>
      <c r="FR110" s="23">
        <f t="shared" si="55"/>
        <v>0</v>
      </c>
      <c r="FS110" s="23">
        <f t="shared" si="55"/>
        <v>0</v>
      </c>
      <c r="FT110" s="23">
        <f t="shared" si="55"/>
        <v>0</v>
      </c>
      <c r="FU110" s="23">
        <f t="shared" si="55"/>
        <v>0</v>
      </c>
      <c r="FV110" s="23">
        <f t="shared" si="55"/>
        <v>7104</v>
      </c>
      <c r="FW110" s="23">
        <f t="shared" si="55"/>
        <v>14208</v>
      </c>
      <c r="FX110" s="23">
        <f t="shared" si="55"/>
        <v>0</v>
      </c>
      <c r="FY110" s="25"/>
      <c r="FZ110" s="7">
        <f t="shared" si="51"/>
        <v>14104992</v>
      </c>
      <c r="GA110" s="7"/>
      <c r="GB110" s="25"/>
      <c r="GC110" s="25"/>
      <c r="GD110" s="25"/>
      <c r="GE110" s="25"/>
      <c r="GF110" s="25"/>
      <c r="GG110" s="7"/>
      <c r="GH110" s="23"/>
      <c r="GI110" s="23"/>
      <c r="GJ110" s="23"/>
      <c r="GK110" s="23"/>
      <c r="GL110" s="23"/>
      <c r="GM110" s="23"/>
      <c r="GN110" s="23"/>
      <c r="GO110" s="23"/>
      <c r="GP110" s="7"/>
      <c r="GQ110" s="7"/>
      <c r="GR110" s="7"/>
      <c r="GS110" s="7"/>
      <c r="GT110" s="7"/>
      <c r="GU110" s="7"/>
      <c r="GV110" s="7"/>
    </row>
    <row r="111" spans="1:204" ht="15.5" x14ac:dyDescent="0.35">
      <c r="A111" s="60" t="s">
        <v>618</v>
      </c>
      <c r="B111" s="5" t="s">
        <v>619</v>
      </c>
      <c r="C111" s="61">
        <f t="shared" ref="C111:FX111" si="56">(C106*C107)+C110</f>
        <v>28416</v>
      </c>
      <c r="D111" s="61">
        <f t="shared" si="56"/>
        <v>989384</v>
      </c>
      <c r="E111" s="61">
        <f t="shared" si="56"/>
        <v>78144</v>
      </c>
      <c r="F111" s="61">
        <f t="shared" si="56"/>
        <v>109584</v>
      </c>
      <c r="G111" s="61">
        <f t="shared" si="56"/>
        <v>7104</v>
      </c>
      <c r="H111" s="61">
        <f t="shared" si="56"/>
        <v>7104</v>
      </c>
      <c r="I111" s="61">
        <f t="shared" si="56"/>
        <v>126816</v>
      </c>
      <c r="J111" s="61">
        <f t="shared" si="56"/>
        <v>0</v>
      </c>
      <c r="K111" s="61">
        <f t="shared" si="56"/>
        <v>0</v>
      </c>
      <c r="L111" s="61">
        <f t="shared" si="56"/>
        <v>163392</v>
      </c>
      <c r="M111" s="61">
        <f t="shared" si="56"/>
        <v>99456</v>
      </c>
      <c r="N111" s="61">
        <f t="shared" si="56"/>
        <v>1505128</v>
      </c>
      <c r="O111" s="61">
        <f t="shared" si="56"/>
        <v>780032</v>
      </c>
      <c r="P111" s="61">
        <f t="shared" si="56"/>
        <v>0</v>
      </c>
      <c r="Q111" s="61">
        <f t="shared" si="56"/>
        <v>1584296</v>
      </c>
      <c r="R111" s="61">
        <f t="shared" si="56"/>
        <v>7104</v>
      </c>
      <c r="S111" s="61">
        <f t="shared" si="56"/>
        <v>0</v>
      </c>
      <c r="T111" s="61">
        <f t="shared" si="56"/>
        <v>0</v>
      </c>
      <c r="U111" s="61">
        <f t="shared" si="56"/>
        <v>0</v>
      </c>
      <c r="V111" s="61">
        <f t="shared" si="56"/>
        <v>0</v>
      </c>
      <c r="W111" s="61">
        <f t="shared" si="56"/>
        <v>7104</v>
      </c>
      <c r="X111" s="61">
        <f t="shared" si="56"/>
        <v>0</v>
      </c>
      <c r="Y111" s="61">
        <f t="shared" si="56"/>
        <v>0</v>
      </c>
      <c r="Z111" s="61">
        <f t="shared" si="56"/>
        <v>0</v>
      </c>
      <c r="AA111" s="61">
        <f t="shared" si="56"/>
        <v>771128</v>
      </c>
      <c r="AB111" s="61">
        <f t="shared" si="56"/>
        <v>351296</v>
      </c>
      <c r="AC111" s="61">
        <f t="shared" si="56"/>
        <v>0</v>
      </c>
      <c r="AD111" s="61">
        <f t="shared" si="56"/>
        <v>46176</v>
      </c>
      <c r="AE111" s="61">
        <f t="shared" si="56"/>
        <v>0</v>
      </c>
      <c r="AF111" s="61">
        <f t="shared" si="56"/>
        <v>0</v>
      </c>
      <c r="AG111" s="61">
        <f t="shared" si="56"/>
        <v>0</v>
      </c>
      <c r="AH111" s="61">
        <f t="shared" si="56"/>
        <v>0</v>
      </c>
      <c r="AI111" s="61">
        <f t="shared" si="56"/>
        <v>0</v>
      </c>
      <c r="AJ111" s="61">
        <f t="shared" si="56"/>
        <v>0</v>
      </c>
      <c r="AK111" s="61">
        <f t="shared" si="56"/>
        <v>0</v>
      </c>
      <c r="AL111" s="61">
        <f t="shared" si="56"/>
        <v>0</v>
      </c>
      <c r="AM111" s="61">
        <f t="shared" si="56"/>
        <v>0</v>
      </c>
      <c r="AN111" s="61">
        <f t="shared" si="56"/>
        <v>7104</v>
      </c>
      <c r="AO111" s="61">
        <f t="shared" si="56"/>
        <v>0</v>
      </c>
      <c r="AP111" s="61">
        <f t="shared" si="56"/>
        <v>1508824</v>
      </c>
      <c r="AQ111" s="61">
        <f t="shared" si="56"/>
        <v>5240</v>
      </c>
      <c r="AR111" s="61">
        <f t="shared" si="56"/>
        <v>1205920</v>
      </c>
      <c r="AS111" s="61">
        <f t="shared" si="56"/>
        <v>124144</v>
      </c>
      <c r="AT111" s="61">
        <f t="shared" si="56"/>
        <v>31792</v>
      </c>
      <c r="AU111" s="61">
        <f t="shared" si="56"/>
        <v>0</v>
      </c>
      <c r="AV111" s="61">
        <f t="shared" si="56"/>
        <v>0</v>
      </c>
      <c r="AW111" s="61">
        <f t="shared" si="56"/>
        <v>14208</v>
      </c>
      <c r="AX111" s="61">
        <f t="shared" si="56"/>
        <v>0</v>
      </c>
      <c r="AY111" s="61">
        <f t="shared" si="56"/>
        <v>0</v>
      </c>
      <c r="AZ111" s="61">
        <f t="shared" si="56"/>
        <v>7104</v>
      </c>
      <c r="BA111" s="61">
        <f t="shared" si="56"/>
        <v>3552</v>
      </c>
      <c r="BB111" s="61">
        <f t="shared" si="56"/>
        <v>74416</v>
      </c>
      <c r="BC111" s="61">
        <f t="shared" si="56"/>
        <v>438440</v>
      </c>
      <c r="BD111" s="61">
        <f t="shared" si="56"/>
        <v>28416</v>
      </c>
      <c r="BE111" s="61">
        <f t="shared" si="56"/>
        <v>0</v>
      </c>
      <c r="BF111" s="61">
        <f t="shared" si="56"/>
        <v>244736</v>
      </c>
      <c r="BG111" s="61">
        <f t="shared" si="56"/>
        <v>0</v>
      </c>
      <c r="BH111" s="61">
        <f t="shared" si="56"/>
        <v>85248</v>
      </c>
      <c r="BI111" s="61">
        <f t="shared" si="56"/>
        <v>0</v>
      </c>
      <c r="BJ111" s="61">
        <f t="shared" si="56"/>
        <v>131072</v>
      </c>
      <c r="BK111" s="61">
        <f t="shared" si="56"/>
        <v>862112</v>
      </c>
      <c r="BL111" s="61">
        <f t="shared" si="56"/>
        <v>38720</v>
      </c>
      <c r="BM111" s="61">
        <f t="shared" si="56"/>
        <v>131424</v>
      </c>
      <c r="BN111" s="61">
        <f t="shared" si="56"/>
        <v>395184</v>
      </c>
      <c r="BO111" s="61">
        <f t="shared" si="56"/>
        <v>21312</v>
      </c>
      <c r="BP111" s="61">
        <f t="shared" si="56"/>
        <v>0</v>
      </c>
      <c r="BQ111" s="61">
        <f t="shared" si="56"/>
        <v>24688</v>
      </c>
      <c r="BR111" s="61">
        <f t="shared" si="56"/>
        <v>0</v>
      </c>
      <c r="BS111" s="61">
        <f t="shared" si="56"/>
        <v>0</v>
      </c>
      <c r="BT111" s="61">
        <f t="shared" si="56"/>
        <v>0</v>
      </c>
      <c r="BU111" s="61">
        <f t="shared" si="56"/>
        <v>0</v>
      </c>
      <c r="BV111" s="61">
        <f t="shared" si="56"/>
        <v>0</v>
      </c>
      <c r="BW111" s="61">
        <f t="shared" si="56"/>
        <v>0</v>
      </c>
      <c r="BX111" s="61">
        <f t="shared" si="56"/>
        <v>0</v>
      </c>
      <c r="BY111" s="61">
        <f t="shared" si="56"/>
        <v>31440</v>
      </c>
      <c r="BZ111" s="61">
        <f t="shared" si="56"/>
        <v>0</v>
      </c>
      <c r="CA111" s="61">
        <f t="shared" si="56"/>
        <v>0</v>
      </c>
      <c r="CB111" s="61">
        <f t="shared" si="56"/>
        <v>1863320</v>
      </c>
      <c r="CC111" s="61">
        <f t="shared" si="56"/>
        <v>0</v>
      </c>
      <c r="CD111" s="61">
        <f t="shared" si="56"/>
        <v>0</v>
      </c>
      <c r="CE111" s="61">
        <f t="shared" si="56"/>
        <v>0</v>
      </c>
      <c r="CF111" s="61">
        <f t="shared" si="56"/>
        <v>0</v>
      </c>
      <c r="CG111" s="61">
        <f t="shared" si="56"/>
        <v>0</v>
      </c>
      <c r="CH111" s="61">
        <f t="shared" si="56"/>
        <v>0</v>
      </c>
      <c r="CI111" s="61">
        <f t="shared" si="56"/>
        <v>0</v>
      </c>
      <c r="CJ111" s="61">
        <f t="shared" si="56"/>
        <v>10480</v>
      </c>
      <c r="CK111" s="61">
        <f t="shared" si="56"/>
        <v>0</v>
      </c>
      <c r="CL111" s="61">
        <f t="shared" si="56"/>
        <v>28416</v>
      </c>
      <c r="CM111" s="61">
        <f t="shared" si="56"/>
        <v>0</v>
      </c>
      <c r="CN111" s="61">
        <f t="shared" si="56"/>
        <v>1967768</v>
      </c>
      <c r="CO111" s="61">
        <f t="shared" si="56"/>
        <v>525168</v>
      </c>
      <c r="CP111" s="61">
        <f t="shared" si="56"/>
        <v>42272</v>
      </c>
      <c r="CQ111" s="61">
        <f t="shared" si="56"/>
        <v>0</v>
      </c>
      <c r="CR111" s="61">
        <f t="shared" si="56"/>
        <v>0</v>
      </c>
      <c r="CS111" s="61">
        <f t="shared" si="56"/>
        <v>0</v>
      </c>
      <c r="CT111" s="61">
        <f t="shared" si="56"/>
        <v>0</v>
      </c>
      <c r="CU111" s="61">
        <f t="shared" si="56"/>
        <v>14208</v>
      </c>
      <c r="CV111" s="61">
        <f t="shared" si="56"/>
        <v>0</v>
      </c>
      <c r="CW111" s="61">
        <f t="shared" si="56"/>
        <v>0</v>
      </c>
      <c r="CX111" s="61">
        <f t="shared" si="56"/>
        <v>0</v>
      </c>
      <c r="CY111" s="61">
        <f t="shared" si="56"/>
        <v>0</v>
      </c>
      <c r="CZ111" s="61">
        <f t="shared" si="56"/>
        <v>0</v>
      </c>
      <c r="DA111" s="61">
        <f t="shared" si="56"/>
        <v>0</v>
      </c>
      <c r="DB111" s="61">
        <f t="shared" si="56"/>
        <v>0</v>
      </c>
      <c r="DC111" s="61">
        <f t="shared" si="56"/>
        <v>0</v>
      </c>
      <c r="DD111" s="61">
        <f t="shared" si="56"/>
        <v>0</v>
      </c>
      <c r="DE111" s="61">
        <f t="shared" si="56"/>
        <v>0</v>
      </c>
      <c r="DF111" s="61">
        <f t="shared" si="56"/>
        <v>445824</v>
      </c>
      <c r="DG111" s="61">
        <f t="shared" si="56"/>
        <v>0</v>
      </c>
      <c r="DH111" s="61">
        <f t="shared" si="56"/>
        <v>0</v>
      </c>
      <c r="DI111" s="61">
        <f t="shared" si="56"/>
        <v>0</v>
      </c>
      <c r="DJ111" s="61">
        <f t="shared" si="56"/>
        <v>0</v>
      </c>
      <c r="DK111" s="61">
        <f t="shared" si="56"/>
        <v>0</v>
      </c>
      <c r="DL111" s="61">
        <f t="shared" si="56"/>
        <v>0</v>
      </c>
      <c r="DM111" s="61">
        <f t="shared" si="56"/>
        <v>0</v>
      </c>
      <c r="DN111" s="61">
        <f t="shared" si="56"/>
        <v>12344</v>
      </c>
      <c r="DO111" s="61">
        <f t="shared" si="56"/>
        <v>10480</v>
      </c>
      <c r="DP111" s="61">
        <f t="shared" si="56"/>
        <v>0</v>
      </c>
      <c r="DQ111" s="61">
        <f t="shared" si="56"/>
        <v>7104</v>
      </c>
      <c r="DR111" s="61">
        <f t="shared" si="56"/>
        <v>0</v>
      </c>
      <c r="DS111" s="61">
        <f t="shared" si="56"/>
        <v>0</v>
      </c>
      <c r="DT111" s="61">
        <f t="shared" si="56"/>
        <v>0</v>
      </c>
      <c r="DU111" s="61">
        <f t="shared" si="56"/>
        <v>0</v>
      </c>
      <c r="DV111" s="61">
        <f t="shared" si="56"/>
        <v>0</v>
      </c>
      <c r="DW111" s="61">
        <f t="shared" si="56"/>
        <v>0</v>
      </c>
      <c r="DX111" s="61">
        <f t="shared" si="56"/>
        <v>0</v>
      </c>
      <c r="DY111" s="61">
        <f t="shared" si="56"/>
        <v>0</v>
      </c>
      <c r="DZ111" s="61">
        <f t="shared" si="56"/>
        <v>7104</v>
      </c>
      <c r="EA111" s="61">
        <f t="shared" si="56"/>
        <v>0</v>
      </c>
      <c r="EB111" s="61">
        <f t="shared" si="56"/>
        <v>0</v>
      </c>
      <c r="EC111" s="61">
        <f t="shared" si="56"/>
        <v>0</v>
      </c>
      <c r="ED111" s="61">
        <f t="shared" si="56"/>
        <v>0</v>
      </c>
      <c r="EE111" s="61">
        <f t="shared" si="56"/>
        <v>0</v>
      </c>
      <c r="EF111" s="61">
        <f t="shared" si="56"/>
        <v>14208</v>
      </c>
      <c r="EG111" s="61">
        <f t="shared" si="56"/>
        <v>0</v>
      </c>
      <c r="EH111" s="61">
        <f t="shared" si="56"/>
        <v>0</v>
      </c>
      <c r="EI111" s="61">
        <f t="shared" si="56"/>
        <v>184528</v>
      </c>
      <c r="EJ111" s="61">
        <f t="shared" si="56"/>
        <v>216144</v>
      </c>
      <c r="EK111" s="61">
        <f t="shared" si="56"/>
        <v>0</v>
      </c>
      <c r="EL111" s="61">
        <f t="shared" si="56"/>
        <v>0</v>
      </c>
      <c r="EM111" s="61">
        <f t="shared" si="56"/>
        <v>0</v>
      </c>
      <c r="EN111" s="61">
        <f t="shared" si="56"/>
        <v>0</v>
      </c>
      <c r="EO111" s="61">
        <f t="shared" si="56"/>
        <v>0</v>
      </c>
      <c r="EP111" s="61">
        <f t="shared" si="56"/>
        <v>0</v>
      </c>
      <c r="EQ111" s="61">
        <f t="shared" si="56"/>
        <v>14208</v>
      </c>
      <c r="ER111" s="61">
        <f t="shared" si="56"/>
        <v>14208</v>
      </c>
      <c r="ES111" s="61">
        <f t="shared" si="56"/>
        <v>0</v>
      </c>
      <c r="ET111" s="61">
        <f t="shared" si="56"/>
        <v>0</v>
      </c>
      <c r="EU111" s="61">
        <f t="shared" si="56"/>
        <v>0</v>
      </c>
      <c r="EV111" s="61">
        <f t="shared" si="56"/>
        <v>0</v>
      </c>
      <c r="EW111" s="61">
        <f t="shared" si="56"/>
        <v>0</v>
      </c>
      <c r="EX111" s="61">
        <f t="shared" si="56"/>
        <v>0</v>
      </c>
      <c r="EY111" s="61">
        <f t="shared" si="56"/>
        <v>0</v>
      </c>
      <c r="EZ111" s="61">
        <f t="shared" si="56"/>
        <v>0</v>
      </c>
      <c r="FA111" s="61">
        <f t="shared" si="56"/>
        <v>85248</v>
      </c>
      <c r="FB111" s="61">
        <f t="shared" si="56"/>
        <v>0</v>
      </c>
      <c r="FC111" s="61">
        <f t="shared" si="56"/>
        <v>28416</v>
      </c>
      <c r="FD111" s="61">
        <f t="shared" si="56"/>
        <v>0</v>
      </c>
      <c r="FE111" s="61">
        <f t="shared" si="56"/>
        <v>0</v>
      </c>
      <c r="FF111" s="61">
        <f t="shared" si="56"/>
        <v>0</v>
      </c>
      <c r="FG111" s="61">
        <f t="shared" si="56"/>
        <v>0</v>
      </c>
      <c r="FH111" s="61">
        <f t="shared" si="56"/>
        <v>0</v>
      </c>
      <c r="FI111" s="61">
        <f t="shared" si="56"/>
        <v>0</v>
      </c>
      <c r="FJ111" s="61">
        <f t="shared" si="56"/>
        <v>0</v>
      </c>
      <c r="FK111" s="61">
        <f t="shared" si="56"/>
        <v>0</v>
      </c>
      <c r="FL111" s="61">
        <f t="shared" si="56"/>
        <v>0</v>
      </c>
      <c r="FM111" s="61">
        <f t="shared" si="56"/>
        <v>0</v>
      </c>
      <c r="FN111" s="61">
        <f t="shared" si="56"/>
        <v>246352</v>
      </c>
      <c r="FO111" s="61">
        <f t="shared" si="56"/>
        <v>20960</v>
      </c>
      <c r="FP111" s="61">
        <f t="shared" si="56"/>
        <v>0</v>
      </c>
      <c r="FQ111" s="61">
        <f t="shared" si="56"/>
        <v>0</v>
      </c>
      <c r="FR111" s="61">
        <f t="shared" si="56"/>
        <v>0</v>
      </c>
      <c r="FS111" s="61">
        <f t="shared" si="56"/>
        <v>0</v>
      </c>
      <c r="FT111" s="61">
        <f t="shared" si="56"/>
        <v>0</v>
      </c>
      <c r="FU111" s="61">
        <f t="shared" si="56"/>
        <v>0</v>
      </c>
      <c r="FV111" s="61">
        <f t="shared" si="56"/>
        <v>7104</v>
      </c>
      <c r="FW111" s="61">
        <f t="shared" si="56"/>
        <v>14208</v>
      </c>
      <c r="FX111" s="61">
        <f t="shared" si="56"/>
        <v>0</v>
      </c>
      <c r="FY111" s="61"/>
      <c r="FZ111" s="7">
        <f t="shared" si="51"/>
        <v>17856832</v>
      </c>
      <c r="GA111" s="62">
        <v>24559880</v>
      </c>
      <c r="GB111" s="7">
        <f>FZ111-GA111</f>
        <v>-6703048</v>
      </c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</row>
    <row r="112" spans="1:204" ht="15.5" x14ac:dyDescent="0.35">
      <c r="A112" s="12"/>
      <c r="B112" s="7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5"/>
      <c r="FZ112" s="25"/>
      <c r="GA112" s="7"/>
      <c r="GB112" s="25"/>
      <c r="GC112" s="25"/>
      <c r="GD112" s="25"/>
      <c r="GE112" s="25"/>
      <c r="GF112" s="25"/>
      <c r="GG112" s="7"/>
      <c r="GH112" s="23"/>
      <c r="GI112" s="23"/>
      <c r="GJ112" s="23"/>
      <c r="GK112" s="23"/>
      <c r="GL112" s="23"/>
      <c r="GM112" s="23"/>
      <c r="GN112" s="23"/>
      <c r="GO112" s="23"/>
      <c r="GP112" s="7"/>
      <c r="GQ112" s="7"/>
      <c r="GR112" s="7"/>
      <c r="GS112" s="7"/>
      <c r="GT112" s="7"/>
      <c r="GU112" s="7"/>
      <c r="GV112" s="7"/>
    </row>
    <row r="113" spans="1:204" ht="15.5" x14ac:dyDescent="0.35">
      <c r="A113" s="12"/>
      <c r="B113" s="5" t="s">
        <v>620</v>
      </c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5"/>
      <c r="FZ113" s="25"/>
      <c r="GA113" s="7"/>
      <c r="GB113" s="25"/>
      <c r="GC113" s="25"/>
      <c r="GD113" s="25"/>
      <c r="GE113" s="25"/>
      <c r="GF113" s="25"/>
      <c r="GG113" s="7"/>
      <c r="GH113" s="23"/>
      <c r="GI113" s="23"/>
      <c r="GJ113" s="23"/>
      <c r="GK113" s="23"/>
      <c r="GL113" s="23"/>
      <c r="GM113" s="23"/>
      <c r="GN113" s="23"/>
      <c r="GO113" s="23"/>
      <c r="GP113" s="7"/>
      <c r="GQ113" s="7"/>
      <c r="GR113" s="7"/>
      <c r="GS113" s="7"/>
      <c r="GT113" s="7"/>
      <c r="GU113" s="7"/>
      <c r="GV113" s="7"/>
    </row>
    <row r="114" spans="1:204" ht="15.5" x14ac:dyDescent="0.35">
      <c r="A114" s="12" t="s">
        <v>621</v>
      </c>
      <c r="B114" s="7" t="s">
        <v>622</v>
      </c>
      <c r="C114" s="23">
        <f t="shared" ref="C114:FX114" si="57">C12+C33</f>
        <v>152</v>
      </c>
      <c r="D114" s="23">
        <f t="shared" si="57"/>
        <v>499</v>
      </c>
      <c r="E114" s="23">
        <f t="shared" si="57"/>
        <v>0</v>
      </c>
      <c r="F114" s="23">
        <f t="shared" si="57"/>
        <v>2031</v>
      </c>
      <c r="G114" s="23">
        <f t="shared" si="57"/>
        <v>0</v>
      </c>
      <c r="H114" s="23">
        <f t="shared" si="57"/>
        <v>0</v>
      </c>
      <c r="I114" s="23">
        <f t="shared" si="57"/>
        <v>0</v>
      </c>
      <c r="J114" s="23">
        <f t="shared" si="57"/>
        <v>0</v>
      </c>
      <c r="K114" s="23">
        <f t="shared" si="57"/>
        <v>0</v>
      </c>
      <c r="L114" s="23">
        <f t="shared" si="57"/>
        <v>0</v>
      </c>
      <c r="M114" s="23">
        <f t="shared" si="57"/>
        <v>0</v>
      </c>
      <c r="N114" s="23">
        <f t="shared" si="57"/>
        <v>0</v>
      </c>
      <c r="O114" s="23">
        <f t="shared" si="57"/>
        <v>0</v>
      </c>
      <c r="P114" s="23">
        <f t="shared" si="57"/>
        <v>0</v>
      </c>
      <c r="Q114" s="23">
        <f t="shared" si="57"/>
        <v>0</v>
      </c>
      <c r="R114" s="23">
        <f t="shared" si="57"/>
        <v>6618</v>
      </c>
      <c r="S114" s="23">
        <f t="shared" si="57"/>
        <v>14</v>
      </c>
      <c r="T114" s="23">
        <f t="shared" si="57"/>
        <v>0</v>
      </c>
      <c r="U114" s="23">
        <f t="shared" si="57"/>
        <v>0</v>
      </c>
      <c r="V114" s="23">
        <f t="shared" si="57"/>
        <v>0</v>
      </c>
      <c r="W114" s="23">
        <f t="shared" si="57"/>
        <v>0</v>
      </c>
      <c r="X114" s="23">
        <f t="shared" si="57"/>
        <v>0</v>
      </c>
      <c r="Y114" s="23">
        <f t="shared" si="57"/>
        <v>473.5</v>
      </c>
      <c r="Z114" s="23">
        <f t="shared" si="57"/>
        <v>0</v>
      </c>
      <c r="AA114" s="23">
        <f t="shared" si="57"/>
        <v>336.5</v>
      </c>
      <c r="AB114" s="23">
        <f t="shared" si="57"/>
        <v>224</v>
      </c>
      <c r="AC114" s="23">
        <f t="shared" si="57"/>
        <v>0</v>
      </c>
      <c r="AD114" s="23">
        <f t="shared" si="57"/>
        <v>0</v>
      </c>
      <c r="AE114" s="23">
        <f t="shared" si="57"/>
        <v>0</v>
      </c>
      <c r="AF114" s="23">
        <f t="shared" si="57"/>
        <v>0</v>
      </c>
      <c r="AG114" s="23">
        <f t="shared" si="57"/>
        <v>0</v>
      </c>
      <c r="AH114" s="23">
        <f t="shared" si="57"/>
        <v>0</v>
      </c>
      <c r="AI114" s="23">
        <f t="shared" si="57"/>
        <v>0</v>
      </c>
      <c r="AJ114" s="23">
        <f t="shared" si="57"/>
        <v>0</v>
      </c>
      <c r="AK114" s="23">
        <f t="shared" si="57"/>
        <v>0</v>
      </c>
      <c r="AL114" s="23">
        <f t="shared" si="57"/>
        <v>0</v>
      </c>
      <c r="AM114" s="23">
        <f t="shared" si="57"/>
        <v>0</v>
      </c>
      <c r="AN114" s="23">
        <f t="shared" si="57"/>
        <v>0</v>
      </c>
      <c r="AO114" s="23">
        <f t="shared" si="57"/>
        <v>370.5</v>
      </c>
      <c r="AP114" s="23">
        <f t="shared" si="57"/>
        <v>595.5</v>
      </c>
      <c r="AQ114" s="23">
        <f t="shared" si="57"/>
        <v>0</v>
      </c>
      <c r="AR114" s="23">
        <f t="shared" si="57"/>
        <v>1303</v>
      </c>
      <c r="AS114" s="23">
        <f t="shared" si="57"/>
        <v>0</v>
      </c>
      <c r="AT114" s="23">
        <f t="shared" si="57"/>
        <v>0</v>
      </c>
      <c r="AU114" s="23">
        <f t="shared" si="57"/>
        <v>0</v>
      </c>
      <c r="AV114" s="23">
        <f t="shared" si="57"/>
        <v>0</v>
      </c>
      <c r="AW114" s="23">
        <f t="shared" si="57"/>
        <v>0</v>
      </c>
      <c r="AX114" s="23">
        <f t="shared" si="57"/>
        <v>0</v>
      </c>
      <c r="AY114" s="23">
        <f t="shared" si="57"/>
        <v>0</v>
      </c>
      <c r="AZ114" s="23">
        <f t="shared" si="57"/>
        <v>98</v>
      </c>
      <c r="BA114" s="23">
        <f t="shared" si="57"/>
        <v>240</v>
      </c>
      <c r="BB114" s="23">
        <f t="shared" si="57"/>
        <v>0</v>
      </c>
      <c r="BC114" s="23">
        <f t="shared" si="57"/>
        <v>475</v>
      </c>
      <c r="BD114" s="23">
        <f t="shared" si="57"/>
        <v>0</v>
      </c>
      <c r="BE114" s="23">
        <f t="shared" si="57"/>
        <v>0</v>
      </c>
      <c r="BF114" s="23">
        <f t="shared" si="57"/>
        <v>1194.5</v>
      </c>
      <c r="BG114" s="23">
        <f t="shared" si="57"/>
        <v>0</v>
      </c>
      <c r="BH114" s="23">
        <f t="shared" si="57"/>
        <v>28</v>
      </c>
      <c r="BI114" s="23">
        <f t="shared" si="57"/>
        <v>0</v>
      </c>
      <c r="BJ114" s="23">
        <f t="shared" si="57"/>
        <v>0</v>
      </c>
      <c r="BK114" s="23">
        <f t="shared" si="57"/>
        <v>13175.5</v>
      </c>
      <c r="BL114" s="23">
        <f t="shared" si="57"/>
        <v>0</v>
      </c>
      <c r="BM114" s="23">
        <f t="shared" si="57"/>
        <v>0</v>
      </c>
      <c r="BN114" s="23">
        <f t="shared" si="57"/>
        <v>0</v>
      </c>
      <c r="BO114" s="23">
        <f t="shared" si="57"/>
        <v>0</v>
      </c>
      <c r="BP114" s="23">
        <f t="shared" si="57"/>
        <v>0</v>
      </c>
      <c r="BQ114" s="23">
        <f t="shared" si="57"/>
        <v>0</v>
      </c>
      <c r="BR114" s="23">
        <f t="shared" si="57"/>
        <v>0</v>
      </c>
      <c r="BS114" s="23">
        <f t="shared" si="57"/>
        <v>0</v>
      </c>
      <c r="BT114" s="23">
        <f t="shared" si="57"/>
        <v>0</v>
      </c>
      <c r="BU114" s="23">
        <f t="shared" si="57"/>
        <v>0</v>
      </c>
      <c r="BV114" s="23">
        <f t="shared" si="57"/>
        <v>0</v>
      </c>
      <c r="BW114" s="23">
        <f t="shared" si="57"/>
        <v>0</v>
      </c>
      <c r="BX114" s="23">
        <f t="shared" si="57"/>
        <v>0</v>
      </c>
      <c r="BY114" s="23">
        <f t="shared" si="57"/>
        <v>0</v>
      </c>
      <c r="BZ114" s="23">
        <f t="shared" si="57"/>
        <v>0</v>
      </c>
      <c r="CA114" s="23">
        <f t="shared" si="57"/>
        <v>0</v>
      </c>
      <c r="CB114" s="23">
        <f t="shared" si="57"/>
        <v>815.5</v>
      </c>
      <c r="CC114" s="23">
        <f t="shared" si="57"/>
        <v>0</v>
      </c>
      <c r="CD114" s="23">
        <f t="shared" si="57"/>
        <v>0</v>
      </c>
      <c r="CE114" s="23">
        <f t="shared" si="57"/>
        <v>0</v>
      </c>
      <c r="CF114" s="23">
        <f t="shared" si="57"/>
        <v>0</v>
      </c>
      <c r="CG114" s="23">
        <f t="shared" si="57"/>
        <v>0</v>
      </c>
      <c r="CH114" s="23">
        <f t="shared" si="57"/>
        <v>0</v>
      </c>
      <c r="CI114" s="23">
        <f t="shared" si="57"/>
        <v>0</v>
      </c>
      <c r="CJ114" s="23">
        <f t="shared" si="57"/>
        <v>0</v>
      </c>
      <c r="CK114" s="23">
        <f t="shared" si="57"/>
        <v>23.5</v>
      </c>
      <c r="CL114" s="23">
        <f t="shared" si="57"/>
        <v>5.5</v>
      </c>
      <c r="CM114" s="23">
        <f t="shared" si="57"/>
        <v>2</v>
      </c>
      <c r="CN114" s="23">
        <f t="shared" si="57"/>
        <v>662</v>
      </c>
      <c r="CO114" s="23">
        <f t="shared" si="57"/>
        <v>0</v>
      </c>
      <c r="CP114" s="23">
        <f t="shared" si="57"/>
        <v>0</v>
      </c>
      <c r="CQ114" s="23">
        <f t="shared" si="57"/>
        <v>0</v>
      </c>
      <c r="CR114" s="23">
        <f t="shared" si="57"/>
        <v>0</v>
      </c>
      <c r="CS114" s="23">
        <f t="shared" si="57"/>
        <v>0</v>
      </c>
      <c r="CT114" s="23">
        <f t="shared" si="57"/>
        <v>0</v>
      </c>
      <c r="CU114" s="23">
        <f t="shared" si="57"/>
        <v>396</v>
      </c>
      <c r="CV114" s="23">
        <f t="shared" si="57"/>
        <v>0</v>
      </c>
      <c r="CW114" s="23">
        <f t="shared" si="57"/>
        <v>0</v>
      </c>
      <c r="CX114" s="23">
        <f t="shared" si="57"/>
        <v>0</v>
      </c>
      <c r="CY114" s="23">
        <f t="shared" si="57"/>
        <v>0</v>
      </c>
      <c r="CZ114" s="23">
        <f t="shared" si="57"/>
        <v>0</v>
      </c>
      <c r="DA114" s="23">
        <f t="shared" si="57"/>
        <v>0</v>
      </c>
      <c r="DB114" s="23">
        <f t="shared" si="57"/>
        <v>0</v>
      </c>
      <c r="DC114" s="23">
        <f t="shared" si="57"/>
        <v>0</v>
      </c>
      <c r="DD114" s="23">
        <f t="shared" si="57"/>
        <v>0</v>
      </c>
      <c r="DE114" s="23">
        <f t="shared" si="57"/>
        <v>0</v>
      </c>
      <c r="DF114" s="23">
        <f t="shared" si="57"/>
        <v>0</v>
      </c>
      <c r="DG114" s="23">
        <f t="shared" si="57"/>
        <v>0</v>
      </c>
      <c r="DH114" s="23">
        <f t="shared" si="57"/>
        <v>0</v>
      </c>
      <c r="DI114" s="23">
        <f t="shared" si="57"/>
        <v>4</v>
      </c>
      <c r="DJ114" s="23">
        <f t="shared" si="57"/>
        <v>1</v>
      </c>
      <c r="DK114" s="23">
        <f t="shared" si="57"/>
        <v>1</v>
      </c>
      <c r="DL114" s="23">
        <f t="shared" si="57"/>
        <v>0</v>
      </c>
      <c r="DM114" s="23">
        <f t="shared" si="57"/>
        <v>0</v>
      </c>
      <c r="DN114" s="23">
        <f t="shared" si="57"/>
        <v>0</v>
      </c>
      <c r="DO114" s="23">
        <f t="shared" si="57"/>
        <v>0</v>
      </c>
      <c r="DP114" s="23">
        <f t="shared" si="57"/>
        <v>0</v>
      </c>
      <c r="DQ114" s="23">
        <f t="shared" si="57"/>
        <v>0</v>
      </c>
      <c r="DR114" s="23">
        <f t="shared" si="57"/>
        <v>0</v>
      </c>
      <c r="DS114" s="23">
        <f t="shared" si="57"/>
        <v>0</v>
      </c>
      <c r="DT114" s="23">
        <f t="shared" si="57"/>
        <v>0</v>
      </c>
      <c r="DU114" s="23">
        <f t="shared" si="57"/>
        <v>0</v>
      </c>
      <c r="DV114" s="23">
        <f t="shared" si="57"/>
        <v>0</v>
      </c>
      <c r="DW114" s="23">
        <f t="shared" si="57"/>
        <v>0</v>
      </c>
      <c r="DX114" s="23">
        <f t="shared" si="57"/>
        <v>0</v>
      </c>
      <c r="DY114" s="23">
        <f t="shared" si="57"/>
        <v>0</v>
      </c>
      <c r="DZ114" s="23">
        <f t="shared" si="57"/>
        <v>0</v>
      </c>
      <c r="EA114" s="23">
        <f t="shared" si="57"/>
        <v>0</v>
      </c>
      <c r="EB114" s="23">
        <f t="shared" si="57"/>
        <v>0</v>
      </c>
      <c r="EC114" s="23">
        <f t="shared" si="57"/>
        <v>0</v>
      </c>
      <c r="ED114" s="23">
        <f t="shared" si="57"/>
        <v>0</v>
      </c>
      <c r="EE114" s="23">
        <f t="shared" si="57"/>
        <v>0</v>
      </c>
      <c r="EF114" s="23">
        <f t="shared" si="57"/>
        <v>0</v>
      </c>
      <c r="EG114" s="23">
        <f t="shared" si="57"/>
        <v>0</v>
      </c>
      <c r="EH114" s="23">
        <f t="shared" si="57"/>
        <v>0</v>
      </c>
      <c r="EI114" s="23">
        <f t="shared" si="57"/>
        <v>0</v>
      </c>
      <c r="EJ114" s="23">
        <f t="shared" si="57"/>
        <v>207.5</v>
      </c>
      <c r="EK114" s="23">
        <f t="shared" si="57"/>
        <v>0</v>
      </c>
      <c r="EL114" s="23">
        <f t="shared" si="57"/>
        <v>0</v>
      </c>
      <c r="EM114" s="23">
        <f t="shared" si="57"/>
        <v>0</v>
      </c>
      <c r="EN114" s="23">
        <f t="shared" si="57"/>
        <v>43</v>
      </c>
      <c r="EO114" s="23">
        <f t="shared" si="57"/>
        <v>0</v>
      </c>
      <c r="EP114" s="23">
        <f t="shared" si="57"/>
        <v>0</v>
      </c>
      <c r="EQ114" s="23">
        <f t="shared" si="57"/>
        <v>0</v>
      </c>
      <c r="ER114" s="23">
        <f t="shared" si="57"/>
        <v>0</v>
      </c>
      <c r="ES114" s="23">
        <f t="shared" si="57"/>
        <v>0</v>
      </c>
      <c r="ET114" s="23">
        <f t="shared" si="57"/>
        <v>0</v>
      </c>
      <c r="EU114" s="23">
        <f t="shared" si="57"/>
        <v>0</v>
      </c>
      <c r="EV114" s="23">
        <f t="shared" si="57"/>
        <v>0</v>
      </c>
      <c r="EW114" s="23">
        <f t="shared" si="57"/>
        <v>0</v>
      </c>
      <c r="EX114" s="23">
        <f t="shared" si="57"/>
        <v>0</v>
      </c>
      <c r="EY114" s="23">
        <f t="shared" si="57"/>
        <v>450</v>
      </c>
      <c r="EZ114" s="23">
        <f t="shared" si="57"/>
        <v>0</v>
      </c>
      <c r="FA114" s="23">
        <f t="shared" si="57"/>
        <v>0</v>
      </c>
      <c r="FB114" s="23">
        <f t="shared" si="57"/>
        <v>0</v>
      </c>
      <c r="FC114" s="23">
        <f t="shared" si="57"/>
        <v>0</v>
      </c>
      <c r="FD114" s="23">
        <f t="shared" si="57"/>
        <v>0</v>
      </c>
      <c r="FE114" s="23">
        <f t="shared" si="57"/>
        <v>0</v>
      </c>
      <c r="FF114" s="23">
        <f t="shared" si="57"/>
        <v>0</v>
      </c>
      <c r="FG114" s="23">
        <f t="shared" si="57"/>
        <v>0</v>
      </c>
      <c r="FH114" s="23">
        <f t="shared" si="57"/>
        <v>0</v>
      </c>
      <c r="FI114" s="23">
        <f t="shared" si="57"/>
        <v>0</v>
      </c>
      <c r="FJ114" s="23">
        <f t="shared" si="57"/>
        <v>0</v>
      </c>
      <c r="FK114" s="23">
        <f t="shared" si="57"/>
        <v>0</v>
      </c>
      <c r="FL114" s="23">
        <f t="shared" si="57"/>
        <v>0</v>
      </c>
      <c r="FM114" s="23">
        <f t="shared" si="57"/>
        <v>0</v>
      </c>
      <c r="FN114" s="23">
        <f t="shared" si="57"/>
        <v>254.5</v>
      </c>
      <c r="FO114" s="23">
        <f t="shared" si="57"/>
        <v>0</v>
      </c>
      <c r="FP114" s="23">
        <f t="shared" si="57"/>
        <v>0</v>
      </c>
      <c r="FQ114" s="23">
        <f t="shared" si="57"/>
        <v>0</v>
      </c>
      <c r="FR114" s="23">
        <f t="shared" si="57"/>
        <v>0</v>
      </c>
      <c r="FS114" s="23">
        <f t="shared" si="57"/>
        <v>0</v>
      </c>
      <c r="FT114" s="23">
        <f t="shared" si="57"/>
        <v>0</v>
      </c>
      <c r="FU114" s="23">
        <f t="shared" si="57"/>
        <v>0</v>
      </c>
      <c r="FV114" s="23">
        <f t="shared" si="57"/>
        <v>0</v>
      </c>
      <c r="FW114" s="23">
        <f t="shared" si="57"/>
        <v>0</v>
      </c>
      <c r="FX114" s="23">
        <f t="shared" si="57"/>
        <v>0</v>
      </c>
      <c r="FY114" s="25"/>
      <c r="FZ114" s="7">
        <f t="shared" ref="FZ114:FZ116" si="58">SUM(C114:FX114)</f>
        <v>30693.5</v>
      </c>
      <c r="GA114" s="7"/>
      <c r="GB114" s="25"/>
      <c r="GC114" s="25"/>
      <c r="GD114" s="25"/>
      <c r="GE114" s="25"/>
      <c r="GF114" s="25"/>
      <c r="GG114" s="7"/>
      <c r="GH114" s="23"/>
      <c r="GI114" s="23"/>
      <c r="GJ114" s="23"/>
      <c r="GK114" s="23"/>
      <c r="GL114" s="23"/>
      <c r="GM114" s="23"/>
      <c r="GN114" s="23"/>
      <c r="GO114" s="23"/>
      <c r="GP114" s="7"/>
      <c r="GQ114" s="7"/>
      <c r="GR114" s="7"/>
      <c r="GS114" s="7"/>
      <c r="GT114" s="7"/>
      <c r="GU114" s="7"/>
      <c r="GV114" s="7"/>
    </row>
    <row r="115" spans="1:204" ht="15.5" x14ac:dyDescent="0.35">
      <c r="A115" s="12" t="s">
        <v>623</v>
      </c>
      <c r="B115" s="7" t="s">
        <v>624</v>
      </c>
      <c r="C115" s="23">
        <f t="shared" ref="C115:FX115" si="59">$B$3</f>
        <v>10480</v>
      </c>
      <c r="D115" s="23">
        <f t="shared" si="59"/>
        <v>10480</v>
      </c>
      <c r="E115" s="23">
        <f t="shared" si="59"/>
        <v>10480</v>
      </c>
      <c r="F115" s="23">
        <f t="shared" si="59"/>
        <v>10480</v>
      </c>
      <c r="G115" s="23">
        <f t="shared" si="59"/>
        <v>10480</v>
      </c>
      <c r="H115" s="23">
        <f t="shared" si="59"/>
        <v>10480</v>
      </c>
      <c r="I115" s="23">
        <f t="shared" si="59"/>
        <v>10480</v>
      </c>
      <c r="J115" s="23">
        <f t="shared" si="59"/>
        <v>10480</v>
      </c>
      <c r="K115" s="23">
        <f t="shared" si="59"/>
        <v>10480</v>
      </c>
      <c r="L115" s="23">
        <f t="shared" si="59"/>
        <v>10480</v>
      </c>
      <c r="M115" s="23">
        <f t="shared" si="59"/>
        <v>10480</v>
      </c>
      <c r="N115" s="23">
        <f t="shared" si="59"/>
        <v>10480</v>
      </c>
      <c r="O115" s="23">
        <f t="shared" si="59"/>
        <v>10480</v>
      </c>
      <c r="P115" s="23">
        <f t="shared" si="59"/>
        <v>10480</v>
      </c>
      <c r="Q115" s="23">
        <f t="shared" si="59"/>
        <v>10480</v>
      </c>
      <c r="R115" s="23">
        <f t="shared" si="59"/>
        <v>10480</v>
      </c>
      <c r="S115" s="23">
        <f t="shared" si="59"/>
        <v>10480</v>
      </c>
      <c r="T115" s="23">
        <f t="shared" si="59"/>
        <v>10480</v>
      </c>
      <c r="U115" s="23">
        <f t="shared" si="59"/>
        <v>10480</v>
      </c>
      <c r="V115" s="23">
        <f t="shared" si="59"/>
        <v>10480</v>
      </c>
      <c r="W115" s="23">
        <f t="shared" si="59"/>
        <v>10480</v>
      </c>
      <c r="X115" s="23">
        <f t="shared" si="59"/>
        <v>10480</v>
      </c>
      <c r="Y115" s="23">
        <f t="shared" si="59"/>
        <v>10480</v>
      </c>
      <c r="Z115" s="23">
        <f t="shared" si="59"/>
        <v>10480</v>
      </c>
      <c r="AA115" s="23">
        <f t="shared" si="59"/>
        <v>10480</v>
      </c>
      <c r="AB115" s="23">
        <f t="shared" si="59"/>
        <v>10480</v>
      </c>
      <c r="AC115" s="23">
        <f t="shared" si="59"/>
        <v>10480</v>
      </c>
      <c r="AD115" s="23">
        <f t="shared" si="59"/>
        <v>10480</v>
      </c>
      <c r="AE115" s="23">
        <f t="shared" si="59"/>
        <v>10480</v>
      </c>
      <c r="AF115" s="23">
        <f t="shared" si="59"/>
        <v>10480</v>
      </c>
      <c r="AG115" s="23">
        <f t="shared" si="59"/>
        <v>10480</v>
      </c>
      <c r="AH115" s="23">
        <f t="shared" si="59"/>
        <v>10480</v>
      </c>
      <c r="AI115" s="23">
        <f t="shared" si="59"/>
        <v>10480</v>
      </c>
      <c r="AJ115" s="23">
        <f t="shared" si="59"/>
        <v>10480</v>
      </c>
      <c r="AK115" s="23">
        <f t="shared" si="59"/>
        <v>10480</v>
      </c>
      <c r="AL115" s="23">
        <f t="shared" si="59"/>
        <v>10480</v>
      </c>
      <c r="AM115" s="23">
        <f t="shared" si="59"/>
        <v>10480</v>
      </c>
      <c r="AN115" s="23">
        <f t="shared" si="59"/>
        <v>10480</v>
      </c>
      <c r="AO115" s="23">
        <f t="shared" si="59"/>
        <v>10480</v>
      </c>
      <c r="AP115" s="23">
        <f t="shared" si="59"/>
        <v>10480</v>
      </c>
      <c r="AQ115" s="23">
        <f t="shared" si="59"/>
        <v>10480</v>
      </c>
      <c r="AR115" s="23">
        <f t="shared" si="59"/>
        <v>10480</v>
      </c>
      <c r="AS115" s="23">
        <f t="shared" si="59"/>
        <v>10480</v>
      </c>
      <c r="AT115" s="23">
        <f t="shared" si="59"/>
        <v>10480</v>
      </c>
      <c r="AU115" s="23">
        <f t="shared" si="59"/>
        <v>10480</v>
      </c>
      <c r="AV115" s="23">
        <f t="shared" si="59"/>
        <v>10480</v>
      </c>
      <c r="AW115" s="23">
        <f t="shared" si="59"/>
        <v>10480</v>
      </c>
      <c r="AX115" s="23">
        <f t="shared" si="59"/>
        <v>10480</v>
      </c>
      <c r="AY115" s="23">
        <f t="shared" si="59"/>
        <v>10480</v>
      </c>
      <c r="AZ115" s="23">
        <f t="shared" si="59"/>
        <v>10480</v>
      </c>
      <c r="BA115" s="23">
        <f t="shared" si="59"/>
        <v>10480</v>
      </c>
      <c r="BB115" s="23">
        <f t="shared" si="59"/>
        <v>10480</v>
      </c>
      <c r="BC115" s="23">
        <f t="shared" si="59"/>
        <v>10480</v>
      </c>
      <c r="BD115" s="23">
        <f t="shared" si="59"/>
        <v>10480</v>
      </c>
      <c r="BE115" s="23">
        <f t="shared" si="59"/>
        <v>10480</v>
      </c>
      <c r="BF115" s="23">
        <f t="shared" si="59"/>
        <v>10480</v>
      </c>
      <c r="BG115" s="23">
        <f t="shared" si="59"/>
        <v>10480</v>
      </c>
      <c r="BH115" s="23">
        <f t="shared" si="59"/>
        <v>10480</v>
      </c>
      <c r="BI115" s="23">
        <f t="shared" si="59"/>
        <v>10480</v>
      </c>
      <c r="BJ115" s="23">
        <f t="shared" si="59"/>
        <v>10480</v>
      </c>
      <c r="BK115" s="23">
        <f t="shared" si="59"/>
        <v>10480</v>
      </c>
      <c r="BL115" s="23">
        <f t="shared" si="59"/>
        <v>10480</v>
      </c>
      <c r="BM115" s="23">
        <f t="shared" si="59"/>
        <v>10480</v>
      </c>
      <c r="BN115" s="23">
        <f t="shared" si="59"/>
        <v>10480</v>
      </c>
      <c r="BO115" s="23">
        <f t="shared" si="59"/>
        <v>10480</v>
      </c>
      <c r="BP115" s="23">
        <f t="shared" si="59"/>
        <v>10480</v>
      </c>
      <c r="BQ115" s="23">
        <f t="shared" si="59"/>
        <v>10480</v>
      </c>
      <c r="BR115" s="23">
        <f t="shared" si="59"/>
        <v>10480</v>
      </c>
      <c r="BS115" s="23">
        <f t="shared" si="59"/>
        <v>10480</v>
      </c>
      <c r="BT115" s="23">
        <f t="shared" si="59"/>
        <v>10480</v>
      </c>
      <c r="BU115" s="23">
        <f t="shared" si="59"/>
        <v>10480</v>
      </c>
      <c r="BV115" s="23">
        <f t="shared" si="59"/>
        <v>10480</v>
      </c>
      <c r="BW115" s="23">
        <f t="shared" si="59"/>
        <v>10480</v>
      </c>
      <c r="BX115" s="23">
        <f t="shared" si="59"/>
        <v>10480</v>
      </c>
      <c r="BY115" s="23">
        <f t="shared" si="59"/>
        <v>10480</v>
      </c>
      <c r="BZ115" s="23">
        <f t="shared" si="59"/>
        <v>10480</v>
      </c>
      <c r="CA115" s="23">
        <f t="shared" si="59"/>
        <v>10480</v>
      </c>
      <c r="CB115" s="23">
        <f t="shared" si="59"/>
        <v>10480</v>
      </c>
      <c r="CC115" s="23">
        <f t="shared" si="59"/>
        <v>10480</v>
      </c>
      <c r="CD115" s="23">
        <f t="shared" si="59"/>
        <v>10480</v>
      </c>
      <c r="CE115" s="23">
        <f t="shared" si="59"/>
        <v>10480</v>
      </c>
      <c r="CF115" s="23">
        <f t="shared" si="59"/>
        <v>10480</v>
      </c>
      <c r="CG115" s="23">
        <f t="shared" si="59"/>
        <v>10480</v>
      </c>
      <c r="CH115" s="23">
        <f t="shared" si="59"/>
        <v>10480</v>
      </c>
      <c r="CI115" s="23">
        <f t="shared" si="59"/>
        <v>10480</v>
      </c>
      <c r="CJ115" s="23">
        <f t="shared" si="59"/>
        <v>10480</v>
      </c>
      <c r="CK115" s="23">
        <f t="shared" si="59"/>
        <v>10480</v>
      </c>
      <c r="CL115" s="23">
        <f t="shared" si="59"/>
        <v>10480</v>
      </c>
      <c r="CM115" s="23">
        <f t="shared" si="59"/>
        <v>10480</v>
      </c>
      <c r="CN115" s="23">
        <f t="shared" si="59"/>
        <v>10480</v>
      </c>
      <c r="CO115" s="23">
        <f t="shared" si="59"/>
        <v>10480</v>
      </c>
      <c r="CP115" s="23">
        <f t="shared" si="59"/>
        <v>10480</v>
      </c>
      <c r="CQ115" s="23">
        <f t="shared" si="59"/>
        <v>10480</v>
      </c>
      <c r="CR115" s="23">
        <f t="shared" si="59"/>
        <v>10480</v>
      </c>
      <c r="CS115" s="23">
        <f t="shared" si="59"/>
        <v>10480</v>
      </c>
      <c r="CT115" s="23">
        <f t="shared" si="59"/>
        <v>10480</v>
      </c>
      <c r="CU115" s="23">
        <f t="shared" si="59"/>
        <v>10480</v>
      </c>
      <c r="CV115" s="23">
        <f t="shared" si="59"/>
        <v>10480</v>
      </c>
      <c r="CW115" s="23">
        <f t="shared" si="59"/>
        <v>10480</v>
      </c>
      <c r="CX115" s="23">
        <f t="shared" si="59"/>
        <v>10480</v>
      </c>
      <c r="CY115" s="23">
        <f t="shared" si="59"/>
        <v>10480</v>
      </c>
      <c r="CZ115" s="23">
        <f t="shared" si="59"/>
        <v>10480</v>
      </c>
      <c r="DA115" s="23">
        <f t="shared" si="59"/>
        <v>10480</v>
      </c>
      <c r="DB115" s="23">
        <f t="shared" si="59"/>
        <v>10480</v>
      </c>
      <c r="DC115" s="23">
        <f t="shared" si="59"/>
        <v>10480</v>
      </c>
      <c r="DD115" s="23">
        <f t="shared" si="59"/>
        <v>10480</v>
      </c>
      <c r="DE115" s="23">
        <f t="shared" si="59"/>
        <v>10480</v>
      </c>
      <c r="DF115" s="23">
        <f t="shared" si="59"/>
        <v>10480</v>
      </c>
      <c r="DG115" s="23">
        <f t="shared" si="59"/>
        <v>10480</v>
      </c>
      <c r="DH115" s="23">
        <f t="shared" si="59"/>
        <v>10480</v>
      </c>
      <c r="DI115" s="23">
        <f t="shared" si="59"/>
        <v>10480</v>
      </c>
      <c r="DJ115" s="23">
        <f t="shared" si="59"/>
        <v>10480</v>
      </c>
      <c r="DK115" s="23">
        <f t="shared" si="59"/>
        <v>10480</v>
      </c>
      <c r="DL115" s="23">
        <f t="shared" si="59"/>
        <v>10480</v>
      </c>
      <c r="DM115" s="23">
        <f t="shared" si="59"/>
        <v>10480</v>
      </c>
      <c r="DN115" s="23">
        <f t="shared" si="59"/>
        <v>10480</v>
      </c>
      <c r="DO115" s="23">
        <f t="shared" si="59"/>
        <v>10480</v>
      </c>
      <c r="DP115" s="23">
        <f t="shared" si="59"/>
        <v>10480</v>
      </c>
      <c r="DQ115" s="23">
        <f t="shared" si="59"/>
        <v>10480</v>
      </c>
      <c r="DR115" s="23">
        <f t="shared" si="59"/>
        <v>10480</v>
      </c>
      <c r="DS115" s="23">
        <f t="shared" si="59"/>
        <v>10480</v>
      </c>
      <c r="DT115" s="23">
        <f t="shared" si="59"/>
        <v>10480</v>
      </c>
      <c r="DU115" s="23">
        <f t="shared" si="59"/>
        <v>10480</v>
      </c>
      <c r="DV115" s="23">
        <f t="shared" si="59"/>
        <v>10480</v>
      </c>
      <c r="DW115" s="23">
        <f t="shared" si="59"/>
        <v>10480</v>
      </c>
      <c r="DX115" s="23">
        <f t="shared" si="59"/>
        <v>10480</v>
      </c>
      <c r="DY115" s="23">
        <f t="shared" si="59"/>
        <v>10480</v>
      </c>
      <c r="DZ115" s="23">
        <f t="shared" si="59"/>
        <v>10480</v>
      </c>
      <c r="EA115" s="23">
        <f t="shared" si="59"/>
        <v>10480</v>
      </c>
      <c r="EB115" s="23">
        <f t="shared" si="59"/>
        <v>10480</v>
      </c>
      <c r="EC115" s="23">
        <f t="shared" si="59"/>
        <v>10480</v>
      </c>
      <c r="ED115" s="23">
        <f t="shared" si="59"/>
        <v>10480</v>
      </c>
      <c r="EE115" s="23">
        <f t="shared" si="59"/>
        <v>10480</v>
      </c>
      <c r="EF115" s="23">
        <f t="shared" si="59"/>
        <v>10480</v>
      </c>
      <c r="EG115" s="23">
        <f t="shared" si="59"/>
        <v>10480</v>
      </c>
      <c r="EH115" s="23">
        <f t="shared" si="59"/>
        <v>10480</v>
      </c>
      <c r="EI115" s="23">
        <f t="shared" si="59"/>
        <v>10480</v>
      </c>
      <c r="EJ115" s="23">
        <f t="shared" si="59"/>
        <v>10480</v>
      </c>
      <c r="EK115" s="23">
        <f t="shared" si="59"/>
        <v>10480</v>
      </c>
      <c r="EL115" s="23">
        <f t="shared" si="59"/>
        <v>10480</v>
      </c>
      <c r="EM115" s="23">
        <f t="shared" si="59"/>
        <v>10480</v>
      </c>
      <c r="EN115" s="23">
        <f t="shared" si="59"/>
        <v>10480</v>
      </c>
      <c r="EO115" s="23">
        <f t="shared" si="59"/>
        <v>10480</v>
      </c>
      <c r="EP115" s="23">
        <f t="shared" si="59"/>
        <v>10480</v>
      </c>
      <c r="EQ115" s="23">
        <f t="shared" si="59"/>
        <v>10480</v>
      </c>
      <c r="ER115" s="23">
        <f t="shared" si="59"/>
        <v>10480</v>
      </c>
      <c r="ES115" s="23">
        <f t="shared" si="59"/>
        <v>10480</v>
      </c>
      <c r="ET115" s="23">
        <f t="shared" si="59"/>
        <v>10480</v>
      </c>
      <c r="EU115" s="23">
        <f t="shared" si="59"/>
        <v>10480</v>
      </c>
      <c r="EV115" s="23">
        <f t="shared" si="59"/>
        <v>10480</v>
      </c>
      <c r="EW115" s="23">
        <f t="shared" si="59"/>
        <v>10480</v>
      </c>
      <c r="EX115" s="23">
        <f t="shared" si="59"/>
        <v>10480</v>
      </c>
      <c r="EY115" s="23">
        <f t="shared" si="59"/>
        <v>10480</v>
      </c>
      <c r="EZ115" s="23">
        <f t="shared" si="59"/>
        <v>10480</v>
      </c>
      <c r="FA115" s="23">
        <f t="shared" si="59"/>
        <v>10480</v>
      </c>
      <c r="FB115" s="23">
        <f t="shared" si="59"/>
        <v>10480</v>
      </c>
      <c r="FC115" s="23">
        <f t="shared" si="59"/>
        <v>10480</v>
      </c>
      <c r="FD115" s="23">
        <f t="shared" si="59"/>
        <v>10480</v>
      </c>
      <c r="FE115" s="23">
        <f t="shared" si="59"/>
        <v>10480</v>
      </c>
      <c r="FF115" s="23">
        <f t="shared" si="59"/>
        <v>10480</v>
      </c>
      <c r="FG115" s="23">
        <f t="shared" si="59"/>
        <v>10480</v>
      </c>
      <c r="FH115" s="23">
        <f t="shared" si="59"/>
        <v>10480</v>
      </c>
      <c r="FI115" s="23">
        <f t="shared" si="59"/>
        <v>10480</v>
      </c>
      <c r="FJ115" s="23">
        <f t="shared" si="59"/>
        <v>10480</v>
      </c>
      <c r="FK115" s="23">
        <f t="shared" si="59"/>
        <v>10480</v>
      </c>
      <c r="FL115" s="23">
        <f t="shared" si="59"/>
        <v>10480</v>
      </c>
      <c r="FM115" s="23">
        <f t="shared" si="59"/>
        <v>10480</v>
      </c>
      <c r="FN115" s="23">
        <f t="shared" si="59"/>
        <v>10480</v>
      </c>
      <c r="FO115" s="23">
        <f t="shared" si="59"/>
        <v>10480</v>
      </c>
      <c r="FP115" s="23">
        <f t="shared" si="59"/>
        <v>10480</v>
      </c>
      <c r="FQ115" s="23">
        <f t="shared" si="59"/>
        <v>10480</v>
      </c>
      <c r="FR115" s="23">
        <f t="shared" si="59"/>
        <v>10480</v>
      </c>
      <c r="FS115" s="23">
        <f t="shared" si="59"/>
        <v>10480</v>
      </c>
      <c r="FT115" s="23">
        <f t="shared" si="59"/>
        <v>10480</v>
      </c>
      <c r="FU115" s="23">
        <f t="shared" si="59"/>
        <v>10480</v>
      </c>
      <c r="FV115" s="23">
        <f t="shared" si="59"/>
        <v>10480</v>
      </c>
      <c r="FW115" s="23">
        <f t="shared" si="59"/>
        <v>10480</v>
      </c>
      <c r="FX115" s="23">
        <f t="shared" si="59"/>
        <v>10480</v>
      </c>
      <c r="FY115" s="25"/>
      <c r="FZ115" s="7">
        <f t="shared" si="58"/>
        <v>1865440</v>
      </c>
      <c r="GA115" s="7"/>
      <c r="GB115" s="25"/>
      <c r="GC115" s="25"/>
      <c r="GD115" s="25"/>
      <c r="GE115" s="25"/>
      <c r="GF115" s="25"/>
      <c r="GG115" s="7"/>
      <c r="GH115" s="23"/>
      <c r="GI115" s="23"/>
      <c r="GJ115" s="23"/>
      <c r="GK115" s="23"/>
      <c r="GL115" s="23"/>
      <c r="GM115" s="23"/>
      <c r="GN115" s="23"/>
      <c r="GO115" s="23"/>
      <c r="GP115" s="7"/>
      <c r="GQ115" s="7"/>
      <c r="GR115" s="7"/>
      <c r="GS115" s="7"/>
      <c r="GT115" s="7"/>
      <c r="GU115" s="7"/>
      <c r="GV115" s="7"/>
    </row>
    <row r="116" spans="1:204" ht="15.5" x14ac:dyDescent="0.35">
      <c r="A116" s="60" t="s">
        <v>625</v>
      </c>
      <c r="B116" s="5" t="s">
        <v>626</v>
      </c>
      <c r="C116" s="61">
        <f t="shared" ref="C116:FX116" si="60">C114*C115</f>
        <v>1592960</v>
      </c>
      <c r="D116" s="61">
        <f t="shared" si="60"/>
        <v>5229520</v>
      </c>
      <c r="E116" s="61">
        <f t="shared" si="60"/>
        <v>0</v>
      </c>
      <c r="F116" s="61">
        <f t="shared" si="60"/>
        <v>21284880</v>
      </c>
      <c r="G116" s="61">
        <f t="shared" si="60"/>
        <v>0</v>
      </c>
      <c r="H116" s="61">
        <f t="shared" si="60"/>
        <v>0</v>
      </c>
      <c r="I116" s="61">
        <f t="shared" si="60"/>
        <v>0</v>
      </c>
      <c r="J116" s="61">
        <f t="shared" si="60"/>
        <v>0</v>
      </c>
      <c r="K116" s="61">
        <f t="shared" si="60"/>
        <v>0</v>
      </c>
      <c r="L116" s="61">
        <f t="shared" si="60"/>
        <v>0</v>
      </c>
      <c r="M116" s="61">
        <f t="shared" si="60"/>
        <v>0</v>
      </c>
      <c r="N116" s="61">
        <f t="shared" si="60"/>
        <v>0</v>
      </c>
      <c r="O116" s="61">
        <f t="shared" si="60"/>
        <v>0</v>
      </c>
      <c r="P116" s="61">
        <f t="shared" si="60"/>
        <v>0</v>
      </c>
      <c r="Q116" s="61">
        <f t="shared" si="60"/>
        <v>0</v>
      </c>
      <c r="R116" s="61">
        <f t="shared" si="60"/>
        <v>69356640</v>
      </c>
      <c r="S116" s="61">
        <f t="shared" si="60"/>
        <v>146720</v>
      </c>
      <c r="T116" s="61">
        <f t="shared" si="60"/>
        <v>0</v>
      </c>
      <c r="U116" s="61">
        <f t="shared" si="60"/>
        <v>0</v>
      </c>
      <c r="V116" s="61">
        <f t="shared" si="60"/>
        <v>0</v>
      </c>
      <c r="W116" s="61">
        <f t="shared" si="60"/>
        <v>0</v>
      </c>
      <c r="X116" s="61">
        <f t="shared" si="60"/>
        <v>0</v>
      </c>
      <c r="Y116" s="61">
        <f t="shared" si="60"/>
        <v>4962280</v>
      </c>
      <c r="Z116" s="61">
        <f t="shared" si="60"/>
        <v>0</v>
      </c>
      <c r="AA116" s="61">
        <f t="shared" si="60"/>
        <v>3526520</v>
      </c>
      <c r="AB116" s="61">
        <f t="shared" si="60"/>
        <v>2347520</v>
      </c>
      <c r="AC116" s="61">
        <f t="shared" si="60"/>
        <v>0</v>
      </c>
      <c r="AD116" s="61">
        <f t="shared" si="60"/>
        <v>0</v>
      </c>
      <c r="AE116" s="61">
        <f t="shared" si="60"/>
        <v>0</v>
      </c>
      <c r="AF116" s="61">
        <f t="shared" si="60"/>
        <v>0</v>
      </c>
      <c r="AG116" s="61">
        <f t="shared" si="60"/>
        <v>0</v>
      </c>
      <c r="AH116" s="61">
        <f t="shared" si="60"/>
        <v>0</v>
      </c>
      <c r="AI116" s="61">
        <f t="shared" si="60"/>
        <v>0</v>
      </c>
      <c r="AJ116" s="61">
        <f t="shared" si="60"/>
        <v>0</v>
      </c>
      <c r="AK116" s="61">
        <f t="shared" si="60"/>
        <v>0</v>
      </c>
      <c r="AL116" s="61">
        <f t="shared" si="60"/>
        <v>0</v>
      </c>
      <c r="AM116" s="61">
        <f t="shared" si="60"/>
        <v>0</v>
      </c>
      <c r="AN116" s="61">
        <f t="shared" si="60"/>
        <v>0</v>
      </c>
      <c r="AO116" s="61">
        <f t="shared" si="60"/>
        <v>3882840</v>
      </c>
      <c r="AP116" s="61">
        <f t="shared" si="60"/>
        <v>6240840</v>
      </c>
      <c r="AQ116" s="61">
        <f t="shared" si="60"/>
        <v>0</v>
      </c>
      <c r="AR116" s="61">
        <f t="shared" si="60"/>
        <v>13655440</v>
      </c>
      <c r="AS116" s="61">
        <f t="shared" si="60"/>
        <v>0</v>
      </c>
      <c r="AT116" s="61">
        <f t="shared" si="60"/>
        <v>0</v>
      </c>
      <c r="AU116" s="61">
        <f t="shared" si="60"/>
        <v>0</v>
      </c>
      <c r="AV116" s="61">
        <f t="shared" si="60"/>
        <v>0</v>
      </c>
      <c r="AW116" s="61">
        <f t="shared" si="60"/>
        <v>0</v>
      </c>
      <c r="AX116" s="61">
        <f t="shared" si="60"/>
        <v>0</v>
      </c>
      <c r="AY116" s="61">
        <f t="shared" si="60"/>
        <v>0</v>
      </c>
      <c r="AZ116" s="61">
        <f t="shared" si="60"/>
        <v>1027040</v>
      </c>
      <c r="BA116" s="61">
        <f t="shared" si="60"/>
        <v>2515200</v>
      </c>
      <c r="BB116" s="61">
        <f t="shared" si="60"/>
        <v>0</v>
      </c>
      <c r="BC116" s="61">
        <f t="shared" si="60"/>
        <v>4978000</v>
      </c>
      <c r="BD116" s="61">
        <f t="shared" si="60"/>
        <v>0</v>
      </c>
      <c r="BE116" s="61">
        <f t="shared" si="60"/>
        <v>0</v>
      </c>
      <c r="BF116" s="61">
        <f t="shared" si="60"/>
        <v>12518360</v>
      </c>
      <c r="BG116" s="61">
        <f t="shared" si="60"/>
        <v>0</v>
      </c>
      <c r="BH116" s="61">
        <f t="shared" si="60"/>
        <v>293440</v>
      </c>
      <c r="BI116" s="61">
        <f t="shared" si="60"/>
        <v>0</v>
      </c>
      <c r="BJ116" s="61">
        <f t="shared" si="60"/>
        <v>0</v>
      </c>
      <c r="BK116" s="61">
        <f t="shared" si="60"/>
        <v>138079240</v>
      </c>
      <c r="BL116" s="61">
        <f t="shared" si="60"/>
        <v>0</v>
      </c>
      <c r="BM116" s="61">
        <f t="shared" si="60"/>
        <v>0</v>
      </c>
      <c r="BN116" s="61">
        <f t="shared" si="60"/>
        <v>0</v>
      </c>
      <c r="BO116" s="61">
        <f t="shared" si="60"/>
        <v>0</v>
      </c>
      <c r="BP116" s="61">
        <f t="shared" si="60"/>
        <v>0</v>
      </c>
      <c r="BQ116" s="61">
        <f t="shared" si="60"/>
        <v>0</v>
      </c>
      <c r="BR116" s="61">
        <f t="shared" si="60"/>
        <v>0</v>
      </c>
      <c r="BS116" s="61">
        <f t="shared" si="60"/>
        <v>0</v>
      </c>
      <c r="BT116" s="61">
        <f t="shared" si="60"/>
        <v>0</v>
      </c>
      <c r="BU116" s="61">
        <f t="shared" si="60"/>
        <v>0</v>
      </c>
      <c r="BV116" s="61">
        <f t="shared" si="60"/>
        <v>0</v>
      </c>
      <c r="BW116" s="61">
        <f t="shared" si="60"/>
        <v>0</v>
      </c>
      <c r="BX116" s="61">
        <f t="shared" si="60"/>
        <v>0</v>
      </c>
      <c r="BY116" s="61">
        <f t="shared" si="60"/>
        <v>0</v>
      </c>
      <c r="BZ116" s="61">
        <f t="shared" si="60"/>
        <v>0</v>
      </c>
      <c r="CA116" s="61">
        <f t="shared" si="60"/>
        <v>0</v>
      </c>
      <c r="CB116" s="61">
        <f t="shared" si="60"/>
        <v>8546440</v>
      </c>
      <c r="CC116" s="61">
        <f t="shared" si="60"/>
        <v>0</v>
      </c>
      <c r="CD116" s="61">
        <f t="shared" si="60"/>
        <v>0</v>
      </c>
      <c r="CE116" s="61">
        <f t="shared" si="60"/>
        <v>0</v>
      </c>
      <c r="CF116" s="61">
        <f t="shared" si="60"/>
        <v>0</v>
      </c>
      <c r="CG116" s="61">
        <f t="shared" si="60"/>
        <v>0</v>
      </c>
      <c r="CH116" s="61">
        <f t="shared" si="60"/>
        <v>0</v>
      </c>
      <c r="CI116" s="61">
        <f t="shared" si="60"/>
        <v>0</v>
      </c>
      <c r="CJ116" s="61">
        <f t="shared" si="60"/>
        <v>0</v>
      </c>
      <c r="CK116" s="61">
        <f t="shared" si="60"/>
        <v>246280</v>
      </c>
      <c r="CL116" s="61">
        <f t="shared" si="60"/>
        <v>57640</v>
      </c>
      <c r="CM116" s="61">
        <f t="shared" si="60"/>
        <v>20960</v>
      </c>
      <c r="CN116" s="61">
        <f t="shared" si="60"/>
        <v>6937760</v>
      </c>
      <c r="CO116" s="61">
        <f t="shared" si="60"/>
        <v>0</v>
      </c>
      <c r="CP116" s="61">
        <f t="shared" si="60"/>
        <v>0</v>
      </c>
      <c r="CQ116" s="61">
        <f t="shared" si="60"/>
        <v>0</v>
      </c>
      <c r="CR116" s="61">
        <f t="shared" si="60"/>
        <v>0</v>
      </c>
      <c r="CS116" s="61">
        <f t="shared" si="60"/>
        <v>0</v>
      </c>
      <c r="CT116" s="61">
        <f t="shared" si="60"/>
        <v>0</v>
      </c>
      <c r="CU116" s="61">
        <f t="shared" si="60"/>
        <v>4150080</v>
      </c>
      <c r="CV116" s="61">
        <f t="shared" si="60"/>
        <v>0</v>
      </c>
      <c r="CW116" s="61">
        <f t="shared" si="60"/>
        <v>0</v>
      </c>
      <c r="CX116" s="61">
        <f t="shared" si="60"/>
        <v>0</v>
      </c>
      <c r="CY116" s="61">
        <f t="shared" si="60"/>
        <v>0</v>
      </c>
      <c r="CZ116" s="61">
        <f t="shared" si="60"/>
        <v>0</v>
      </c>
      <c r="DA116" s="61">
        <f t="shared" si="60"/>
        <v>0</v>
      </c>
      <c r="DB116" s="61">
        <f t="shared" si="60"/>
        <v>0</v>
      </c>
      <c r="DC116" s="61">
        <f t="shared" si="60"/>
        <v>0</v>
      </c>
      <c r="DD116" s="61">
        <f t="shared" si="60"/>
        <v>0</v>
      </c>
      <c r="DE116" s="61">
        <f t="shared" si="60"/>
        <v>0</v>
      </c>
      <c r="DF116" s="61">
        <f t="shared" si="60"/>
        <v>0</v>
      </c>
      <c r="DG116" s="61">
        <f t="shared" si="60"/>
        <v>0</v>
      </c>
      <c r="DH116" s="61">
        <f t="shared" si="60"/>
        <v>0</v>
      </c>
      <c r="DI116" s="61">
        <f t="shared" si="60"/>
        <v>41920</v>
      </c>
      <c r="DJ116" s="61">
        <f t="shared" si="60"/>
        <v>10480</v>
      </c>
      <c r="DK116" s="61">
        <f t="shared" si="60"/>
        <v>10480</v>
      </c>
      <c r="DL116" s="61">
        <f t="shared" si="60"/>
        <v>0</v>
      </c>
      <c r="DM116" s="61">
        <f t="shared" si="60"/>
        <v>0</v>
      </c>
      <c r="DN116" s="61">
        <f t="shared" si="60"/>
        <v>0</v>
      </c>
      <c r="DO116" s="61">
        <f t="shared" si="60"/>
        <v>0</v>
      </c>
      <c r="DP116" s="61">
        <f t="shared" si="60"/>
        <v>0</v>
      </c>
      <c r="DQ116" s="61">
        <f t="shared" si="60"/>
        <v>0</v>
      </c>
      <c r="DR116" s="61">
        <f t="shared" si="60"/>
        <v>0</v>
      </c>
      <c r="DS116" s="61">
        <f t="shared" si="60"/>
        <v>0</v>
      </c>
      <c r="DT116" s="61">
        <f t="shared" si="60"/>
        <v>0</v>
      </c>
      <c r="DU116" s="61">
        <f t="shared" si="60"/>
        <v>0</v>
      </c>
      <c r="DV116" s="61">
        <f t="shared" si="60"/>
        <v>0</v>
      </c>
      <c r="DW116" s="61">
        <f t="shared" si="60"/>
        <v>0</v>
      </c>
      <c r="DX116" s="61">
        <f t="shared" si="60"/>
        <v>0</v>
      </c>
      <c r="DY116" s="61">
        <f t="shared" si="60"/>
        <v>0</v>
      </c>
      <c r="DZ116" s="61">
        <f t="shared" si="60"/>
        <v>0</v>
      </c>
      <c r="EA116" s="61">
        <f t="shared" si="60"/>
        <v>0</v>
      </c>
      <c r="EB116" s="61">
        <f t="shared" si="60"/>
        <v>0</v>
      </c>
      <c r="EC116" s="61">
        <f t="shared" si="60"/>
        <v>0</v>
      </c>
      <c r="ED116" s="61">
        <f t="shared" si="60"/>
        <v>0</v>
      </c>
      <c r="EE116" s="61">
        <f t="shared" si="60"/>
        <v>0</v>
      </c>
      <c r="EF116" s="61">
        <f t="shared" si="60"/>
        <v>0</v>
      </c>
      <c r="EG116" s="61">
        <f t="shared" si="60"/>
        <v>0</v>
      </c>
      <c r="EH116" s="61">
        <f t="shared" si="60"/>
        <v>0</v>
      </c>
      <c r="EI116" s="61">
        <f t="shared" si="60"/>
        <v>0</v>
      </c>
      <c r="EJ116" s="61">
        <f t="shared" si="60"/>
        <v>2174600</v>
      </c>
      <c r="EK116" s="61">
        <f t="shared" si="60"/>
        <v>0</v>
      </c>
      <c r="EL116" s="61">
        <f t="shared" si="60"/>
        <v>0</v>
      </c>
      <c r="EM116" s="61">
        <f t="shared" si="60"/>
        <v>0</v>
      </c>
      <c r="EN116" s="61">
        <f t="shared" si="60"/>
        <v>450640</v>
      </c>
      <c r="EO116" s="61">
        <f t="shared" si="60"/>
        <v>0</v>
      </c>
      <c r="EP116" s="61">
        <f t="shared" si="60"/>
        <v>0</v>
      </c>
      <c r="EQ116" s="61">
        <f t="shared" si="60"/>
        <v>0</v>
      </c>
      <c r="ER116" s="61">
        <f t="shared" si="60"/>
        <v>0</v>
      </c>
      <c r="ES116" s="61">
        <f t="shared" si="60"/>
        <v>0</v>
      </c>
      <c r="ET116" s="61">
        <f t="shared" si="60"/>
        <v>0</v>
      </c>
      <c r="EU116" s="61">
        <f t="shared" si="60"/>
        <v>0</v>
      </c>
      <c r="EV116" s="61">
        <f t="shared" si="60"/>
        <v>0</v>
      </c>
      <c r="EW116" s="61">
        <f t="shared" si="60"/>
        <v>0</v>
      </c>
      <c r="EX116" s="61">
        <f t="shared" si="60"/>
        <v>0</v>
      </c>
      <c r="EY116" s="61">
        <f t="shared" si="60"/>
        <v>4716000</v>
      </c>
      <c r="EZ116" s="61">
        <f t="shared" si="60"/>
        <v>0</v>
      </c>
      <c r="FA116" s="61">
        <f t="shared" si="60"/>
        <v>0</v>
      </c>
      <c r="FB116" s="61">
        <f t="shared" si="60"/>
        <v>0</v>
      </c>
      <c r="FC116" s="61">
        <f t="shared" si="60"/>
        <v>0</v>
      </c>
      <c r="FD116" s="61">
        <f t="shared" si="60"/>
        <v>0</v>
      </c>
      <c r="FE116" s="61">
        <f t="shared" si="60"/>
        <v>0</v>
      </c>
      <c r="FF116" s="61">
        <f t="shared" si="60"/>
        <v>0</v>
      </c>
      <c r="FG116" s="61">
        <f t="shared" si="60"/>
        <v>0</v>
      </c>
      <c r="FH116" s="61">
        <f t="shared" si="60"/>
        <v>0</v>
      </c>
      <c r="FI116" s="61">
        <f t="shared" si="60"/>
        <v>0</v>
      </c>
      <c r="FJ116" s="61">
        <f t="shared" si="60"/>
        <v>0</v>
      </c>
      <c r="FK116" s="61">
        <f t="shared" si="60"/>
        <v>0</v>
      </c>
      <c r="FL116" s="61">
        <f t="shared" si="60"/>
        <v>0</v>
      </c>
      <c r="FM116" s="61">
        <f t="shared" si="60"/>
        <v>0</v>
      </c>
      <c r="FN116" s="61">
        <f t="shared" si="60"/>
        <v>2667160</v>
      </c>
      <c r="FO116" s="61">
        <f t="shared" si="60"/>
        <v>0</v>
      </c>
      <c r="FP116" s="61">
        <f t="shared" si="60"/>
        <v>0</v>
      </c>
      <c r="FQ116" s="61">
        <f t="shared" si="60"/>
        <v>0</v>
      </c>
      <c r="FR116" s="61">
        <f t="shared" si="60"/>
        <v>0</v>
      </c>
      <c r="FS116" s="61">
        <f t="shared" si="60"/>
        <v>0</v>
      </c>
      <c r="FT116" s="61">
        <f t="shared" si="60"/>
        <v>0</v>
      </c>
      <c r="FU116" s="61">
        <f t="shared" si="60"/>
        <v>0</v>
      </c>
      <c r="FV116" s="61">
        <f t="shared" si="60"/>
        <v>0</v>
      </c>
      <c r="FW116" s="61">
        <f t="shared" si="60"/>
        <v>0</v>
      </c>
      <c r="FX116" s="61">
        <f t="shared" si="60"/>
        <v>0</v>
      </c>
      <c r="FY116" s="25"/>
      <c r="FZ116" s="7">
        <f t="shared" si="58"/>
        <v>321667880</v>
      </c>
      <c r="GA116" s="62">
        <v>321667880</v>
      </c>
      <c r="GB116" s="7">
        <f>FZ116-GA116</f>
        <v>0</v>
      </c>
      <c r="GC116" s="25"/>
      <c r="GD116" s="25"/>
      <c r="GE116" s="25"/>
      <c r="GF116" s="25"/>
      <c r="GG116" s="7"/>
      <c r="GH116" s="23"/>
      <c r="GI116" s="23"/>
      <c r="GJ116" s="23"/>
      <c r="GK116" s="23"/>
      <c r="GL116" s="23"/>
      <c r="GM116" s="23"/>
      <c r="GN116" s="23"/>
      <c r="GO116" s="23"/>
      <c r="GP116" s="7"/>
      <c r="GQ116" s="7"/>
      <c r="GR116" s="7"/>
      <c r="GS116" s="7"/>
      <c r="GT116" s="7"/>
      <c r="GU116" s="7"/>
      <c r="GV116" s="7"/>
    </row>
    <row r="117" spans="1:204" ht="15.5" x14ac:dyDescent="0.35">
      <c r="A117" s="12"/>
      <c r="B117" s="7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5"/>
      <c r="FZ117" s="25"/>
      <c r="GA117" s="7"/>
      <c r="GB117" s="25"/>
      <c r="GC117" s="25"/>
      <c r="GD117" s="25"/>
      <c r="GE117" s="25"/>
      <c r="GF117" s="25"/>
      <c r="GG117" s="7"/>
      <c r="GH117" s="23"/>
      <c r="GI117" s="23"/>
      <c r="GJ117" s="23"/>
      <c r="GK117" s="23"/>
      <c r="GL117" s="23"/>
      <c r="GM117" s="23"/>
      <c r="GN117" s="23"/>
      <c r="GO117" s="23"/>
      <c r="GP117" s="7"/>
      <c r="GQ117" s="7"/>
      <c r="GR117" s="7"/>
      <c r="GS117" s="7"/>
      <c r="GT117" s="7"/>
      <c r="GU117" s="7"/>
      <c r="GV117" s="7"/>
    </row>
    <row r="118" spans="1:204" ht="15.5" x14ac:dyDescent="0.35">
      <c r="A118" s="12"/>
      <c r="B118" s="5" t="s">
        <v>627</v>
      </c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5"/>
      <c r="FZ118" s="25"/>
      <c r="GA118" s="7"/>
      <c r="GB118" s="25"/>
      <c r="GC118" s="25"/>
      <c r="GD118" s="25"/>
      <c r="GE118" s="25"/>
      <c r="GF118" s="25"/>
      <c r="GG118" s="7"/>
      <c r="GH118" s="23"/>
      <c r="GI118" s="23"/>
      <c r="GJ118" s="23"/>
      <c r="GK118" s="23"/>
      <c r="GL118" s="23"/>
      <c r="GM118" s="23"/>
      <c r="GN118" s="23"/>
      <c r="GO118" s="23"/>
      <c r="GP118" s="7"/>
      <c r="GQ118" s="7"/>
      <c r="GR118" s="7"/>
      <c r="GS118" s="7"/>
      <c r="GT118" s="7"/>
      <c r="GU118" s="7"/>
      <c r="GV118" s="7"/>
    </row>
    <row r="119" spans="1:204" ht="15.5" x14ac:dyDescent="0.35">
      <c r="A119" s="12" t="s">
        <v>628</v>
      </c>
      <c r="B119" s="7" t="s">
        <v>629</v>
      </c>
      <c r="C119" s="23">
        <f t="shared" ref="C119:FX119" si="61">C29</f>
        <v>885</v>
      </c>
      <c r="D119" s="23">
        <f t="shared" si="61"/>
        <v>4709</v>
      </c>
      <c r="E119" s="23">
        <f t="shared" si="61"/>
        <v>838</v>
      </c>
      <c r="F119" s="23">
        <f t="shared" si="61"/>
        <v>2895</v>
      </c>
      <c r="G119" s="23">
        <f t="shared" si="61"/>
        <v>225</v>
      </c>
      <c r="H119" s="23">
        <f t="shared" si="61"/>
        <v>218</v>
      </c>
      <c r="I119" s="23">
        <f t="shared" si="61"/>
        <v>1112</v>
      </c>
      <c r="J119" s="23">
        <f t="shared" si="61"/>
        <v>275</v>
      </c>
      <c r="K119" s="23">
        <f t="shared" si="61"/>
        <v>22</v>
      </c>
      <c r="L119" s="23">
        <f t="shared" si="61"/>
        <v>412</v>
      </c>
      <c r="M119" s="23">
        <f t="shared" si="61"/>
        <v>166</v>
      </c>
      <c r="N119" s="23">
        <f t="shared" si="61"/>
        <v>7649</v>
      </c>
      <c r="O119" s="23">
        <f t="shared" si="61"/>
        <v>1816</v>
      </c>
      <c r="P119" s="23">
        <f t="shared" si="61"/>
        <v>61</v>
      </c>
      <c r="Q119" s="23">
        <f t="shared" si="61"/>
        <v>5536</v>
      </c>
      <c r="R119" s="23">
        <f t="shared" si="61"/>
        <v>775</v>
      </c>
      <c r="S119" s="23">
        <f t="shared" si="61"/>
        <v>194</v>
      </c>
      <c r="T119" s="23">
        <f t="shared" si="61"/>
        <v>29</v>
      </c>
      <c r="U119" s="23">
        <f t="shared" si="61"/>
        <v>10</v>
      </c>
      <c r="V119" s="23">
        <f t="shared" si="61"/>
        <v>48</v>
      </c>
      <c r="W119" s="23">
        <f t="shared" si="61"/>
        <v>11</v>
      </c>
      <c r="X119" s="23">
        <f t="shared" si="61"/>
        <v>6</v>
      </c>
      <c r="Y119" s="23">
        <f t="shared" si="61"/>
        <v>152</v>
      </c>
      <c r="Z119" s="23">
        <f t="shared" si="61"/>
        <v>24</v>
      </c>
      <c r="AA119" s="23">
        <f t="shared" si="61"/>
        <v>4206</v>
      </c>
      <c r="AB119" s="23">
        <f t="shared" si="61"/>
        <v>3897</v>
      </c>
      <c r="AC119" s="23">
        <f t="shared" si="61"/>
        <v>137</v>
      </c>
      <c r="AD119" s="23">
        <f t="shared" si="61"/>
        <v>171</v>
      </c>
      <c r="AE119" s="23">
        <f t="shared" si="61"/>
        <v>15</v>
      </c>
      <c r="AF119" s="23">
        <f t="shared" si="61"/>
        <v>28</v>
      </c>
      <c r="AG119" s="23">
        <f t="shared" si="61"/>
        <v>75</v>
      </c>
      <c r="AH119" s="23">
        <f t="shared" si="61"/>
        <v>102</v>
      </c>
      <c r="AI119" s="23">
        <f t="shared" si="61"/>
        <v>42</v>
      </c>
      <c r="AJ119" s="23">
        <f t="shared" si="61"/>
        <v>24</v>
      </c>
      <c r="AK119" s="23">
        <f t="shared" si="61"/>
        <v>25</v>
      </c>
      <c r="AL119" s="23">
        <f t="shared" si="61"/>
        <v>12</v>
      </c>
      <c r="AM119" s="23">
        <f t="shared" si="61"/>
        <v>55</v>
      </c>
      <c r="AN119" s="23">
        <f t="shared" si="61"/>
        <v>44</v>
      </c>
      <c r="AO119" s="23">
        <f t="shared" si="61"/>
        <v>738</v>
      </c>
      <c r="AP119" s="23">
        <f t="shared" si="61"/>
        <v>11729</v>
      </c>
      <c r="AQ119" s="23">
        <f t="shared" si="61"/>
        <v>48</v>
      </c>
      <c r="AR119" s="23">
        <f t="shared" si="61"/>
        <v>8063</v>
      </c>
      <c r="AS119" s="23">
        <f t="shared" si="61"/>
        <v>963</v>
      </c>
      <c r="AT119" s="23">
        <f t="shared" si="61"/>
        <v>360</v>
      </c>
      <c r="AU119" s="23">
        <f t="shared" si="61"/>
        <v>56</v>
      </c>
      <c r="AV119" s="23">
        <f t="shared" si="61"/>
        <v>43</v>
      </c>
      <c r="AW119" s="23">
        <f t="shared" si="61"/>
        <v>42</v>
      </c>
      <c r="AX119" s="23">
        <f t="shared" si="61"/>
        <v>17</v>
      </c>
      <c r="AY119" s="23">
        <f t="shared" si="61"/>
        <v>46</v>
      </c>
      <c r="AZ119" s="23">
        <f t="shared" si="61"/>
        <v>1784</v>
      </c>
      <c r="BA119" s="23">
        <f t="shared" si="61"/>
        <v>1386</v>
      </c>
      <c r="BB119" s="23">
        <f t="shared" si="61"/>
        <v>1555</v>
      </c>
      <c r="BC119" s="23">
        <f t="shared" si="61"/>
        <v>3025</v>
      </c>
      <c r="BD119" s="23">
        <f t="shared" si="61"/>
        <v>435</v>
      </c>
      <c r="BE119" s="23">
        <f t="shared" si="61"/>
        <v>123</v>
      </c>
      <c r="BF119" s="23">
        <f t="shared" si="61"/>
        <v>2290</v>
      </c>
      <c r="BG119" s="23">
        <f t="shared" si="61"/>
        <v>137</v>
      </c>
      <c r="BH119" s="23">
        <f t="shared" si="61"/>
        <v>56</v>
      </c>
      <c r="BI119" s="23">
        <f t="shared" si="61"/>
        <v>53</v>
      </c>
      <c r="BJ119" s="23">
        <f t="shared" si="61"/>
        <v>666</v>
      </c>
      <c r="BK119" s="23">
        <f t="shared" si="61"/>
        <v>3196</v>
      </c>
      <c r="BL119" s="23">
        <f t="shared" si="61"/>
        <v>10</v>
      </c>
      <c r="BM119" s="23">
        <f t="shared" si="61"/>
        <v>63</v>
      </c>
      <c r="BN119" s="23">
        <f t="shared" si="61"/>
        <v>529</v>
      </c>
      <c r="BO119" s="23">
        <f t="shared" si="61"/>
        <v>253</v>
      </c>
      <c r="BP119" s="23">
        <f t="shared" si="61"/>
        <v>23</v>
      </c>
      <c r="BQ119" s="23">
        <f t="shared" si="61"/>
        <v>708</v>
      </c>
      <c r="BR119" s="23">
        <f t="shared" si="61"/>
        <v>604</v>
      </c>
      <c r="BS119" s="23">
        <f t="shared" si="61"/>
        <v>150</v>
      </c>
      <c r="BT119" s="23">
        <f t="shared" si="61"/>
        <v>50</v>
      </c>
      <c r="BU119" s="23">
        <f t="shared" si="61"/>
        <v>65</v>
      </c>
      <c r="BV119" s="23">
        <f t="shared" si="61"/>
        <v>185</v>
      </c>
      <c r="BW119" s="23">
        <f t="shared" si="61"/>
        <v>189</v>
      </c>
      <c r="BX119" s="23">
        <f t="shared" si="61"/>
        <v>10</v>
      </c>
      <c r="BY119" s="23">
        <f t="shared" si="61"/>
        <v>92</v>
      </c>
      <c r="BZ119" s="23">
        <f t="shared" si="61"/>
        <v>36</v>
      </c>
      <c r="CA119" s="23">
        <f t="shared" si="61"/>
        <v>25</v>
      </c>
      <c r="CB119" s="23">
        <f t="shared" si="61"/>
        <v>10037</v>
      </c>
      <c r="CC119" s="23">
        <f t="shared" si="61"/>
        <v>24</v>
      </c>
      <c r="CD119" s="23">
        <f t="shared" si="61"/>
        <v>5</v>
      </c>
      <c r="CE119" s="23">
        <f t="shared" si="61"/>
        <v>38</v>
      </c>
      <c r="CF119" s="23">
        <f t="shared" si="61"/>
        <v>14</v>
      </c>
      <c r="CG119" s="23">
        <f t="shared" si="61"/>
        <v>30</v>
      </c>
      <c r="CH119" s="23">
        <f t="shared" si="61"/>
        <v>15</v>
      </c>
      <c r="CI119" s="23">
        <f t="shared" si="61"/>
        <v>126</v>
      </c>
      <c r="CJ119" s="23">
        <f t="shared" si="61"/>
        <v>164</v>
      </c>
      <c r="CK119" s="23">
        <f t="shared" si="61"/>
        <v>750</v>
      </c>
      <c r="CL119" s="23">
        <f t="shared" si="61"/>
        <v>178</v>
      </c>
      <c r="CM119" s="23">
        <f t="shared" si="61"/>
        <v>114</v>
      </c>
      <c r="CN119" s="23">
        <f t="shared" si="61"/>
        <v>3051</v>
      </c>
      <c r="CO119" s="23">
        <f t="shared" si="61"/>
        <v>2067</v>
      </c>
      <c r="CP119" s="23">
        <f t="shared" si="61"/>
        <v>102</v>
      </c>
      <c r="CQ119" s="23">
        <f t="shared" si="61"/>
        <v>163</v>
      </c>
      <c r="CR119" s="23">
        <f t="shared" si="61"/>
        <v>49</v>
      </c>
      <c r="CS119" s="23">
        <f t="shared" si="61"/>
        <v>50</v>
      </c>
      <c r="CT119" s="23">
        <f t="shared" si="61"/>
        <v>25</v>
      </c>
      <c r="CU119" s="23">
        <f t="shared" si="61"/>
        <v>35</v>
      </c>
      <c r="CV119" s="23">
        <f t="shared" si="61"/>
        <v>3</v>
      </c>
      <c r="CW119" s="23">
        <f t="shared" si="61"/>
        <v>56</v>
      </c>
      <c r="CX119" s="23">
        <f t="shared" si="61"/>
        <v>121</v>
      </c>
      <c r="CY119" s="23">
        <f t="shared" si="61"/>
        <v>6</v>
      </c>
      <c r="CZ119" s="23">
        <f t="shared" si="61"/>
        <v>332</v>
      </c>
      <c r="DA119" s="23">
        <f t="shared" si="61"/>
        <v>35</v>
      </c>
      <c r="DB119" s="23">
        <f t="shared" si="61"/>
        <v>55</v>
      </c>
      <c r="DC119" s="23">
        <f t="shared" si="61"/>
        <v>31</v>
      </c>
      <c r="DD119" s="23">
        <f t="shared" si="61"/>
        <v>26</v>
      </c>
      <c r="DE119" s="23">
        <f t="shared" si="61"/>
        <v>48</v>
      </c>
      <c r="DF119" s="23">
        <f t="shared" si="61"/>
        <v>3413</v>
      </c>
      <c r="DG119" s="23">
        <f t="shared" si="61"/>
        <v>18</v>
      </c>
      <c r="DH119" s="23">
        <f t="shared" si="61"/>
        <v>337</v>
      </c>
      <c r="DI119" s="23">
        <f t="shared" si="61"/>
        <v>412</v>
      </c>
      <c r="DJ119" s="23">
        <f t="shared" si="61"/>
        <v>92</v>
      </c>
      <c r="DK119" s="23">
        <f t="shared" si="61"/>
        <v>73</v>
      </c>
      <c r="DL119" s="23">
        <f t="shared" si="61"/>
        <v>1055</v>
      </c>
      <c r="DM119" s="23">
        <f t="shared" si="61"/>
        <v>48</v>
      </c>
      <c r="DN119" s="23">
        <f t="shared" si="61"/>
        <v>187</v>
      </c>
      <c r="DO119" s="23">
        <f t="shared" si="61"/>
        <v>449</v>
      </c>
      <c r="DP119" s="23">
        <f t="shared" si="61"/>
        <v>40</v>
      </c>
      <c r="DQ119" s="23">
        <f t="shared" si="61"/>
        <v>106</v>
      </c>
      <c r="DR119" s="23">
        <f t="shared" si="61"/>
        <v>267</v>
      </c>
      <c r="DS119" s="23">
        <f t="shared" si="61"/>
        <v>115</v>
      </c>
      <c r="DT119" s="23">
        <f t="shared" si="61"/>
        <v>22</v>
      </c>
      <c r="DU119" s="23">
        <f t="shared" si="61"/>
        <v>46</v>
      </c>
      <c r="DV119" s="23">
        <f t="shared" si="61"/>
        <v>29</v>
      </c>
      <c r="DW119" s="23">
        <f t="shared" si="61"/>
        <v>34</v>
      </c>
      <c r="DX119" s="23">
        <f t="shared" si="61"/>
        <v>28</v>
      </c>
      <c r="DY119" s="23">
        <f t="shared" si="61"/>
        <v>43</v>
      </c>
      <c r="DZ119" s="23">
        <f t="shared" si="61"/>
        <v>91</v>
      </c>
      <c r="EA119" s="23">
        <f t="shared" si="61"/>
        <v>85</v>
      </c>
      <c r="EB119" s="23">
        <f t="shared" si="61"/>
        <v>94</v>
      </c>
      <c r="EC119" s="23">
        <f t="shared" si="61"/>
        <v>48</v>
      </c>
      <c r="ED119" s="23">
        <f t="shared" si="61"/>
        <v>226</v>
      </c>
      <c r="EE119" s="23">
        <f t="shared" si="61"/>
        <v>35</v>
      </c>
      <c r="EF119" s="23">
        <f t="shared" si="61"/>
        <v>269</v>
      </c>
      <c r="EG119" s="23">
        <f t="shared" si="61"/>
        <v>36</v>
      </c>
      <c r="EH119" s="23">
        <f t="shared" si="61"/>
        <v>37</v>
      </c>
      <c r="EI119" s="23">
        <f t="shared" si="61"/>
        <v>2160</v>
      </c>
      <c r="EJ119" s="23">
        <f t="shared" si="61"/>
        <v>1728</v>
      </c>
      <c r="EK119" s="23">
        <f t="shared" si="61"/>
        <v>102</v>
      </c>
      <c r="EL119" s="23">
        <f t="shared" si="61"/>
        <v>87</v>
      </c>
      <c r="EM119" s="23">
        <f t="shared" si="61"/>
        <v>47</v>
      </c>
      <c r="EN119" s="23">
        <f t="shared" si="61"/>
        <v>167</v>
      </c>
      <c r="EO119" s="23">
        <f t="shared" si="61"/>
        <v>30</v>
      </c>
      <c r="EP119" s="23">
        <f t="shared" si="61"/>
        <v>49</v>
      </c>
      <c r="EQ119" s="23">
        <f t="shared" si="61"/>
        <v>384</v>
      </c>
      <c r="ER119" s="23">
        <f t="shared" si="61"/>
        <v>40</v>
      </c>
      <c r="ES119" s="23">
        <f t="shared" si="61"/>
        <v>16</v>
      </c>
      <c r="ET119" s="23">
        <f t="shared" si="61"/>
        <v>23</v>
      </c>
      <c r="EU119" s="23">
        <f t="shared" si="61"/>
        <v>86</v>
      </c>
      <c r="EV119" s="23">
        <f t="shared" si="61"/>
        <v>16</v>
      </c>
      <c r="EW119" s="23">
        <f t="shared" si="61"/>
        <v>80</v>
      </c>
      <c r="EX119" s="23">
        <f t="shared" si="61"/>
        <v>27</v>
      </c>
      <c r="EY119" s="23">
        <f t="shared" si="61"/>
        <v>135</v>
      </c>
      <c r="EZ119" s="23">
        <f t="shared" si="61"/>
        <v>23</v>
      </c>
      <c r="FA119" s="23">
        <f t="shared" si="61"/>
        <v>462</v>
      </c>
      <c r="FB119" s="23">
        <f t="shared" si="61"/>
        <v>47</v>
      </c>
      <c r="FC119" s="23">
        <f t="shared" si="61"/>
        <v>212</v>
      </c>
      <c r="FD119" s="23">
        <f t="shared" si="61"/>
        <v>85</v>
      </c>
      <c r="FE119" s="23">
        <f t="shared" si="61"/>
        <v>15</v>
      </c>
      <c r="FF119" s="23">
        <f t="shared" si="61"/>
        <v>32</v>
      </c>
      <c r="FG119" s="23">
        <f t="shared" si="61"/>
        <v>19</v>
      </c>
      <c r="FH119" s="23">
        <f t="shared" si="61"/>
        <v>15</v>
      </c>
      <c r="FI119" s="23">
        <f t="shared" si="61"/>
        <v>262</v>
      </c>
      <c r="FJ119" s="23">
        <f t="shared" si="61"/>
        <v>214</v>
      </c>
      <c r="FK119" s="23">
        <f t="shared" si="61"/>
        <v>246</v>
      </c>
      <c r="FL119" s="23">
        <f t="shared" si="61"/>
        <v>901</v>
      </c>
      <c r="FM119" s="23">
        <f t="shared" si="61"/>
        <v>523</v>
      </c>
      <c r="FN119" s="23">
        <f t="shared" si="61"/>
        <v>3119</v>
      </c>
      <c r="FO119" s="23">
        <f t="shared" si="61"/>
        <v>146</v>
      </c>
      <c r="FP119" s="23">
        <f t="shared" si="61"/>
        <v>304</v>
      </c>
      <c r="FQ119" s="23">
        <f t="shared" si="61"/>
        <v>121</v>
      </c>
      <c r="FR119" s="23">
        <f t="shared" si="61"/>
        <v>29</v>
      </c>
      <c r="FS119" s="23">
        <f t="shared" si="61"/>
        <v>21</v>
      </c>
      <c r="FT119" s="23">
        <f t="shared" si="61"/>
        <v>7</v>
      </c>
      <c r="FU119" s="23">
        <f t="shared" si="61"/>
        <v>145</v>
      </c>
      <c r="FV119" s="23">
        <f t="shared" si="61"/>
        <v>108</v>
      </c>
      <c r="FW119" s="23">
        <f t="shared" si="61"/>
        <v>15</v>
      </c>
      <c r="FX119" s="23">
        <f t="shared" si="61"/>
        <v>3</v>
      </c>
      <c r="FY119" s="25"/>
      <c r="FZ119" s="25"/>
      <c r="GA119" s="7"/>
      <c r="GB119" s="25"/>
      <c r="GC119" s="25"/>
      <c r="GD119" s="25"/>
      <c r="GE119" s="25"/>
      <c r="GF119" s="25"/>
      <c r="GG119" s="7"/>
      <c r="GH119" s="23"/>
      <c r="GI119" s="23"/>
      <c r="GJ119" s="23"/>
      <c r="GK119" s="23"/>
      <c r="GL119" s="23"/>
      <c r="GM119" s="23"/>
      <c r="GN119" s="23"/>
      <c r="GO119" s="23"/>
      <c r="GP119" s="7"/>
      <c r="GQ119" s="7"/>
      <c r="GR119" s="7"/>
      <c r="GS119" s="7"/>
      <c r="GT119" s="7"/>
      <c r="GU119" s="7"/>
      <c r="GV119" s="7"/>
    </row>
    <row r="120" spans="1:204" ht="15.5" x14ac:dyDescent="0.35">
      <c r="A120" s="12" t="s">
        <v>630</v>
      </c>
      <c r="B120" s="7" t="s">
        <v>631</v>
      </c>
      <c r="C120" s="53">
        <f t="shared" ref="C120:FX120" si="62">C84*0.25</f>
        <v>2172.9499999999998</v>
      </c>
      <c r="D120" s="53">
        <f t="shared" si="62"/>
        <v>2172.9499999999998</v>
      </c>
      <c r="E120" s="53">
        <f t="shared" si="62"/>
        <v>2172.9499999999998</v>
      </c>
      <c r="F120" s="53">
        <f t="shared" si="62"/>
        <v>2172.9499999999998</v>
      </c>
      <c r="G120" s="53">
        <f t="shared" si="62"/>
        <v>2172.9499999999998</v>
      </c>
      <c r="H120" s="53">
        <f t="shared" si="62"/>
        <v>2172.9499999999998</v>
      </c>
      <c r="I120" s="53">
        <f t="shared" si="62"/>
        <v>2172.9499999999998</v>
      </c>
      <c r="J120" s="53">
        <f t="shared" si="62"/>
        <v>2172.9499999999998</v>
      </c>
      <c r="K120" s="53">
        <f t="shared" si="62"/>
        <v>2172.9499999999998</v>
      </c>
      <c r="L120" s="53">
        <f t="shared" si="62"/>
        <v>2172.9499999999998</v>
      </c>
      <c r="M120" s="53">
        <f t="shared" si="62"/>
        <v>2172.9499999999998</v>
      </c>
      <c r="N120" s="53">
        <f t="shared" si="62"/>
        <v>2172.9499999999998</v>
      </c>
      <c r="O120" s="53">
        <f t="shared" si="62"/>
        <v>2172.9499999999998</v>
      </c>
      <c r="P120" s="53">
        <f t="shared" si="62"/>
        <v>2172.9499999999998</v>
      </c>
      <c r="Q120" s="53">
        <f t="shared" si="62"/>
        <v>2172.9499999999998</v>
      </c>
      <c r="R120" s="53">
        <f t="shared" si="62"/>
        <v>2172.9499999999998</v>
      </c>
      <c r="S120" s="53">
        <f t="shared" si="62"/>
        <v>2172.9499999999998</v>
      </c>
      <c r="T120" s="53">
        <f t="shared" si="62"/>
        <v>2172.9499999999998</v>
      </c>
      <c r="U120" s="53">
        <f t="shared" si="62"/>
        <v>2172.9499999999998</v>
      </c>
      <c r="V120" s="53">
        <f t="shared" si="62"/>
        <v>2172.9499999999998</v>
      </c>
      <c r="W120" s="53">
        <f t="shared" si="62"/>
        <v>2172.9499999999998</v>
      </c>
      <c r="X120" s="53">
        <f t="shared" si="62"/>
        <v>2172.9499999999998</v>
      </c>
      <c r="Y120" s="53">
        <f t="shared" si="62"/>
        <v>2172.9499999999998</v>
      </c>
      <c r="Z120" s="53">
        <f t="shared" si="62"/>
        <v>2172.9499999999998</v>
      </c>
      <c r="AA120" s="53">
        <f t="shared" si="62"/>
        <v>2172.9499999999998</v>
      </c>
      <c r="AB120" s="53">
        <f t="shared" si="62"/>
        <v>2172.9499999999998</v>
      </c>
      <c r="AC120" s="53">
        <f t="shared" si="62"/>
        <v>2172.9499999999998</v>
      </c>
      <c r="AD120" s="53">
        <f t="shared" si="62"/>
        <v>2172.9499999999998</v>
      </c>
      <c r="AE120" s="53">
        <f t="shared" si="62"/>
        <v>2172.9499999999998</v>
      </c>
      <c r="AF120" s="53">
        <f t="shared" si="62"/>
        <v>2172.9499999999998</v>
      </c>
      <c r="AG120" s="53">
        <f t="shared" si="62"/>
        <v>2172.9499999999998</v>
      </c>
      <c r="AH120" s="53">
        <f t="shared" si="62"/>
        <v>2172.9499999999998</v>
      </c>
      <c r="AI120" s="53">
        <f t="shared" si="62"/>
        <v>2172.9499999999998</v>
      </c>
      <c r="AJ120" s="53">
        <f t="shared" si="62"/>
        <v>2172.9499999999998</v>
      </c>
      <c r="AK120" s="53">
        <f t="shared" si="62"/>
        <v>2172.9499999999998</v>
      </c>
      <c r="AL120" s="53">
        <f t="shared" si="62"/>
        <v>2172.9499999999998</v>
      </c>
      <c r="AM120" s="53">
        <f t="shared" si="62"/>
        <v>2172.9499999999998</v>
      </c>
      <c r="AN120" s="53">
        <f t="shared" si="62"/>
        <v>2172.9499999999998</v>
      </c>
      <c r="AO120" s="53">
        <f t="shared" si="62"/>
        <v>2172.9499999999998</v>
      </c>
      <c r="AP120" s="53">
        <f t="shared" si="62"/>
        <v>2172.9499999999998</v>
      </c>
      <c r="AQ120" s="53">
        <f t="shared" si="62"/>
        <v>2172.9499999999998</v>
      </c>
      <c r="AR120" s="53">
        <f t="shared" si="62"/>
        <v>2172.9499999999998</v>
      </c>
      <c r="AS120" s="53">
        <f t="shared" si="62"/>
        <v>2172.9499999999998</v>
      </c>
      <c r="AT120" s="53">
        <f t="shared" si="62"/>
        <v>2172.9499999999998</v>
      </c>
      <c r="AU120" s="53">
        <f t="shared" si="62"/>
        <v>2172.9499999999998</v>
      </c>
      <c r="AV120" s="53">
        <f t="shared" si="62"/>
        <v>2172.9499999999998</v>
      </c>
      <c r="AW120" s="53">
        <f t="shared" si="62"/>
        <v>2172.9499999999998</v>
      </c>
      <c r="AX120" s="53">
        <f t="shared" si="62"/>
        <v>2172.9499999999998</v>
      </c>
      <c r="AY120" s="53">
        <f t="shared" si="62"/>
        <v>2172.9499999999998</v>
      </c>
      <c r="AZ120" s="53">
        <f t="shared" si="62"/>
        <v>2172.9499999999998</v>
      </c>
      <c r="BA120" s="53">
        <f t="shared" si="62"/>
        <v>2172.9499999999998</v>
      </c>
      <c r="BB120" s="53">
        <f t="shared" si="62"/>
        <v>2172.9499999999998</v>
      </c>
      <c r="BC120" s="53">
        <f t="shared" si="62"/>
        <v>2172.9499999999998</v>
      </c>
      <c r="BD120" s="53">
        <f t="shared" si="62"/>
        <v>2172.9499999999998</v>
      </c>
      <c r="BE120" s="53">
        <f t="shared" si="62"/>
        <v>2172.9499999999998</v>
      </c>
      <c r="BF120" s="53">
        <f t="shared" si="62"/>
        <v>2172.9499999999998</v>
      </c>
      <c r="BG120" s="53">
        <f t="shared" si="62"/>
        <v>2172.9499999999998</v>
      </c>
      <c r="BH120" s="53">
        <f t="shared" si="62"/>
        <v>2172.9499999999998</v>
      </c>
      <c r="BI120" s="53">
        <f t="shared" si="62"/>
        <v>2172.9499999999998</v>
      </c>
      <c r="BJ120" s="53">
        <f t="shared" si="62"/>
        <v>2172.9499999999998</v>
      </c>
      <c r="BK120" s="53">
        <f t="shared" si="62"/>
        <v>2172.9499999999998</v>
      </c>
      <c r="BL120" s="53">
        <f t="shared" si="62"/>
        <v>2172.9499999999998</v>
      </c>
      <c r="BM120" s="53">
        <f t="shared" si="62"/>
        <v>2172.9499999999998</v>
      </c>
      <c r="BN120" s="53">
        <f t="shared" si="62"/>
        <v>2172.9499999999998</v>
      </c>
      <c r="BO120" s="53">
        <f t="shared" si="62"/>
        <v>2172.9499999999998</v>
      </c>
      <c r="BP120" s="53">
        <f t="shared" si="62"/>
        <v>2172.9499999999998</v>
      </c>
      <c r="BQ120" s="53">
        <f t="shared" si="62"/>
        <v>2172.9499999999998</v>
      </c>
      <c r="BR120" s="53">
        <f t="shared" si="62"/>
        <v>2172.9499999999998</v>
      </c>
      <c r="BS120" s="53">
        <f t="shared" si="62"/>
        <v>2172.9499999999998</v>
      </c>
      <c r="BT120" s="53">
        <f t="shared" si="62"/>
        <v>2172.9499999999998</v>
      </c>
      <c r="BU120" s="53">
        <f t="shared" si="62"/>
        <v>2172.9499999999998</v>
      </c>
      <c r="BV120" s="53">
        <f t="shared" si="62"/>
        <v>2172.9499999999998</v>
      </c>
      <c r="BW120" s="53">
        <f t="shared" si="62"/>
        <v>2172.9499999999998</v>
      </c>
      <c r="BX120" s="53">
        <f t="shared" si="62"/>
        <v>2172.9499999999998</v>
      </c>
      <c r="BY120" s="53">
        <f t="shared" si="62"/>
        <v>2172.9499999999998</v>
      </c>
      <c r="BZ120" s="53">
        <f t="shared" si="62"/>
        <v>2172.9499999999998</v>
      </c>
      <c r="CA120" s="53">
        <f t="shared" si="62"/>
        <v>2172.9499999999998</v>
      </c>
      <c r="CB120" s="53">
        <f t="shared" si="62"/>
        <v>2172.9499999999998</v>
      </c>
      <c r="CC120" s="53">
        <f t="shared" si="62"/>
        <v>2172.9499999999998</v>
      </c>
      <c r="CD120" s="53">
        <f t="shared" si="62"/>
        <v>2172.9499999999998</v>
      </c>
      <c r="CE120" s="53">
        <f t="shared" si="62"/>
        <v>2172.9499999999998</v>
      </c>
      <c r="CF120" s="53">
        <f t="shared" si="62"/>
        <v>2172.9499999999998</v>
      </c>
      <c r="CG120" s="53">
        <f t="shared" si="62"/>
        <v>2172.9499999999998</v>
      </c>
      <c r="CH120" s="53">
        <f t="shared" si="62"/>
        <v>2172.9499999999998</v>
      </c>
      <c r="CI120" s="53">
        <f t="shared" si="62"/>
        <v>2172.9499999999998</v>
      </c>
      <c r="CJ120" s="53">
        <f t="shared" si="62"/>
        <v>2172.9499999999998</v>
      </c>
      <c r="CK120" s="53">
        <f t="shared" si="62"/>
        <v>2172.9499999999998</v>
      </c>
      <c r="CL120" s="53">
        <f t="shared" si="62"/>
        <v>2172.9499999999998</v>
      </c>
      <c r="CM120" s="53">
        <f t="shared" si="62"/>
        <v>2172.9499999999998</v>
      </c>
      <c r="CN120" s="53">
        <f t="shared" si="62"/>
        <v>2172.9499999999998</v>
      </c>
      <c r="CO120" s="53">
        <f t="shared" si="62"/>
        <v>2172.9499999999998</v>
      </c>
      <c r="CP120" s="53">
        <f t="shared" si="62"/>
        <v>2172.9499999999998</v>
      </c>
      <c r="CQ120" s="53">
        <f t="shared" si="62"/>
        <v>2172.9499999999998</v>
      </c>
      <c r="CR120" s="53">
        <f t="shared" si="62"/>
        <v>2172.9499999999998</v>
      </c>
      <c r="CS120" s="53">
        <f t="shared" si="62"/>
        <v>2172.9499999999998</v>
      </c>
      <c r="CT120" s="53">
        <f t="shared" si="62"/>
        <v>2172.9499999999998</v>
      </c>
      <c r="CU120" s="53">
        <f t="shared" si="62"/>
        <v>2172.9499999999998</v>
      </c>
      <c r="CV120" s="53">
        <f t="shared" si="62"/>
        <v>2172.9499999999998</v>
      </c>
      <c r="CW120" s="53">
        <f t="shared" si="62"/>
        <v>2172.9499999999998</v>
      </c>
      <c r="CX120" s="53">
        <f t="shared" si="62"/>
        <v>2172.9499999999998</v>
      </c>
      <c r="CY120" s="53">
        <f t="shared" si="62"/>
        <v>2172.9499999999998</v>
      </c>
      <c r="CZ120" s="53">
        <f t="shared" si="62"/>
        <v>2172.9499999999998</v>
      </c>
      <c r="DA120" s="53">
        <f t="shared" si="62"/>
        <v>2172.9499999999998</v>
      </c>
      <c r="DB120" s="53">
        <f t="shared" si="62"/>
        <v>2172.9499999999998</v>
      </c>
      <c r="DC120" s="53">
        <f t="shared" si="62"/>
        <v>2172.9499999999998</v>
      </c>
      <c r="DD120" s="53">
        <f t="shared" si="62"/>
        <v>2172.9499999999998</v>
      </c>
      <c r="DE120" s="53">
        <f t="shared" si="62"/>
        <v>2172.9499999999998</v>
      </c>
      <c r="DF120" s="53">
        <f t="shared" si="62"/>
        <v>2172.9499999999998</v>
      </c>
      <c r="DG120" s="53">
        <f t="shared" si="62"/>
        <v>2172.9499999999998</v>
      </c>
      <c r="DH120" s="53">
        <f t="shared" si="62"/>
        <v>2172.9499999999998</v>
      </c>
      <c r="DI120" s="53">
        <f t="shared" si="62"/>
        <v>2172.9499999999998</v>
      </c>
      <c r="DJ120" s="53">
        <f t="shared" si="62"/>
        <v>2172.9499999999998</v>
      </c>
      <c r="DK120" s="53">
        <f t="shared" si="62"/>
        <v>2172.9499999999998</v>
      </c>
      <c r="DL120" s="53">
        <f t="shared" si="62"/>
        <v>2172.9499999999998</v>
      </c>
      <c r="DM120" s="53">
        <f t="shared" si="62"/>
        <v>2172.9499999999998</v>
      </c>
      <c r="DN120" s="53">
        <f t="shared" si="62"/>
        <v>2172.9499999999998</v>
      </c>
      <c r="DO120" s="53">
        <f t="shared" si="62"/>
        <v>2172.9499999999998</v>
      </c>
      <c r="DP120" s="53">
        <f t="shared" si="62"/>
        <v>2172.9499999999998</v>
      </c>
      <c r="DQ120" s="53">
        <f t="shared" si="62"/>
        <v>2172.9499999999998</v>
      </c>
      <c r="DR120" s="53">
        <f t="shared" si="62"/>
        <v>2172.9499999999998</v>
      </c>
      <c r="DS120" s="53">
        <f t="shared" si="62"/>
        <v>2172.9499999999998</v>
      </c>
      <c r="DT120" s="53">
        <f t="shared" si="62"/>
        <v>2172.9499999999998</v>
      </c>
      <c r="DU120" s="53">
        <f t="shared" si="62"/>
        <v>2172.9499999999998</v>
      </c>
      <c r="DV120" s="53">
        <f t="shared" si="62"/>
        <v>2172.9499999999998</v>
      </c>
      <c r="DW120" s="53">
        <f t="shared" si="62"/>
        <v>2172.9499999999998</v>
      </c>
      <c r="DX120" s="53">
        <f t="shared" si="62"/>
        <v>2172.9499999999998</v>
      </c>
      <c r="DY120" s="53">
        <f t="shared" si="62"/>
        <v>2172.9499999999998</v>
      </c>
      <c r="DZ120" s="53">
        <f t="shared" si="62"/>
        <v>2172.9499999999998</v>
      </c>
      <c r="EA120" s="53">
        <f t="shared" si="62"/>
        <v>2172.9499999999998</v>
      </c>
      <c r="EB120" s="53">
        <f t="shared" si="62"/>
        <v>2172.9499999999998</v>
      </c>
      <c r="EC120" s="53">
        <f t="shared" si="62"/>
        <v>2172.9499999999998</v>
      </c>
      <c r="ED120" s="53">
        <f t="shared" si="62"/>
        <v>2172.9499999999998</v>
      </c>
      <c r="EE120" s="53">
        <f t="shared" si="62"/>
        <v>2172.9499999999998</v>
      </c>
      <c r="EF120" s="53">
        <f t="shared" si="62"/>
        <v>2172.9499999999998</v>
      </c>
      <c r="EG120" s="53">
        <f t="shared" si="62"/>
        <v>2172.9499999999998</v>
      </c>
      <c r="EH120" s="53">
        <f t="shared" si="62"/>
        <v>2172.9499999999998</v>
      </c>
      <c r="EI120" s="53">
        <f t="shared" si="62"/>
        <v>2172.9499999999998</v>
      </c>
      <c r="EJ120" s="53">
        <f t="shared" si="62"/>
        <v>2172.9499999999998</v>
      </c>
      <c r="EK120" s="53">
        <f t="shared" si="62"/>
        <v>2172.9499999999998</v>
      </c>
      <c r="EL120" s="53">
        <f t="shared" si="62"/>
        <v>2172.9499999999998</v>
      </c>
      <c r="EM120" s="53">
        <f t="shared" si="62"/>
        <v>2172.9499999999998</v>
      </c>
      <c r="EN120" s="53">
        <f t="shared" si="62"/>
        <v>2172.9499999999998</v>
      </c>
      <c r="EO120" s="53">
        <f t="shared" si="62"/>
        <v>2172.9499999999998</v>
      </c>
      <c r="EP120" s="53">
        <f t="shared" si="62"/>
        <v>2172.9499999999998</v>
      </c>
      <c r="EQ120" s="53">
        <f t="shared" si="62"/>
        <v>2172.9499999999998</v>
      </c>
      <c r="ER120" s="53">
        <f t="shared" si="62"/>
        <v>2172.9499999999998</v>
      </c>
      <c r="ES120" s="53">
        <f t="shared" si="62"/>
        <v>2172.9499999999998</v>
      </c>
      <c r="ET120" s="53">
        <f t="shared" si="62"/>
        <v>2172.9499999999998</v>
      </c>
      <c r="EU120" s="53">
        <f t="shared" si="62"/>
        <v>2172.9499999999998</v>
      </c>
      <c r="EV120" s="53">
        <f t="shared" si="62"/>
        <v>2172.9499999999998</v>
      </c>
      <c r="EW120" s="53">
        <f t="shared" si="62"/>
        <v>2172.9499999999998</v>
      </c>
      <c r="EX120" s="53">
        <f t="shared" si="62"/>
        <v>2172.9499999999998</v>
      </c>
      <c r="EY120" s="53">
        <f t="shared" si="62"/>
        <v>2172.9499999999998</v>
      </c>
      <c r="EZ120" s="53">
        <f t="shared" si="62"/>
        <v>2172.9499999999998</v>
      </c>
      <c r="FA120" s="53">
        <f t="shared" si="62"/>
        <v>2172.9499999999998</v>
      </c>
      <c r="FB120" s="53">
        <f t="shared" si="62"/>
        <v>2172.9499999999998</v>
      </c>
      <c r="FC120" s="53">
        <f t="shared" si="62"/>
        <v>2172.9499999999998</v>
      </c>
      <c r="FD120" s="53">
        <f t="shared" si="62"/>
        <v>2172.9499999999998</v>
      </c>
      <c r="FE120" s="53">
        <f t="shared" si="62"/>
        <v>2172.9499999999998</v>
      </c>
      <c r="FF120" s="53">
        <f t="shared" si="62"/>
        <v>2172.9499999999998</v>
      </c>
      <c r="FG120" s="53">
        <f t="shared" si="62"/>
        <v>2172.9499999999998</v>
      </c>
      <c r="FH120" s="53">
        <f t="shared" si="62"/>
        <v>2172.9499999999998</v>
      </c>
      <c r="FI120" s="53">
        <f t="shared" si="62"/>
        <v>2172.9499999999998</v>
      </c>
      <c r="FJ120" s="53">
        <f t="shared" si="62"/>
        <v>2172.9499999999998</v>
      </c>
      <c r="FK120" s="53">
        <f t="shared" si="62"/>
        <v>2172.9499999999998</v>
      </c>
      <c r="FL120" s="53">
        <f t="shared" si="62"/>
        <v>2172.9499999999998</v>
      </c>
      <c r="FM120" s="53">
        <f t="shared" si="62"/>
        <v>2172.9499999999998</v>
      </c>
      <c r="FN120" s="53">
        <f t="shared" si="62"/>
        <v>2172.9499999999998</v>
      </c>
      <c r="FO120" s="53">
        <f t="shared" si="62"/>
        <v>2172.9499999999998</v>
      </c>
      <c r="FP120" s="53">
        <f t="shared" si="62"/>
        <v>2172.9499999999998</v>
      </c>
      <c r="FQ120" s="53">
        <f t="shared" si="62"/>
        <v>2172.9499999999998</v>
      </c>
      <c r="FR120" s="53">
        <f t="shared" si="62"/>
        <v>2172.9499999999998</v>
      </c>
      <c r="FS120" s="53">
        <f t="shared" si="62"/>
        <v>2172.9499999999998</v>
      </c>
      <c r="FT120" s="53">
        <f t="shared" si="62"/>
        <v>2172.9499999999998</v>
      </c>
      <c r="FU120" s="53">
        <f t="shared" si="62"/>
        <v>2172.9499999999998</v>
      </c>
      <c r="FV120" s="53">
        <f t="shared" si="62"/>
        <v>2172.9499999999998</v>
      </c>
      <c r="FW120" s="53">
        <f t="shared" si="62"/>
        <v>2172.9499999999998</v>
      </c>
      <c r="FX120" s="53">
        <f t="shared" si="62"/>
        <v>2172.9499999999998</v>
      </c>
      <c r="FY120" s="25"/>
      <c r="FZ120" s="25"/>
      <c r="GA120" s="7"/>
      <c r="GB120" s="25"/>
      <c r="GC120" s="25"/>
      <c r="GD120" s="25"/>
      <c r="GE120" s="25"/>
      <c r="GF120" s="25"/>
      <c r="GG120" s="7"/>
      <c r="GH120" s="23"/>
      <c r="GI120" s="23"/>
      <c r="GJ120" s="23"/>
      <c r="GK120" s="23"/>
      <c r="GL120" s="23"/>
      <c r="GM120" s="23"/>
      <c r="GN120" s="23"/>
      <c r="GO120" s="23"/>
      <c r="GP120" s="7"/>
      <c r="GQ120" s="7"/>
      <c r="GR120" s="7"/>
      <c r="GS120" s="7"/>
      <c r="GT120" s="7"/>
      <c r="GU120" s="7"/>
      <c r="GV120" s="7"/>
    </row>
    <row r="121" spans="1:204" ht="15.5" x14ac:dyDescent="0.35">
      <c r="A121" s="60" t="s">
        <v>632</v>
      </c>
      <c r="B121" s="5" t="s">
        <v>633</v>
      </c>
      <c r="C121" s="61">
        <f t="shared" ref="C121:FX121" si="63">C119*C120</f>
        <v>1923060.7499999998</v>
      </c>
      <c r="D121" s="61">
        <f t="shared" si="63"/>
        <v>10232421.549999999</v>
      </c>
      <c r="E121" s="61">
        <f t="shared" si="63"/>
        <v>1820932.0999999999</v>
      </c>
      <c r="F121" s="61">
        <f t="shared" si="63"/>
        <v>6290690.2499999991</v>
      </c>
      <c r="G121" s="61">
        <f t="shared" si="63"/>
        <v>488913.74999999994</v>
      </c>
      <c r="H121" s="61">
        <f t="shared" si="63"/>
        <v>473703.1</v>
      </c>
      <c r="I121" s="61">
        <f t="shared" si="63"/>
        <v>2416320.4</v>
      </c>
      <c r="J121" s="61">
        <f t="shared" si="63"/>
        <v>597561.25</v>
      </c>
      <c r="K121" s="61">
        <f t="shared" si="63"/>
        <v>47804.899999999994</v>
      </c>
      <c r="L121" s="61">
        <f t="shared" si="63"/>
        <v>895255.39999999991</v>
      </c>
      <c r="M121" s="61">
        <f t="shared" si="63"/>
        <v>360709.69999999995</v>
      </c>
      <c r="N121" s="61">
        <f t="shared" si="63"/>
        <v>16620894.549999999</v>
      </c>
      <c r="O121" s="61">
        <f t="shared" si="63"/>
        <v>3946077.1999999997</v>
      </c>
      <c r="P121" s="61">
        <f t="shared" si="63"/>
        <v>132549.94999999998</v>
      </c>
      <c r="Q121" s="61">
        <f t="shared" si="63"/>
        <v>12029451.199999999</v>
      </c>
      <c r="R121" s="61">
        <f t="shared" si="63"/>
        <v>1684036.2499999998</v>
      </c>
      <c r="S121" s="61">
        <f t="shared" si="63"/>
        <v>421552.3</v>
      </c>
      <c r="T121" s="61">
        <f t="shared" si="63"/>
        <v>63015.549999999996</v>
      </c>
      <c r="U121" s="61">
        <f t="shared" si="63"/>
        <v>21729.5</v>
      </c>
      <c r="V121" s="61">
        <f t="shared" si="63"/>
        <v>104301.59999999999</v>
      </c>
      <c r="W121" s="61">
        <f t="shared" si="63"/>
        <v>23902.449999999997</v>
      </c>
      <c r="X121" s="61">
        <f t="shared" si="63"/>
        <v>13037.699999999999</v>
      </c>
      <c r="Y121" s="61">
        <f t="shared" si="63"/>
        <v>330288.39999999997</v>
      </c>
      <c r="Z121" s="61">
        <f t="shared" si="63"/>
        <v>52150.799999999996</v>
      </c>
      <c r="AA121" s="61">
        <f t="shared" si="63"/>
        <v>9139427.6999999993</v>
      </c>
      <c r="AB121" s="61">
        <f t="shared" si="63"/>
        <v>8467986.1499999985</v>
      </c>
      <c r="AC121" s="61">
        <f t="shared" si="63"/>
        <v>297694.14999999997</v>
      </c>
      <c r="AD121" s="61">
        <f t="shared" si="63"/>
        <v>371574.44999999995</v>
      </c>
      <c r="AE121" s="61">
        <f t="shared" si="63"/>
        <v>32594.249999999996</v>
      </c>
      <c r="AF121" s="61">
        <f t="shared" si="63"/>
        <v>60842.599999999991</v>
      </c>
      <c r="AG121" s="61">
        <f t="shared" si="63"/>
        <v>162971.25</v>
      </c>
      <c r="AH121" s="61">
        <f t="shared" si="63"/>
        <v>221640.9</v>
      </c>
      <c r="AI121" s="61">
        <f t="shared" si="63"/>
        <v>91263.9</v>
      </c>
      <c r="AJ121" s="61">
        <f t="shared" si="63"/>
        <v>52150.799999999996</v>
      </c>
      <c r="AK121" s="61">
        <f t="shared" si="63"/>
        <v>54323.749999999993</v>
      </c>
      <c r="AL121" s="61">
        <f t="shared" si="63"/>
        <v>26075.399999999998</v>
      </c>
      <c r="AM121" s="61">
        <f t="shared" si="63"/>
        <v>119512.24999999999</v>
      </c>
      <c r="AN121" s="61">
        <f t="shared" si="63"/>
        <v>95609.799999999988</v>
      </c>
      <c r="AO121" s="61">
        <f t="shared" si="63"/>
        <v>1603637.0999999999</v>
      </c>
      <c r="AP121" s="61">
        <f t="shared" si="63"/>
        <v>25486530.549999997</v>
      </c>
      <c r="AQ121" s="61">
        <f t="shared" si="63"/>
        <v>104301.59999999999</v>
      </c>
      <c r="AR121" s="61">
        <f t="shared" si="63"/>
        <v>17520495.849999998</v>
      </c>
      <c r="AS121" s="61">
        <f t="shared" si="63"/>
        <v>2092550.8499999999</v>
      </c>
      <c r="AT121" s="61">
        <f t="shared" si="63"/>
        <v>782261.99999999988</v>
      </c>
      <c r="AU121" s="61">
        <f t="shared" si="63"/>
        <v>121685.19999999998</v>
      </c>
      <c r="AV121" s="61">
        <f t="shared" si="63"/>
        <v>93436.849999999991</v>
      </c>
      <c r="AW121" s="61">
        <f t="shared" si="63"/>
        <v>91263.9</v>
      </c>
      <c r="AX121" s="61">
        <f t="shared" si="63"/>
        <v>36940.149999999994</v>
      </c>
      <c r="AY121" s="61">
        <f t="shared" si="63"/>
        <v>99955.7</v>
      </c>
      <c r="AZ121" s="61">
        <f t="shared" si="63"/>
        <v>3876542.8</v>
      </c>
      <c r="BA121" s="61">
        <f t="shared" si="63"/>
        <v>3011708.6999999997</v>
      </c>
      <c r="BB121" s="61">
        <f t="shared" si="63"/>
        <v>3378937.2499999995</v>
      </c>
      <c r="BC121" s="61">
        <f t="shared" si="63"/>
        <v>6573173.7499999991</v>
      </c>
      <c r="BD121" s="61">
        <f t="shared" si="63"/>
        <v>945233.24999999988</v>
      </c>
      <c r="BE121" s="61">
        <f t="shared" si="63"/>
        <v>267272.84999999998</v>
      </c>
      <c r="BF121" s="61">
        <f t="shared" si="63"/>
        <v>4976055.5</v>
      </c>
      <c r="BG121" s="61">
        <f t="shared" si="63"/>
        <v>297694.14999999997</v>
      </c>
      <c r="BH121" s="61">
        <f t="shared" si="63"/>
        <v>121685.19999999998</v>
      </c>
      <c r="BI121" s="61">
        <f t="shared" si="63"/>
        <v>115166.34999999999</v>
      </c>
      <c r="BJ121" s="61">
        <f t="shared" si="63"/>
        <v>1447184.7</v>
      </c>
      <c r="BK121" s="61">
        <f t="shared" si="63"/>
        <v>6944748.1999999993</v>
      </c>
      <c r="BL121" s="61">
        <f t="shared" si="63"/>
        <v>21729.5</v>
      </c>
      <c r="BM121" s="61">
        <f t="shared" si="63"/>
        <v>136895.84999999998</v>
      </c>
      <c r="BN121" s="61">
        <f t="shared" si="63"/>
        <v>1149490.5499999998</v>
      </c>
      <c r="BO121" s="61">
        <f t="shared" si="63"/>
        <v>549756.35</v>
      </c>
      <c r="BP121" s="61">
        <f t="shared" si="63"/>
        <v>49977.85</v>
      </c>
      <c r="BQ121" s="61">
        <f t="shared" si="63"/>
        <v>1538448.5999999999</v>
      </c>
      <c r="BR121" s="61">
        <f t="shared" si="63"/>
        <v>1312461.7999999998</v>
      </c>
      <c r="BS121" s="61">
        <f t="shared" si="63"/>
        <v>325942.5</v>
      </c>
      <c r="BT121" s="61">
        <f t="shared" si="63"/>
        <v>108647.49999999999</v>
      </c>
      <c r="BU121" s="61">
        <f t="shared" si="63"/>
        <v>141241.75</v>
      </c>
      <c r="BV121" s="61">
        <f t="shared" si="63"/>
        <v>401995.74999999994</v>
      </c>
      <c r="BW121" s="61">
        <f t="shared" si="63"/>
        <v>410687.55</v>
      </c>
      <c r="BX121" s="61">
        <f t="shared" si="63"/>
        <v>21729.5</v>
      </c>
      <c r="BY121" s="61">
        <f t="shared" si="63"/>
        <v>199911.4</v>
      </c>
      <c r="BZ121" s="61">
        <f t="shared" si="63"/>
        <v>78226.2</v>
      </c>
      <c r="CA121" s="61">
        <f t="shared" si="63"/>
        <v>54323.749999999993</v>
      </c>
      <c r="CB121" s="61">
        <f t="shared" si="63"/>
        <v>21809899.149999999</v>
      </c>
      <c r="CC121" s="61">
        <f t="shared" si="63"/>
        <v>52150.799999999996</v>
      </c>
      <c r="CD121" s="61">
        <f t="shared" si="63"/>
        <v>10864.75</v>
      </c>
      <c r="CE121" s="61">
        <f t="shared" si="63"/>
        <v>82572.099999999991</v>
      </c>
      <c r="CF121" s="61">
        <f t="shared" si="63"/>
        <v>30421.299999999996</v>
      </c>
      <c r="CG121" s="61">
        <f t="shared" si="63"/>
        <v>65188.499999999993</v>
      </c>
      <c r="CH121" s="61">
        <f t="shared" si="63"/>
        <v>32594.249999999996</v>
      </c>
      <c r="CI121" s="61">
        <f t="shared" si="63"/>
        <v>273791.69999999995</v>
      </c>
      <c r="CJ121" s="61">
        <f t="shared" si="63"/>
        <v>356363.8</v>
      </c>
      <c r="CK121" s="61">
        <f t="shared" si="63"/>
        <v>1629712.4999999998</v>
      </c>
      <c r="CL121" s="61">
        <f t="shared" si="63"/>
        <v>386785.1</v>
      </c>
      <c r="CM121" s="61">
        <f t="shared" si="63"/>
        <v>247716.3</v>
      </c>
      <c r="CN121" s="61">
        <f t="shared" si="63"/>
        <v>6629670.4499999993</v>
      </c>
      <c r="CO121" s="61">
        <f t="shared" si="63"/>
        <v>4491487.6499999994</v>
      </c>
      <c r="CP121" s="61">
        <f t="shared" si="63"/>
        <v>221640.9</v>
      </c>
      <c r="CQ121" s="61">
        <f t="shared" si="63"/>
        <v>354190.85</v>
      </c>
      <c r="CR121" s="61">
        <f t="shared" si="63"/>
        <v>106474.54999999999</v>
      </c>
      <c r="CS121" s="61">
        <f t="shared" si="63"/>
        <v>108647.49999999999</v>
      </c>
      <c r="CT121" s="61">
        <f t="shared" si="63"/>
        <v>54323.749999999993</v>
      </c>
      <c r="CU121" s="61">
        <f t="shared" si="63"/>
        <v>76053.25</v>
      </c>
      <c r="CV121" s="61">
        <f t="shared" si="63"/>
        <v>6518.8499999999995</v>
      </c>
      <c r="CW121" s="61">
        <f t="shared" si="63"/>
        <v>121685.19999999998</v>
      </c>
      <c r="CX121" s="61">
        <f t="shared" si="63"/>
        <v>262926.94999999995</v>
      </c>
      <c r="CY121" s="61">
        <f t="shared" si="63"/>
        <v>13037.699999999999</v>
      </c>
      <c r="CZ121" s="61">
        <f t="shared" si="63"/>
        <v>721419.39999999991</v>
      </c>
      <c r="DA121" s="61">
        <f t="shared" si="63"/>
        <v>76053.25</v>
      </c>
      <c r="DB121" s="61">
        <f t="shared" si="63"/>
        <v>119512.24999999999</v>
      </c>
      <c r="DC121" s="61">
        <f t="shared" si="63"/>
        <v>67361.45</v>
      </c>
      <c r="DD121" s="61">
        <f t="shared" si="63"/>
        <v>56496.7</v>
      </c>
      <c r="DE121" s="61">
        <f t="shared" si="63"/>
        <v>104301.59999999999</v>
      </c>
      <c r="DF121" s="61">
        <f t="shared" si="63"/>
        <v>7416278.3499999996</v>
      </c>
      <c r="DG121" s="61">
        <f t="shared" si="63"/>
        <v>39113.1</v>
      </c>
      <c r="DH121" s="61">
        <f t="shared" si="63"/>
        <v>732284.14999999991</v>
      </c>
      <c r="DI121" s="61">
        <f t="shared" si="63"/>
        <v>895255.39999999991</v>
      </c>
      <c r="DJ121" s="61">
        <f t="shared" si="63"/>
        <v>199911.4</v>
      </c>
      <c r="DK121" s="61">
        <f t="shared" si="63"/>
        <v>158625.34999999998</v>
      </c>
      <c r="DL121" s="61">
        <f t="shared" si="63"/>
        <v>2292462.25</v>
      </c>
      <c r="DM121" s="61">
        <f t="shared" si="63"/>
        <v>104301.59999999999</v>
      </c>
      <c r="DN121" s="61">
        <f t="shared" si="63"/>
        <v>406341.64999999997</v>
      </c>
      <c r="DO121" s="61">
        <f t="shared" si="63"/>
        <v>975654.54999999993</v>
      </c>
      <c r="DP121" s="61">
        <f t="shared" si="63"/>
        <v>86918</v>
      </c>
      <c r="DQ121" s="61">
        <f t="shared" si="63"/>
        <v>230332.69999999998</v>
      </c>
      <c r="DR121" s="61">
        <f t="shared" si="63"/>
        <v>580177.64999999991</v>
      </c>
      <c r="DS121" s="61">
        <f t="shared" si="63"/>
        <v>249889.24999999997</v>
      </c>
      <c r="DT121" s="61">
        <f t="shared" si="63"/>
        <v>47804.899999999994</v>
      </c>
      <c r="DU121" s="61">
        <f t="shared" si="63"/>
        <v>99955.7</v>
      </c>
      <c r="DV121" s="61">
        <f t="shared" si="63"/>
        <v>63015.549999999996</v>
      </c>
      <c r="DW121" s="61">
        <f t="shared" si="63"/>
        <v>73880.299999999988</v>
      </c>
      <c r="DX121" s="61">
        <f t="shared" si="63"/>
        <v>60842.599999999991</v>
      </c>
      <c r="DY121" s="61">
        <f t="shared" si="63"/>
        <v>93436.849999999991</v>
      </c>
      <c r="DZ121" s="61">
        <f t="shared" si="63"/>
        <v>197738.44999999998</v>
      </c>
      <c r="EA121" s="61">
        <f t="shared" si="63"/>
        <v>184700.74999999997</v>
      </c>
      <c r="EB121" s="61">
        <f t="shared" si="63"/>
        <v>204257.3</v>
      </c>
      <c r="EC121" s="61">
        <f t="shared" si="63"/>
        <v>104301.59999999999</v>
      </c>
      <c r="ED121" s="61">
        <f t="shared" si="63"/>
        <v>491086.69999999995</v>
      </c>
      <c r="EE121" s="61">
        <f t="shared" si="63"/>
        <v>76053.25</v>
      </c>
      <c r="EF121" s="61">
        <f t="shared" si="63"/>
        <v>584523.54999999993</v>
      </c>
      <c r="EG121" s="61">
        <f t="shared" si="63"/>
        <v>78226.2</v>
      </c>
      <c r="EH121" s="61">
        <f t="shared" si="63"/>
        <v>80399.149999999994</v>
      </c>
      <c r="EI121" s="61">
        <f t="shared" si="63"/>
        <v>4693572</v>
      </c>
      <c r="EJ121" s="61">
        <f t="shared" si="63"/>
        <v>3754857.5999999996</v>
      </c>
      <c r="EK121" s="61">
        <f t="shared" si="63"/>
        <v>221640.9</v>
      </c>
      <c r="EL121" s="61">
        <f t="shared" si="63"/>
        <v>189046.65</v>
      </c>
      <c r="EM121" s="61">
        <f t="shared" si="63"/>
        <v>102128.65</v>
      </c>
      <c r="EN121" s="61">
        <f t="shared" si="63"/>
        <v>362882.64999999997</v>
      </c>
      <c r="EO121" s="61">
        <f t="shared" si="63"/>
        <v>65188.499999999993</v>
      </c>
      <c r="EP121" s="61">
        <f t="shared" si="63"/>
        <v>106474.54999999999</v>
      </c>
      <c r="EQ121" s="61">
        <f t="shared" si="63"/>
        <v>834412.79999999993</v>
      </c>
      <c r="ER121" s="61">
        <f t="shared" si="63"/>
        <v>86918</v>
      </c>
      <c r="ES121" s="61">
        <f t="shared" si="63"/>
        <v>34767.199999999997</v>
      </c>
      <c r="ET121" s="61">
        <f t="shared" si="63"/>
        <v>49977.85</v>
      </c>
      <c r="EU121" s="61">
        <f t="shared" si="63"/>
        <v>186873.69999999998</v>
      </c>
      <c r="EV121" s="61">
        <f t="shared" si="63"/>
        <v>34767.199999999997</v>
      </c>
      <c r="EW121" s="61">
        <f t="shared" si="63"/>
        <v>173836</v>
      </c>
      <c r="EX121" s="61">
        <f t="shared" si="63"/>
        <v>58669.649999999994</v>
      </c>
      <c r="EY121" s="61">
        <f t="shared" si="63"/>
        <v>293348.25</v>
      </c>
      <c r="EZ121" s="61">
        <f t="shared" si="63"/>
        <v>49977.85</v>
      </c>
      <c r="FA121" s="61">
        <f t="shared" si="63"/>
        <v>1003902.8999999999</v>
      </c>
      <c r="FB121" s="61">
        <f t="shared" si="63"/>
        <v>102128.65</v>
      </c>
      <c r="FC121" s="61">
        <f t="shared" si="63"/>
        <v>460665.39999999997</v>
      </c>
      <c r="FD121" s="61">
        <f t="shared" si="63"/>
        <v>184700.74999999997</v>
      </c>
      <c r="FE121" s="61">
        <f t="shared" si="63"/>
        <v>32594.249999999996</v>
      </c>
      <c r="FF121" s="61">
        <f t="shared" si="63"/>
        <v>69534.399999999994</v>
      </c>
      <c r="FG121" s="61">
        <f t="shared" si="63"/>
        <v>41286.049999999996</v>
      </c>
      <c r="FH121" s="61">
        <f t="shared" si="63"/>
        <v>32594.249999999996</v>
      </c>
      <c r="FI121" s="61">
        <f t="shared" si="63"/>
        <v>569312.89999999991</v>
      </c>
      <c r="FJ121" s="61">
        <f t="shared" si="63"/>
        <v>465011.3</v>
      </c>
      <c r="FK121" s="61">
        <f t="shared" si="63"/>
        <v>534545.69999999995</v>
      </c>
      <c r="FL121" s="61">
        <f t="shared" si="63"/>
        <v>1957827.9499999997</v>
      </c>
      <c r="FM121" s="61">
        <f t="shared" si="63"/>
        <v>1136452.8499999999</v>
      </c>
      <c r="FN121" s="61">
        <f t="shared" si="63"/>
        <v>6777431.0499999998</v>
      </c>
      <c r="FO121" s="61">
        <f t="shared" si="63"/>
        <v>317250.69999999995</v>
      </c>
      <c r="FP121" s="61">
        <f t="shared" si="63"/>
        <v>660576.79999999993</v>
      </c>
      <c r="FQ121" s="61">
        <f t="shared" si="63"/>
        <v>262926.94999999995</v>
      </c>
      <c r="FR121" s="61">
        <f t="shared" si="63"/>
        <v>63015.549999999996</v>
      </c>
      <c r="FS121" s="61">
        <f t="shared" si="63"/>
        <v>45631.95</v>
      </c>
      <c r="FT121" s="61">
        <f t="shared" si="63"/>
        <v>15210.649999999998</v>
      </c>
      <c r="FU121" s="61">
        <f t="shared" si="63"/>
        <v>315077.75</v>
      </c>
      <c r="FV121" s="61">
        <f t="shared" si="63"/>
        <v>234678.59999999998</v>
      </c>
      <c r="FW121" s="61">
        <f t="shared" si="63"/>
        <v>32594.249999999996</v>
      </c>
      <c r="FX121" s="61">
        <f t="shared" si="63"/>
        <v>6518.8499999999995</v>
      </c>
      <c r="FY121" s="25"/>
      <c r="FZ121" s="7">
        <f>SUM(C121:FX121)</f>
        <v>248672397.99999994</v>
      </c>
      <c r="GA121" s="62">
        <v>248672397.99999994</v>
      </c>
      <c r="GB121" s="7">
        <f>FZ121-GA121</f>
        <v>0</v>
      </c>
      <c r="GC121" s="25"/>
      <c r="GD121" s="25"/>
      <c r="GE121" s="25"/>
      <c r="GF121" s="25"/>
      <c r="GG121" s="7"/>
      <c r="GH121" s="23"/>
      <c r="GI121" s="23"/>
      <c r="GJ121" s="23"/>
      <c r="GK121" s="23"/>
      <c r="GL121" s="23"/>
      <c r="GM121" s="23"/>
      <c r="GN121" s="23"/>
      <c r="GO121" s="23"/>
      <c r="GP121" s="7"/>
      <c r="GQ121" s="7"/>
      <c r="GR121" s="7"/>
      <c r="GS121" s="7"/>
      <c r="GT121" s="7"/>
      <c r="GU121" s="7"/>
      <c r="GV121" s="7"/>
    </row>
    <row r="122" spans="1:204" ht="15.5" x14ac:dyDescent="0.35">
      <c r="A122" s="12"/>
      <c r="B122" s="7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5"/>
      <c r="FZ122" s="25"/>
      <c r="GA122" s="7"/>
      <c r="GB122" s="25"/>
      <c r="GC122" s="25"/>
      <c r="GD122" s="25"/>
      <c r="GE122" s="25"/>
      <c r="GF122" s="25"/>
      <c r="GG122" s="7"/>
      <c r="GH122" s="23"/>
      <c r="GI122" s="23"/>
      <c r="GJ122" s="23"/>
      <c r="GK122" s="23"/>
      <c r="GL122" s="23"/>
      <c r="GM122" s="23"/>
      <c r="GN122" s="23"/>
      <c r="GO122" s="23"/>
      <c r="GP122" s="7"/>
      <c r="GQ122" s="7"/>
      <c r="GR122" s="7"/>
      <c r="GS122" s="7"/>
      <c r="GT122" s="7"/>
      <c r="GU122" s="7"/>
      <c r="GV122" s="7"/>
    </row>
    <row r="123" spans="1:204" ht="15.5" x14ac:dyDescent="0.35">
      <c r="A123" s="12"/>
      <c r="B123" s="5" t="s">
        <v>634</v>
      </c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5"/>
      <c r="FZ123" s="25"/>
      <c r="GA123" s="7"/>
      <c r="GB123" s="25"/>
      <c r="GC123" s="25"/>
      <c r="GD123" s="25"/>
      <c r="GE123" s="25"/>
      <c r="GF123" s="25"/>
      <c r="GG123" s="7"/>
      <c r="GH123" s="23"/>
      <c r="GI123" s="23"/>
      <c r="GJ123" s="23"/>
      <c r="GK123" s="23"/>
      <c r="GL123" s="23"/>
      <c r="GM123" s="23"/>
      <c r="GN123" s="23"/>
      <c r="GO123" s="23"/>
      <c r="GP123" s="7"/>
      <c r="GQ123" s="7"/>
      <c r="GR123" s="7"/>
      <c r="GS123" s="7"/>
      <c r="GT123" s="7"/>
      <c r="GU123" s="7"/>
      <c r="GV123" s="7"/>
    </row>
    <row r="124" spans="1:204" ht="15.5" x14ac:dyDescent="0.35">
      <c r="A124" s="12" t="s">
        <v>635</v>
      </c>
      <c r="B124" s="7" t="s">
        <v>578</v>
      </c>
      <c r="C124" s="23">
        <f t="shared" ref="C124:FX124" si="64">C72</f>
        <v>6384.5</v>
      </c>
      <c r="D124" s="23">
        <f t="shared" si="64"/>
        <v>37733</v>
      </c>
      <c r="E124" s="23">
        <f t="shared" si="64"/>
        <v>5620.8</v>
      </c>
      <c r="F124" s="23">
        <f t="shared" si="64"/>
        <v>22394.6</v>
      </c>
      <c r="G124" s="23">
        <f t="shared" si="64"/>
        <v>1844</v>
      </c>
      <c r="H124" s="23">
        <f t="shared" si="64"/>
        <v>1095.5</v>
      </c>
      <c r="I124" s="23">
        <f t="shared" si="64"/>
        <v>7935</v>
      </c>
      <c r="J124" s="23">
        <f t="shared" si="64"/>
        <v>2040.6</v>
      </c>
      <c r="K124" s="23">
        <f t="shared" si="64"/>
        <v>251.7</v>
      </c>
      <c r="L124" s="23">
        <f t="shared" si="64"/>
        <v>2111.5</v>
      </c>
      <c r="M124" s="23">
        <f t="shared" si="64"/>
        <v>909.1</v>
      </c>
      <c r="N124" s="23">
        <f t="shared" si="64"/>
        <v>50169.9</v>
      </c>
      <c r="O124" s="23">
        <f t="shared" si="64"/>
        <v>12674.8</v>
      </c>
      <c r="P124" s="23">
        <f t="shared" si="64"/>
        <v>315.3</v>
      </c>
      <c r="Q124" s="23">
        <f t="shared" si="64"/>
        <v>39308.6</v>
      </c>
      <c r="R124" s="23">
        <f t="shared" si="64"/>
        <v>481.8</v>
      </c>
      <c r="S124" s="23">
        <f t="shared" si="64"/>
        <v>1573.5</v>
      </c>
      <c r="T124" s="23">
        <f t="shared" si="64"/>
        <v>161.1</v>
      </c>
      <c r="U124" s="23">
        <f t="shared" si="64"/>
        <v>60</v>
      </c>
      <c r="V124" s="23">
        <f t="shared" si="64"/>
        <v>256.39999999999998</v>
      </c>
      <c r="W124" s="23">
        <f t="shared" si="64"/>
        <v>59</v>
      </c>
      <c r="X124" s="23">
        <f t="shared" si="64"/>
        <v>60</v>
      </c>
      <c r="Y124" s="23">
        <f t="shared" si="64"/>
        <v>421.3</v>
      </c>
      <c r="Z124" s="23">
        <f t="shared" si="64"/>
        <v>231.1</v>
      </c>
      <c r="AA124" s="23">
        <f t="shared" si="64"/>
        <v>30476.1</v>
      </c>
      <c r="AB124" s="23">
        <f t="shared" si="64"/>
        <v>26850.7</v>
      </c>
      <c r="AC124" s="23">
        <f t="shared" si="64"/>
        <v>892.9</v>
      </c>
      <c r="AD124" s="23">
        <f t="shared" si="64"/>
        <v>1435.1</v>
      </c>
      <c r="AE124" s="23">
        <f t="shared" si="64"/>
        <v>97</v>
      </c>
      <c r="AF124" s="23">
        <f t="shared" si="64"/>
        <v>165.8</v>
      </c>
      <c r="AG124" s="23">
        <f t="shared" si="64"/>
        <v>593.4</v>
      </c>
      <c r="AH124" s="23">
        <f t="shared" si="64"/>
        <v>945.4</v>
      </c>
      <c r="AI124" s="23">
        <f t="shared" si="64"/>
        <v>383</v>
      </c>
      <c r="AJ124" s="23">
        <f t="shared" si="64"/>
        <v>181.5</v>
      </c>
      <c r="AK124" s="23">
        <f t="shared" si="64"/>
        <v>162.80000000000001</v>
      </c>
      <c r="AL124" s="23">
        <f t="shared" si="64"/>
        <v>288.5</v>
      </c>
      <c r="AM124" s="23">
        <f t="shared" si="64"/>
        <v>340</v>
      </c>
      <c r="AN124" s="23">
        <f t="shared" si="64"/>
        <v>291.5</v>
      </c>
      <c r="AO124" s="23">
        <f t="shared" si="64"/>
        <v>3954.7</v>
      </c>
      <c r="AP124" s="23">
        <f t="shared" si="64"/>
        <v>83959.6</v>
      </c>
      <c r="AQ124" s="23">
        <f t="shared" si="64"/>
        <v>251</v>
      </c>
      <c r="AR124" s="23">
        <f t="shared" si="64"/>
        <v>60303.9</v>
      </c>
      <c r="AS124" s="23">
        <f t="shared" si="64"/>
        <v>6422.3</v>
      </c>
      <c r="AT124" s="23">
        <f t="shared" si="64"/>
        <v>2360.1999999999998</v>
      </c>
      <c r="AU124" s="23">
        <f t="shared" si="64"/>
        <v>271</v>
      </c>
      <c r="AV124" s="23">
        <f t="shared" si="64"/>
        <v>305.39999999999998</v>
      </c>
      <c r="AW124" s="23">
        <f t="shared" si="64"/>
        <v>255</v>
      </c>
      <c r="AX124" s="23">
        <f t="shared" si="64"/>
        <v>81</v>
      </c>
      <c r="AY124" s="23">
        <f t="shared" si="64"/>
        <v>402</v>
      </c>
      <c r="AZ124" s="23">
        <f t="shared" si="64"/>
        <v>12006.9</v>
      </c>
      <c r="BA124" s="23">
        <f t="shared" si="64"/>
        <v>8874.5</v>
      </c>
      <c r="BB124" s="23">
        <f t="shared" si="64"/>
        <v>7477.2</v>
      </c>
      <c r="BC124" s="23">
        <f t="shared" si="64"/>
        <v>24166.1</v>
      </c>
      <c r="BD124" s="23">
        <f t="shared" si="64"/>
        <v>3633.5</v>
      </c>
      <c r="BE124" s="23">
        <f t="shared" si="64"/>
        <v>1174.5</v>
      </c>
      <c r="BF124" s="23">
        <f t="shared" si="64"/>
        <v>24386.3</v>
      </c>
      <c r="BG124" s="23">
        <f t="shared" si="64"/>
        <v>920.6</v>
      </c>
      <c r="BH124" s="23">
        <f t="shared" si="64"/>
        <v>542.79999999999995</v>
      </c>
      <c r="BI124" s="23">
        <f t="shared" si="64"/>
        <v>257.3</v>
      </c>
      <c r="BJ124" s="23">
        <f t="shared" si="64"/>
        <v>6297.4</v>
      </c>
      <c r="BK124" s="23">
        <f t="shared" si="64"/>
        <v>21864.7</v>
      </c>
      <c r="BL124" s="23">
        <f t="shared" si="64"/>
        <v>69.5</v>
      </c>
      <c r="BM124" s="23">
        <f t="shared" si="64"/>
        <v>340.8</v>
      </c>
      <c r="BN124" s="23">
        <f t="shared" si="64"/>
        <v>3062.6</v>
      </c>
      <c r="BO124" s="23">
        <f t="shared" si="64"/>
        <v>1232.5999999999999</v>
      </c>
      <c r="BP124" s="23">
        <f t="shared" si="64"/>
        <v>152</v>
      </c>
      <c r="BQ124" s="23">
        <f t="shared" si="64"/>
        <v>5869.6</v>
      </c>
      <c r="BR124" s="23">
        <f t="shared" si="64"/>
        <v>4488.3999999999996</v>
      </c>
      <c r="BS124" s="23">
        <f t="shared" si="64"/>
        <v>1158.0999999999999</v>
      </c>
      <c r="BT124" s="23">
        <f t="shared" si="64"/>
        <v>362.5</v>
      </c>
      <c r="BU124" s="23">
        <f t="shared" si="64"/>
        <v>392.6</v>
      </c>
      <c r="BV124" s="23">
        <f t="shared" si="64"/>
        <v>1245.3</v>
      </c>
      <c r="BW124" s="23">
        <f t="shared" si="64"/>
        <v>2017.5</v>
      </c>
      <c r="BX124" s="23">
        <f t="shared" si="64"/>
        <v>65.900000000000006</v>
      </c>
      <c r="BY124" s="23">
        <f t="shared" si="64"/>
        <v>421.9</v>
      </c>
      <c r="BZ124" s="23">
        <f t="shared" si="64"/>
        <v>228</v>
      </c>
      <c r="CA124" s="23">
        <f t="shared" si="64"/>
        <v>144.5</v>
      </c>
      <c r="CB124" s="23">
        <f t="shared" si="64"/>
        <v>72061.600000000006</v>
      </c>
      <c r="CC124" s="23">
        <f t="shared" si="64"/>
        <v>189.3</v>
      </c>
      <c r="CD124" s="23">
        <f t="shared" si="64"/>
        <v>60</v>
      </c>
      <c r="CE124" s="23">
        <f t="shared" si="64"/>
        <v>158.30000000000001</v>
      </c>
      <c r="CF124" s="23">
        <f t="shared" si="64"/>
        <v>105.3</v>
      </c>
      <c r="CG124" s="23">
        <f t="shared" si="64"/>
        <v>197.6</v>
      </c>
      <c r="CH124" s="23">
        <f t="shared" si="64"/>
        <v>95.1</v>
      </c>
      <c r="CI124" s="23">
        <f t="shared" si="64"/>
        <v>687.9</v>
      </c>
      <c r="CJ124" s="23">
        <f t="shared" si="64"/>
        <v>862.8</v>
      </c>
      <c r="CK124" s="23">
        <f t="shared" si="64"/>
        <v>4856.1000000000004</v>
      </c>
      <c r="CL124" s="23">
        <f t="shared" si="64"/>
        <v>1207.5999999999999</v>
      </c>
      <c r="CM124" s="23">
        <f t="shared" si="64"/>
        <v>684.5</v>
      </c>
      <c r="CN124" s="23">
        <f t="shared" si="64"/>
        <v>30547.3</v>
      </c>
      <c r="CO124" s="23">
        <f t="shared" si="64"/>
        <v>14217.5</v>
      </c>
      <c r="CP124" s="23">
        <f t="shared" si="64"/>
        <v>912.3</v>
      </c>
      <c r="CQ124" s="23">
        <f t="shared" si="64"/>
        <v>766.8</v>
      </c>
      <c r="CR124" s="23">
        <f t="shared" si="64"/>
        <v>215.8</v>
      </c>
      <c r="CS124" s="23">
        <f t="shared" si="64"/>
        <v>278.39999999999998</v>
      </c>
      <c r="CT124" s="23">
        <f t="shared" si="64"/>
        <v>113.5</v>
      </c>
      <c r="CU124" s="23">
        <f t="shared" si="64"/>
        <v>69</v>
      </c>
      <c r="CV124" s="23">
        <f t="shared" si="64"/>
        <v>60</v>
      </c>
      <c r="CW124" s="23">
        <f t="shared" si="64"/>
        <v>198.7</v>
      </c>
      <c r="CX124" s="23">
        <f t="shared" si="64"/>
        <v>461.4</v>
      </c>
      <c r="CY124" s="23">
        <f t="shared" si="64"/>
        <v>60</v>
      </c>
      <c r="CZ124" s="23">
        <f t="shared" si="64"/>
        <v>1786.5</v>
      </c>
      <c r="DA124" s="23">
        <f t="shared" si="64"/>
        <v>203.5</v>
      </c>
      <c r="DB124" s="23">
        <f t="shared" si="64"/>
        <v>315.8</v>
      </c>
      <c r="DC124" s="23">
        <f t="shared" si="64"/>
        <v>193</v>
      </c>
      <c r="DD124" s="23">
        <f t="shared" si="64"/>
        <v>174.5</v>
      </c>
      <c r="DE124" s="23">
        <f t="shared" si="64"/>
        <v>284.8</v>
      </c>
      <c r="DF124" s="23">
        <f t="shared" si="64"/>
        <v>20529.7</v>
      </c>
      <c r="DG124" s="23">
        <f t="shared" si="64"/>
        <v>93.5</v>
      </c>
      <c r="DH124" s="23">
        <f t="shared" si="64"/>
        <v>1770.5</v>
      </c>
      <c r="DI124" s="23">
        <f t="shared" si="64"/>
        <v>2414.4</v>
      </c>
      <c r="DJ124" s="23">
        <f t="shared" si="64"/>
        <v>613.1</v>
      </c>
      <c r="DK124" s="23">
        <f t="shared" si="64"/>
        <v>477.7</v>
      </c>
      <c r="DL124" s="23">
        <f t="shared" si="64"/>
        <v>5676</v>
      </c>
      <c r="DM124" s="23">
        <f t="shared" si="64"/>
        <v>235</v>
      </c>
      <c r="DN124" s="23">
        <f t="shared" si="64"/>
        <v>1294.5</v>
      </c>
      <c r="DO124" s="23">
        <f t="shared" si="64"/>
        <v>3290</v>
      </c>
      <c r="DP124" s="23">
        <f t="shared" si="64"/>
        <v>199.1</v>
      </c>
      <c r="DQ124" s="23">
        <f t="shared" si="64"/>
        <v>887</v>
      </c>
      <c r="DR124" s="23">
        <f t="shared" si="64"/>
        <v>1305.5</v>
      </c>
      <c r="DS124" s="23">
        <f t="shared" si="64"/>
        <v>580</v>
      </c>
      <c r="DT124" s="23">
        <f t="shared" si="64"/>
        <v>176.5</v>
      </c>
      <c r="DU124" s="23">
        <f t="shared" si="64"/>
        <v>347.7</v>
      </c>
      <c r="DV124" s="23">
        <f t="shared" si="64"/>
        <v>205.8</v>
      </c>
      <c r="DW124" s="23">
        <f t="shared" si="64"/>
        <v>297.39999999999998</v>
      </c>
      <c r="DX124" s="23">
        <f t="shared" si="64"/>
        <v>168</v>
      </c>
      <c r="DY124" s="23">
        <f t="shared" si="64"/>
        <v>293.10000000000002</v>
      </c>
      <c r="DZ124" s="23">
        <f t="shared" si="64"/>
        <v>661.3</v>
      </c>
      <c r="EA124" s="23">
        <f t="shared" si="64"/>
        <v>526.9</v>
      </c>
      <c r="EB124" s="23">
        <f t="shared" si="64"/>
        <v>522.5</v>
      </c>
      <c r="EC124" s="23">
        <f t="shared" si="64"/>
        <v>278.60000000000002</v>
      </c>
      <c r="ED124" s="23">
        <f t="shared" si="64"/>
        <v>1549</v>
      </c>
      <c r="EE124" s="23">
        <f t="shared" si="64"/>
        <v>191.6</v>
      </c>
      <c r="EF124" s="23">
        <f t="shared" si="64"/>
        <v>1323.8</v>
      </c>
      <c r="EG124" s="23">
        <f t="shared" si="64"/>
        <v>253.5</v>
      </c>
      <c r="EH124" s="23">
        <f t="shared" si="64"/>
        <v>247.4</v>
      </c>
      <c r="EI124" s="23">
        <f t="shared" si="64"/>
        <v>13726.9</v>
      </c>
      <c r="EJ124" s="23">
        <f t="shared" si="64"/>
        <v>9921.6</v>
      </c>
      <c r="EK124" s="23">
        <f t="shared" si="64"/>
        <v>665.6</v>
      </c>
      <c r="EL124" s="23">
        <f t="shared" si="64"/>
        <v>457.3</v>
      </c>
      <c r="EM124" s="23">
        <f t="shared" si="64"/>
        <v>371.1</v>
      </c>
      <c r="EN124" s="23">
        <f t="shared" si="64"/>
        <v>888.6</v>
      </c>
      <c r="EO124" s="23">
        <f t="shared" si="64"/>
        <v>299.5</v>
      </c>
      <c r="EP124" s="23">
        <f t="shared" si="64"/>
        <v>428.5</v>
      </c>
      <c r="EQ124" s="23">
        <f t="shared" si="64"/>
        <v>2594.8000000000002</v>
      </c>
      <c r="ER124" s="23">
        <f t="shared" si="64"/>
        <v>307.60000000000002</v>
      </c>
      <c r="ES124" s="23">
        <f t="shared" si="64"/>
        <v>163</v>
      </c>
      <c r="ET124" s="23">
        <f t="shared" si="64"/>
        <v>197.5</v>
      </c>
      <c r="EU124" s="23">
        <f t="shared" si="64"/>
        <v>573.5</v>
      </c>
      <c r="EV124" s="23">
        <f t="shared" si="64"/>
        <v>72.3</v>
      </c>
      <c r="EW124" s="23">
        <f t="shared" si="64"/>
        <v>804.4</v>
      </c>
      <c r="EX124" s="23">
        <f t="shared" si="64"/>
        <v>173.5</v>
      </c>
      <c r="EY124" s="23">
        <f t="shared" si="64"/>
        <v>205.5</v>
      </c>
      <c r="EZ124" s="23">
        <f t="shared" si="64"/>
        <v>129.30000000000001</v>
      </c>
      <c r="FA124" s="23">
        <f t="shared" si="64"/>
        <v>3358.5</v>
      </c>
      <c r="FB124" s="23">
        <f t="shared" si="64"/>
        <v>276.10000000000002</v>
      </c>
      <c r="FC124" s="23">
        <f t="shared" si="64"/>
        <v>1771.7</v>
      </c>
      <c r="FD124" s="23">
        <f t="shared" si="64"/>
        <v>402</v>
      </c>
      <c r="FE124" s="23">
        <f t="shared" si="64"/>
        <v>77.3</v>
      </c>
      <c r="FF124" s="23">
        <f t="shared" si="64"/>
        <v>181</v>
      </c>
      <c r="FG124" s="23">
        <f t="shared" si="64"/>
        <v>119.8</v>
      </c>
      <c r="FH124" s="23">
        <f t="shared" si="64"/>
        <v>70</v>
      </c>
      <c r="FI124" s="23">
        <f t="shared" si="64"/>
        <v>1681.9</v>
      </c>
      <c r="FJ124" s="23">
        <f t="shared" si="64"/>
        <v>2016.5</v>
      </c>
      <c r="FK124" s="23">
        <f t="shared" si="64"/>
        <v>2527.9</v>
      </c>
      <c r="FL124" s="23">
        <f t="shared" si="64"/>
        <v>8538.5</v>
      </c>
      <c r="FM124" s="23">
        <f t="shared" si="64"/>
        <v>3981.5</v>
      </c>
      <c r="FN124" s="23">
        <f t="shared" si="64"/>
        <v>22422.3</v>
      </c>
      <c r="FO124" s="23">
        <f t="shared" si="64"/>
        <v>1117.2</v>
      </c>
      <c r="FP124" s="23">
        <f t="shared" si="64"/>
        <v>2341.5</v>
      </c>
      <c r="FQ124" s="23">
        <f t="shared" si="64"/>
        <v>982.5</v>
      </c>
      <c r="FR124" s="23">
        <f t="shared" si="64"/>
        <v>165.4</v>
      </c>
      <c r="FS124" s="23">
        <f t="shared" si="64"/>
        <v>164.6</v>
      </c>
      <c r="FT124" s="23">
        <f t="shared" si="64"/>
        <v>60</v>
      </c>
      <c r="FU124" s="23">
        <f t="shared" si="64"/>
        <v>784.3</v>
      </c>
      <c r="FV124" s="23">
        <f t="shared" si="64"/>
        <v>692</v>
      </c>
      <c r="FW124" s="23">
        <f t="shared" si="64"/>
        <v>141.30000000000001</v>
      </c>
      <c r="FX124" s="23">
        <f t="shared" si="64"/>
        <v>64.5</v>
      </c>
      <c r="FY124" s="25"/>
      <c r="FZ124" s="25"/>
      <c r="GA124" s="7"/>
      <c r="GB124" s="25"/>
      <c r="GC124" s="25"/>
      <c r="GD124" s="25"/>
      <c r="GE124" s="25"/>
      <c r="GF124" s="25"/>
      <c r="GG124" s="7"/>
      <c r="GH124" s="23"/>
      <c r="GI124" s="23"/>
      <c r="GJ124" s="23"/>
      <c r="GK124" s="23"/>
      <c r="GL124" s="23"/>
      <c r="GM124" s="23"/>
      <c r="GN124" s="23"/>
      <c r="GO124" s="23"/>
      <c r="GP124" s="7"/>
      <c r="GQ124" s="7"/>
      <c r="GR124" s="7"/>
      <c r="GS124" s="7"/>
      <c r="GT124" s="7"/>
      <c r="GU124" s="7"/>
      <c r="GV124" s="7"/>
    </row>
    <row r="125" spans="1:204" ht="15.5" x14ac:dyDescent="0.35">
      <c r="A125" s="12" t="s">
        <v>636</v>
      </c>
      <c r="B125" s="7" t="s">
        <v>637</v>
      </c>
      <c r="C125" s="46">
        <v>1.24</v>
      </c>
      <c r="D125" s="46">
        <v>1.2330000000000001</v>
      </c>
      <c r="E125" s="46">
        <v>1.238</v>
      </c>
      <c r="F125" s="46">
        <v>1.212</v>
      </c>
      <c r="G125" s="46">
        <v>1.2010000000000001</v>
      </c>
      <c r="H125" s="46">
        <v>1.18</v>
      </c>
      <c r="I125" s="46">
        <v>1.2370000000000001</v>
      </c>
      <c r="J125" s="46">
        <v>1.052</v>
      </c>
      <c r="K125" s="46">
        <v>1.054</v>
      </c>
      <c r="L125" s="46">
        <v>1.256</v>
      </c>
      <c r="M125" s="46">
        <v>1.2490000000000001</v>
      </c>
      <c r="N125" s="46">
        <v>1.2370000000000001</v>
      </c>
      <c r="O125" s="46">
        <v>1.2470000000000001</v>
      </c>
      <c r="P125" s="46">
        <v>1.1679999999999999</v>
      </c>
      <c r="Q125" s="46">
        <v>1.246</v>
      </c>
      <c r="R125" s="46">
        <v>1.1950000000000001</v>
      </c>
      <c r="S125" s="46">
        <v>1.1479999999999999</v>
      </c>
      <c r="T125" s="46">
        <v>1.018</v>
      </c>
      <c r="U125" s="46">
        <v>1.018</v>
      </c>
      <c r="V125" s="46">
        <v>1</v>
      </c>
      <c r="W125" s="46">
        <v>1.0009999999999999</v>
      </c>
      <c r="X125" s="46">
        <v>1.0069999999999999</v>
      </c>
      <c r="Y125" s="46">
        <v>1.0740000000000001</v>
      </c>
      <c r="Z125" s="46">
        <v>1.034</v>
      </c>
      <c r="AA125" s="46">
        <v>1.2010000000000001</v>
      </c>
      <c r="AB125" s="46">
        <v>1.254</v>
      </c>
      <c r="AC125" s="46">
        <v>1.204</v>
      </c>
      <c r="AD125" s="46">
        <v>1.1970000000000001</v>
      </c>
      <c r="AE125" s="46">
        <v>1.04</v>
      </c>
      <c r="AF125" s="46">
        <v>1.034</v>
      </c>
      <c r="AG125" s="46">
        <v>1.2250000000000001</v>
      </c>
      <c r="AH125" s="46">
        <v>1.04</v>
      </c>
      <c r="AI125" s="46">
        <v>1.036</v>
      </c>
      <c r="AJ125" s="46">
        <v>1.0369999999999999</v>
      </c>
      <c r="AK125" s="46">
        <v>1.0449999999999999</v>
      </c>
      <c r="AL125" s="46">
        <v>1.0589999999999999</v>
      </c>
      <c r="AM125" s="46">
        <v>1.0740000000000001</v>
      </c>
      <c r="AN125" s="46">
        <v>1.157</v>
      </c>
      <c r="AO125" s="46">
        <v>1.1160000000000001</v>
      </c>
      <c r="AP125" s="46">
        <v>1.272</v>
      </c>
      <c r="AQ125" s="46">
        <v>1.123</v>
      </c>
      <c r="AR125" s="46">
        <v>1.2230000000000001</v>
      </c>
      <c r="AS125" s="46">
        <v>1.3149999999999999</v>
      </c>
      <c r="AT125" s="46">
        <v>1.202</v>
      </c>
      <c r="AU125" s="46">
        <v>1.175</v>
      </c>
      <c r="AV125" s="46">
        <v>1.1419999999999999</v>
      </c>
      <c r="AW125" s="46">
        <v>1.179</v>
      </c>
      <c r="AX125" s="46">
        <v>1.167</v>
      </c>
      <c r="AY125" s="46">
        <v>1.177</v>
      </c>
      <c r="AZ125" s="46">
        <v>1.1970000000000001</v>
      </c>
      <c r="BA125" s="46">
        <v>1.2</v>
      </c>
      <c r="BB125" s="46">
        <v>1.198</v>
      </c>
      <c r="BC125" s="46">
        <v>1.194</v>
      </c>
      <c r="BD125" s="46">
        <v>1.2050000000000001</v>
      </c>
      <c r="BE125" s="46">
        <v>1.2010000000000001</v>
      </c>
      <c r="BF125" s="46">
        <v>1.2030000000000001</v>
      </c>
      <c r="BG125" s="46">
        <v>1.181</v>
      </c>
      <c r="BH125" s="46">
        <v>1.2</v>
      </c>
      <c r="BI125" s="46">
        <v>1.1879999999999999</v>
      </c>
      <c r="BJ125" s="46">
        <v>1.2090000000000001</v>
      </c>
      <c r="BK125" s="46">
        <v>1.1970000000000001</v>
      </c>
      <c r="BL125" s="46">
        <v>1.1459999999999999</v>
      </c>
      <c r="BM125" s="46">
        <v>1.179</v>
      </c>
      <c r="BN125" s="46">
        <v>1.139</v>
      </c>
      <c r="BO125" s="46">
        <v>1.1479999999999999</v>
      </c>
      <c r="BP125" s="46">
        <v>1.169</v>
      </c>
      <c r="BQ125" s="46">
        <v>1.2969999999999999</v>
      </c>
      <c r="BR125" s="46">
        <v>1.2090000000000001</v>
      </c>
      <c r="BS125" s="46">
        <v>1.1659999999999999</v>
      </c>
      <c r="BT125" s="46">
        <v>1.179</v>
      </c>
      <c r="BU125" s="46">
        <v>1.242</v>
      </c>
      <c r="BV125" s="46">
        <v>1.2749999999999999</v>
      </c>
      <c r="BW125" s="46">
        <v>1.238</v>
      </c>
      <c r="BX125" s="46">
        <v>1.149</v>
      </c>
      <c r="BY125" s="46">
        <v>1.0940000000000001</v>
      </c>
      <c r="BZ125" s="46">
        <v>1.113</v>
      </c>
      <c r="CA125" s="46">
        <v>1.099</v>
      </c>
      <c r="CB125" s="46">
        <v>1.224</v>
      </c>
      <c r="CC125" s="46">
        <v>1.026</v>
      </c>
      <c r="CD125" s="46">
        <v>1.0469999999999999</v>
      </c>
      <c r="CE125" s="46">
        <v>1.0860000000000001</v>
      </c>
      <c r="CF125" s="46">
        <v>1.0840000000000001</v>
      </c>
      <c r="CG125" s="46">
        <v>1.085</v>
      </c>
      <c r="CH125" s="46">
        <v>1.0820000000000001</v>
      </c>
      <c r="CI125" s="46">
        <v>1.077</v>
      </c>
      <c r="CJ125" s="46">
        <v>1.2450000000000001</v>
      </c>
      <c r="CK125" s="46">
        <v>1.2090000000000001</v>
      </c>
      <c r="CL125" s="46">
        <v>1.1850000000000001</v>
      </c>
      <c r="CM125" s="46">
        <v>1.1639999999999999</v>
      </c>
      <c r="CN125" s="46">
        <v>1.181</v>
      </c>
      <c r="CO125" s="46">
        <v>1.1819999999999999</v>
      </c>
      <c r="CP125" s="46">
        <v>1.2410000000000001</v>
      </c>
      <c r="CQ125" s="46">
        <v>1.0369999999999999</v>
      </c>
      <c r="CR125" s="46">
        <v>1.0669999999999999</v>
      </c>
      <c r="CS125" s="46">
        <v>1.04</v>
      </c>
      <c r="CT125" s="46">
        <v>1.0609999999999999</v>
      </c>
      <c r="CU125" s="46">
        <v>1.1419999999999999</v>
      </c>
      <c r="CV125" s="46">
        <v>1.0569999999999999</v>
      </c>
      <c r="CW125" s="46">
        <v>1.089</v>
      </c>
      <c r="CX125" s="46">
        <v>1.107</v>
      </c>
      <c r="CY125" s="46">
        <v>1.101</v>
      </c>
      <c r="CZ125" s="46">
        <v>1.0720000000000001</v>
      </c>
      <c r="DA125" s="46">
        <v>1.0680000000000001</v>
      </c>
      <c r="DB125" s="46">
        <v>1.08</v>
      </c>
      <c r="DC125" s="46">
        <v>1.07</v>
      </c>
      <c r="DD125" s="46">
        <v>1.1479999999999999</v>
      </c>
      <c r="DE125" s="46">
        <v>1.1100000000000001</v>
      </c>
      <c r="DF125" s="46">
        <v>1.103</v>
      </c>
      <c r="DG125" s="46">
        <v>1.08</v>
      </c>
      <c r="DH125" s="46">
        <v>1.159</v>
      </c>
      <c r="DI125" s="46">
        <v>1.125</v>
      </c>
      <c r="DJ125" s="46">
        <v>1.1399999999999999</v>
      </c>
      <c r="DK125" s="46">
        <v>1.1479999999999999</v>
      </c>
      <c r="DL125" s="46">
        <v>1.1559999999999999</v>
      </c>
      <c r="DM125" s="46">
        <v>1.125</v>
      </c>
      <c r="DN125" s="46">
        <v>1.1479999999999999</v>
      </c>
      <c r="DO125" s="46">
        <v>1.145</v>
      </c>
      <c r="DP125" s="46">
        <v>1.157</v>
      </c>
      <c r="DQ125" s="46">
        <v>1.1759999999999999</v>
      </c>
      <c r="DR125" s="46">
        <v>1.02</v>
      </c>
      <c r="DS125" s="46">
        <v>1.038</v>
      </c>
      <c r="DT125" s="46">
        <v>1.048</v>
      </c>
      <c r="DU125" s="46">
        <v>1.0940000000000001</v>
      </c>
      <c r="DV125" s="46">
        <v>1.02</v>
      </c>
      <c r="DW125" s="46">
        <v>1.0389999999999999</v>
      </c>
      <c r="DX125" s="46">
        <v>1.234</v>
      </c>
      <c r="DY125" s="46">
        <v>1.242</v>
      </c>
      <c r="DZ125" s="46">
        <v>1.2470000000000001</v>
      </c>
      <c r="EA125" s="46">
        <v>1.224</v>
      </c>
      <c r="EB125" s="46">
        <v>1.052</v>
      </c>
      <c r="EC125" s="46">
        <v>1.0589999999999999</v>
      </c>
      <c r="ED125" s="46">
        <v>1.5309999999999999</v>
      </c>
      <c r="EE125" s="46">
        <v>1.016</v>
      </c>
      <c r="EF125" s="46">
        <v>1.0269999999999999</v>
      </c>
      <c r="EG125" s="46">
        <v>1.026</v>
      </c>
      <c r="EH125" s="46">
        <v>1.0269999999999999</v>
      </c>
      <c r="EI125" s="46">
        <v>1.1679999999999999</v>
      </c>
      <c r="EJ125" s="46">
        <v>1.18</v>
      </c>
      <c r="EK125" s="46">
        <v>1.1020000000000001</v>
      </c>
      <c r="EL125" s="46">
        <v>1.0649999999999999</v>
      </c>
      <c r="EM125" s="46">
        <v>1.0820000000000001</v>
      </c>
      <c r="EN125" s="46">
        <v>1.0660000000000001</v>
      </c>
      <c r="EO125" s="46">
        <v>1.0629999999999999</v>
      </c>
      <c r="EP125" s="46">
        <v>1.2430000000000001</v>
      </c>
      <c r="EQ125" s="46">
        <v>1.34</v>
      </c>
      <c r="ER125" s="46">
        <v>1.278</v>
      </c>
      <c r="ES125" s="46">
        <v>1.0880000000000001</v>
      </c>
      <c r="ET125" s="46">
        <v>1.1120000000000001</v>
      </c>
      <c r="EU125" s="46">
        <v>1.052</v>
      </c>
      <c r="EV125" s="46">
        <v>1.198</v>
      </c>
      <c r="EW125" s="46">
        <v>1.3080000000000001</v>
      </c>
      <c r="EX125" s="46">
        <v>1.1459999999999999</v>
      </c>
      <c r="EY125" s="46">
        <v>1.1160000000000001</v>
      </c>
      <c r="EZ125" s="46">
        <v>1.0329999999999999</v>
      </c>
      <c r="FA125" s="46">
        <v>1.4319999999999999</v>
      </c>
      <c r="FB125" s="46">
        <v>1.2030000000000001</v>
      </c>
      <c r="FC125" s="46">
        <v>1.2130000000000001</v>
      </c>
      <c r="FD125" s="46">
        <v>1.0780000000000001</v>
      </c>
      <c r="FE125" s="46">
        <v>1.0900000000000001</v>
      </c>
      <c r="FF125" s="46">
        <v>1.07</v>
      </c>
      <c r="FG125" s="46">
        <v>1.0580000000000001</v>
      </c>
      <c r="FH125" s="46">
        <v>1.109</v>
      </c>
      <c r="FI125" s="46">
        <v>1.1830000000000001</v>
      </c>
      <c r="FJ125" s="46">
        <v>1.167</v>
      </c>
      <c r="FK125" s="46">
        <v>1.1910000000000001</v>
      </c>
      <c r="FL125" s="46">
        <v>1.1859999999999999</v>
      </c>
      <c r="FM125" s="46">
        <v>1.1850000000000001</v>
      </c>
      <c r="FN125" s="46">
        <v>1.1859999999999999</v>
      </c>
      <c r="FO125" s="46">
        <v>1.1719999999999999</v>
      </c>
      <c r="FP125" s="46">
        <v>1.1990000000000001</v>
      </c>
      <c r="FQ125" s="46">
        <v>1.173</v>
      </c>
      <c r="FR125" s="46">
        <v>1.149</v>
      </c>
      <c r="FS125" s="46">
        <v>1.093</v>
      </c>
      <c r="FT125" s="46">
        <v>1.109</v>
      </c>
      <c r="FU125" s="46">
        <v>1.0369999999999999</v>
      </c>
      <c r="FV125" s="46">
        <v>1.0429999999999999</v>
      </c>
      <c r="FW125" s="46">
        <v>1.071</v>
      </c>
      <c r="FX125" s="46">
        <v>1.0640000000000001</v>
      </c>
      <c r="FY125" s="25"/>
      <c r="FZ125" s="25"/>
      <c r="GA125" s="7"/>
      <c r="GB125" s="25"/>
      <c r="GC125" s="25"/>
      <c r="GD125" s="25"/>
      <c r="GE125" s="25"/>
      <c r="GF125" s="25"/>
      <c r="GG125" s="7"/>
      <c r="GH125" s="23"/>
      <c r="GI125" s="23"/>
      <c r="GJ125" s="23"/>
      <c r="GK125" s="23"/>
      <c r="GL125" s="23"/>
      <c r="GM125" s="23"/>
      <c r="GN125" s="23"/>
      <c r="GO125" s="23"/>
      <c r="GP125" s="7"/>
      <c r="GQ125" s="7"/>
      <c r="GR125" s="7"/>
      <c r="GS125" s="7"/>
      <c r="GT125" s="7"/>
      <c r="GU125" s="7"/>
      <c r="GV125" s="7"/>
    </row>
    <row r="126" spans="1:204" ht="15.5" x14ac:dyDescent="0.35">
      <c r="A126" s="12" t="s">
        <v>638</v>
      </c>
      <c r="B126" s="7" t="s">
        <v>639</v>
      </c>
      <c r="C126" s="46">
        <f t="shared" ref="C126:FX126" si="65">MIN(C125-1,$B$4)</f>
        <v>0.23</v>
      </c>
      <c r="D126" s="46">
        <f t="shared" si="65"/>
        <v>0.23</v>
      </c>
      <c r="E126" s="46">
        <f t="shared" si="65"/>
        <v>0.23</v>
      </c>
      <c r="F126" s="46">
        <f t="shared" si="65"/>
        <v>0.21199999999999997</v>
      </c>
      <c r="G126" s="46">
        <f t="shared" si="65"/>
        <v>0.20100000000000007</v>
      </c>
      <c r="H126" s="46">
        <f t="shared" si="65"/>
        <v>0.17999999999999994</v>
      </c>
      <c r="I126" s="46">
        <f t="shared" si="65"/>
        <v>0.23</v>
      </c>
      <c r="J126" s="46">
        <f t="shared" si="65"/>
        <v>5.2000000000000046E-2</v>
      </c>
      <c r="K126" s="46">
        <f t="shared" si="65"/>
        <v>5.4000000000000048E-2</v>
      </c>
      <c r="L126" s="46">
        <f t="shared" si="65"/>
        <v>0.23</v>
      </c>
      <c r="M126" s="46">
        <f t="shared" si="65"/>
        <v>0.23</v>
      </c>
      <c r="N126" s="46">
        <f t="shared" si="65"/>
        <v>0.23</v>
      </c>
      <c r="O126" s="46">
        <f t="shared" si="65"/>
        <v>0.23</v>
      </c>
      <c r="P126" s="46">
        <f t="shared" si="65"/>
        <v>0.16799999999999993</v>
      </c>
      <c r="Q126" s="46">
        <f t="shared" si="65"/>
        <v>0.23</v>
      </c>
      <c r="R126" s="46">
        <f t="shared" si="65"/>
        <v>0.19500000000000006</v>
      </c>
      <c r="S126" s="46">
        <f t="shared" si="65"/>
        <v>0.14799999999999991</v>
      </c>
      <c r="T126" s="46">
        <f t="shared" si="65"/>
        <v>1.8000000000000016E-2</v>
      </c>
      <c r="U126" s="46">
        <f t="shared" si="65"/>
        <v>1.8000000000000016E-2</v>
      </c>
      <c r="V126" s="46">
        <f t="shared" si="65"/>
        <v>0</v>
      </c>
      <c r="W126" s="46">
        <f t="shared" si="65"/>
        <v>9.9999999999988987E-4</v>
      </c>
      <c r="X126" s="46">
        <f t="shared" si="65"/>
        <v>6.9999999999998952E-3</v>
      </c>
      <c r="Y126" s="46">
        <f t="shared" si="65"/>
        <v>7.4000000000000066E-2</v>
      </c>
      <c r="Z126" s="46">
        <f t="shared" si="65"/>
        <v>3.400000000000003E-2</v>
      </c>
      <c r="AA126" s="46">
        <f t="shared" si="65"/>
        <v>0.20100000000000007</v>
      </c>
      <c r="AB126" s="46">
        <f t="shared" si="65"/>
        <v>0.23</v>
      </c>
      <c r="AC126" s="46">
        <f t="shared" si="65"/>
        <v>0.20399999999999996</v>
      </c>
      <c r="AD126" s="46">
        <f t="shared" si="65"/>
        <v>0.19700000000000006</v>
      </c>
      <c r="AE126" s="46">
        <f t="shared" si="65"/>
        <v>4.0000000000000036E-2</v>
      </c>
      <c r="AF126" s="46">
        <f t="shared" si="65"/>
        <v>3.400000000000003E-2</v>
      </c>
      <c r="AG126" s="46">
        <f t="shared" si="65"/>
        <v>0.22500000000000009</v>
      </c>
      <c r="AH126" s="46">
        <f t="shared" si="65"/>
        <v>4.0000000000000036E-2</v>
      </c>
      <c r="AI126" s="46">
        <f t="shared" si="65"/>
        <v>3.6000000000000032E-2</v>
      </c>
      <c r="AJ126" s="46">
        <f t="shared" si="65"/>
        <v>3.6999999999999922E-2</v>
      </c>
      <c r="AK126" s="46">
        <f t="shared" si="65"/>
        <v>4.4999999999999929E-2</v>
      </c>
      <c r="AL126" s="46">
        <f t="shared" si="65"/>
        <v>5.8999999999999941E-2</v>
      </c>
      <c r="AM126" s="46">
        <f t="shared" si="65"/>
        <v>7.4000000000000066E-2</v>
      </c>
      <c r="AN126" s="46">
        <f t="shared" si="65"/>
        <v>0.15700000000000003</v>
      </c>
      <c r="AO126" s="46">
        <f t="shared" si="65"/>
        <v>0.1160000000000001</v>
      </c>
      <c r="AP126" s="46">
        <f t="shared" si="65"/>
        <v>0.23</v>
      </c>
      <c r="AQ126" s="46">
        <f t="shared" si="65"/>
        <v>0.123</v>
      </c>
      <c r="AR126" s="46">
        <f t="shared" si="65"/>
        <v>0.22300000000000009</v>
      </c>
      <c r="AS126" s="46">
        <f t="shared" si="65"/>
        <v>0.23</v>
      </c>
      <c r="AT126" s="46">
        <f t="shared" si="65"/>
        <v>0.20199999999999996</v>
      </c>
      <c r="AU126" s="46">
        <f t="shared" si="65"/>
        <v>0.17500000000000004</v>
      </c>
      <c r="AV126" s="46">
        <f t="shared" si="65"/>
        <v>0.1419999999999999</v>
      </c>
      <c r="AW126" s="46">
        <f t="shared" si="65"/>
        <v>0.17900000000000005</v>
      </c>
      <c r="AX126" s="46">
        <f t="shared" si="65"/>
        <v>0.16700000000000004</v>
      </c>
      <c r="AY126" s="46">
        <f t="shared" si="65"/>
        <v>0.17700000000000005</v>
      </c>
      <c r="AZ126" s="46">
        <f t="shared" si="65"/>
        <v>0.19700000000000006</v>
      </c>
      <c r="BA126" s="46">
        <f t="shared" si="65"/>
        <v>0.19999999999999996</v>
      </c>
      <c r="BB126" s="46">
        <f t="shared" si="65"/>
        <v>0.19799999999999995</v>
      </c>
      <c r="BC126" s="46">
        <f t="shared" si="65"/>
        <v>0.19399999999999995</v>
      </c>
      <c r="BD126" s="46">
        <f t="shared" si="65"/>
        <v>0.20500000000000007</v>
      </c>
      <c r="BE126" s="46">
        <f t="shared" si="65"/>
        <v>0.20100000000000007</v>
      </c>
      <c r="BF126" s="46">
        <f t="shared" si="65"/>
        <v>0.20300000000000007</v>
      </c>
      <c r="BG126" s="46">
        <f t="shared" si="65"/>
        <v>0.18100000000000005</v>
      </c>
      <c r="BH126" s="46">
        <f t="shared" si="65"/>
        <v>0.19999999999999996</v>
      </c>
      <c r="BI126" s="46">
        <f t="shared" si="65"/>
        <v>0.18799999999999994</v>
      </c>
      <c r="BJ126" s="46">
        <f t="shared" si="65"/>
        <v>0.20900000000000007</v>
      </c>
      <c r="BK126" s="46">
        <f t="shared" si="65"/>
        <v>0.19700000000000006</v>
      </c>
      <c r="BL126" s="46">
        <f t="shared" si="65"/>
        <v>0.14599999999999991</v>
      </c>
      <c r="BM126" s="46">
        <f t="shared" si="65"/>
        <v>0.17900000000000005</v>
      </c>
      <c r="BN126" s="46">
        <f t="shared" si="65"/>
        <v>0.13900000000000001</v>
      </c>
      <c r="BO126" s="46">
        <f t="shared" si="65"/>
        <v>0.14799999999999991</v>
      </c>
      <c r="BP126" s="46">
        <f t="shared" si="65"/>
        <v>0.16900000000000004</v>
      </c>
      <c r="BQ126" s="46">
        <f t="shared" si="65"/>
        <v>0.23</v>
      </c>
      <c r="BR126" s="46">
        <f t="shared" si="65"/>
        <v>0.20900000000000007</v>
      </c>
      <c r="BS126" s="46">
        <f t="shared" si="65"/>
        <v>0.16599999999999993</v>
      </c>
      <c r="BT126" s="46">
        <f t="shared" si="65"/>
        <v>0.17900000000000005</v>
      </c>
      <c r="BU126" s="46">
        <f t="shared" si="65"/>
        <v>0.23</v>
      </c>
      <c r="BV126" s="46">
        <f t="shared" si="65"/>
        <v>0.23</v>
      </c>
      <c r="BW126" s="46">
        <f t="shared" si="65"/>
        <v>0.23</v>
      </c>
      <c r="BX126" s="46">
        <f t="shared" si="65"/>
        <v>0.14900000000000002</v>
      </c>
      <c r="BY126" s="46">
        <f t="shared" si="65"/>
        <v>9.4000000000000083E-2</v>
      </c>
      <c r="BZ126" s="46">
        <f t="shared" si="65"/>
        <v>0.11299999999999999</v>
      </c>
      <c r="CA126" s="46">
        <f t="shared" si="65"/>
        <v>9.8999999999999977E-2</v>
      </c>
      <c r="CB126" s="46">
        <f t="shared" si="65"/>
        <v>0.22399999999999998</v>
      </c>
      <c r="CC126" s="46">
        <f t="shared" si="65"/>
        <v>2.6000000000000023E-2</v>
      </c>
      <c r="CD126" s="46">
        <f t="shared" si="65"/>
        <v>4.6999999999999931E-2</v>
      </c>
      <c r="CE126" s="46">
        <f t="shared" si="65"/>
        <v>8.6000000000000076E-2</v>
      </c>
      <c r="CF126" s="46">
        <f t="shared" si="65"/>
        <v>8.4000000000000075E-2</v>
      </c>
      <c r="CG126" s="46">
        <f t="shared" si="65"/>
        <v>8.4999999999999964E-2</v>
      </c>
      <c r="CH126" s="46">
        <f t="shared" si="65"/>
        <v>8.2000000000000073E-2</v>
      </c>
      <c r="CI126" s="46">
        <f t="shared" si="65"/>
        <v>7.6999999999999957E-2</v>
      </c>
      <c r="CJ126" s="46">
        <f t="shared" si="65"/>
        <v>0.23</v>
      </c>
      <c r="CK126" s="46">
        <f t="shared" si="65"/>
        <v>0.20900000000000007</v>
      </c>
      <c r="CL126" s="46">
        <f t="shared" si="65"/>
        <v>0.18500000000000005</v>
      </c>
      <c r="CM126" s="46">
        <f t="shared" si="65"/>
        <v>0.16399999999999992</v>
      </c>
      <c r="CN126" s="46">
        <f t="shared" si="65"/>
        <v>0.18100000000000005</v>
      </c>
      <c r="CO126" s="46">
        <f t="shared" si="65"/>
        <v>0.18199999999999994</v>
      </c>
      <c r="CP126" s="46">
        <f t="shared" si="65"/>
        <v>0.23</v>
      </c>
      <c r="CQ126" s="46">
        <f t="shared" si="65"/>
        <v>3.6999999999999922E-2</v>
      </c>
      <c r="CR126" s="46">
        <f t="shared" si="65"/>
        <v>6.6999999999999948E-2</v>
      </c>
      <c r="CS126" s="46">
        <f t="shared" si="65"/>
        <v>4.0000000000000036E-2</v>
      </c>
      <c r="CT126" s="46">
        <f t="shared" si="65"/>
        <v>6.0999999999999943E-2</v>
      </c>
      <c r="CU126" s="46">
        <f t="shared" si="65"/>
        <v>0.1419999999999999</v>
      </c>
      <c r="CV126" s="46">
        <f t="shared" si="65"/>
        <v>5.699999999999994E-2</v>
      </c>
      <c r="CW126" s="46">
        <f t="shared" si="65"/>
        <v>8.8999999999999968E-2</v>
      </c>
      <c r="CX126" s="46">
        <f t="shared" si="65"/>
        <v>0.10699999999999998</v>
      </c>
      <c r="CY126" s="46">
        <f t="shared" si="65"/>
        <v>0.10099999999999998</v>
      </c>
      <c r="CZ126" s="46">
        <f t="shared" si="65"/>
        <v>7.2000000000000064E-2</v>
      </c>
      <c r="DA126" s="46">
        <f t="shared" si="65"/>
        <v>6.800000000000006E-2</v>
      </c>
      <c r="DB126" s="46">
        <f t="shared" si="65"/>
        <v>8.0000000000000071E-2</v>
      </c>
      <c r="DC126" s="46">
        <f t="shared" si="65"/>
        <v>7.0000000000000062E-2</v>
      </c>
      <c r="DD126" s="46">
        <f t="shared" si="65"/>
        <v>0.14799999999999991</v>
      </c>
      <c r="DE126" s="46">
        <f t="shared" si="65"/>
        <v>0.1100000000000001</v>
      </c>
      <c r="DF126" s="46">
        <f t="shared" si="65"/>
        <v>0.10299999999999998</v>
      </c>
      <c r="DG126" s="46">
        <f t="shared" si="65"/>
        <v>8.0000000000000071E-2</v>
      </c>
      <c r="DH126" s="46">
        <f t="shared" si="65"/>
        <v>0.15900000000000003</v>
      </c>
      <c r="DI126" s="46">
        <f t="shared" si="65"/>
        <v>0.125</v>
      </c>
      <c r="DJ126" s="46">
        <f t="shared" si="65"/>
        <v>0.1399999999999999</v>
      </c>
      <c r="DK126" s="46">
        <f t="shared" si="65"/>
        <v>0.14799999999999991</v>
      </c>
      <c r="DL126" s="46">
        <f t="shared" si="65"/>
        <v>0.15599999999999992</v>
      </c>
      <c r="DM126" s="46">
        <f t="shared" si="65"/>
        <v>0.125</v>
      </c>
      <c r="DN126" s="46">
        <f t="shared" si="65"/>
        <v>0.14799999999999991</v>
      </c>
      <c r="DO126" s="46">
        <f t="shared" si="65"/>
        <v>0.14500000000000002</v>
      </c>
      <c r="DP126" s="46">
        <f t="shared" si="65"/>
        <v>0.15700000000000003</v>
      </c>
      <c r="DQ126" s="46">
        <f t="shared" si="65"/>
        <v>0.17599999999999993</v>
      </c>
      <c r="DR126" s="46">
        <f t="shared" si="65"/>
        <v>2.0000000000000018E-2</v>
      </c>
      <c r="DS126" s="46">
        <f t="shared" si="65"/>
        <v>3.8000000000000034E-2</v>
      </c>
      <c r="DT126" s="46">
        <f t="shared" si="65"/>
        <v>4.8000000000000043E-2</v>
      </c>
      <c r="DU126" s="46">
        <f t="shared" si="65"/>
        <v>9.4000000000000083E-2</v>
      </c>
      <c r="DV126" s="46">
        <f t="shared" si="65"/>
        <v>2.0000000000000018E-2</v>
      </c>
      <c r="DW126" s="46">
        <f t="shared" si="65"/>
        <v>3.8999999999999924E-2</v>
      </c>
      <c r="DX126" s="46">
        <f t="shared" si="65"/>
        <v>0.23</v>
      </c>
      <c r="DY126" s="46">
        <f t="shared" si="65"/>
        <v>0.23</v>
      </c>
      <c r="DZ126" s="46">
        <f t="shared" si="65"/>
        <v>0.23</v>
      </c>
      <c r="EA126" s="46">
        <f t="shared" si="65"/>
        <v>0.22399999999999998</v>
      </c>
      <c r="EB126" s="46">
        <f t="shared" si="65"/>
        <v>5.2000000000000046E-2</v>
      </c>
      <c r="EC126" s="46">
        <f t="shared" si="65"/>
        <v>5.8999999999999941E-2</v>
      </c>
      <c r="ED126" s="46">
        <f t="shared" si="65"/>
        <v>0.23</v>
      </c>
      <c r="EE126" s="46">
        <f t="shared" si="65"/>
        <v>1.6000000000000014E-2</v>
      </c>
      <c r="EF126" s="46">
        <f t="shared" si="65"/>
        <v>2.6999999999999913E-2</v>
      </c>
      <c r="EG126" s="46">
        <f t="shared" si="65"/>
        <v>2.6000000000000023E-2</v>
      </c>
      <c r="EH126" s="46">
        <f t="shared" si="65"/>
        <v>2.6999999999999913E-2</v>
      </c>
      <c r="EI126" s="46">
        <f t="shared" si="65"/>
        <v>0.16799999999999993</v>
      </c>
      <c r="EJ126" s="46">
        <f t="shared" si="65"/>
        <v>0.17999999999999994</v>
      </c>
      <c r="EK126" s="46">
        <f t="shared" si="65"/>
        <v>0.10200000000000009</v>
      </c>
      <c r="EL126" s="46">
        <f t="shared" si="65"/>
        <v>6.4999999999999947E-2</v>
      </c>
      <c r="EM126" s="46">
        <f t="shared" si="65"/>
        <v>8.2000000000000073E-2</v>
      </c>
      <c r="EN126" s="46">
        <f t="shared" si="65"/>
        <v>6.6000000000000059E-2</v>
      </c>
      <c r="EO126" s="46">
        <f t="shared" si="65"/>
        <v>6.2999999999999945E-2</v>
      </c>
      <c r="EP126" s="46">
        <f t="shared" si="65"/>
        <v>0.23</v>
      </c>
      <c r="EQ126" s="46">
        <f t="shared" si="65"/>
        <v>0.23</v>
      </c>
      <c r="ER126" s="46">
        <f t="shared" si="65"/>
        <v>0.23</v>
      </c>
      <c r="ES126" s="46">
        <f t="shared" si="65"/>
        <v>8.8000000000000078E-2</v>
      </c>
      <c r="ET126" s="46">
        <f t="shared" si="65"/>
        <v>0.1120000000000001</v>
      </c>
      <c r="EU126" s="46">
        <f t="shared" si="65"/>
        <v>5.2000000000000046E-2</v>
      </c>
      <c r="EV126" s="46">
        <f t="shared" si="65"/>
        <v>0.19799999999999995</v>
      </c>
      <c r="EW126" s="46">
        <f t="shared" si="65"/>
        <v>0.23</v>
      </c>
      <c r="EX126" s="46">
        <f t="shared" si="65"/>
        <v>0.14599999999999991</v>
      </c>
      <c r="EY126" s="46">
        <f t="shared" si="65"/>
        <v>0.1160000000000001</v>
      </c>
      <c r="EZ126" s="46">
        <f t="shared" si="65"/>
        <v>3.2999999999999918E-2</v>
      </c>
      <c r="FA126" s="46">
        <f t="shared" si="65"/>
        <v>0.23</v>
      </c>
      <c r="FB126" s="46">
        <f t="shared" si="65"/>
        <v>0.20300000000000007</v>
      </c>
      <c r="FC126" s="46">
        <f t="shared" si="65"/>
        <v>0.21300000000000008</v>
      </c>
      <c r="FD126" s="46">
        <f t="shared" si="65"/>
        <v>7.8000000000000069E-2</v>
      </c>
      <c r="FE126" s="46">
        <f t="shared" si="65"/>
        <v>9.000000000000008E-2</v>
      </c>
      <c r="FF126" s="46">
        <f t="shared" si="65"/>
        <v>7.0000000000000062E-2</v>
      </c>
      <c r="FG126" s="46">
        <f t="shared" si="65"/>
        <v>5.8000000000000052E-2</v>
      </c>
      <c r="FH126" s="46">
        <f t="shared" si="65"/>
        <v>0.10899999999999999</v>
      </c>
      <c r="FI126" s="46">
        <f t="shared" si="65"/>
        <v>0.18300000000000005</v>
      </c>
      <c r="FJ126" s="46">
        <f t="shared" si="65"/>
        <v>0.16700000000000004</v>
      </c>
      <c r="FK126" s="46">
        <f t="shared" si="65"/>
        <v>0.19100000000000006</v>
      </c>
      <c r="FL126" s="46">
        <f t="shared" si="65"/>
        <v>0.18599999999999994</v>
      </c>
      <c r="FM126" s="46">
        <f t="shared" si="65"/>
        <v>0.18500000000000005</v>
      </c>
      <c r="FN126" s="46">
        <f t="shared" si="65"/>
        <v>0.18599999999999994</v>
      </c>
      <c r="FO126" s="46">
        <f t="shared" si="65"/>
        <v>0.17199999999999993</v>
      </c>
      <c r="FP126" s="46">
        <f t="shared" si="65"/>
        <v>0.19900000000000007</v>
      </c>
      <c r="FQ126" s="46">
        <f t="shared" si="65"/>
        <v>0.17300000000000004</v>
      </c>
      <c r="FR126" s="46">
        <f t="shared" si="65"/>
        <v>0.14900000000000002</v>
      </c>
      <c r="FS126" s="46">
        <f t="shared" si="65"/>
        <v>9.2999999999999972E-2</v>
      </c>
      <c r="FT126" s="46">
        <f t="shared" si="65"/>
        <v>0.10899999999999999</v>
      </c>
      <c r="FU126" s="46">
        <f t="shared" si="65"/>
        <v>3.6999999999999922E-2</v>
      </c>
      <c r="FV126" s="46">
        <f t="shared" si="65"/>
        <v>4.2999999999999927E-2</v>
      </c>
      <c r="FW126" s="46">
        <f t="shared" si="65"/>
        <v>7.0999999999999952E-2</v>
      </c>
      <c r="FX126" s="46">
        <f t="shared" si="65"/>
        <v>6.4000000000000057E-2</v>
      </c>
      <c r="FY126" s="25"/>
      <c r="FZ126" s="25"/>
      <c r="GA126" s="7"/>
      <c r="GB126" s="25"/>
      <c r="GC126" s="25"/>
      <c r="GD126" s="25"/>
      <c r="GE126" s="25"/>
      <c r="GF126" s="25"/>
      <c r="GG126" s="7"/>
      <c r="GH126" s="23"/>
      <c r="GI126" s="23"/>
      <c r="GJ126" s="23"/>
      <c r="GK126" s="23"/>
      <c r="GL126" s="23"/>
      <c r="GM126" s="23"/>
      <c r="GN126" s="23"/>
      <c r="GO126" s="23"/>
      <c r="GP126" s="7"/>
      <c r="GQ126" s="7"/>
      <c r="GR126" s="7"/>
      <c r="GS126" s="7"/>
      <c r="GT126" s="7"/>
      <c r="GU126" s="7"/>
      <c r="GV126" s="7"/>
    </row>
    <row r="127" spans="1:204" ht="15.5" x14ac:dyDescent="0.35">
      <c r="A127" s="60" t="s">
        <v>640</v>
      </c>
      <c r="B127" s="5" t="s">
        <v>641</v>
      </c>
      <c r="C127" s="61">
        <f t="shared" ref="C127:FX127" si="66">(C124*C84*C126)</f>
        <v>12763343.332999999</v>
      </c>
      <c r="D127" s="61">
        <f t="shared" si="66"/>
        <v>75432568.561999992</v>
      </c>
      <c r="E127" s="61">
        <f t="shared" si="66"/>
        <v>11236619.9712</v>
      </c>
      <c r="F127" s="61">
        <f t="shared" si="66"/>
        <v>41265669.46735999</v>
      </c>
      <c r="G127" s="61">
        <f t="shared" si="66"/>
        <v>3221563.5192000009</v>
      </c>
      <c r="H127" s="61">
        <f t="shared" si="66"/>
        <v>1713936.0419999992</v>
      </c>
      <c r="I127" s="61">
        <f t="shared" si="66"/>
        <v>15862969.59</v>
      </c>
      <c r="J127" s="61">
        <f t="shared" si="66"/>
        <v>922297.32816000073</v>
      </c>
      <c r="K127" s="61">
        <f t="shared" si="66"/>
        <v>118137.20724000008</v>
      </c>
      <c r="L127" s="61">
        <f t="shared" si="66"/>
        <v>4221129.2110000001</v>
      </c>
      <c r="M127" s="61">
        <f t="shared" si="66"/>
        <v>1817394.5374</v>
      </c>
      <c r="N127" s="61">
        <f t="shared" si="66"/>
        <v>100295349.4686</v>
      </c>
      <c r="O127" s="61">
        <f t="shared" si="66"/>
        <v>25338370.127199996</v>
      </c>
      <c r="P127" s="61">
        <f t="shared" si="66"/>
        <v>460408.12271999981</v>
      </c>
      <c r="Q127" s="61">
        <f t="shared" si="66"/>
        <v>78582372.58039999</v>
      </c>
      <c r="R127" s="61">
        <f t="shared" si="66"/>
        <v>816603.30180000025</v>
      </c>
      <c r="S127" s="61">
        <f t="shared" si="66"/>
        <v>2024129.0003999986</v>
      </c>
      <c r="T127" s="61">
        <f t="shared" si="66"/>
        <v>25204.481640000016</v>
      </c>
      <c r="U127" s="61">
        <f t="shared" si="66"/>
        <v>9387.1440000000075</v>
      </c>
      <c r="V127" s="61">
        <f t="shared" si="66"/>
        <v>0</v>
      </c>
      <c r="W127" s="61">
        <f t="shared" si="66"/>
        <v>512.81619999994348</v>
      </c>
      <c r="X127" s="61">
        <f t="shared" si="66"/>
        <v>3650.555999999945</v>
      </c>
      <c r="Y127" s="61">
        <f t="shared" si="66"/>
        <v>270977.29516000021</v>
      </c>
      <c r="Z127" s="61">
        <f t="shared" si="66"/>
        <v>68294.949320000058</v>
      </c>
      <c r="AA127" s="61">
        <f t="shared" si="66"/>
        <v>53243325.361980006</v>
      </c>
      <c r="AB127" s="61">
        <f t="shared" si="66"/>
        <v>53677610.279799998</v>
      </c>
      <c r="AC127" s="61">
        <f t="shared" si="66"/>
        <v>1583225.2768799996</v>
      </c>
      <c r="AD127" s="61">
        <f t="shared" si="66"/>
        <v>2457299.6294600004</v>
      </c>
      <c r="AE127" s="61">
        <f t="shared" si="66"/>
        <v>33724.18400000003</v>
      </c>
      <c r="AF127" s="61">
        <f t="shared" si="66"/>
        <v>48997.414960000038</v>
      </c>
      <c r="AG127" s="61">
        <f t="shared" si="66"/>
        <v>1160485.6770000004</v>
      </c>
      <c r="AH127" s="61">
        <f t="shared" si="66"/>
        <v>328689.10880000022</v>
      </c>
      <c r="AI127" s="61">
        <f t="shared" si="66"/>
        <v>119842.53840000011</v>
      </c>
      <c r="AJ127" s="61">
        <f t="shared" si="66"/>
        <v>58369.782899999875</v>
      </c>
      <c r="AK127" s="61">
        <f t="shared" si="66"/>
        <v>63676.126799999904</v>
      </c>
      <c r="AL127" s="61">
        <f t="shared" si="66"/>
        <v>147947.47369999983</v>
      </c>
      <c r="AM127" s="61">
        <f t="shared" si="66"/>
        <v>218685.68800000017</v>
      </c>
      <c r="AN127" s="61">
        <f t="shared" si="66"/>
        <v>397784.57290000003</v>
      </c>
      <c r="AO127" s="61">
        <f t="shared" si="66"/>
        <v>3987321.5293600028</v>
      </c>
      <c r="AP127" s="61">
        <f t="shared" si="66"/>
        <v>167844811.79440001</v>
      </c>
      <c r="AQ127" s="61">
        <f t="shared" si="66"/>
        <v>268341.94139999995</v>
      </c>
      <c r="AR127" s="61">
        <f t="shared" si="66"/>
        <v>116885324.67846005</v>
      </c>
      <c r="AS127" s="61">
        <f t="shared" si="66"/>
        <v>12838909.8422</v>
      </c>
      <c r="AT127" s="61">
        <f t="shared" si="66"/>
        <v>4143906.0447199983</v>
      </c>
      <c r="AU127" s="61">
        <f t="shared" si="66"/>
        <v>412208.61500000005</v>
      </c>
      <c r="AV127" s="61">
        <f t="shared" si="66"/>
        <v>376935.5522399997</v>
      </c>
      <c r="AW127" s="61">
        <f t="shared" si="66"/>
        <v>396737.21100000013</v>
      </c>
      <c r="AX127" s="61">
        <f t="shared" si="66"/>
        <v>117573.97860000002</v>
      </c>
      <c r="AY127" s="61">
        <f t="shared" si="66"/>
        <v>618456.33720000007</v>
      </c>
      <c r="AZ127" s="61">
        <f t="shared" si="66"/>
        <v>20559229.963740002</v>
      </c>
      <c r="BA127" s="61">
        <f t="shared" si="66"/>
        <v>15427075.819999995</v>
      </c>
      <c r="BB127" s="61">
        <f t="shared" si="66"/>
        <v>12868084.738079995</v>
      </c>
      <c r="BC127" s="61">
        <f t="shared" si="66"/>
        <v>40749100.148119979</v>
      </c>
      <c r="BD127" s="61">
        <f t="shared" si="66"/>
        <v>6474239.3365000021</v>
      </c>
      <c r="BE127" s="61">
        <f t="shared" si="66"/>
        <v>2051912.3391000007</v>
      </c>
      <c r="BF127" s="61">
        <f t="shared" si="66"/>
        <v>43028050.99502001</v>
      </c>
      <c r="BG127" s="61">
        <f t="shared" si="66"/>
        <v>1448302.4654800002</v>
      </c>
      <c r="BH127" s="61">
        <f t="shared" si="66"/>
        <v>943581.80799999961</v>
      </c>
      <c r="BI127" s="61">
        <f t="shared" si="66"/>
        <v>420443.2263199999</v>
      </c>
      <c r="BJ127" s="61">
        <f t="shared" si="66"/>
        <v>11439769.935880003</v>
      </c>
      <c r="BK127" s="61">
        <f t="shared" si="66"/>
        <v>37438589.09362001</v>
      </c>
      <c r="BL127" s="61">
        <f t="shared" si="66"/>
        <v>88195.694599999944</v>
      </c>
      <c r="BM127" s="61">
        <f t="shared" si="66"/>
        <v>530227.61376000009</v>
      </c>
      <c r="BN127" s="61">
        <f t="shared" si="66"/>
        <v>3700111.4285199996</v>
      </c>
      <c r="BO127" s="61">
        <f t="shared" si="66"/>
        <v>1585599.8766399988</v>
      </c>
      <c r="BP127" s="61">
        <f t="shared" si="66"/>
        <v>223274.95840000003</v>
      </c>
      <c r="BQ127" s="61">
        <f t="shared" si="66"/>
        <v>11733999.534400001</v>
      </c>
      <c r="BR127" s="61">
        <f t="shared" si="66"/>
        <v>8153565.5000800006</v>
      </c>
      <c r="BS127" s="61">
        <f t="shared" si="66"/>
        <v>1670951.6142799989</v>
      </c>
      <c r="BT127" s="61">
        <f t="shared" si="66"/>
        <v>563989.1725000001</v>
      </c>
      <c r="BU127" s="61">
        <f t="shared" si="66"/>
        <v>784852.15639999998</v>
      </c>
      <c r="BV127" s="61">
        <f t="shared" si="66"/>
        <v>2489496.6642</v>
      </c>
      <c r="BW127" s="61">
        <f t="shared" si="66"/>
        <v>4033212.4950000001</v>
      </c>
      <c r="BX127" s="61">
        <f t="shared" si="66"/>
        <v>85345.653380000018</v>
      </c>
      <c r="BY127" s="61">
        <f t="shared" si="66"/>
        <v>344704.61948000023</v>
      </c>
      <c r="BZ127" s="61">
        <f t="shared" si="66"/>
        <v>223935.53519999995</v>
      </c>
      <c r="CA127" s="61">
        <f t="shared" si="66"/>
        <v>124340.54489999996</v>
      </c>
      <c r="CB127" s="61">
        <f t="shared" si="66"/>
        <v>140301283.33311999</v>
      </c>
      <c r="CC127" s="61">
        <f t="shared" si="66"/>
        <v>42779.301240000037</v>
      </c>
      <c r="CD127" s="61">
        <f t="shared" si="66"/>
        <v>24510.87599999996</v>
      </c>
      <c r="CE127" s="61">
        <f t="shared" si="66"/>
        <v>118328.4268400001</v>
      </c>
      <c r="CF127" s="61">
        <f t="shared" si="66"/>
        <v>76880.709360000066</v>
      </c>
      <c r="CG127" s="61">
        <f t="shared" si="66"/>
        <v>145987.4727999999</v>
      </c>
      <c r="CH127" s="61">
        <f t="shared" si="66"/>
        <v>67780.394760000054</v>
      </c>
      <c r="CI127" s="61">
        <f t="shared" si="66"/>
        <v>460389.86993999971</v>
      </c>
      <c r="CJ127" s="61">
        <f t="shared" si="66"/>
        <v>1724835.5591999998</v>
      </c>
      <c r="CK127" s="61">
        <f t="shared" si="66"/>
        <v>8821524.2458200026</v>
      </c>
      <c r="CL127" s="61">
        <f t="shared" si="66"/>
        <v>1941800.2708000001</v>
      </c>
      <c r="CM127" s="61">
        <f t="shared" si="66"/>
        <v>975724.08439999947</v>
      </c>
      <c r="CN127" s="61">
        <f t="shared" si="66"/>
        <v>48057495.007340014</v>
      </c>
      <c r="CO127" s="61">
        <f t="shared" si="66"/>
        <v>22490771.302999988</v>
      </c>
      <c r="CP127" s="61">
        <f t="shared" si="66"/>
        <v>1823791.7021999997</v>
      </c>
      <c r="CQ127" s="61">
        <f t="shared" si="66"/>
        <v>246600.27287999945</v>
      </c>
      <c r="CR127" s="61">
        <f t="shared" si="66"/>
        <v>125671.25947999991</v>
      </c>
      <c r="CS127" s="61">
        <f t="shared" si="66"/>
        <v>96791.884800000073</v>
      </c>
      <c r="CT127" s="61">
        <f t="shared" si="66"/>
        <v>60177.677299999938</v>
      </c>
      <c r="CU127" s="61">
        <f t="shared" si="66"/>
        <v>85162.25639999994</v>
      </c>
      <c r="CV127" s="61">
        <f t="shared" si="66"/>
        <v>29725.955999999966</v>
      </c>
      <c r="CW127" s="61">
        <f t="shared" si="66"/>
        <v>153708.39873999992</v>
      </c>
      <c r="CX127" s="61">
        <f t="shared" si="66"/>
        <v>429112.42763999989</v>
      </c>
      <c r="CY127" s="61">
        <f t="shared" si="66"/>
        <v>52672.307999999983</v>
      </c>
      <c r="CZ127" s="61">
        <f t="shared" si="66"/>
        <v>1118008.850400001</v>
      </c>
      <c r="DA127" s="61">
        <f t="shared" si="66"/>
        <v>120277.12840000009</v>
      </c>
      <c r="DB127" s="61">
        <f t="shared" si="66"/>
        <v>219589.63520000019</v>
      </c>
      <c r="DC127" s="61">
        <f t="shared" si="66"/>
        <v>117426.2180000001</v>
      </c>
      <c r="DD127" s="61">
        <f t="shared" si="66"/>
        <v>224474.42679999984</v>
      </c>
      <c r="DE127" s="61">
        <f t="shared" si="66"/>
        <v>272296.71040000021</v>
      </c>
      <c r="DF127" s="61">
        <f t="shared" si="66"/>
        <v>18379324.785379995</v>
      </c>
      <c r="DG127" s="61">
        <f t="shared" si="66"/>
        <v>65014.664000000055</v>
      </c>
      <c r="DH127" s="61">
        <f t="shared" si="66"/>
        <v>2446824.2721000002</v>
      </c>
      <c r="DI127" s="61">
        <f t="shared" si="66"/>
        <v>2623185.2399999998</v>
      </c>
      <c r="DJ127" s="61">
        <f t="shared" si="66"/>
        <v>746051.96119999944</v>
      </c>
      <c r="DK127" s="61">
        <f t="shared" si="66"/>
        <v>614506.78327999951</v>
      </c>
      <c r="DL127" s="61">
        <f t="shared" si="66"/>
        <v>7696206.4607999958</v>
      </c>
      <c r="DM127" s="61">
        <f t="shared" si="66"/>
        <v>255321.62499999997</v>
      </c>
      <c r="DN127" s="61">
        <f t="shared" si="66"/>
        <v>1665227.194799999</v>
      </c>
      <c r="DO127" s="61">
        <f t="shared" si="66"/>
        <v>4146423.19</v>
      </c>
      <c r="DP127" s="61">
        <f t="shared" si="66"/>
        <v>271694.36866000004</v>
      </c>
      <c r="DQ127" s="61">
        <f t="shared" si="66"/>
        <v>1356894.2815999994</v>
      </c>
      <c r="DR127" s="61">
        <f t="shared" si="66"/>
        <v>226942.89800000016</v>
      </c>
      <c r="DS127" s="61">
        <f t="shared" si="66"/>
        <v>191567.27200000017</v>
      </c>
      <c r="DT127" s="61">
        <f t="shared" si="66"/>
        <v>73636.929600000061</v>
      </c>
      <c r="DU127" s="61">
        <f t="shared" si="66"/>
        <v>284081.05284000025</v>
      </c>
      <c r="DV127" s="61">
        <f t="shared" si="66"/>
        <v>35775.448800000027</v>
      </c>
      <c r="DW127" s="61">
        <f t="shared" si="66"/>
        <v>100812.71147999978</v>
      </c>
      <c r="DX127" s="61">
        <f t="shared" si="66"/>
        <v>335851.152</v>
      </c>
      <c r="DY127" s="61">
        <f t="shared" si="66"/>
        <v>585940.31339999998</v>
      </c>
      <c r="DZ127" s="61">
        <f t="shared" si="66"/>
        <v>1322014.0881999999</v>
      </c>
      <c r="EA127" s="61">
        <f t="shared" si="66"/>
        <v>1025854.9100799997</v>
      </c>
      <c r="EB127" s="61">
        <f t="shared" si="66"/>
        <v>236156.20600000021</v>
      </c>
      <c r="EC127" s="61">
        <f t="shared" si="66"/>
        <v>142870.59331999987</v>
      </c>
      <c r="ED127" s="61">
        <f t="shared" si="66"/>
        <v>3096627.5860000001</v>
      </c>
      <c r="EE127" s="61">
        <f t="shared" si="66"/>
        <v>26645.582080000022</v>
      </c>
      <c r="EF127" s="61">
        <f t="shared" si="66"/>
        <v>310667.53067999892</v>
      </c>
      <c r="EG127" s="61">
        <f t="shared" si="66"/>
        <v>57287.653800000044</v>
      </c>
      <c r="EH127" s="61">
        <f t="shared" si="66"/>
        <v>58059.48563999981</v>
      </c>
      <c r="EI127" s="61">
        <f t="shared" si="66"/>
        <v>20044326.862559989</v>
      </c>
      <c r="EJ127" s="61">
        <f t="shared" si="66"/>
        <v>15522581.318399994</v>
      </c>
      <c r="EK127" s="61">
        <f t="shared" si="66"/>
        <v>590096.73216000048</v>
      </c>
      <c r="EL127" s="61">
        <f t="shared" si="66"/>
        <v>258359.40909999976</v>
      </c>
      <c r="EM127" s="61">
        <f t="shared" si="66"/>
        <v>264493.21236000024</v>
      </c>
      <c r="EN127" s="61">
        <f t="shared" si="66"/>
        <v>509753.20968000044</v>
      </c>
      <c r="EO127" s="61">
        <f t="shared" si="66"/>
        <v>164001.22829999984</v>
      </c>
      <c r="EP127" s="61">
        <f t="shared" si="66"/>
        <v>856620.34900000005</v>
      </c>
      <c r="EQ127" s="61">
        <f t="shared" si="66"/>
        <v>5187301.0072000008</v>
      </c>
      <c r="ER127" s="61">
        <f t="shared" si="66"/>
        <v>614927.46640000003</v>
      </c>
      <c r="ES127" s="61">
        <f t="shared" si="66"/>
        <v>124675.1792000001</v>
      </c>
      <c r="ET127" s="61">
        <f t="shared" si="66"/>
        <v>192262.61600000015</v>
      </c>
      <c r="EU127" s="61">
        <f t="shared" si="66"/>
        <v>259206.85960000023</v>
      </c>
      <c r="EV127" s="61">
        <f t="shared" si="66"/>
        <v>124426.59371999995</v>
      </c>
      <c r="EW127" s="61">
        <f t="shared" si="66"/>
        <v>1608087.3015999999</v>
      </c>
      <c r="EX127" s="61">
        <f t="shared" si="66"/>
        <v>220171.98579999982</v>
      </c>
      <c r="EY127" s="61">
        <f t="shared" si="66"/>
        <v>207195.12840000016</v>
      </c>
      <c r="EZ127" s="61">
        <f t="shared" si="66"/>
        <v>37087.041419999907</v>
      </c>
      <c r="FA127" s="61">
        <f t="shared" si="66"/>
        <v>6714024.3689999999</v>
      </c>
      <c r="FB127" s="61">
        <f t="shared" si="66"/>
        <v>487160.61394000018</v>
      </c>
      <c r="FC127" s="61">
        <f t="shared" si="66"/>
        <v>3280042.8187800008</v>
      </c>
      <c r="FD127" s="61">
        <f t="shared" si="66"/>
        <v>272540.08080000023</v>
      </c>
      <c r="FE127" s="61">
        <f t="shared" si="66"/>
        <v>60468.852600000042</v>
      </c>
      <c r="FF127" s="61">
        <f t="shared" si="66"/>
        <v>110125.10600000009</v>
      </c>
      <c r="FG127" s="61">
        <f t="shared" si="66"/>
        <v>60394.103120000051</v>
      </c>
      <c r="FH127" s="61">
        <f t="shared" si="66"/>
        <v>66318.433999999994</v>
      </c>
      <c r="FI127" s="61">
        <f t="shared" si="66"/>
        <v>2675229.1308600008</v>
      </c>
      <c r="FJ127" s="61">
        <f t="shared" si="66"/>
        <v>2927011.4549000007</v>
      </c>
      <c r="FK127" s="61">
        <f t="shared" si="66"/>
        <v>4196652.2330200011</v>
      </c>
      <c r="FL127" s="61">
        <f t="shared" si="66"/>
        <v>13803977.779799996</v>
      </c>
      <c r="FM127" s="61">
        <f t="shared" si="66"/>
        <v>6402184.3145000013</v>
      </c>
      <c r="FN127" s="61">
        <f t="shared" si="66"/>
        <v>36249567.368039988</v>
      </c>
      <c r="FO127" s="61">
        <f t="shared" si="66"/>
        <v>1670202.3811199991</v>
      </c>
      <c r="FP127" s="61">
        <f t="shared" si="66"/>
        <v>4050018.0903000012</v>
      </c>
      <c r="FQ127" s="61">
        <f t="shared" si="66"/>
        <v>1477366.9755000004</v>
      </c>
      <c r="FR127" s="61">
        <f t="shared" si="66"/>
        <v>214205.93428000002</v>
      </c>
      <c r="FS127" s="61">
        <f t="shared" si="66"/>
        <v>133052.33603999994</v>
      </c>
      <c r="FT127" s="61">
        <f t="shared" si="66"/>
        <v>56844.371999999988</v>
      </c>
      <c r="FU127" s="61">
        <f t="shared" si="66"/>
        <v>252228.21337999945</v>
      </c>
      <c r="FV127" s="61">
        <f t="shared" si="66"/>
        <v>258633.20079999955</v>
      </c>
      <c r="FW127" s="61">
        <f t="shared" si="66"/>
        <v>87198.745139999941</v>
      </c>
      <c r="FX127" s="61">
        <f t="shared" si="66"/>
        <v>35879.750400000034</v>
      </c>
      <c r="FY127" s="61"/>
      <c r="FZ127" s="7">
        <f>SUM(C127:FX127)</f>
        <v>1438215206.5509806</v>
      </c>
      <c r="GA127" s="62">
        <v>1438215206.5509806</v>
      </c>
      <c r="GB127" s="7">
        <f>FZ127-GA127</f>
        <v>0</v>
      </c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</row>
    <row r="128" spans="1:204" ht="15.5" x14ac:dyDescent="0.35">
      <c r="A128" s="12"/>
      <c r="B128" s="7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5"/>
      <c r="FZ128" s="25"/>
      <c r="GA128" s="7"/>
      <c r="GB128" s="25"/>
      <c r="GC128" s="25"/>
      <c r="GD128" s="25"/>
      <c r="GE128" s="25"/>
      <c r="GF128" s="25"/>
      <c r="GG128" s="7"/>
      <c r="GH128" s="23"/>
      <c r="GI128" s="23"/>
      <c r="GJ128" s="23"/>
      <c r="GK128" s="23"/>
      <c r="GL128" s="23"/>
      <c r="GM128" s="23"/>
      <c r="GN128" s="23"/>
      <c r="GO128" s="23"/>
      <c r="GP128" s="7"/>
      <c r="GQ128" s="7"/>
      <c r="GR128" s="7"/>
      <c r="GS128" s="7"/>
      <c r="GT128" s="7"/>
      <c r="GU128" s="7"/>
      <c r="GV128" s="7"/>
    </row>
    <row r="129" spans="1:204" ht="15.5" x14ac:dyDescent="0.35">
      <c r="A129" s="12"/>
      <c r="B129" s="5" t="s">
        <v>642</v>
      </c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5"/>
      <c r="FZ129" s="25"/>
      <c r="GA129" s="7"/>
      <c r="GB129" s="25"/>
      <c r="GC129" s="25"/>
      <c r="GD129" s="25"/>
      <c r="GE129" s="25"/>
      <c r="GF129" s="25"/>
      <c r="GG129" s="7"/>
      <c r="GH129" s="23"/>
      <c r="GI129" s="23"/>
      <c r="GJ129" s="23"/>
      <c r="GK129" s="23"/>
      <c r="GL129" s="23"/>
      <c r="GM129" s="23"/>
      <c r="GN129" s="23"/>
      <c r="GO129" s="23"/>
      <c r="GP129" s="7"/>
      <c r="GQ129" s="7"/>
      <c r="GR129" s="7"/>
      <c r="GS129" s="7"/>
      <c r="GT129" s="7"/>
      <c r="GU129" s="7"/>
      <c r="GV129" s="7"/>
    </row>
    <row r="130" spans="1:204" ht="15.5" x14ac:dyDescent="0.35">
      <c r="A130" s="12" t="s">
        <v>643</v>
      </c>
      <c r="B130" s="7" t="s">
        <v>578</v>
      </c>
      <c r="C130" s="67">
        <f t="shared" ref="C130:FX130" si="67">C72</f>
        <v>6384.5</v>
      </c>
      <c r="D130" s="67">
        <f t="shared" si="67"/>
        <v>37733</v>
      </c>
      <c r="E130" s="67">
        <f t="shared" si="67"/>
        <v>5620.8</v>
      </c>
      <c r="F130" s="67">
        <f t="shared" si="67"/>
        <v>22394.6</v>
      </c>
      <c r="G130" s="67">
        <f t="shared" si="67"/>
        <v>1844</v>
      </c>
      <c r="H130" s="67">
        <f t="shared" si="67"/>
        <v>1095.5</v>
      </c>
      <c r="I130" s="67">
        <f t="shared" si="67"/>
        <v>7935</v>
      </c>
      <c r="J130" s="67">
        <f t="shared" si="67"/>
        <v>2040.6</v>
      </c>
      <c r="K130" s="67">
        <f t="shared" si="67"/>
        <v>251.7</v>
      </c>
      <c r="L130" s="67">
        <f t="shared" si="67"/>
        <v>2111.5</v>
      </c>
      <c r="M130" s="67">
        <f t="shared" si="67"/>
        <v>909.1</v>
      </c>
      <c r="N130" s="67">
        <f t="shared" si="67"/>
        <v>50169.9</v>
      </c>
      <c r="O130" s="67">
        <f t="shared" si="67"/>
        <v>12674.8</v>
      </c>
      <c r="P130" s="67">
        <f t="shared" si="67"/>
        <v>315.3</v>
      </c>
      <c r="Q130" s="67">
        <f t="shared" si="67"/>
        <v>39308.6</v>
      </c>
      <c r="R130" s="67">
        <f t="shared" si="67"/>
        <v>481.8</v>
      </c>
      <c r="S130" s="67">
        <f t="shared" si="67"/>
        <v>1573.5</v>
      </c>
      <c r="T130" s="67">
        <f t="shared" si="67"/>
        <v>161.1</v>
      </c>
      <c r="U130" s="67">
        <f t="shared" si="67"/>
        <v>60</v>
      </c>
      <c r="V130" s="67">
        <f t="shared" si="67"/>
        <v>256.39999999999998</v>
      </c>
      <c r="W130" s="67">
        <f t="shared" si="67"/>
        <v>59</v>
      </c>
      <c r="X130" s="67">
        <f t="shared" si="67"/>
        <v>60</v>
      </c>
      <c r="Y130" s="67">
        <f t="shared" si="67"/>
        <v>421.3</v>
      </c>
      <c r="Z130" s="67">
        <f t="shared" si="67"/>
        <v>231.1</v>
      </c>
      <c r="AA130" s="67">
        <f t="shared" si="67"/>
        <v>30476.1</v>
      </c>
      <c r="AB130" s="67">
        <f t="shared" si="67"/>
        <v>26850.7</v>
      </c>
      <c r="AC130" s="67">
        <f t="shared" si="67"/>
        <v>892.9</v>
      </c>
      <c r="AD130" s="67">
        <f t="shared" si="67"/>
        <v>1435.1</v>
      </c>
      <c r="AE130" s="67">
        <f t="shared" si="67"/>
        <v>97</v>
      </c>
      <c r="AF130" s="67">
        <f t="shared" si="67"/>
        <v>165.8</v>
      </c>
      <c r="AG130" s="67">
        <f t="shared" si="67"/>
        <v>593.4</v>
      </c>
      <c r="AH130" s="67">
        <f t="shared" si="67"/>
        <v>945.4</v>
      </c>
      <c r="AI130" s="67">
        <f t="shared" si="67"/>
        <v>383</v>
      </c>
      <c r="AJ130" s="67">
        <f t="shared" si="67"/>
        <v>181.5</v>
      </c>
      <c r="AK130" s="67">
        <f t="shared" si="67"/>
        <v>162.80000000000001</v>
      </c>
      <c r="AL130" s="67">
        <f t="shared" si="67"/>
        <v>288.5</v>
      </c>
      <c r="AM130" s="67">
        <f t="shared" si="67"/>
        <v>340</v>
      </c>
      <c r="AN130" s="67">
        <f t="shared" si="67"/>
        <v>291.5</v>
      </c>
      <c r="AO130" s="67">
        <f t="shared" si="67"/>
        <v>3954.7</v>
      </c>
      <c r="AP130" s="67">
        <f t="shared" si="67"/>
        <v>83959.6</v>
      </c>
      <c r="AQ130" s="67">
        <f t="shared" si="67"/>
        <v>251</v>
      </c>
      <c r="AR130" s="67">
        <f t="shared" si="67"/>
        <v>60303.9</v>
      </c>
      <c r="AS130" s="67">
        <f t="shared" si="67"/>
        <v>6422.3</v>
      </c>
      <c r="AT130" s="67">
        <f t="shared" si="67"/>
        <v>2360.1999999999998</v>
      </c>
      <c r="AU130" s="67">
        <f t="shared" si="67"/>
        <v>271</v>
      </c>
      <c r="AV130" s="67">
        <f t="shared" si="67"/>
        <v>305.39999999999998</v>
      </c>
      <c r="AW130" s="67">
        <f t="shared" si="67"/>
        <v>255</v>
      </c>
      <c r="AX130" s="67">
        <f t="shared" si="67"/>
        <v>81</v>
      </c>
      <c r="AY130" s="67">
        <f t="shared" si="67"/>
        <v>402</v>
      </c>
      <c r="AZ130" s="67">
        <f t="shared" si="67"/>
        <v>12006.9</v>
      </c>
      <c r="BA130" s="67">
        <f t="shared" si="67"/>
        <v>8874.5</v>
      </c>
      <c r="BB130" s="67">
        <f t="shared" si="67"/>
        <v>7477.2</v>
      </c>
      <c r="BC130" s="67">
        <f t="shared" si="67"/>
        <v>24166.1</v>
      </c>
      <c r="BD130" s="67">
        <f t="shared" si="67"/>
        <v>3633.5</v>
      </c>
      <c r="BE130" s="67">
        <f t="shared" si="67"/>
        <v>1174.5</v>
      </c>
      <c r="BF130" s="67">
        <f t="shared" si="67"/>
        <v>24386.3</v>
      </c>
      <c r="BG130" s="67">
        <f t="shared" si="67"/>
        <v>920.6</v>
      </c>
      <c r="BH130" s="67">
        <f t="shared" si="67"/>
        <v>542.79999999999995</v>
      </c>
      <c r="BI130" s="67">
        <f t="shared" si="67"/>
        <v>257.3</v>
      </c>
      <c r="BJ130" s="67">
        <f t="shared" si="67"/>
        <v>6297.4</v>
      </c>
      <c r="BK130" s="67">
        <f t="shared" si="67"/>
        <v>21864.7</v>
      </c>
      <c r="BL130" s="67">
        <f t="shared" si="67"/>
        <v>69.5</v>
      </c>
      <c r="BM130" s="67">
        <f t="shared" si="67"/>
        <v>340.8</v>
      </c>
      <c r="BN130" s="67">
        <f t="shared" si="67"/>
        <v>3062.6</v>
      </c>
      <c r="BO130" s="67">
        <f t="shared" si="67"/>
        <v>1232.5999999999999</v>
      </c>
      <c r="BP130" s="67">
        <f t="shared" si="67"/>
        <v>152</v>
      </c>
      <c r="BQ130" s="67">
        <f t="shared" si="67"/>
        <v>5869.6</v>
      </c>
      <c r="BR130" s="67">
        <f t="shared" si="67"/>
        <v>4488.3999999999996</v>
      </c>
      <c r="BS130" s="67">
        <f t="shared" si="67"/>
        <v>1158.0999999999999</v>
      </c>
      <c r="BT130" s="67">
        <f t="shared" si="67"/>
        <v>362.5</v>
      </c>
      <c r="BU130" s="67">
        <f t="shared" si="67"/>
        <v>392.6</v>
      </c>
      <c r="BV130" s="67">
        <f t="shared" si="67"/>
        <v>1245.3</v>
      </c>
      <c r="BW130" s="67">
        <f t="shared" si="67"/>
        <v>2017.5</v>
      </c>
      <c r="BX130" s="67">
        <f t="shared" si="67"/>
        <v>65.900000000000006</v>
      </c>
      <c r="BY130" s="67">
        <f t="shared" si="67"/>
        <v>421.9</v>
      </c>
      <c r="BZ130" s="67">
        <f t="shared" si="67"/>
        <v>228</v>
      </c>
      <c r="CA130" s="67">
        <f t="shared" si="67"/>
        <v>144.5</v>
      </c>
      <c r="CB130" s="67">
        <f t="shared" si="67"/>
        <v>72061.600000000006</v>
      </c>
      <c r="CC130" s="67">
        <f t="shared" si="67"/>
        <v>189.3</v>
      </c>
      <c r="CD130" s="67">
        <f t="shared" si="67"/>
        <v>60</v>
      </c>
      <c r="CE130" s="67">
        <f t="shared" si="67"/>
        <v>158.30000000000001</v>
      </c>
      <c r="CF130" s="67">
        <f t="shared" si="67"/>
        <v>105.3</v>
      </c>
      <c r="CG130" s="67">
        <f t="shared" si="67"/>
        <v>197.6</v>
      </c>
      <c r="CH130" s="67">
        <f t="shared" si="67"/>
        <v>95.1</v>
      </c>
      <c r="CI130" s="67">
        <f t="shared" si="67"/>
        <v>687.9</v>
      </c>
      <c r="CJ130" s="67">
        <f t="shared" si="67"/>
        <v>862.8</v>
      </c>
      <c r="CK130" s="67">
        <f t="shared" si="67"/>
        <v>4856.1000000000004</v>
      </c>
      <c r="CL130" s="67">
        <f t="shared" si="67"/>
        <v>1207.5999999999999</v>
      </c>
      <c r="CM130" s="67">
        <f t="shared" si="67"/>
        <v>684.5</v>
      </c>
      <c r="CN130" s="67">
        <f t="shared" si="67"/>
        <v>30547.3</v>
      </c>
      <c r="CO130" s="67">
        <f t="shared" si="67"/>
        <v>14217.5</v>
      </c>
      <c r="CP130" s="67">
        <f t="shared" si="67"/>
        <v>912.3</v>
      </c>
      <c r="CQ130" s="67">
        <f t="shared" si="67"/>
        <v>766.8</v>
      </c>
      <c r="CR130" s="67">
        <f t="shared" si="67"/>
        <v>215.8</v>
      </c>
      <c r="CS130" s="67">
        <f t="shared" si="67"/>
        <v>278.39999999999998</v>
      </c>
      <c r="CT130" s="67">
        <f t="shared" si="67"/>
        <v>113.5</v>
      </c>
      <c r="CU130" s="67">
        <f t="shared" si="67"/>
        <v>69</v>
      </c>
      <c r="CV130" s="67">
        <f t="shared" si="67"/>
        <v>60</v>
      </c>
      <c r="CW130" s="67">
        <f t="shared" si="67"/>
        <v>198.7</v>
      </c>
      <c r="CX130" s="67">
        <f t="shared" si="67"/>
        <v>461.4</v>
      </c>
      <c r="CY130" s="67">
        <f t="shared" si="67"/>
        <v>60</v>
      </c>
      <c r="CZ130" s="67">
        <f t="shared" si="67"/>
        <v>1786.5</v>
      </c>
      <c r="DA130" s="67">
        <f t="shared" si="67"/>
        <v>203.5</v>
      </c>
      <c r="DB130" s="67">
        <f t="shared" si="67"/>
        <v>315.8</v>
      </c>
      <c r="DC130" s="67">
        <f t="shared" si="67"/>
        <v>193</v>
      </c>
      <c r="DD130" s="67">
        <f t="shared" si="67"/>
        <v>174.5</v>
      </c>
      <c r="DE130" s="67">
        <f t="shared" si="67"/>
        <v>284.8</v>
      </c>
      <c r="DF130" s="67">
        <f t="shared" si="67"/>
        <v>20529.7</v>
      </c>
      <c r="DG130" s="67">
        <f t="shared" si="67"/>
        <v>93.5</v>
      </c>
      <c r="DH130" s="67">
        <f t="shared" si="67"/>
        <v>1770.5</v>
      </c>
      <c r="DI130" s="67">
        <f t="shared" si="67"/>
        <v>2414.4</v>
      </c>
      <c r="DJ130" s="67">
        <f t="shared" si="67"/>
        <v>613.1</v>
      </c>
      <c r="DK130" s="67">
        <f t="shared" si="67"/>
        <v>477.7</v>
      </c>
      <c r="DL130" s="67">
        <f t="shared" si="67"/>
        <v>5676</v>
      </c>
      <c r="DM130" s="67">
        <f t="shared" si="67"/>
        <v>235</v>
      </c>
      <c r="DN130" s="67">
        <f t="shared" si="67"/>
        <v>1294.5</v>
      </c>
      <c r="DO130" s="67">
        <f t="shared" si="67"/>
        <v>3290</v>
      </c>
      <c r="DP130" s="67">
        <f t="shared" si="67"/>
        <v>199.1</v>
      </c>
      <c r="DQ130" s="67">
        <f t="shared" si="67"/>
        <v>887</v>
      </c>
      <c r="DR130" s="67">
        <f t="shared" si="67"/>
        <v>1305.5</v>
      </c>
      <c r="DS130" s="67">
        <f t="shared" si="67"/>
        <v>580</v>
      </c>
      <c r="DT130" s="67">
        <f t="shared" si="67"/>
        <v>176.5</v>
      </c>
      <c r="DU130" s="67">
        <f t="shared" si="67"/>
        <v>347.7</v>
      </c>
      <c r="DV130" s="67">
        <f t="shared" si="67"/>
        <v>205.8</v>
      </c>
      <c r="DW130" s="67">
        <f t="shared" si="67"/>
        <v>297.39999999999998</v>
      </c>
      <c r="DX130" s="67">
        <f t="shared" si="67"/>
        <v>168</v>
      </c>
      <c r="DY130" s="67">
        <f t="shared" si="67"/>
        <v>293.10000000000002</v>
      </c>
      <c r="DZ130" s="67">
        <f t="shared" si="67"/>
        <v>661.3</v>
      </c>
      <c r="EA130" s="67">
        <f t="shared" si="67"/>
        <v>526.9</v>
      </c>
      <c r="EB130" s="67">
        <f t="shared" si="67"/>
        <v>522.5</v>
      </c>
      <c r="EC130" s="67">
        <f t="shared" si="67"/>
        <v>278.60000000000002</v>
      </c>
      <c r="ED130" s="67">
        <f t="shared" si="67"/>
        <v>1549</v>
      </c>
      <c r="EE130" s="67">
        <f t="shared" si="67"/>
        <v>191.6</v>
      </c>
      <c r="EF130" s="67">
        <f t="shared" si="67"/>
        <v>1323.8</v>
      </c>
      <c r="EG130" s="67">
        <f t="shared" si="67"/>
        <v>253.5</v>
      </c>
      <c r="EH130" s="67">
        <f t="shared" si="67"/>
        <v>247.4</v>
      </c>
      <c r="EI130" s="67">
        <f t="shared" si="67"/>
        <v>13726.9</v>
      </c>
      <c r="EJ130" s="67">
        <f t="shared" si="67"/>
        <v>9921.6</v>
      </c>
      <c r="EK130" s="67">
        <f t="shared" si="67"/>
        <v>665.6</v>
      </c>
      <c r="EL130" s="67">
        <f t="shared" si="67"/>
        <v>457.3</v>
      </c>
      <c r="EM130" s="67">
        <f t="shared" si="67"/>
        <v>371.1</v>
      </c>
      <c r="EN130" s="67">
        <f t="shared" si="67"/>
        <v>888.6</v>
      </c>
      <c r="EO130" s="67">
        <f t="shared" si="67"/>
        <v>299.5</v>
      </c>
      <c r="EP130" s="67">
        <f t="shared" si="67"/>
        <v>428.5</v>
      </c>
      <c r="EQ130" s="67">
        <f t="shared" si="67"/>
        <v>2594.8000000000002</v>
      </c>
      <c r="ER130" s="67">
        <f t="shared" si="67"/>
        <v>307.60000000000002</v>
      </c>
      <c r="ES130" s="67">
        <f t="shared" si="67"/>
        <v>163</v>
      </c>
      <c r="ET130" s="67">
        <f t="shared" si="67"/>
        <v>197.5</v>
      </c>
      <c r="EU130" s="67">
        <f t="shared" si="67"/>
        <v>573.5</v>
      </c>
      <c r="EV130" s="67">
        <f t="shared" si="67"/>
        <v>72.3</v>
      </c>
      <c r="EW130" s="67">
        <f t="shared" si="67"/>
        <v>804.4</v>
      </c>
      <c r="EX130" s="67">
        <f t="shared" si="67"/>
        <v>173.5</v>
      </c>
      <c r="EY130" s="67">
        <f t="shared" si="67"/>
        <v>205.5</v>
      </c>
      <c r="EZ130" s="67">
        <f t="shared" si="67"/>
        <v>129.30000000000001</v>
      </c>
      <c r="FA130" s="67">
        <f t="shared" si="67"/>
        <v>3358.5</v>
      </c>
      <c r="FB130" s="67">
        <f t="shared" si="67"/>
        <v>276.10000000000002</v>
      </c>
      <c r="FC130" s="67">
        <f t="shared" si="67"/>
        <v>1771.7</v>
      </c>
      <c r="FD130" s="67">
        <f t="shared" si="67"/>
        <v>402</v>
      </c>
      <c r="FE130" s="67">
        <f t="shared" si="67"/>
        <v>77.3</v>
      </c>
      <c r="FF130" s="67">
        <f t="shared" si="67"/>
        <v>181</v>
      </c>
      <c r="FG130" s="67">
        <f t="shared" si="67"/>
        <v>119.8</v>
      </c>
      <c r="FH130" s="67">
        <f t="shared" si="67"/>
        <v>70</v>
      </c>
      <c r="FI130" s="67">
        <f t="shared" si="67"/>
        <v>1681.9</v>
      </c>
      <c r="FJ130" s="67">
        <f t="shared" si="67"/>
        <v>2016.5</v>
      </c>
      <c r="FK130" s="67">
        <f t="shared" si="67"/>
        <v>2527.9</v>
      </c>
      <c r="FL130" s="67">
        <f t="shared" si="67"/>
        <v>8538.5</v>
      </c>
      <c r="FM130" s="67">
        <f t="shared" si="67"/>
        <v>3981.5</v>
      </c>
      <c r="FN130" s="67">
        <f t="shared" si="67"/>
        <v>22422.3</v>
      </c>
      <c r="FO130" s="67">
        <f t="shared" si="67"/>
        <v>1117.2</v>
      </c>
      <c r="FP130" s="67">
        <f t="shared" si="67"/>
        <v>2341.5</v>
      </c>
      <c r="FQ130" s="67">
        <f t="shared" si="67"/>
        <v>982.5</v>
      </c>
      <c r="FR130" s="67">
        <f t="shared" si="67"/>
        <v>165.4</v>
      </c>
      <c r="FS130" s="67">
        <f t="shared" si="67"/>
        <v>164.6</v>
      </c>
      <c r="FT130" s="67">
        <f t="shared" si="67"/>
        <v>60</v>
      </c>
      <c r="FU130" s="67">
        <f t="shared" si="67"/>
        <v>784.3</v>
      </c>
      <c r="FV130" s="67">
        <f t="shared" si="67"/>
        <v>692</v>
      </c>
      <c r="FW130" s="67">
        <f t="shared" si="67"/>
        <v>141.30000000000001</v>
      </c>
      <c r="FX130" s="67">
        <f t="shared" si="67"/>
        <v>64.5</v>
      </c>
      <c r="FY130" s="25"/>
      <c r="FZ130" s="25"/>
      <c r="GA130" s="7"/>
      <c r="GB130" s="25"/>
      <c r="GC130" s="25"/>
      <c r="GD130" s="25"/>
      <c r="GE130" s="25"/>
      <c r="GF130" s="25"/>
      <c r="GG130" s="7"/>
      <c r="GH130" s="23"/>
      <c r="GI130" s="23"/>
      <c r="GJ130" s="23"/>
      <c r="GK130" s="23"/>
      <c r="GL130" s="23"/>
      <c r="GM130" s="23"/>
      <c r="GN130" s="23"/>
      <c r="GO130" s="23"/>
      <c r="GP130" s="7"/>
      <c r="GQ130" s="7"/>
      <c r="GR130" s="7"/>
      <c r="GS130" s="7"/>
      <c r="GT130" s="7"/>
      <c r="GU130" s="7"/>
      <c r="GV130" s="7"/>
    </row>
    <row r="131" spans="1:204" ht="15.5" x14ac:dyDescent="0.35">
      <c r="A131" s="12" t="s">
        <v>644</v>
      </c>
      <c r="B131" s="7" t="s">
        <v>645</v>
      </c>
      <c r="C131" s="33" t="s">
        <v>646</v>
      </c>
      <c r="D131" s="33" t="s">
        <v>646</v>
      </c>
      <c r="E131" s="33" t="s">
        <v>647</v>
      </c>
      <c r="F131" s="33" t="s">
        <v>646</v>
      </c>
      <c r="G131" s="33" t="s">
        <v>648</v>
      </c>
      <c r="H131" s="33" t="s">
        <v>648</v>
      </c>
      <c r="I131" s="33" t="s">
        <v>646</v>
      </c>
      <c r="J131" s="33" t="s">
        <v>649</v>
      </c>
      <c r="K131" s="33" t="s">
        <v>650</v>
      </c>
      <c r="L131" s="33" t="s">
        <v>646</v>
      </c>
      <c r="M131" s="33" t="s">
        <v>646</v>
      </c>
      <c r="N131" s="33" t="s">
        <v>651</v>
      </c>
      <c r="O131" s="33" t="s">
        <v>646</v>
      </c>
      <c r="P131" s="33" t="s">
        <v>650</v>
      </c>
      <c r="Q131" s="33" t="s">
        <v>651</v>
      </c>
      <c r="R131" s="33" t="s">
        <v>648</v>
      </c>
      <c r="S131" s="33" t="s">
        <v>652</v>
      </c>
      <c r="T131" s="33" t="s">
        <v>650</v>
      </c>
      <c r="U131" s="33" t="s">
        <v>650</v>
      </c>
      <c r="V131" s="33" t="s">
        <v>650</v>
      </c>
      <c r="W131" s="33" t="s">
        <v>650</v>
      </c>
      <c r="X131" s="33" t="s">
        <v>650</v>
      </c>
      <c r="Y131" s="33" t="s">
        <v>650</v>
      </c>
      <c r="Z131" s="33" t="s">
        <v>650</v>
      </c>
      <c r="AA131" s="33" t="s">
        <v>653</v>
      </c>
      <c r="AB131" s="33" t="s">
        <v>654</v>
      </c>
      <c r="AC131" s="33" t="s">
        <v>649</v>
      </c>
      <c r="AD131" s="33" t="s">
        <v>649</v>
      </c>
      <c r="AE131" s="33" t="s">
        <v>650</v>
      </c>
      <c r="AF131" s="33" t="s">
        <v>650</v>
      </c>
      <c r="AG131" s="33" t="s">
        <v>648</v>
      </c>
      <c r="AH131" s="33" t="s">
        <v>650</v>
      </c>
      <c r="AI131" s="33" t="s">
        <v>650</v>
      </c>
      <c r="AJ131" s="33" t="s">
        <v>650</v>
      </c>
      <c r="AK131" s="33" t="s">
        <v>650</v>
      </c>
      <c r="AL131" s="33" t="s">
        <v>650</v>
      </c>
      <c r="AM131" s="33" t="s">
        <v>650</v>
      </c>
      <c r="AN131" s="33" t="s">
        <v>650</v>
      </c>
      <c r="AO131" s="33" t="s">
        <v>655</v>
      </c>
      <c r="AP131" s="33" t="s">
        <v>651</v>
      </c>
      <c r="AQ131" s="33" t="s">
        <v>650</v>
      </c>
      <c r="AR131" s="33" t="s">
        <v>646</v>
      </c>
      <c r="AS131" s="33" t="s">
        <v>649</v>
      </c>
      <c r="AT131" s="33" t="s">
        <v>648</v>
      </c>
      <c r="AU131" s="33" t="s">
        <v>648</v>
      </c>
      <c r="AV131" s="33" t="s">
        <v>650</v>
      </c>
      <c r="AW131" s="33" t="s">
        <v>648</v>
      </c>
      <c r="AX131" s="33" t="s">
        <v>650</v>
      </c>
      <c r="AY131" s="33" t="s">
        <v>648</v>
      </c>
      <c r="AZ131" s="33" t="s">
        <v>651</v>
      </c>
      <c r="BA131" s="33" t="s">
        <v>646</v>
      </c>
      <c r="BB131" s="33" t="s">
        <v>646</v>
      </c>
      <c r="BC131" s="33" t="s">
        <v>651</v>
      </c>
      <c r="BD131" s="33" t="s">
        <v>651</v>
      </c>
      <c r="BE131" s="33" t="s">
        <v>646</v>
      </c>
      <c r="BF131" s="33" t="s">
        <v>651</v>
      </c>
      <c r="BG131" s="33" t="s">
        <v>648</v>
      </c>
      <c r="BH131" s="33" t="s">
        <v>648</v>
      </c>
      <c r="BI131" s="33" t="s">
        <v>648</v>
      </c>
      <c r="BJ131" s="33" t="s">
        <v>646</v>
      </c>
      <c r="BK131" s="33" t="s">
        <v>651</v>
      </c>
      <c r="BL131" s="33" t="s">
        <v>650</v>
      </c>
      <c r="BM131" s="33" t="s">
        <v>650</v>
      </c>
      <c r="BN131" s="33" t="s">
        <v>655</v>
      </c>
      <c r="BO131" s="33" t="s">
        <v>648</v>
      </c>
      <c r="BP131" s="33" t="s">
        <v>650</v>
      </c>
      <c r="BQ131" s="33" t="s">
        <v>649</v>
      </c>
      <c r="BR131" s="33" t="s">
        <v>649</v>
      </c>
      <c r="BS131" s="33" t="s">
        <v>655</v>
      </c>
      <c r="BT131" s="33" t="s">
        <v>648</v>
      </c>
      <c r="BU131" s="33" t="s">
        <v>650</v>
      </c>
      <c r="BV131" s="33" t="s">
        <v>650</v>
      </c>
      <c r="BW131" s="33" t="s">
        <v>650</v>
      </c>
      <c r="BX131" s="33" t="s">
        <v>650</v>
      </c>
      <c r="BY131" s="33" t="s">
        <v>650</v>
      </c>
      <c r="BZ131" s="33" t="s">
        <v>650</v>
      </c>
      <c r="CA131" s="33" t="s">
        <v>650</v>
      </c>
      <c r="CB131" s="33" t="s">
        <v>646</v>
      </c>
      <c r="CC131" s="33" t="s">
        <v>650</v>
      </c>
      <c r="CD131" s="33" t="s">
        <v>650</v>
      </c>
      <c r="CE131" s="33" t="s">
        <v>650</v>
      </c>
      <c r="CF131" s="33" t="s">
        <v>650</v>
      </c>
      <c r="CG131" s="33" t="s">
        <v>650</v>
      </c>
      <c r="CH131" s="33" t="s">
        <v>650</v>
      </c>
      <c r="CI131" s="33" t="s">
        <v>650</v>
      </c>
      <c r="CJ131" s="33" t="s">
        <v>649</v>
      </c>
      <c r="CK131" s="33" t="s">
        <v>655</v>
      </c>
      <c r="CL131" s="33" t="s">
        <v>650</v>
      </c>
      <c r="CM131" s="33" t="s">
        <v>650</v>
      </c>
      <c r="CN131" s="33" t="s">
        <v>654</v>
      </c>
      <c r="CO131" s="33" t="s">
        <v>646</v>
      </c>
      <c r="CP131" s="33" t="s">
        <v>655</v>
      </c>
      <c r="CQ131" s="33" t="s">
        <v>652</v>
      </c>
      <c r="CR131" s="33" t="s">
        <v>650</v>
      </c>
      <c r="CS131" s="33" t="s">
        <v>648</v>
      </c>
      <c r="CT131" s="33" t="s">
        <v>650</v>
      </c>
      <c r="CU131" s="33" t="s">
        <v>650</v>
      </c>
      <c r="CV131" s="33" t="s">
        <v>650</v>
      </c>
      <c r="CW131" s="33" t="s">
        <v>650</v>
      </c>
      <c r="CX131" s="33" t="s">
        <v>650</v>
      </c>
      <c r="CY131" s="33" t="s">
        <v>650</v>
      </c>
      <c r="CZ131" s="33" t="s">
        <v>649</v>
      </c>
      <c r="DA131" s="33" t="s">
        <v>650</v>
      </c>
      <c r="DB131" s="33" t="s">
        <v>648</v>
      </c>
      <c r="DC131" s="33" t="s">
        <v>650</v>
      </c>
      <c r="DD131" s="33" t="s">
        <v>648</v>
      </c>
      <c r="DE131" s="33" t="s">
        <v>648</v>
      </c>
      <c r="DF131" s="33" t="s">
        <v>656</v>
      </c>
      <c r="DG131" s="33" t="s">
        <v>650</v>
      </c>
      <c r="DH131" s="33" t="s">
        <v>649</v>
      </c>
      <c r="DI131" s="33" t="s">
        <v>649</v>
      </c>
      <c r="DJ131" s="33" t="s">
        <v>648</v>
      </c>
      <c r="DK131" s="33" t="s">
        <v>650</v>
      </c>
      <c r="DL131" s="33" t="s">
        <v>649</v>
      </c>
      <c r="DM131" s="33" t="s">
        <v>650</v>
      </c>
      <c r="DN131" s="33" t="s">
        <v>649</v>
      </c>
      <c r="DO131" s="33" t="s">
        <v>649</v>
      </c>
      <c r="DP131" s="33" t="s">
        <v>648</v>
      </c>
      <c r="DQ131" s="33" t="s">
        <v>650</v>
      </c>
      <c r="DR131" s="33" t="s">
        <v>649</v>
      </c>
      <c r="DS131" s="33" t="s">
        <v>648</v>
      </c>
      <c r="DT131" s="33" t="s">
        <v>650</v>
      </c>
      <c r="DU131" s="33" t="s">
        <v>650</v>
      </c>
      <c r="DV131" s="33" t="s">
        <v>648</v>
      </c>
      <c r="DW131" s="33" t="s">
        <v>648</v>
      </c>
      <c r="DX131" s="33" t="s">
        <v>650</v>
      </c>
      <c r="DY131" s="33" t="s">
        <v>650</v>
      </c>
      <c r="DZ131" s="33" t="s">
        <v>648</v>
      </c>
      <c r="EA131" s="33" t="s">
        <v>650</v>
      </c>
      <c r="EB131" s="33" t="s">
        <v>650</v>
      </c>
      <c r="EC131" s="33" t="s">
        <v>650</v>
      </c>
      <c r="ED131" s="33" t="s">
        <v>649</v>
      </c>
      <c r="EE131" s="33" t="s">
        <v>650</v>
      </c>
      <c r="EF131" s="33" t="s">
        <v>649</v>
      </c>
      <c r="EG131" s="33" t="s">
        <v>650</v>
      </c>
      <c r="EH131" s="33" t="s">
        <v>648</v>
      </c>
      <c r="EI131" s="33" t="s">
        <v>654</v>
      </c>
      <c r="EJ131" s="33" t="s">
        <v>657</v>
      </c>
      <c r="EK131" s="33" t="s">
        <v>650</v>
      </c>
      <c r="EL131" s="33" t="s">
        <v>650</v>
      </c>
      <c r="EM131" s="33" t="s">
        <v>650</v>
      </c>
      <c r="EN131" s="33" t="s">
        <v>650</v>
      </c>
      <c r="EO131" s="33" t="s">
        <v>650</v>
      </c>
      <c r="EP131" s="33" t="s">
        <v>650</v>
      </c>
      <c r="EQ131" s="33" t="s">
        <v>649</v>
      </c>
      <c r="ER131" s="33" t="s">
        <v>650</v>
      </c>
      <c r="ES131" s="33" t="s">
        <v>650</v>
      </c>
      <c r="ET131" s="33" t="s">
        <v>650</v>
      </c>
      <c r="EU131" s="33" t="s">
        <v>650</v>
      </c>
      <c r="EV131" s="33" t="s">
        <v>650</v>
      </c>
      <c r="EW131" s="33" t="s">
        <v>650</v>
      </c>
      <c r="EX131" s="33" t="s">
        <v>650</v>
      </c>
      <c r="EY131" s="33" t="s">
        <v>650</v>
      </c>
      <c r="EZ131" s="33" t="s">
        <v>650</v>
      </c>
      <c r="FA131" s="33" t="s">
        <v>652</v>
      </c>
      <c r="FB131" s="33" t="s">
        <v>648</v>
      </c>
      <c r="FC131" s="33" t="s">
        <v>657</v>
      </c>
      <c r="FD131" s="33" t="s">
        <v>650</v>
      </c>
      <c r="FE131" s="33" t="s">
        <v>650</v>
      </c>
      <c r="FF131" s="33" t="s">
        <v>650</v>
      </c>
      <c r="FG131" s="33" t="s">
        <v>650</v>
      </c>
      <c r="FH131" s="33" t="s">
        <v>650</v>
      </c>
      <c r="FI131" s="33" t="s">
        <v>648</v>
      </c>
      <c r="FJ131" s="33" t="s">
        <v>657</v>
      </c>
      <c r="FK131" s="33" t="s">
        <v>648</v>
      </c>
      <c r="FL131" s="33" t="s">
        <v>646</v>
      </c>
      <c r="FM131" s="33" t="s">
        <v>657</v>
      </c>
      <c r="FN131" s="33" t="s">
        <v>654</v>
      </c>
      <c r="FO131" s="33" t="s">
        <v>652</v>
      </c>
      <c r="FP131" s="33" t="s">
        <v>657</v>
      </c>
      <c r="FQ131" s="33" t="s">
        <v>648</v>
      </c>
      <c r="FR131" s="33" t="s">
        <v>648</v>
      </c>
      <c r="FS131" s="33" t="s">
        <v>650</v>
      </c>
      <c r="FT131" s="33" t="s">
        <v>650</v>
      </c>
      <c r="FU131" s="33" t="s">
        <v>650</v>
      </c>
      <c r="FV131" s="33" t="s">
        <v>650</v>
      </c>
      <c r="FW131" s="33" t="s">
        <v>650</v>
      </c>
      <c r="FX131" s="33" t="s">
        <v>650</v>
      </c>
      <c r="FY131" s="25"/>
      <c r="FZ131" s="25"/>
      <c r="GA131" s="7"/>
      <c r="GB131" s="25"/>
      <c r="GC131" s="25"/>
      <c r="GD131" s="25"/>
      <c r="GE131" s="25"/>
      <c r="GF131" s="25"/>
      <c r="GG131" s="7"/>
      <c r="GH131" s="23"/>
      <c r="GI131" s="23"/>
      <c r="GJ131" s="23"/>
      <c r="GK131" s="23"/>
      <c r="GL131" s="23"/>
      <c r="GM131" s="23"/>
      <c r="GN131" s="23"/>
      <c r="GO131" s="23"/>
      <c r="GP131" s="7"/>
      <c r="GQ131" s="7"/>
      <c r="GR131" s="7"/>
      <c r="GS131" s="7"/>
      <c r="GT131" s="7"/>
      <c r="GU131" s="7"/>
      <c r="GV131" s="7"/>
    </row>
    <row r="132" spans="1:204" ht="15.5" x14ac:dyDescent="0.35">
      <c r="A132" s="12" t="s">
        <v>658</v>
      </c>
      <c r="B132" s="7" t="s">
        <v>659</v>
      </c>
      <c r="C132" s="68">
        <f t="shared" ref="C132:FX132" si="68">IF(C131="Town: Remote",0.1,IF(C131="Town: Fringe",0.025,IF(C131="Town: Distant",0.05,IF(C131="Rural: Fringe",0.15,IF(C131="Rural: Distant",0.2,IF(C131="Rural: Remote",0.25,0))))))</f>
        <v>0</v>
      </c>
      <c r="D132" s="68">
        <f t="shared" si="68"/>
        <v>0</v>
      </c>
      <c r="E132" s="68">
        <f t="shared" si="68"/>
        <v>0</v>
      </c>
      <c r="F132" s="68">
        <f t="shared" si="68"/>
        <v>0</v>
      </c>
      <c r="G132" s="68">
        <f t="shared" si="68"/>
        <v>0.2</v>
      </c>
      <c r="H132" s="68">
        <f t="shared" si="68"/>
        <v>0.2</v>
      </c>
      <c r="I132" s="68">
        <f t="shared" si="68"/>
        <v>0</v>
      </c>
      <c r="J132" s="68">
        <f t="shared" si="68"/>
        <v>0.1</v>
      </c>
      <c r="K132" s="68">
        <f t="shared" si="68"/>
        <v>0.25</v>
      </c>
      <c r="L132" s="68">
        <f t="shared" si="68"/>
        <v>0</v>
      </c>
      <c r="M132" s="68">
        <f t="shared" si="68"/>
        <v>0</v>
      </c>
      <c r="N132" s="68">
        <f t="shared" si="68"/>
        <v>0</v>
      </c>
      <c r="O132" s="68">
        <f t="shared" si="68"/>
        <v>0</v>
      </c>
      <c r="P132" s="68">
        <f t="shared" si="68"/>
        <v>0.25</v>
      </c>
      <c r="Q132" s="68">
        <f t="shared" si="68"/>
        <v>0</v>
      </c>
      <c r="R132" s="68">
        <f t="shared" si="68"/>
        <v>0.2</v>
      </c>
      <c r="S132" s="68">
        <f t="shared" si="68"/>
        <v>0.15</v>
      </c>
      <c r="T132" s="68">
        <f t="shared" si="68"/>
        <v>0.25</v>
      </c>
      <c r="U132" s="68">
        <f t="shared" si="68"/>
        <v>0.25</v>
      </c>
      <c r="V132" s="68">
        <f t="shared" si="68"/>
        <v>0.25</v>
      </c>
      <c r="W132" s="68">
        <f t="shared" si="68"/>
        <v>0.25</v>
      </c>
      <c r="X132" s="68">
        <f t="shared" si="68"/>
        <v>0.25</v>
      </c>
      <c r="Y132" s="68">
        <f t="shared" si="68"/>
        <v>0.25</v>
      </c>
      <c r="Z132" s="68">
        <f t="shared" si="68"/>
        <v>0.25</v>
      </c>
      <c r="AA132" s="68">
        <f t="shared" si="68"/>
        <v>0</v>
      </c>
      <c r="AB132" s="68">
        <f t="shared" si="68"/>
        <v>0</v>
      </c>
      <c r="AC132" s="68">
        <f t="shared" si="68"/>
        <v>0.1</v>
      </c>
      <c r="AD132" s="68">
        <f t="shared" si="68"/>
        <v>0.1</v>
      </c>
      <c r="AE132" s="68">
        <f t="shared" si="68"/>
        <v>0.25</v>
      </c>
      <c r="AF132" s="68">
        <f t="shared" si="68"/>
        <v>0.25</v>
      </c>
      <c r="AG132" s="68">
        <f t="shared" si="68"/>
        <v>0.2</v>
      </c>
      <c r="AH132" s="68">
        <f t="shared" si="68"/>
        <v>0.25</v>
      </c>
      <c r="AI132" s="68">
        <f t="shared" si="68"/>
        <v>0.25</v>
      </c>
      <c r="AJ132" s="68">
        <f t="shared" si="68"/>
        <v>0.25</v>
      </c>
      <c r="AK132" s="68">
        <f t="shared" si="68"/>
        <v>0.25</v>
      </c>
      <c r="AL132" s="68">
        <f t="shared" si="68"/>
        <v>0.25</v>
      </c>
      <c r="AM132" s="68">
        <f t="shared" si="68"/>
        <v>0.25</v>
      </c>
      <c r="AN132" s="68">
        <f t="shared" si="68"/>
        <v>0.25</v>
      </c>
      <c r="AO132" s="68">
        <f t="shared" si="68"/>
        <v>0.05</v>
      </c>
      <c r="AP132" s="68">
        <f t="shared" si="68"/>
        <v>0</v>
      </c>
      <c r="AQ132" s="68">
        <f t="shared" si="68"/>
        <v>0.25</v>
      </c>
      <c r="AR132" s="68">
        <f t="shared" si="68"/>
        <v>0</v>
      </c>
      <c r="AS132" s="68">
        <f t="shared" si="68"/>
        <v>0.1</v>
      </c>
      <c r="AT132" s="68">
        <f t="shared" si="68"/>
        <v>0.2</v>
      </c>
      <c r="AU132" s="68">
        <f t="shared" si="68"/>
        <v>0.2</v>
      </c>
      <c r="AV132" s="68">
        <f t="shared" si="68"/>
        <v>0.25</v>
      </c>
      <c r="AW132" s="68">
        <f t="shared" si="68"/>
        <v>0.2</v>
      </c>
      <c r="AX132" s="68">
        <f t="shared" si="68"/>
        <v>0.25</v>
      </c>
      <c r="AY132" s="68">
        <f t="shared" si="68"/>
        <v>0.2</v>
      </c>
      <c r="AZ132" s="68">
        <f t="shared" si="68"/>
        <v>0</v>
      </c>
      <c r="BA132" s="68">
        <f t="shared" si="68"/>
        <v>0</v>
      </c>
      <c r="BB132" s="68">
        <f t="shared" si="68"/>
        <v>0</v>
      </c>
      <c r="BC132" s="68">
        <f t="shared" si="68"/>
        <v>0</v>
      </c>
      <c r="BD132" s="68">
        <f t="shared" si="68"/>
        <v>0</v>
      </c>
      <c r="BE132" s="68">
        <f t="shared" si="68"/>
        <v>0</v>
      </c>
      <c r="BF132" s="68">
        <f t="shared" si="68"/>
        <v>0</v>
      </c>
      <c r="BG132" s="68">
        <f t="shared" si="68"/>
        <v>0.2</v>
      </c>
      <c r="BH132" s="68">
        <f t="shared" si="68"/>
        <v>0.2</v>
      </c>
      <c r="BI132" s="68">
        <f t="shared" si="68"/>
        <v>0.2</v>
      </c>
      <c r="BJ132" s="68">
        <f t="shared" si="68"/>
        <v>0</v>
      </c>
      <c r="BK132" s="68">
        <f t="shared" si="68"/>
        <v>0</v>
      </c>
      <c r="BL132" s="68">
        <f t="shared" si="68"/>
        <v>0.25</v>
      </c>
      <c r="BM132" s="68">
        <f t="shared" si="68"/>
        <v>0.25</v>
      </c>
      <c r="BN132" s="68">
        <f t="shared" si="68"/>
        <v>0.05</v>
      </c>
      <c r="BO132" s="68">
        <f t="shared" si="68"/>
        <v>0.2</v>
      </c>
      <c r="BP132" s="68">
        <f t="shared" si="68"/>
        <v>0.25</v>
      </c>
      <c r="BQ132" s="68">
        <f t="shared" si="68"/>
        <v>0.1</v>
      </c>
      <c r="BR132" s="68">
        <f t="shared" si="68"/>
        <v>0.1</v>
      </c>
      <c r="BS132" s="68">
        <f t="shared" si="68"/>
        <v>0.05</v>
      </c>
      <c r="BT132" s="68">
        <f t="shared" si="68"/>
        <v>0.2</v>
      </c>
      <c r="BU132" s="68">
        <f t="shared" si="68"/>
        <v>0.25</v>
      </c>
      <c r="BV132" s="68">
        <f t="shared" si="68"/>
        <v>0.25</v>
      </c>
      <c r="BW132" s="68">
        <f t="shared" si="68"/>
        <v>0.25</v>
      </c>
      <c r="BX132" s="68">
        <f t="shared" si="68"/>
        <v>0.25</v>
      </c>
      <c r="BY132" s="68">
        <f t="shared" si="68"/>
        <v>0.25</v>
      </c>
      <c r="BZ132" s="68">
        <f t="shared" si="68"/>
        <v>0.25</v>
      </c>
      <c r="CA132" s="68">
        <f t="shared" si="68"/>
        <v>0.25</v>
      </c>
      <c r="CB132" s="68">
        <f t="shared" si="68"/>
        <v>0</v>
      </c>
      <c r="CC132" s="68">
        <f t="shared" si="68"/>
        <v>0.25</v>
      </c>
      <c r="CD132" s="68">
        <f t="shared" si="68"/>
        <v>0.25</v>
      </c>
      <c r="CE132" s="68">
        <f t="shared" si="68"/>
        <v>0.25</v>
      </c>
      <c r="CF132" s="68">
        <f t="shared" si="68"/>
        <v>0.25</v>
      </c>
      <c r="CG132" s="68">
        <f t="shared" si="68"/>
        <v>0.25</v>
      </c>
      <c r="CH132" s="68">
        <f t="shared" si="68"/>
        <v>0.25</v>
      </c>
      <c r="CI132" s="68">
        <f t="shared" si="68"/>
        <v>0.25</v>
      </c>
      <c r="CJ132" s="68">
        <f t="shared" si="68"/>
        <v>0.1</v>
      </c>
      <c r="CK132" s="68">
        <f t="shared" si="68"/>
        <v>0.05</v>
      </c>
      <c r="CL132" s="68">
        <f t="shared" si="68"/>
        <v>0.25</v>
      </c>
      <c r="CM132" s="68">
        <f t="shared" si="68"/>
        <v>0.25</v>
      </c>
      <c r="CN132" s="68">
        <f t="shared" si="68"/>
        <v>0</v>
      </c>
      <c r="CO132" s="68">
        <f t="shared" si="68"/>
        <v>0</v>
      </c>
      <c r="CP132" s="68">
        <f t="shared" si="68"/>
        <v>0.05</v>
      </c>
      <c r="CQ132" s="68">
        <f t="shared" si="68"/>
        <v>0.15</v>
      </c>
      <c r="CR132" s="68">
        <f t="shared" si="68"/>
        <v>0.25</v>
      </c>
      <c r="CS132" s="68">
        <f t="shared" si="68"/>
        <v>0.2</v>
      </c>
      <c r="CT132" s="68">
        <f t="shared" si="68"/>
        <v>0.25</v>
      </c>
      <c r="CU132" s="68">
        <f t="shared" si="68"/>
        <v>0.25</v>
      </c>
      <c r="CV132" s="68">
        <f t="shared" si="68"/>
        <v>0.25</v>
      </c>
      <c r="CW132" s="68">
        <f t="shared" si="68"/>
        <v>0.25</v>
      </c>
      <c r="CX132" s="68">
        <f t="shared" si="68"/>
        <v>0.25</v>
      </c>
      <c r="CY132" s="68">
        <f t="shared" si="68"/>
        <v>0.25</v>
      </c>
      <c r="CZ132" s="68">
        <f t="shared" si="68"/>
        <v>0.1</v>
      </c>
      <c r="DA132" s="68">
        <f t="shared" si="68"/>
        <v>0.25</v>
      </c>
      <c r="DB132" s="68">
        <f t="shared" si="68"/>
        <v>0.2</v>
      </c>
      <c r="DC132" s="68">
        <f t="shared" si="68"/>
        <v>0.25</v>
      </c>
      <c r="DD132" s="68">
        <f t="shared" si="68"/>
        <v>0.2</v>
      </c>
      <c r="DE132" s="68">
        <f t="shared" si="68"/>
        <v>0.2</v>
      </c>
      <c r="DF132" s="68">
        <f t="shared" si="68"/>
        <v>0</v>
      </c>
      <c r="DG132" s="68">
        <f t="shared" si="68"/>
        <v>0.25</v>
      </c>
      <c r="DH132" s="68">
        <f t="shared" si="68"/>
        <v>0.1</v>
      </c>
      <c r="DI132" s="68">
        <f t="shared" si="68"/>
        <v>0.1</v>
      </c>
      <c r="DJ132" s="68">
        <f t="shared" si="68"/>
        <v>0.2</v>
      </c>
      <c r="DK132" s="68">
        <f t="shared" si="68"/>
        <v>0.25</v>
      </c>
      <c r="DL132" s="68">
        <f t="shared" si="68"/>
        <v>0.1</v>
      </c>
      <c r="DM132" s="68">
        <f t="shared" si="68"/>
        <v>0.25</v>
      </c>
      <c r="DN132" s="68">
        <f t="shared" si="68"/>
        <v>0.1</v>
      </c>
      <c r="DO132" s="68">
        <f t="shared" si="68"/>
        <v>0.1</v>
      </c>
      <c r="DP132" s="68">
        <f t="shared" si="68"/>
        <v>0.2</v>
      </c>
      <c r="DQ132" s="68">
        <f t="shared" si="68"/>
        <v>0.25</v>
      </c>
      <c r="DR132" s="68">
        <f t="shared" si="68"/>
        <v>0.1</v>
      </c>
      <c r="DS132" s="68">
        <f t="shared" si="68"/>
        <v>0.2</v>
      </c>
      <c r="DT132" s="68">
        <f t="shared" si="68"/>
        <v>0.25</v>
      </c>
      <c r="DU132" s="68">
        <f t="shared" si="68"/>
        <v>0.25</v>
      </c>
      <c r="DV132" s="68">
        <f t="shared" si="68"/>
        <v>0.2</v>
      </c>
      <c r="DW132" s="68">
        <f t="shared" si="68"/>
        <v>0.2</v>
      </c>
      <c r="DX132" s="68">
        <f t="shared" si="68"/>
        <v>0.25</v>
      </c>
      <c r="DY132" s="68">
        <f t="shared" si="68"/>
        <v>0.25</v>
      </c>
      <c r="DZ132" s="68">
        <f t="shared" si="68"/>
        <v>0.2</v>
      </c>
      <c r="EA132" s="68">
        <f t="shared" si="68"/>
        <v>0.25</v>
      </c>
      <c r="EB132" s="68">
        <f t="shared" si="68"/>
        <v>0.25</v>
      </c>
      <c r="EC132" s="68">
        <f t="shared" si="68"/>
        <v>0.25</v>
      </c>
      <c r="ED132" s="68">
        <f t="shared" si="68"/>
        <v>0.1</v>
      </c>
      <c r="EE132" s="68">
        <f t="shared" si="68"/>
        <v>0.25</v>
      </c>
      <c r="EF132" s="68">
        <f t="shared" si="68"/>
        <v>0.1</v>
      </c>
      <c r="EG132" s="68">
        <f t="shared" si="68"/>
        <v>0.25</v>
      </c>
      <c r="EH132" s="68">
        <f t="shared" si="68"/>
        <v>0.2</v>
      </c>
      <c r="EI132" s="68">
        <f t="shared" si="68"/>
        <v>0</v>
      </c>
      <c r="EJ132" s="68">
        <f t="shared" si="68"/>
        <v>2.5000000000000001E-2</v>
      </c>
      <c r="EK132" s="68">
        <f t="shared" si="68"/>
        <v>0.25</v>
      </c>
      <c r="EL132" s="68">
        <f t="shared" si="68"/>
        <v>0.25</v>
      </c>
      <c r="EM132" s="68">
        <f t="shared" si="68"/>
        <v>0.25</v>
      </c>
      <c r="EN132" s="68">
        <f t="shared" si="68"/>
        <v>0.25</v>
      </c>
      <c r="EO132" s="68">
        <f t="shared" si="68"/>
        <v>0.25</v>
      </c>
      <c r="EP132" s="68">
        <f t="shared" si="68"/>
        <v>0.25</v>
      </c>
      <c r="EQ132" s="68">
        <f t="shared" si="68"/>
        <v>0.1</v>
      </c>
      <c r="ER132" s="68">
        <f t="shared" si="68"/>
        <v>0.25</v>
      </c>
      <c r="ES132" s="68">
        <f t="shared" si="68"/>
        <v>0.25</v>
      </c>
      <c r="ET132" s="68">
        <f t="shared" si="68"/>
        <v>0.25</v>
      </c>
      <c r="EU132" s="68">
        <f t="shared" si="68"/>
        <v>0.25</v>
      </c>
      <c r="EV132" s="68">
        <f t="shared" si="68"/>
        <v>0.25</v>
      </c>
      <c r="EW132" s="68">
        <f t="shared" si="68"/>
        <v>0.25</v>
      </c>
      <c r="EX132" s="68">
        <f t="shared" si="68"/>
        <v>0.25</v>
      </c>
      <c r="EY132" s="68">
        <f t="shared" si="68"/>
        <v>0.25</v>
      </c>
      <c r="EZ132" s="68">
        <f t="shared" si="68"/>
        <v>0.25</v>
      </c>
      <c r="FA132" s="68">
        <f t="shared" si="68"/>
        <v>0.15</v>
      </c>
      <c r="FB132" s="68">
        <f t="shared" si="68"/>
        <v>0.2</v>
      </c>
      <c r="FC132" s="68">
        <f t="shared" si="68"/>
        <v>2.5000000000000001E-2</v>
      </c>
      <c r="FD132" s="68">
        <f t="shared" si="68"/>
        <v>0.25</v>
      </c>
      <c r="FE132" s="68">
        <f t="shared" si="68"/>
        <v>0.25</v>
      </c>
      <c r="FF132" s="68">
        <f t="shared" si="68"/>
        <v>0.25</v>
      </c>
      <c r="FG132" s="68">
        <f t="shared" si="68"/>
        <v>0.25</v>
      </c>
      <c r="FH132" s="68">
        <f t="shared" si="68"/>
        <v>0.25</v>
      </c>
      <c r="FI132" s="68">
        <f t="shared" si="68"/>
        <v>0.2</v>
      </c>
      <c r="FJ132" s="68">
        <f t="shared" si="68"/>
        <v>2.5000000000000001E-2</v>
      </c>
      <c r="FK132" s="68">
        <f t="shared" si="68"/>
        <v>0.2</v>
      </c>
      <c r="FL132" s="68">
        <f t="shared" si="68"/>
        <v>0</v>
      </c>
      <c r="FM132" s="68">
        <f t="shared" si="68"/>
        <v>2.5000000000000001E-2</v>
      </c>
      <c r="FN132" s="68">
        <f t="shared" si="68"/>
        <v>0</v>
      </c>
      <c r="FO132" s="68">
        <f t="shared" si="68"/>
        <v>0.15</v>
      </c>
      <c r="FP132" s="68">
        <f t="shared" si="68"/>
        <v>2.5000000000000001E-2</v>
      </c>
      <c r="FQ132" s="68">
        <f t="shared" si="68"/>
        <v>0.2</v>
      </c>
      <c r="FR132" s="68">
        <f t="shared" si="68"/>
        <v>0.2</v>
      </c>
      <c r="FS132" s="68">
        <f t="shared" si="68"/>
        <v>0.25</v>
      </c>
      <c r="FT132" s="68">
        <f t="shared" si="68"/>
        <v>0.25</v>
      </c>
      <c r="FU132" s="68">
        <f t="shared" si="68"/>
        <v>0.25</v>
      </c>
      <c r="FV132" s="68">
        <f t="shared" si="68"/>
        <v>0.25</v>
      </c>
      <c r="FW132" s="68">
        <f t="shared" si="68"/>
        <v>0.25</v>
      </c>
      <c r="FX132" s="68">
        <f t="shared" si="68"/>
        <v>0.25</v>
      </c>
      <c r="FY132" s="25"/>
      <c r="FZ132" s="25"/>
      <c r="GA132" s="7"/>
      <c r="GB132" s="25"/>
      <c r="GC132" s="25"/>
      <c r="GD132" s="25"/>
      <c r="GE132" s="25"/>
      <c r="GF132" s="25"/>
      <c r="GG132" s="7"/>
      <c r="GH132" s="23"/>
      <c r="GI132" s="23"/>
      <c r="GJ132" s="23"/>
      <c r="GK132" s="23"/>
      <c r="GL132" s="23"/>
      <c r="GM132" s="23"/>
      <c r="GN132" s="23"/>
      <c r="GO132" s="23"/>
      <c r="GP132" s="7"/>
      <c r="GQ132" s="7"/>
      <c r="GR132" s="7"/>
      <c r="GS132" s="7"/>
      <c r="GT132" s="7"/>
      <c r="GU132" s="7"/>
      <c r="GV132" s="7"/>
    </row>
    <row r="133" spans="1:204" ht="15.5" x14ac:dyDescent="0.35">
      <c r="A133" s="60" t="s">
        <v>660</v>
      </c>
      <c r="B133" s="8" t="s">
        <v>661</v>
      </c>
      <c r="C133" s="61">
        <f t="shared" ref="C133:FX133" si="69">IF(OR(C131="Rural: Remote",C131="Town: Remote"),(C130*C84*C132)+100000,(C130*C84*C132))</f>
        <v>0</v>
      </c>
      <c r="D133" s="61">
        <f t="shared" si="69"/>
        <v>0</v>
      </c>
      <c r="E133" s="61">
        <f t="shared" si="69"/>
        <v>0</v>
      </c>
      <c r="F133" s="61">
        <f t="shared" si="69"/>
        <v>0</v>
      </c>
      <c r="G133" s="61">
        <f t="shared" si="69"/>
        <v>3205535.84</v>
      </c>
      <c r="H133" s="61">
        <f t="shared" si="69"/>
        <v>1904373.38</v>
      </c>
      <c r="I133" s="61">
        <f t="shared" si="69"/>
        <v>0</v>
      </c>
      <c r="J133" s="61">
        <f t="shared" si="69"/>
        <v>1873648.7079999999</v>
      </c>
      <c r="K133" s="61">
        <f t="shared" si="69"/>
        <v>646931.5149999999</v>
      </c>
      <c r="L133" s="61">
        <f t="shared" si="69"/>
        <v>0</v>
      </c>
      <c r="M133" s="61">
        <f t="shared" si="69"/>
        <v>0</v>
      </c>
      <c r="N133" s="61">
        <f t="shared" si="69"/>
        <v>0</v>
      </c>
      <c r="O133" s="61">
        <f t="shared" si="69"/>
        <v>0</v>
      </c>
      <c r="P133" s="61">
        <f t="shared" si="69"/>
        <v>785131.13500000001</v>
      </c>
      <c r="Q133" s="61">
        <f t="shared" si="69"/>
        <v>0</v>
      </c>
      <c r="R133" s="61">
        <f t="shared" si="69"/>
        <v>837541.848</v>
      </c>
      <c r="S133" s="61">
        <f t="shared" si="69"/>
        <v>2051482.0949999997</v>
      </c>
      <c r="T133" s="61">
        <f t="shared" si="69"/>
        <v>450062.24499999994</v>
      </c>
      <c r="U133" s="61">
        <f t="shared" si="69"/>
        <v>230377</v>
      </c>
      <c r="V133" s="61">
        <f t="shared" si="69"/>
        <v>657144.37999999989</v>
      </c>
      <c r="W133" s="61">
        <f t="shared" si="69"/>
        <v>228204.05</v>
      </c>
      <c r="X133" s="61">
        <f t="shared" si="69"/>
        <v>230377</v>
      </c>
      <c r="Y133" s="61">
        <f t="shared" si="69"/>
        <v>1015463.835</v>
      </c>
      <c r="Z133" s="61">
        <f t="shared" si="69"/>
        <v>602168.74499999988</v>
      </c>
      <c r="AA133" s="61">
        <f t="shared" si="69"/>
        <v>0</v>
      </c>
      <c r="AB133" s="61">
        <f t="shared" si="69"/>
        <v>0</v>
      </c>
      <c r="AC133" s="61">
        <f t="shared" si="69"/>
        <v>876090.82199999993</v>
      </c>
      <c r="AD133" s="61">
        <f t="shared" si="69"/>
        <v>1347360.2179999999</v>
      </c>
      <c r="AE133" s="61">
        <f t="shared" si="69"/>
        <v>310776.15000000002</v>
      </c>
      <c r="AF133" s="61">
        <f t="shared" si="69"/>
        <v>460275.11</v>
      </c>
      <c r="AG133" s="61">
        <f t="shared" si="69"/>
        <v>1031542.8239999999</v>
      </c>
      <c r="AH133" s="61">
        <f t="shared" si="69"/>
        <v>2154306.9299999997</v>
      </c>
      <c r="AI133" s="61">
        <f t="shared" si="69"/>
        <v>932239.85</v>
      </c>
      <c r="AJ133" s="61">
        <f t="shared" si="69"/>
        <v>494390.42499999999</v>
      </c>
      <c r="AK133" s="61">
        <f t="shared" si="69"/>
        <v>453756.26</v>
      </c>
      <c r="AL133" s="61">
        <f t="shared" si="69"/>
        <v>726896.07499999995</v>
      </c>
      <c r="AM133" s="61">
        <f t="shared" si="69"/>
        <v>838802.99999999988</v>
      </c>
      <c r="AN133" s="61">
        <f t="shared" si="69"/>
        <v>733414.92499999993</v>
      </c>
      <c r="AO133" s="61">
        <f t="shared" si="69"/>
        <v>1718673.0729999999</v>
      </c>
      <c r="AP133" s="61">
        <f t="shared" si="69"/>
        <v>0</v>
      </c>
      <c r="AQ133" s="61">
        <f t="shared" si="69"/>
        <v>645410.44999999995</v>
      </c>
      <c r="AR133" s="61">
        <f t="shared" si="69"/>
        <v>0</v>
      </c>
      <c r="AS133" s="61">
        <f t="shared" si="69"/>
        <v>5682134.7140000006</v>
      </c>
      <c r="AT133" s="61">
        <f t="shared" si="69"/>
        <v>4102877.2719999994</v>
      </c>
      <c r="AU133" s="61">
        <f t="shared" si="69"/>
        <v>471095.56</v>
      </c>
      <c r="AV133" s="61">
        <f t="shared" si="69"/>
        <v>763618.92999999993</v>
      </c>
      <c r="AW133" s="61">
        <f t="shared" si="69"/>
        <v>443281.80000000005</v>
      </c>
      <c r="AX133" s="61">
        <f t="shared" si="69"/>
        <v>276008.94999999995</v>
      </c>
      <c r="AY133" s="61">
        <f t="shared" si="69"/>
        <v>698820.72</v>
      </c>
      <c r="AZ133" s="61">
        <f t="shared" si="69"/>
        <v>0</v>
      </c>
      <c r="BA133" s="61">
        <f t="shared" si="69"/>
        <v>0</v>
      </c>
      <c r="BB133" s="61">
        <f t="shared" si="69"/>
        <v>0</v>
      </c>
      <c r="BC133" s="61">
        <f t="shared" si="69"/>
        <v>0</v>
      </c>
      <c r="BD133" s="61">
        <f t="shared" si="69"/>
        <v>0</v>
      </c>
      <c r="BE133" s="61">
        <f t="shared" si="69"/>
        <v>0</v>
      </c>
      <c r="BF133" s="61">
        <f t="shared" si="69"/>
        <v>0</v>
      </c>
      <c r="BG133" s="61">
        <f t="shared" si="69"/>
        <v>1600334.216</v>
      </c>
      <c r="BH133" s="61">
        <f t="shared" si="69"/>
        <v>943581.80799999984</v>
      </c>
      <c r="BI133" s="61">
        <f t="shared" si="69"/>
        <v>447280.02800000005</v>
      </c>
      <c r="BJ133" s="61">
        <f t="shared" si="69"/>
        <v>0</v>
      </c>
      <c r="BK133" s="61">
        <f t="shared" si="69"/>
        <v>0</v>
      </c>
      <c r="BL133" s="61">
        <f t="shared" si="69"/>
        <v>251020.02499999999</v>
      </c>
      <c r="BM133" s="61">
        <f t="shared" si="69"/>
        <v>840541.36</v>
      </c>
      <c r="BN133" s="61">
        <f t="shared" si="69"/>
        <v>1330975.3339999998</v>
      </c>
      <c r="BO133" s="61">
        <f t="shared" si="69"/>
        <v>2142702.5359999998</v>
      </c>
      <c r="BP133" s="61">
        <f t="shared" si="69"/>
        <v>430288.39999999997</v>
      </c>
      <c r="BQ133" s="61">
        <f t="shared" si="69"/>
        <v>5201738.9280000003</v>
      </c>
      <c r="BR133" s="61">
        <f t="shared" si="69"/>
        <v>4001227.5119999992</v>
      </c>
      <c r="BS133" s="61">
        <f t="shared" si="69"/>
        <v>503298.67899999995</v>
      </c>
      <c r="BT133" s="61">
        <f t="shared" si="69"/>
        <v>630155.5</v>
      </c>
      <c r="BU133" s="61">
        <f t="shared" si="69"/>
        <v>953100.16999999993</v>
      </c>
      <c r="BV133" s="61">
        <f t="shared" si="69"/>
        <v>2805974.6349999998</v>
      </c>
      <c r="BW133" s="61">
        <f t="shared" si="69"/>
        <v>4483926.625</v>
      </c>
      <c r="BX133" s="61">
        <f t="shared" si="69"/>
        <v>243197.405</v>
      </c>
      <c r="BY133" s="61">
        <f t="shared" si="69"/>
        <v>1016767.6049999999</v>
      </c>
      <c r="BZ133" s="61">
        <f t="shared" si="69"/>
        <v>595432.6</v>
      </c>
      <c r="CA133" s="61">
        <f t="shared" si="69"/>
        <v>413991.27499999997</v>
      </c>
      <c r="CB133" s="61">
        <f t="shared" si="69"/>
        <v>0</v>
      </c>
      <c r="CC133" s="61">
        <f t="shared" si="69"/>
        <v>511339.435</v>
      </c>
      <c r="CD133" s="61">
        <f t="shared" si="69"/>
        <v>230377</v>
      </c>
      <c r="CE133" s="61">
        <f t="shared" si="69"/>
        <v>443977.98499999999</v>
      </c>
      <c r="CF133" s="61">
        <f t="shared" si="69"/>
        <v>328811.63500000001</v>
      </c>
      <c r="CG133" s="61">
        <f t="shared" si="69"/>
        <v>529374.91999999993</v>
      </c>
      <c r="CH133" s="61">
        <f t="shared" si="69"/>
        <v>306647.54499999998</v>
      </c>
      <c r="CI133" s="61">
        <f t="shared" si="69"/>
        <v>1594772.3049999999</v>
      </c>
      <c r="CJ133" s="61">
        <f t="shared" si="69"/>
        <v>849928.50399999996</v>
      </c>
      <c r="CK133" s="61">
        <f t="shared" si="69"/>
        <v>2110412.4989999998</v>
      </c>
      <c r="CL133" s="61">
        <f t="shared" si="69"/>
        <v>2724054.4199999995</v>
      </c>
      <c r="CM133" s="61">
        <f t="shared" si="69"/>
        <v>1587384.2749999999</v>
      </c>
      <c r="CN133" s="61">
        <f t="shared" si="69"/>
        <v>0</v>
      </c>
      <c r="CO133" s="61">
        <f t="shared" si="69"/>
        <v>0</v>
      </c>
      <c r="CP133" s="61">
        <f t="shared" si="69"/>
        <v>396476.45699999994</v>
      </c>
      <c r="CQ133" s="61">
        <f t="shared" si="69"/>
        <v>999730.83599999989</v>
      </c>
      <c r="CR133" s="61">
        <f t="shared" si="69"/>
        <v>568922.61</v>
      </c>
      <c r="CS133" s="61">
        <f t="shared" si="69"/>
        <v>483959.42399999994</v>
      </c>
      <c r="CT133" s="61">
        <f t="shared" si="69"/>
        <v>346629.82499999995</v>
      </c>
      <c r="CU133" s="61">
        <f t="shared" si="69"/>
        <v>249933.55</v>
      </c>
      <c r="CV133" s="61">
        <f t="shared" si="69"/>
        <v>230377</v>
      </c>
      <c r="CW133" s="61">
        <f t="shared" si="69"/>
        <v>531765.16499999992</v>
      </c>
      <c r="CX133" s="61">
        <f t="shared" si="69"/>
        <v>1102599.1299999999</v>
      </c>
      <c r="CY133" s="61">
        <f t="shared" si="69"/>
        <v>230377</v>
      </c>
      <c r="CZ133" s="61">
        <f t="shared" si="69"/>
        <v>1652790.07</v>
      </c>
      <c r="DA133" s="61">
        <f t="shared" si="69"/>
        <v>542195.32499999995</v>
      </c>
      <c r="DB133" s="61">
        <f t="shared" si="69"/>
        <v>548974.08799999999</v>
      </c>
      <c r="DC133" s="61">
        <f t="shared" si="69"/>
        <v>519379.35</v>
      </c>
      <c r="DD133" s="61">
        <f t="shared" si="69"/>
        <v>303343.82</v>
      </c>
      <c r="DE133" s="61">
        <f t="shared" si="69"/>
        <v>495084.92799999996</v>
      </c>
      <c r="DF133" s="61">
        <f t="shared" si="69"/>
        <v>0</v>
      </c>
      <c r="DG133" s="61">
        <f t="shared" si="69"/>
        <v>303170.82499999995</v>
      </c>
      <c r="DH133" s="61">
        <f t="shared" si="69"/>
        <v>1638883.19</v>
      </c>
      <c r="DI133" s="61">
        <f t="shared" si="69"/>
        <v>2198548.1919999998</v>
      </c>
      <c r="DJ133" s="61">
        <f t="shared" si="69"/>
        <v>1065788.5160000001</v>
      </c>
      <c r="DK133" s="61">
        <f t="shared" si="69"/>
        <v>1138018.2149999999</v>
      </c>
      <c r="DL133" s="61">
        <f t="shared" si="69"/>
        <v>5033465.68</v>
      </c>
      <c r="DM133" s="61">
        <f t="shared" si="69"/>
        <v>610643.25</v>
      </c>
      <c r="DN133" s="61">
        <f t="shared" si="69"/>
        <v>1225153.51</v>
      </c>
      <c r="DO133" s="61">
        <f t="shared" si="69"/>
        <v>2959602.1999999997</v>
      </c>
      <c r="DP133" s="61">
        <f t="shared" si="69"/>
        <v>346107.47600000002</v>
      </c>
      <c r="DQ133" s="61">
        <f t="shared" si="69"/>
        <v>2027406.65</v>
      </c>
      <c r="DR133" s="61">
        <f t="shared" si="69"/>
        <v>1234714.49</v>
      </c>
      <c r="DS133" s="61">
        <f t="shared" si="69"/>
        <v>1008248.8</v>
      </c>
      <c r="DT133" s="61">
        <f t="shared" si="69"/>
        <v>483525.67499999999</v>
      </c>
      <c r="DU133" s="61">
        <f t="shared" si="69"/>
        <v>855534.71499999997</v>
      </c>
      <c r="DV133" s="61">
        <f t="shared" si="69"/>
        <v>357754.48800000001</v>
      </c>
      <c r="DW133" s="61">
        <f t="shared" si="69"/>
        <v>516988.26399999991</v>
      </c>
      <c r="DX133" s="61">
        <f t="shared" si="69"/>
        <v>465055.6</v>
      </c>
      <c r="DY133" s="61">
        <f t="shared" si="69"/>
        <v>736891.64500000002</v>
      </c>
      <c r="DZ133" s="61">
        <f t="shared" si="69"/>
        <v>1149577.4679999999</v>
      </c>
      <c r="EA133" s="61">
        <f t="shared" si="69"/>
        <v>1244927.3549999997</v>
      </c>
      <c r="EB133" s="61">
        <f t="shared" si="69"/>
        <v>1235366.375</v>
      </c>
      <c r="EC133" s="61">
        <f t="shared" si="69"/>
        <v>705383.87</v>
      </c>
      <c r="ED133" s="61">
        <f t="shared" si="69"/>
        <v>1446359.82</v>
      </c>
      <c r="EE133" s="61">
        <f t="shared" si="69"/>
        <v>516337.22</v>
      </c>
      <c r="EF133" s="61">
        <f t="shared" si="69"/>
        <v>1250620.4839999999</v>
      </c>
      <c r="EG133" s="61">
        <f t="shared" si="69"/>
        <v>650842.82499999995</v>
      </c>
      <c r="EH133" s="61">
        <f t="shared" si="69"/>
        <v>430070.26399999997</v>
      </c>
      <c r="EI133" s="61">
        <f t="shared" si="69"/>
        <v>0</v>
      </c>
      <c r="EJ133" s="61">
        <f t="shared" si="69"/>
        <v>2155914.0720000002</v>
      </c>
      <c r="EK133" s="61">
        <f t="shared" si="69"/>
        <v>1546315.52</v>
      </c>
      <c r="EL133" s="61">
        <f t="shared" si="69"/>
        <v>1093690.0349999999</v>
      </c>
      <c r="EM133" s="61">
        <f t="shared" si="69"/>
        <v>906381.745</v>
      </c>
      <c r="EN133" s="61">
        <f t="shared" si="69"/>
        <v>2030883.3699999999</v>
      </c>
      <c r="EO133" s="61">
        <f t="shared" si="69"/>
        <v>750798.52499999991</v>
      </c>
      <c r="EP133" s="61">
        <f t="shared" si="69"/>
        <v>1031109.075</v>
      </c>
      <c r="EQ133" s="61">
        <f t="shared" si="69"/>
        <v>2355348.264</v>
      </c>
      <c r="ER133" s="61">
        <f t="shared" si="69"/>
        <v>768399.42</v>
      </c>
      <c r="ES133" s="61">
        <f t="shared" si="69"/>
        <v>454190.85</v>
      </c>
      <c r="ET133" s="61">
        <f t="shared" si="69"/>
        <v>529157.625</v>
      </c>
      <c r="EU133" s="61">
        <f t="shared" si="69"/>
        <v>1346186.825</v>
      </c>
      <c r="EV133" s="61">
        <f t="shared" si="69"/>
        <v>257104.28499999997</v>
      </c>
      <c r="EW133" s="61">
        <f t="shared" si="69"/>
        <v>1847920.9799999997</v>
      </c>
      <c r="EX133" s="61">
        <f t="shared" si="69"/>
        <v>477006.82499999995</v>
      </c>
      <c r="EY133" s="61">
        <f t="shared" si="69"/>
        <v>546541.22499999998</v>
      </c>
      <c r="EZ133" s="61">
        <f t="shared" si="69"/>
        <v>380962.435</v>
      </c>
      <c r="FA133" s="61">
        <f t="shared" si="69"/>
        <v>4378711.544999999</v>
      </c>
      <c r="FB133" s="61">
        <f t="shared" si="69"/>
        <v>479961.196</v>
      </c>
      <c r="FC133" s="61">
        <f t="shared" si="69"/>
        <v>384981.5515</v>
      </c>
      <c r="FD133" s="61">
        <f t="shared" si="69"/>
        <v>973525.89999999991</v>
      </c>
      <c r="FE133" s="61">
        <f t="shared" si="69"/>
        <v>267969.03499999997</v>
      </c>
      <c r="FF133" s="61">
        <f t="shared" si="69"/>
        <v>493303.94999999995</v>
      </c>
      <c r="FG133" s="61">
        <f t="shared" si="69"/>
        <v>360319.41</v>
      </c>
      <c r="FH133" s="61">
        <f t="shared" si="69"/>
        <v>252106.5</v>
      </c>
      <c r="FI133" s="61">
        <f t="shared" si="69"/>
        <v>2923747.6840000004</v>
      </c>
      <c r="FJ133" s="61">
        <f t="shared" si="69"/>
        <v>438175.36749999999</v>
      </c>
      <c r="FK133" s="61">
        <f t="shared" si="69"/>
        <v>4394400.2439999999</v>
      </c>
      <c r="FL133" s="61">
        <f t="shared" si="69"/>
        <v>0</v>
      </c>
      <c r="FM133" s="61">
        <f t="shared" si="69"/>
        <v>865160.04249999998</v>
      </c>
      <c r="FN133" s="61">
        <f t="shared" si="69"/>
        <v>0</v>
      </c>
      <c r="FO133" s="61">
        <f t="shared" si="69"/>
        <v>1456571.8439999998</v>
      </c>
      <c r="FP133" s="61">
        <f t="shared" si="69"/>
        <v>508796.24249999999</v>
      </c>
      <c r="FQ133" s="61">
        <f t="shared" si="69"/>
        <v>1707938.7000000002</v>
      </c>
      <c r="FR133" s="61">
        <f t="shared" si="69"/>
        <v>287524.74400000001</v>
      </c>
      <c r="FS133" s="61">
        <f t="shared" si="69"/>
        <v>457667.56999999995</v>
      </c>
      <c r="FT133" s="61">
        <f t="shared" si="69"/>
        <v>230377</v>
      </c>
      <c r="FU133" s="61">
        <f t="shared" si="69"/>
        <v>1804244.6849999998</v>
      </c>
      <c r="FV133" s="61">
        <f t="shared" si="69"/>
        <v>1603681.4</v>
      </c>
      <c r="FW133" s="61">
        <f t="shared" si="69"/>
        <v>407037.83500000002</v>
      </c>
      <c r="FX133" s="61">
        <f t="shared" si="69"/>
        <v>240155.27499999999</v>
      </c>
      <c r="FY133" s="25"/>
      <c r="FZ133" s="7">
        <f>SUM(C133:FX133)</f>
        <v>165364625.43499991</v>
      </c>
      <c r="GA133" s="62">
        <v>165364625.43499991</v>
      </c>
      <c r="GB133" s="7">
        <f>FZ133-GA133</f>
        <v>0</v>
      </c>
      <c r="GC133" s="25"/>
      <c r="GD133" s="25"/>
      <c r="GE133" s="25"/>
      <c r="GF133" s="25"/>
      <c r="GG133" s="7"/>
      <c r="GH133" s="23"/>
      <c r="GI133" s="23"/>
      <c r="GJ133" s="23"/>
      <c r="GK133" s="23"/>
      <c r="GL133" s="23"/>
      <c r="GM133" s="23"/>
      <c r="GN133" s="23"/>
      <c r="GO133" s="23"/>
      <c r="GP133" s="7"/>
      <c r="GQ133" s="7"/>
      <c r="GR133" s="7"/>
      <c r="GS133" s="7"/>
      <c r="GT133" s="7"/>
      <c r="GU133" s="7"/>
      <c r="GV133" s="7"/>
    </row>
    <row r="134" spans="1:204" ht="15.5" x14ac:dyDescent="0.35">
      <c r="A134" s="12"/>
      <c r="B134" s="5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5"/>
      <c r="FZ134" s="25"/>
      <c r="GA134" s="7"/>
      <c r="GB134" s="25"/>
      <c r="GC134" s="25"/>
      <c r="GD134" s="25"/>
      <c r="GE134" s="25"/>
      <c r="GF134" s="25"/>
      <c r="GG134" s="7"/>
      <c r="GH134" s="23"/>
      <c r="GI134" s="23"/>
      <c r="GJ134" s="23"/>
      <c r="GK134" s="23"/>
      <c r="GL134" s="23"/>
      <c r="GM134" s="23"/>
      <c r="GN134" s="23"/>
      <c r="GO134" s="23"/>
      <c r="GP134" s="7"/>
      <c r="GQ134" s="7"/>
      <c r="GR134" s="7"/>
      <c r="GS134" s="7"/>
      <c r="GT134" s="7"/>
      <c r="GU134" s="7"/>
      <c r="GV134" s="7"/>
    </row>
    <row r="135" spans="1:204" ht="15.5" x14ac:dyDescent="0.35">
      <c r="A135" s="12"/>
      <c r="B135" s="5" t="s">
        <v>662</v>
      </c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5"/>
      <c r="FZ135" s="25"/>
      <c r="GA135" s="7"/>
      <c r="GB135" s="25"/>
      <c r="GC135" s="25"/>
      <c r="GD135" s="25"/>
      <c r="GE135" s="25"/>
      <c r="GF135" s="25"/>
      <c r="GG135" s="7"/>
      <c r="GH135" s="23"/>
      <c r="GI135" s="23"/>
      <c r="GJ135" s="23"/>
      <c r="GK135" s="23"/>
      <c r="GL135" s="23"/>
      <c r="GM135" s="23"/>
      <c r="GN135" s="23"/>
      <c r="GO135" s="23"/>
      <c r="GP135" s="7"/>
      <c r="GQ135" s="7"/>
      <c r="GR135" s="7"/>
      <c r="GS135" s="7"/>
      <c r="GT135" s="7"/>
      <c r="GU135" s="7"/>
      <c r="GV135" s="7"/>
    </row>
    <row r="136" spans="1:204" ht="15.5" x14ac:dyDescent="0.35">
      <c r="A136" s="12" t="s">
        <v>663</v>
      </c>
      <c r="B136" s="7" t="s">
        <v>664</v>
      </c>
      <c r="C136" s="25">
        <f t="shared" ref="C136:FX136" si="70">(C79-C77-C78)</f>
        <v>6388.5</v>
      </c>
      <c r="D136" s="25">
        <f t="shared" si="70"/>
        <v>37852</v>
      </c>
      <c r="E136" s="25">
        <f t="shared" si="70"/>
        <v>5631.8</v>
      </c>
      <c r="F136" s="25">
        <f t="shared" si="70"/>
        <v>22406.6</v>
      </c>
      <c r="G136" s="25">
        <f t="shared" si="70"/>
        <v>1845</v>
      </c>
      <c r="H136" s="25">
        <f t="shared" si="70"/>
        <v>1096.5</v>
      </c>
      <c r="I136" s="25">
        <f t="shared" si="70"/>
        <v>7949</v>
      </c>
      <c r="J136" s="25">
        <f t="shared" si="70"/>
        <v>2040.6</v>
      </c>
      <c r="K136" s="25">
        <f t="shared" si="70"/>
        <v>251.7</v>
      </c>
      <c r="L136" s="25">
        <f t="shared" si="70"/>
        <v>2134.5</v>
      </c>
      <c r="M136" s="25">
        <f t="shared" si="70"/>
        <v>923.1</v>
      </c>
      <c r="N136" s="25">
        <f t="shared" si="70"/>
        <v>50359.9</v>
      </c>
      <c r="O136" s="25">
        <f t="shared" si="70"/>
        <v>12778.8</v>
      </c>
      <c r="P136" s="25">
        <f t="shared" si="70"/>
        <v>315.3</v>
      </c>
      <c r="Q136" s="25">
        <f t="shared" si="70"/>
        <v>39521.599999999999</v>
      </c>
      <c r="R136" s="25">
        <f t="shared" si="70"/>
        <v>482.80000000000018</v>
      </c>
      <c r="S136" s="25">
        <f t="shared" si="70"/>
        <v>1573.5</v>
      </c>
      <c r="T136" s="25">
        <f t="shared" si="70"/>
        <v>161.1</v>
      </c>
      <c r="U136" s="25">
        <f t="shared" si="70"/>
        <v>60</v>
      </c>
      <c r="V136" s="25">
        <f t="shared" si="70"/>
        <v>256.39999999999998</v>
      </c>
      <c r="W136" s="25">
        <f t="shared" si="70"/>
        <v>60</v>
      </c>
      <c r="X136" s="25">
        <f t="shared" si="70"/>
        <v>60</v>
      </c>
      <c r="Y136" s="25">
        <f t="shared" si="70"/>
        <v>421.29999999999995</v>
      </c>
      <c r="Z136" s="25">
        <f t="shared" si="70"/>
        <v>231.1</v>
      </c>
      <c r="AA136" s="25">
        <f t="shared" si="70"/>
        <v>30558.1</v>
      </c>
      <c r="AB136" s="25">
        <f t="shared" si="70"/>
        <v>26898.2</v>
      </c>
      <c r="AC136" s="25">
        <f t="shared" si="70"/>
        <v>892.9</v>
      </c>
      <c r="AD136" s="25">
        <f t="shared" si="70"/>
        <v>1441.6</v>
      </c>
      <c r="AE136" s="25">
        <f t="shared" si="70"/>
        <v>97</v>
      </c>
      <c r="AF136" s="25">
        <f t="shared" si="70"/>
        <v>165.8</v>
      </c>
      <c r="AG136" s="25">
        <f t="shared" si="70"/>
        <v>593.4</v>
      </c>
      <c r="AH136" s="25">
        <f t="shared" si="70"/>
        <v>945.4</v>
      </c>
      <c r="AI136" s="25">
        <f t="shared" si="70"/>
        <v>383</v>
      </c>
      <c r="AJ136" s="25">
        <f t="shared" si="70"/>
        <v>181.5</v>
      </c>
      <c r="AK136" s="25">
        <f t="shared" si="70"/>
        <v>162.80000000000001</v>
      </c>
      <c r="AL136" s="25">
        <f t="shared" si="70"/>
        <v>288.5</v>
      </c>
      <c r="AM136" s="25">
        <f t="shared" si="70"/>
        <v>340</v>
      </c>
      <c r="AN136" s="25">
        <f t="shared" si="70"/>
        <v>292.5</v>
      </c>
      <c r="AO136" s="25">
        <f t="shared" si="70"/>
        <v>3954.7</v>
      </c>
      <c r="AP136" s="25">
        <f t="shared" si="70"/>
        <v>84158.1</v>
      </c>
      <c r="AQ136" s="25">
        <f t="shared" si="70"/>
        <v>251</v>
      </c>
      <c r="AR136" s="25">
        <f t="shared" si="70"/>
        <v>60466.9</v>
      </c>
      <c r="AS136" s="25">
        <f t="shared" si="70"/>
        <v>6439.3</v>
      </c>
      <c r="AT136" s="25">
        <f t="shared" si="70"/>
        <v>2363.1999999999998</v>
      </c>
      <c r="AU136" s="25">
        <f t="shared" si="70"/>
        <v>271</v>
      </c>
      <c r="AV136" s="25">
        <f t="shared" si="70"/>
        <v>305.39999999999998</v>
      </c>
      <c r="AW136" s="25">
        <f t="shared" si="70"/>
        <v>257</v>
      </c>
      <c r="AX136" s="25">
        <f t="shared" si="70"/>
        <v>81</v>
      </c>
      <c r="AY136" s="25">
        <f t="shared" si="70"/>
        <v>402</v>
      </c>
      <c r="AZ136" s="25">
        <f t="shared" si="70"/>
        <v>12007.9</v>
      </c>
      <c r="BA136" s="25">
        <f t="shared" si="70"/>
        <v>8875</v>
      </c>
      <c r="BB136" s="25">
        <f t="shared" si="70"/>
        <v>7487.2</v>
      </c>
      <c r="BC136" s="25">
        <f t="shared" si="70"/>
        <v>24213.599999999999</v>
      </c>
      <c r="BD136" s="25">
        <f t="shared" si="70"/>
        <v>3637.5</v>
      </c>
      <c r="BE136" s="25">
        <f t="shared" si="70"/>
        <v>1174.5</v>
      </c>
      <c r="BF136" s="25">
        <f t="shared" si="70"/>
        <v>24419.8</v>
      </c>
      <c r="BG136" s="25">
        <f t="shared" si="70"/>
        <v>920.6</v>
      </c>
      <c r="BH136" s="25">
        <f t="shared" si="70"/>
        <v>554.79999999999995</v>
      </c>
      <c r="BI136" s="25">
        <f t="shared" si="70"/>
        <v>257.3</v>
      </c>
      <c r="BJ136" s="25">
        <f t="shared" si="70"/>
        <v>6314.9</v>
      </c>
      <c r="BK136" s="25">
        <f t="shared" si="70"/>
        <v>21971.199999999997</v>
      </c>
      <c r="BL136" s="25">
        <f t="shared" si="70"/>
        <v>72.5</v>
      </c>
      <c r="BM136" s="25">
        <f t="shared" si="70"/>
        <v>359.3</v>
      </c>
      <c r="BN136" s="25">
        <f t="shared" si="70"/>
        <v>3108.1</v>
      </c>
      <c r="BO136" s="25">
        <f t="shared" si="70"/>
        <v>1235.5999999999999</v>
      </c>
      <c r="BP136" s="25">
        <f t="shared" si="70"/>
        <v>152</v>
      </c>
      <c r="BQ136" s="25">
        <f t="shared" si="70"/>
        <v>5872.1</v>
      </c>
      <c r="BR136" s="25">
        <f t="shared" si="70"/>
        <v>4488.3999999999996</v>
      </c>
      <c r="BS136" s="25">
        <f t="shared" si="70"/>
        <v>1158.0999999999999</v>
      </c>
      <c r="BT136" s="25">
        <f t="shared" si="70"/>
        <v>362.5</v>
      </c>
      <c r="BU136" s="25">
        <f t="shared" si="70"/>
        <v>392.6</v>
      </c>
      <c r="BV136" s="25">
        <f t="shared" si="70"/>
        <v>1245.3</v>
      </c>
      <c r="BW136" s="25">
        <f t="shared" si="70"/>
        <v>2017.5</v>
      </c>
      <c r="BX136" s="25">
        <f t="shared" si="70"/>
        <v>65.900000000000006</v>
      </c>
      <c r="BY136" s="25">
        <f t="shared" si="70"/>
        <v>421.9</v>
      </c>
      <c r="BZ136" s="25">
        <f t="shared" si="70"/>
        <v>228</v>
      </c>
      <c r="CA136" s="25">
        <f t="shared" si="70"/>
        <v>144.5</v>
      </c>
      <c r="CB136" s="25">
        <f t="shared" si="70"/>
        <v>72313.600000000006</v>
      </c>
      <c r="CC136" s="25">
        <f t="shared" si="70"/>
        <v>189.3</v>
      </c>
      <c r="CD136" s="25">
        <f t="shared" si="70"/>
        <v>60</v>
      </c>
      <c r="CE136" s="25">
        <f t="shared" si="70"/>
        <v>158.30000000000001</v>
      </c>
      <c r="CF136" s="25">
        <f t="shared" si="70"/>
        <v>105.3</v>
      </c>
      <c r="CG136" s="25">
        <f t="shared" si="70"/>
        <v>197.6</v>
      </c>
      <c r="CH136" s="25">
        <f t="shared" si="70"/>
        <v>95.1</v>
      </c>
      <c r="CI136" s="25">
        <f t="shared" si="70"/>
        <v>687.9</v>
      </c>
      <c r="CJ136" s="25">
        <f t="shared" si="70"/>
        <v>862.8</v>
      </c>
      <c r="CK136" s="25">
        <f t="shared" si="70"/>
        <v>4856.1000000000004</v>
      </c>
      <c r="CL136" s="25">
        <f t="shared" si="70"/>
        <v>1211.5999999999999</v>
      </c>
      <c r="CM136" s="25">
        <f t="shared" si="70"/>
        <v>684.5</v>
      </c>
      <c r="CN136" s="25">
        <f t="shared" si="70"/>
        <v>30804.799999999999</v>
      </c>
      <c r="CO136" s="25">
        <f t="shared" si="70"/>
        <v>14288</v>
      </c>
      <c r="CP136" s="25">
        <f t="shared" si="70"/>
        <v>917.3</v>
      </c>
      <c r="CQ136" s="25">
        <f t="shared" si="70"/>
        <v>766.8</v>
      </c>
      <c r="CR136" s="25">
        <f t="shared" si="70"/>
        <v>215.8</v>
      </c>
      <c r="CS136" s="25">
        <f t="shared" si="70"/>
        <v>278.39999999999998</v>
      </c>
      <c r="CT136" s="25">
        <f t="shared" si="70"/>
        <v>113.5</v>
      </c>
      <c r="CU136" s="25">
        <f t="shared" si="70"/>
        <v>71</v>
      </c>
      <c r="CV136" s="25">
        <f t="shared" si="70"/>
        <v>60</v>
      </c>
      <c r="CW136" s="25">
        <f t="shared" si="70"/>
        <v>198.7</v>
      </c>
      <c r="CX136" s="25">
        <f t="shared" si="70"/>
        <v>461.4</v>
      </c>
      <c r="CY136" s="25">
        <f t="shared" si="70"/>
        <v>60</v>
      </c>
      <c r="CZ136" s="25">
        <f t="shared" si="70"/>
        <v>1786.5</v>
      </c>
      <c r="DA136" s="25">
        <f t="shared" si="70"/>
        <v>203.5</v>
      </c>
      <c r="DB136" s="25">
        <f t="shared" si="70"/>
        <v>315.8</v>
      </c>
      <c r="DC136" s="25">
        <f t="shared" si="70"/>
        <v>193</v>
      </c>
      <c r="DD136" s="25">
        <f t="shared" si="70"/>
        <v>174.5</v>
      </c>
      <c r="DE136" s="25">
        <f t="shared" si="70"/>
        <v>284.8</v>
      </c>
      <c r="DF136" s="25">
        <f t="shared" si="70"/>
        <v>20574.2</v>
      </c>
      <c r="DG136" s="25">
        <f t="shared" si="70"/>
        <v>93.5</v>
      </c>
      <c r="DH136" s="25">
        <f t="shared" si="70"/>
        <v>1770.5</v>
      </c>
      <c r="DI136" s="25">
        <f t="shared" si="70"/>
        <v>2414.4</v>
      </c>
      <c r="DJ136" s="25">
        <f t="shared" si="70"/>
        <v>613.1</v>
      </c>
      <c r="DK136" s="25">
        <f t="shared" si="70"/>
        <v>477.7</v>
      </c>
      <c r="DL136" s="25">
        <f t="shared" si="70"/>
        <v>5676</v>
      </c>
      <c r="DM136" s="25">
        <f t="shared" si="70"/>
        <v>235</v>
      </c>
      <c r="DN136" s="25">
        <f t="shared" si="70"/>
        <v>1296</v>
      </c>
      <c r="DO136" s="25">
        <f t="shared" si="70"/>
        <v>3290</v>
      </c>
      <c r="DP136" s="25">
        <f t="shared" si="70"/>
        <v>199.1</v>
      </c>
      <c r="DQ136" s="25">
        <f t="shared" si="70"/>
        <v>888</v>
      </c>
      <c r="DR136" s="25">
        <f t="shared" si="70"/>
        <v>1305.5</v>
      </c>
      <c r="DS136" s="25">
        <f t="shared" si="70"/>
        <v>580</v>
      </c>
      <c r="DT136" s="25">
        <f t="shared" si="70"/>
        <v>176.5</v>
      </c>
      <c r="DU136" s="25">
        <f t="shared" si="70"/>
        <v>347.7</v>
      </c>
      <c r="DV136" s="25">
        <f t="shared" si="70"/>
        <v>205.8</v>
      </c>
      <c r="DW136" s="25">
        <f t="shared" si="70"/>
        <v>297.39999999999998</v>
      </c>
      <c r="DX136" s="25">
        <f t="shared" si="70"/>
        <v>168</v>
      </c>
      <c r="DY136" s="25">
        <f t="shared" si="70"/>
        <v>293.10000000000002</v>
      </c>
      <c r="DZ136" s="25">
        <f t="shared" si="70"/>
        <v>662.3</v>
      </c>
      <c r="EA136" s="25">
        <f t="shared" si="70"/>
        <v>526.9</v>
      </c>
      <c r="EB136" s="25">
        <f t="shared" si="70"/>
        <v>522.5</v>
      </c>
      <c r="EC136" s="25">
        <f t="shared" si="70"/>
        <v>278.60000000000002</v>
      </c>
      <c r="ED136" s="25">
        <f t="shared" si="70"/>
        <v>1549</v>
      </c>
      <c r="EE136" s="25">
        <f t="shared" si="70"/>
        <v>191.6</v>
      </c>
      <c r="EF136" s="25">
        <f t="shared" si="70"/>
        <v>1325.8</v>
      </c>
      <c r="EG136" s="25">
        <f t="shared" si="70"/>
        <v>253.5</v>
      </c>
      <c r="EH136" s="25">
        <f t="shared" si="70"/>
        <v>247.4</v>
      </c>
      <c r="EI136" s="25">
        <f t="shared" si="70"/>
        <v>13751.4</v>
      </c>
      <c r="EJ136" s="25">
        <f t="shared" si="70"/>
        <v>9949.6</v>
      </c>
      <c r="EK136" s="25">
        <f t="shared" si="70"/>
        <v>665.6</v>
      </c>
      <c r="EL136" s="25">
        <f t="shared" si="70"/>
        <v>457.3</v>
      </c>
      <c r="EM136" s="25">
        <f t="shared" si="70"/>
        <v>371.1</v>
      </c>
      <c r="EN136" s="25">
        <f t="shared" si="70"/>
        <v>888.6</v>
      </c>
      <c r="EO136" s="25">
        <f t="shared" si="70"/>
        <v>299.5</v>
      </c>
      <c r="EP136" s="25">
        <f t="shared" si="70"/>
        <v>428.5</v>
      </c>
      <c r="EQ136" s="25">
        <f t="shared" si="70"/>
        <v>2596.8000000000002</v>
      </c>
      <c r="ER136" s="25">
        <f t="shared" si="70"/>
        <v>309.60000000000002</v>
      </c>
      <c r="ES136" s="25">
        <f t="shared" si="70"/>
        <v>163</v>
      </c>
      <c r="ET136" s="25">
        <f t="shared" si="70"/>
        <v>197.5</v>
      </c>
      <c r="EU136" s="25">
        <f t="shared" si="70"/>
        <v>573.5</v>
      </c>
      <c r="EV136" s="25">
        <f t="shared" si="70"/>
        <v>72.3</v>
      </c>
      <c r="EW136" s="25">
        <f t="shared" si="70"/>
        <v>804.4</v>
      </c>
      <c r="EX136" s="25">
        <f t="shared" si="70"/>
        <v>173.5</v>
      </c>
      <c r="EY136" s="25">
        <f t="shared" si="70"/>
        <v>205.5</v>
      </c>
      <c r="EZ136" s="25">
        <f t="shared" si="70"/>
        <v>129.30000000000001</v>
      </c>
      <c r="FA136" s="25">
        <f t="shared" si="70"/>
        <v>3370.5</v>
      </c>
      <c r="FB136" s="25">
        <f t="shared" si="70"/>
        <v>276.10000000000002</v>
      </c>
      <c r="FC136" s="25">
        <f t="shared" si="70"/>
        <v>1775.7</v>
      </c>
      <c r="FD136" s="25">
        <f t="shared" si="70"/>
        <v>402</v>
      </c>
      <c r="FE136" s="25">
        <f t="shared" si="70"/>
        <v>77.3</v>
      </c>
      <c r="FF136" s="25">
        <f t="shared" si="70"/>
        <v>181</v>
      </c>
      <c r="FG136" s="25">
        <f t="shared" si="70"/>
        <v>119.8</v>
      </c>
      <c r="FH136" s="25">
        <f t="shared" si="70"/>
        <v>70</v>
      </c>
      <c r="FI136" s="25">
        <f t="shared" si="70"/>
        <v>1681.9</v>
      </c>
      <c r="FJ136" s="25">
        <f t="shared" si="70"/>
        <v>2016.5</v>
      </c>
      <c r="FK136" s="25">
        <f t="shared" si="70"/>
        <v>2527.9</v>
      </c>
      <c r="FL136" s="25">
        <f t="shared" si="70"/>
        <v>8538.5</v>
      </c>
      <c r="FM136" s="25">
        <f t="shared" si="70"/>
        <v>3981.5</v>
      </c>
      <c r="FN136" s="25">
        <f t="shared" si="70"/>
        <v>22450.799999999999</v>
      </c>
      <c r="FO136" s="25">
        <f t="shared" si="70"/>
        <v>1119.2</v>
      </c>
      <c r="FP136" s="25">
        <f t="shared" si="70"/>
        <v>2341.5</v>
      </c>
      <c r="FQ136" s="25">
        <f t="shared" si="70"/>
        <v>982.5</v>
      </c>
      <c r="FR136" s="25">
        <f t="shared" si="70"/>
        <v>165.4</v>
      </c>
      <c r="FS136" s="25">
        <f t="shared" si="70"/>
        <v>164.6</v>
      </c>
      <c r="FT136" s="25">
        <f t="shared" si="70"/>
        <v>60</v>
      </c>
      <c r="FU136" s="25">
        <f t="shared" si="70"/>
        <v>784.3</v>
      </c>
      <c r="FV136" s="25">
        <f t="shared" si="70"/>
        <v>693</v>
      </c>
      <c r="FW136" s="25">
        <f t="shared" si="70"/>
        <v>143.30000000000001</v>
      </c>
      <c r="FX136" s="25">
        <f t="shared" si="70"/>
        <v>64.5</v>
      </c>
      <c r="FY136" s="25"/>
      <c r="FZ136" s="25"/>
      <c r="GA136" s="7"/>
      <c r="GB136" s="25"/>
      <c r="GC136" s="25"/>
      <c r="GD136" s="25"/>
      <c r="GE136" s="25"/>
      <c r="GF136" s="25"/>
      <c r="GG136" s="7"/>
      <c r="GH136" s="23"/>
      <c r="GI136" s="23"/>
      <c r="GJ136" s="23"/>
      <c r="GK136" s="23"/>
      <c r="GL136" s="23"/>
      <c r="GM136" s="23"/>
      <c r="GN136" s="23"/>
      <c r="GO136" s="23"/>
      <c r="GP136" s="7"/>
      <c r="GQ136" s="7"/>
      <c r="GR136" s="7"/>
      <c r="GS136" s="7"/>
      <c r="GT136" s="7"/>
      <c r="GU136" s="7"/>
      <c r="GV136" s="7"/>
    </row>
    <row r="137" spans="1:204" ht="15.5" x14ac:dyDescent="0.35">
      <c r="A137" s="12" t="s">
        <v>665</v>
      </c>
      <c r="B137" s="7" t="s">
        <v>666</v>
      </c>
      <c r="C137" s="31">
        <f t="shared" ref="C137:FX137" si="71"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1.0297000000000001</v>
      </c>
      <c r="D137" s="31">
        <f t="shared" si="71"/>
        <v>1.0297000000000001</v>
      </c>
      <c r="E137" s="31">
        <f t="shared" si="71"/>
        <v>1.0297000000000001</v>
      </c>
      <c r="F137" s="31">
        <f t="shared" si="71"/>
        <v>1.0297000000000001</v>
      </c>
      <c r="G137" s="31">
        <f t="shared" si="71"/>
        <v>1.0773999999999999</v>
      </c>
      <c r="H137" s="31">
        <f t="shared" si="71"/>
        <v>1.1177999999999999</v>
      </c>
      <c r="I137" s="31">
        <f t="shared" si="71"/>
        <v>1.0297000000000001</v>
      </c>
      <c r="J137" s="31">
        <f t="shared" si="71"/>
        <v>1.0669</v>
      </c>
      <c r="K137" s="31">
        <f t="shared" si="71"/>
        <v>1.6371</v>
      </c>
      <c r="L137" s="31">
        <f t="shared" si="71"/>
        <v>1.0618000000000001</v>
      </c>
      <c r="M137" s="31">
        <f t="shared" si="71"/>
        <v>1.1429</v>
      </c>
      <c r="N137" s="31">
        <f t="shared" si="71"/>
        <v>1.0297000000000001</v>
      </c>
      <c r="O137" s="31">
        <f t="shared" si="71"/>
        <v>1.0297000000000001</v>
      </c>
      <c r="P137" s="31">
        <f t="shared" si="71"/>
        <v>1.4797</v>
      </c>
      <c r="Q137" s="31">
        <f t="shared" si="71"/>
        <v>1.0297000000000001</v>
      </c>
      <c r="R137" s="31">
        <f t="shared" si="71"/>
        <v>1.2336</v>
      </c>
      <c r="S137" s="31">
        <f t="shared" si="71"/>
        <v>1.0921000000000001</v>
      </c>
      <c r="T137" s="31">
        <f t="shared" si="71"/>
        <v>1.9779</v>
      </c>
      <c r="U137" s="31">
        <f t="shared" si="71"/>
        <v>2.3582000000000001</v>
      </c>
      <c r="V137" s="31">
        <f t="shared" si="71"/>
        <v>1.6194</v>
      </c>
      <c r="W137" s="31">
        <f t="shared" si="71"/>
        <v>2.3582000000000001</v>
      </c>
      <c r="X137" s="31">
        <f t="shared" si="71"/>
        <v>2.3582000000000001</v>
      </c>
      <c r="Y137" s="31">
        <f t="shared" si="71"/>
        <v>1.3018000000000001</v>
      </c>
      <c r="Z137" s="31">
        <f t="shared" si="71"/>
        <v>1.7145999999999999</v>
      </c>
      <c r="AA137" s="31">
        <f t="shared" si="71"/>
        <v>1.0297000000000001</v>
      </c>
      <c r="AB137" s="31">
        <f t="shared" si="71"/>
        <v>1.0297000000000001</v>
      </c>
      <c r="AC137" s="31">
        <f t="shared" si="71"/>
        <v>1.1491</v>
      </c>
      <c r="AD137" s="31">
        <f t="shared" si="71"/>
        <v>1.0992</v>
      </c>
      <c r="AE137" s="31">
        <f t="shared" si="71"/>
        <v>2.2189999999999999</v>
      </c>
      <c r="AF137" s="31">
        <f t="shared" si="71"/>
        <v>1.9601999999999999</v>
      </c>
      <c r="AG137" s="31">
        <f t="shared" si="71"/>
        <v>1.2108000000000001</v>
      </c>
      <c r="AH137" s="31">
        <f t="shared" si="71"/>
        <v>1.1383000000000001</v>
      </c>
      <c r="AI137" s="31">
        <f t="shared" si="71"/>
        <v>1.3661000000000001</v>
      </c>
      <c r="AJ137" s="31">
        <f t="shared" si="71"/>
        <v>1.9012</v>
      </c>
      <c r="AK137" s="31">
        <f t="shared" si="71"/>
        <v>1.9715</v>
      </c>
      <c r="AL137" s="31">
        <f t="shared" si="71"/>
        <v>1.5246999999999999</v>
      </c>
      <c r="AM137" s="31">
        <f t="shared" si="71"/>
        <v>1.4382999999999999</v>
      </c>
      <c r="AN137" s="31">
        <f t="shared" si="71"/>
        <v>1.518</v>
      </c>
      <c r="AO137" s="31">
        <f t="shared" si="71"/>
        <v>1.0346</v>
      </c>
      <c r="AP137" s="31">
        <f t="shared" si="71"/>
        <v>1.0297000000000001</v>
      </c>
      <c r="AQ137" s="31">
        <f t="shared" si="71"/>
        <v>1.6396999999999999</v>
      </c>
      <c r="AR137" s="31">
        <f t="shared" si="71"/>
        <v>1.0297000000000001</v>
      </c>
      <c r="AS137" s="31">
        <f t="shared" si="71"/>
        <v>1.0297000000000001</v>
      </c>
      <c r="AT137" s="31">
        <f t="shared" si="71"/>
        <v>1.0523</v>
      </c>
      <c r="AU137" s="31">
        <f t="shared" si="71"/>
        <v>1.5645</v>
      </c>
      <c r="AV137" s="31">
        <f t="shared" si="71"/>
        <v>1.4963</v>
      </c>
      <c r="AW137" s="31">
        <f t="shared" si="71"/>
        <v>1.6172</v>
      </c>
      <c r="AX137" s="31">
        <f t="shared" si="71"/>
        <v>2.2791999999999999</v>
      </c>
      <c r="AY137" s="31">
        <f t="shared" si="71"/>
        <v>1.3342000000000001</v>
      </c>
      <c r="AZ137" s="31">
        <f t="shared" si="71"/>
        <v>1.0297000000000001</v>
      </c>
      <c r="BA137" s="31">
        <f t="shared" si="71"/>
        <v>1.0297000000000001</v>
      </c>
      <c r="BB137" s="31">
        <f t="shared" si="71"/>
        <v>1.0297000000000001</v>
      </c>
      <c r="BC137" s="31">
        <f t="shared" si="71"/>
        <v>1.0297000000000001</v>
      </c>
      <c r="BD137" s="31">
        <f t="shared" si="71"/>
        <v>1.0361</v>
      </c>
      <c r="BE137" s="31">
        <f t="shared" si="71"/>
        <v>1.1135999999999999</v>
      </c>
      <c r="BF137" s="31">
        <f t="shared" si="71"/>
        <v>1.0297000000000001</v>
      </c>
      <c r="BG137" s="31">
        <f t="shared" si="71"/>
        <v>1.1434</v>
      </c>
      <c r="BH137" s="31">
        <f t="shared" si="71"/>
        <v>1.2188000000000001</v>
      </c>
      <c r="BI137" s="31">
        <f t="shared" si="71"/>
        <v>1.6160000000000001</v>
      </c>
      <c r="BJ137" s="31">
        <f t="shared" si="71"/>
        <v>1.0297000000000001</v>
      </c>
      <c r="BK137" s="31">
        <f t="shared" si="71"/>
        <v>1.0297000000000001</v>
      </c>
      <c r="BL137" s="31">
        <f t="shared" si="71"/>
        <v>2.3111999999999999</v>
      </c>
      <c r="BM137" s="31">
        <f t="shared" si="71"/>
        <v>1.4058999999999999</v>
      </c>
      <c r="BN137" s="31">
        <f t="shared" si="71"/>
        <v>1.0422</v>
      </c>
      <c r="BO137" s="31">
        <f t="shared" si="71"/>
        <v>1.1103000000000001</v>
      </c>
      <c r="BP137" s="31">
        <f t="shared" si="71"/>
        <v>2.0121000000000002</v>
      </c>
      <c r="BQ137" s="31">
        <f t="shared" si="71"/>
        <v>1.0297000000000001</v>
      </c>
      <c r="BR137" s="31">
        <f t="shared" si="71"/>
        <v>1.0321</v>
      </c>
      <c r="BS137" s="31">
        <f t="shared" si="71"/>
        <v>1.1144000000000001</v>
      </c>
      <c r="BT137" s="31">
        <f t="shared" si="71"/>
        <v>1.4005000000000001</v>
      </c>
      <c r="BU137" s="31">
        <f t="shared" si="71"/>
        <v>1.35</v>
      </c>
      <c r="BV137" s="31">
        <f t="shared" si="71"/>
        <v>1.1096999999999999</v>
      </c>
      <c r="BW137" s="31">
        <f t="shared" si="71"/>
        <v>1.0681</v>
      </c>
      <c r="BX137" s="31">
        <f t="shared" si="71"/>
        <v>2.3359999999999999</v>
      </c>
      <c r="BY137" s="31">
        <f t="shared" si="71"/>
        <v>1.3008</v>
      </c>
      <c r="BZ137" s="31">
        <f t="shared" si="71"/>
        <v>1.7262999999999999</v>
      </c>
      <c r="CA137" s="31">
        <f t="shared" si="71"/>
        <v>2.0402999999999998</v>
      </c>
      <c r="CB137" s="31">
        <f t="shared" si="71"/>
        <v>1.0297000000000001</v>
      </c>
      <c r="CC137" s="31">
        <f t="shared" si="71"/>
        <v>1.8717999999999999</v>
      </c>
      <c r="CD137" s="31">
        <f t="shared" si="71"/>
        <v>2.3582000000000001</v>
      </c>
      <c r="CE137" s="31">
        <f t="shared" si="71"/>
        <v>1.9883999999999999</v>
      </c>
      <c r="CF137" s="31">
        <f t="shared" si="71"/>
        <v>2.1878000000000002</v>
      </c>
      <c r="CG137" s="31">
        <f t="shared" si="71"/>
        <v>1.8406</v>
      </c>
      <c r="CH137" s="31">
        <f t="shared" si="71"/>
        <v>2.2262</v>
      </c>
      <c r="CI137" s="31">
        <f t="shared" si="71"/>
        <v>1.1914</v>
      </c>
      <c r="CJ137" s="31">
        <f t="shared" si="71"/>
        <v>1.1553</v>
      </c>
      <c r="CK137" s="31">
        <f t="shared" si="71"/>
        <v>1.0304</v>
      </c>
      <c r="CL137" s="31">
        <f t="shared" si="71"/>
        <v>1.1115999999999999</v>
      </c>
      <c r="CM137" s="31">
        <f t="shared" si="71"/>
        <v>1.1920999999999999</v>
      </c>
      <c r="CN137" s="31">
        <f t="shared" si="71"/>
        <v>1.0297000000000001</v>
      </c>
      <c r="CO137" s="31">
        <f t="shared" si="71"/>
        <v>1.0297000000000001</v>
      </c>
      <c r="CP137" s="31">
        <f t="shared" si="71"/>
        <v>1.1440999999999999</v>
      </c>
      <c r="CQ137" s="31">
        <f t="shared" si="71"/>
        <v>1.1751</v>
      </c>
      <c r="CR137" s="31">
        <f t="shared" si="71"/>
        <v>1.7721</v>
      </c>
      <c r="CS137" s="31">
        <f t="shared" si="71"/>
        <v>1.5417000000000001</v>
      </c>
      <c r="CT137" s="31">
        <f t="shared" si="71"/>
        <v>2.157</v>
      </c>
      <c r="CU137" s="31">
        <f t="shared" si="71"/>
        <v>2.3168000000000002</v>
      </c>
      <c r="CV137" s="31">
        <f t="shared" si="71"/>
        <v>2.3582000000000001</v>
      </c>
      <c r="CW137" s="31">
        <f t="shared" si="71"/>
        <v>1.8365</v>
      </c>
      <c r="CX137" s="31">
        <f t="shared" si="71"/>
        <v>1.238</v>
      </c>
      <c r="CY137" s="31">
        <f t="shared" si="71"/>
        <v>2.3582000000000001</v>
      </c>
      <c r="CZ137" s="31">
        <f t="shared" si="71"/>
        <v>1.0806</v>
      </c>
      <c r="DA137" s="31">
        <f t="shared" si="71"/>
        <v>1.8184</v>
      </c>
      <c r="DB137" s="31">
        <f t="shared" si="71"/>
        <v>1.4789000000000001</v>
      </c>
      <c r="DC137" s="31">
        <f t="shared" si="71"/>
        <v>1.8579000000000001</v>
      </c>
      <c r="DD137" s="31">
        <f t="shared" si="71"/>
        <v>1.9275</v>
      </c>
      <c r="DE137" s="31">
        <f t="shared" si="71"/>
        <v>1.5308999999999999</v>
      </c>
      <c r="DF137" s="31">
        <f t="shared" si="71"/>
        <v>1.0297000000000001</v>
      </c>
      <c r="DG137" s="31">
        <f t="shared" si="71"/>
        <v>2.2322000000000002</v>
      </c>
      <c r="DH137" s="31">
        <f t="shared" si="71"/>
        <v>1.0813999999999999</v>
      </c>
      <c r="DI137" s="31">
        <f t="shared" si="71"/>
        <v>1.0516000000000001</v>
      </c>
      <c r="DJ137" s="31">
        <f t="shared" si="71"/>
        <v>1.2068000000000001</v>
      </c>
      <c r="DK137" s="31">
        <f t="shared" si="71"/>
        <v>1.2346999999999999</v>
      </c>
      <c r="DL137" s="31">
        <f t="shared" si="71"/>
        <v>1.0297000000000001</v>
      </c>
      <c r="DM137" s="31">
        <f t="shared" si="71"/>
        <v>1.6999</v>
      </c>
      <c r="DN137" s="31">
        <f t="shared" si="71"/>
        <v>1.107</v>
      </c>
      <c r="DO137" s="31">
        <f t="shared" si="71"/>
        <v>1.0397000000000001</v>
      </c>
      <c r="DP137" s="31">
        <f t="shared" si="71"/>
        <v>1.835</v>
      </c>
      <c r="DQ137" s="31">
        <f t="shared" si="71"/>
        <v>1.1500999999999999</v>
      </c>
      <c r="DR137" s="31">
        <f t="shared" si="71"/>
        <v>1.1065</v>
      </c>
      <c r="DS137" s="31">
        <f t="shared" si="71"/>
        <v>1.2136</v>
      </c>
      <c r="DT137" s="31">
        <f t="shared" si="71"/>
        <v>1.92</v>
      </c>
      <c r="DU137" s="31">
        <f t="shared" si="71"/>
        <v>1.4253</v>
      </c>
      <c r="DV137" s="31">
        <f t="shared" si="71"/>
        <v>1.8098000000000001</v>
      </c>
      <c r="DW137" s="31">
        <f t="shared" si="71"/>
        <v>1.5098</v>
      </c>
      <c r="DX137" s="31">
        <f t="shared" si="71"/>
        <v>1.952</v>
      </c>
      <c r="DY137" s="31">
        <f t="shared" si="71"/>
        <v>1.5169999999999999</v>
      </c>
      <c r="DZ137" s="31">
        <f t="shared" si="71"/>
        <v>1.1966000000000001</v>
      </c>
      <c r="EA137" s="31">
        <f t="shared" si="71"/>
        <v>1.2244999999999999</v>
      </c>
      <c r="EB137" s="31">
        <f t="shared" si="71"/>
        <v>1.2254</v>
      </c>
      <c r="EC137" s="31">
        <f t="shared" si="71"/>
        <v>1.5412999999999999</v>
      </c>
      <c r="ED137" s="31">
        <f t="shared" si="71"/>
        <v>1.0933999999999999</v>
      </c>
      <c r="EE137" s="31">
        <f t="shared" si="71"/>
        <v>1.8632</v>
      </c>
      <c r="EF137" s="31">
        <f t="shared" si="71"/>
        <v>1.1053999999999999</v>
      </c>
      <c r="EG137" s="31">
        <f t="shared" si="71"/>
        <v>1.6303000000000001</v>
      </c>
      <c r="EH137" s="31">
        <f t="shared" si="71"/>
        <v>1.6533</v>
      </c>
      <c r="EI137" s="31">
        <f t="shared" si="71"/>
        <v>1.0297000000000001</v>
      </c>
      <c r="EJ137" s="31">
        <f t="shared" si="71"/>
        <v>1.0297000000000001</v>
      </c>
      <c r="EK137" s="31">
        <f t="shared" si="71"/>
        <v>1.1959</v>
      </c>
      <c r="EL137" s="31">
        <f t="shared" si="71"/>
        <v>1.2414000000000001</v>
      </c>
      <c r="EM137" s="31">
        <f t="shared" si="71"/>
        <v>1.3861000000000001</v>
      </c>
      <c r="EN137" s="31">
        <f t="shared" si="71"/>
        <v>1.1499999999999999</v>
      </c>
      <c r="EO137" s="31">
        <f t="shared" si="71"/>
        <v>1.5063</v>
      </c>
      <c r="EP137" s="31">
        <f t="shared" si="71"/>
        <v>1.2897000000000001</v>
      </c>
      <c r="EQ137" s="31">
        <f t="shared" si="71"/>
        <v>1.0490999999999999</v>
      </c>
      <c r="ER137" s="31">
        <f t="shared" si="71"/>
        <v>1.4893000000000001</v>
      </c>
      <c r="ES137" s="31">
        <f t="shared" si="71"/>
        <v>1.9708000000000001</v>
      </c>
      <c r="ET137" s="31">
        <f t="shared" si="71"/>
        <v>1.841</v>
      </c>
      <c r="EU137" s="31">
        <f t="shared" si="71"/>
        <v>1.2149000000000001</v>
      </c>
      <c r="EV137" s="31">
        <f t="shared" si="71"/>
        <v>2.3119000000000001</v>
      </c>
      <c r="EW137" s="31">
        <f t="shared" si="71"/>
        <v>1.1674</v>
      </c>
      <c r="EX137" s="31">
        <f t="shared" si="71"/>
        <v>1.9313</v>
      </c>
      <c r="EY137" s="31">
        <f t="shared" si="71"/>
        <v>1.8109</v>
      </c>
      <c r="EZ137" s="31">
        <f t="shared" si="71"/>
        <v>2.0975000000000001</v>
      </c>
      <c r="FA137" s="31">
        <f t="shared" si="71"/>
        <v>1.0386</v>
      </c>
      <c r="FB137" s="31">
        <f t="shared" si="71"/>
        <v>1.5455000000000001</v>
      </c>
      <c r="FC137" s="31">
        <f t="shared" si="71"/>
        <v>1.0811999999999999</v>
      </c>
      <c r="FD137" s="31">
        <f t="shared" si="71"/>
        <v>1.3342000000000001</v>
      </c>
      <c r="FE137" s="31">
        <f t="shared" si="71"/>
        <v>2.2930999999999999</v>
      </c>
      <c r="FF137" s="31">
        <f t="shared" si="71"/>
        <v>1.9031</v>
      </c>
      <c r="FG137" s="31">
        <f t="shared" si="71"/>
        <v>2.1333000000000002</v>
      </c>
      <c r="FH137" s="31">
        <f t="shared" si="71"/>
        <v>2.3206000000000002</v>
      </c>
      <c r="FI137" s="31">
        <f t="shared" si="71"/>
        <v>1.0862000000000001</v>
      </c>
      <c r="FJ137" s="31">
        <f t="shared" si="71"/>
        <v>1.0682</v>
      </c>
      <c r="FK137" s="31">
        <f t="shared" si="71"/>
        <v>1.0501</v>
      </c>
      <c r="FL137" s="31">
        <f t="shared" si="71"/>
        <v>1.0297000000000001</v>
      </c>
      <c r="FM137" s="31">
        <f t="shared" si="71"/>
        <v>1.0345</v>
      </c>
      <c r="FN137" s="31">
        <f t="shared" si="71"/>
        <v>1.0297000000000001</v>
      </c>
      <c r="FO137" s="31">
        <f t="shared" si="71"/>
        <v>1.1165</v>
      </c>
      <c r="FP137" s="31">
        <f t="shared" si="71"/>
        <v>1.0526</v>
      </c>
      <c r="FQ137" s="31">
        <f t="shared" si="71"/>
        <v>1.1307</v>
      </c>
      <c r="FR137" s="31">
        <f t="shared" si="71"/>
        <v>1.9617</v>
      </c>
      <c r="FS137" s="31">
        <f t="shared" si="71"/>
        <v>1.9646999999999999</v>
      </c>
      <c r="FT137" s="31">
        <f t="shared" si="71"/>
        <v>2.3582000000000001</v>
      </c>
      <c r="FU137" s="31">
        <f t="shared" si="71"/>
        <v>1.1715</v>
      </c>
      <c r="FV137" s="31">
        <f t="shared" si="71"/>
        <v>1.1902999999999999</v>
      </c>
      <c r="FW137" s="31">
        <f t="shared" si="71"/>
        <v>2.0449000000000002</v>
      </c>
      <c r="FX137" s="31">
        <f t="shared" si="71"/>
        <v>2.3412999999999999</v>
      </c>
      <c r="FY137" s="25"/>
      <c r="FZ137" s="25"/>
      <c r="GA137" s="7"/>
      <c r="GB137" s="25"/>
      <c r="GC137" s="25"/>
      <c r="GD137" s="25"/>
      <c r="GE137" s="25"/>
      <c r="GF137" s="25"/>
      <c r="GG137" s="7"/>
      <c r="GH137" s="23"/>
      <c r="GI137" s="23"/>
      <c r="GJ137" s="23"/>
      <c r="GK137" s="23"/>
      <c r="GL137" s="23"/>
      <c r="GM137" s="23"/>
      <c r="GN137" s="23"/>
      <c r="GO137" s="23"/>
      <c r="GP137" s="7"/>
      <c r="GQ137" s="7"/>
      <c r="GR137" s="7"/>
      <c r="GS137" s="7"/>
      <c r="GT137" s="7"/>
      <c r="GU137" s="7"/>
      <c r="GV137" s="7"/>
    </row>
    <row r="138" spans="1:204" ht="15.5" x14ac:dyDescent="0.35">
      <c r="A138" s="12" t="s">
        <v>667</v>
      </c>
      <c r="B138" s="7" t="s">
        <v>668</v>
      </c>
      <c r="C138" s="31">
        <f t="shared" ref="C138:FX138" si="72">IF(C136&lt;6500,C137-1,0)</f>
        <v>2.970000000000006E-2</v>
      </c>
      <c r="D138" s="31">
        <f t="shared" si="72"/>
        <v>0</v>
      </c>
      <c r="E138" s="31">
        <f t="shared" si="72"/>
        <v>2.970000000000006E-2</v>
      </c>
      <c r="F138" s="31">
        <f t="shared" si="72"/>
        <v>0</v>
      </c>
      <c r="G138" s="31">
        <f t="shared" si="72"/>
        <v>7.7399999999999913E-2</v>
      </c>
      <c r="H138" s="31">
        <f t="shared" si="72"/>
        <v>0.1177999999999999</v>
      </c>
      <c r="I138" s="31">
        <f t="shared" si="72"/>
        <v>0</v>
      </c>
      <c r="J138" s="31">
        <f t="shared" si="72"/>
        <v>6.6899999999999959E-2</v>
      </c>
      <c r="K138" s="31">
        <f t="shared" si="72"/>
        <v>0.6371</v>
      </c>
      <c r="L138" s="31">
        <f t="shared" si="72"/>
        <v>6.1800000000000077E-2</v>
      </c>
      <c r="M138" s="31">
        <f t="shared" si="72"/>
        <v>0.14290000000000003</v>
      </c>
      <c r="N138" s="31">
        <f t="shared" si="72"/>
        <v>0</v>
      </c>
      <c r="O138" s="31">
        <f t="shared" si="72"/>
        <v>0</v>
      </c>
      <c r="P138" s="31">
        <f t="shared" si="72"/>
        <v>0.47970000000000002</v>
      </c>
      <c r="Q138" s="31">
        <f t="shared" si="72"/>
        <v>0</v>
      </c>
      <c r="R138" s="31">
        <f t="shared" si="72"/>
        <v>0.23360000000000003</v>
      </c>
      <c r="S138" s="31">
        <f t="shared" si="72"/>
        <v>9.2100000000000071E-2</v>
      </c>
      <c r="T138" s="31">
        <f t="shared" si="72"/>
        <v>0.97789999999999999</v>
      </c>
      <c r="U138" s="31">
        <f t="shared" si="72"/>
        <v>1.3582000000000001</v>
      </c>
      <c r="V138" s="31">
        <f t="shared" si="72"/>
        <v>0.61939999999999995</v>
      </c>
      <c r="W138" s="31">
        <f t="shared" si="72"/>
        <v>1.3582000000000001</v>
      </c>
      <c r="X138" s="31">
        <f t="shared" si="72"/>
        <v>1.3582000000000001</v>
      </c>
      <c r="Y138" s="31">
        <f t="shared" si="72"/>
        <v>0.30180000000000007</v>
      </c>
      <c r="Z138" s="31">
        <f t="shared" si="72"/>
        <v>0.7145999999999999</v>
      </c>
      <c r="AA138" s="31">
        <f t="shared" si="72"/>
        <v>0</v>
      </c>
      <c r="AB138" s="31">
        <f t="shared" si="72"/>
        <v>0</v>
      </c>
      <c r="AC138" s="31">
        <f t="shared" si="72"/>
        <v>0.14910000000000001</v>
      </c>
      <c r="AD138" s="31">
        <f t="shared" si="72"/>
        <v>9.9199999999999955E-2</v>
      </c>
      <c r="AE138" s="31">
        <f t="shared" si="72"/>
        <v>1.2189999999999999</v>
      </c>
      <c r="AF138" s="31">
        <f t="shared" si="72"/>
        <v>0.96019999999999994</v>
      </c>
      <c r="AG138" s="31">
        <f t="shared" si="72"/>
        <v>0.2108000000000001</v>
      </c>
      <c r="AH138" s="31">
        <f t="shared" si="72"/>
        <v>0.13830000000000009</v>
      </c>
      <c r="AI138" s="31">
        <f t="shared" si="72"/>
        <v>0.36610000000000009</v>
      </c>
      <c r="AJ138" s="31">
        <f t="shared" si="72"/>
        <v>0.9012</v>
      </c>
      <c r="AK138" s="31">
        <f t="shared" si="72"/>
        <v>0.97150000000000003</v>
      </c>
      <c r="AL138" s="31">
        <f t="shared" si="72"/>
        <v>0.52469999999999994</v>
      </c>
      <c r="AM138" s="31">
        <f t="shared" si="72"/>
        <v>0.43829999999999991</v>
      </c>
      <c r="AN138" s="31">
        <f t="shared" si="72"/>
        <v>0.51800000000000002</v>
      </c>
      <c r="AO138" s="31">
        <f t="shared" si="72"/>
        <v>3.4599999999999964E-2</v>
      </c>
      <c r="AP138" s="31">
        <f t="shared" si="72"/>
        <v>0</v>
      </c>
      <c r="AQ138" s="31">
        <f t="shared" si="72"/>
        <v>0.63969999999999994</v>
      </c>
      <c r="AR138" s="31">
        <f t="shared" si="72"/>
        <v>0</v>
      </c>
      <c r="AS138" s="31">
        <f t="shared" si="72"/>
        <v>2.970000000000006E-2</v>
      </c>
      <c r="AT138" s="31">
        <f t="shared" si="72"/>
        <v>5.2300000000000013E-2</v>
      </c>
      <c r="AU138" s="31">
        <f t="shared" si="72"/>
        <v>0.5645</v>
      </c>
      <c r="AV138" s="31">
        <f t="shared" si="72"/>
        <v>0.49629999999999996</v>
      </c>
      <c r="AW138" s="31">
        <f t="shared" si="72"/>
        <v>0.61719999999999997</v>
      </c>
      <c r="AX138" s="31">
        <f t="shared" si="72"/>
        <v>1.2791999999999999</v>
      </c>
      <c r="AY138" s="31">
        <f t="shared" si="72"/>
        <v>0.33420000000000005</v>
      </c>
      <c r="AZ138" s="31">
        <f t="shared" si="72"/>
        <v>0</v>
      </c>
      <c r="BA138" s="31">
        <f t="shared" si="72"/>
        <v>0</v>
      </c>
      <c r="BB138" s="31">
        <f t="shared" si="72"/>
        <v>0</v>
      </c>
      <c r="BC138" s="31">
        <f t="shared" si="72"/>
        <v>0</v>
      </c>
      <c r="BD138" s="31">
        <f t="shared" si="72"/>
        <v>3.6100000000000021E-2</v>
      </c>
      <c r="BE138" s="31">
        <f t="shared" si="72"/>
        <v>0.11359999999999992</v>
      </c>
      <c r="BF138" s="31">
        <f t="shared" si="72"/>
        <v>0</v>
      </c>
      <c r="BG138" s="31">
        <f t="shared" si="72"/>
        <v>0.14339999999999997</v>
      </c>
      <c r="BH138" s="31">
        <f t="shared" si="72"/>
        <v>0.21880000000000011</v>
      </c>
      <c r="BI138" s="31">
        <f t="shared" si="72"/>
        <v>0.6160000000000001</v>
      </c>
      <c r="BJ138" s="31">
        <f t="shared" si="72"/>
        <v>2.970000000000006E-2</v>
      </c>
      <c r="BK138" s="31">
        <f t="shared" si="72"/>
        <v>0</v>
      </c>
      <c r="BL138" s="31">
        <f t="shared" si="72"/>
        <v>1.3111999999999999</v>
      </c>
      <c r="BM138" s="31">
        <f t="shared" si="72"/>
        <v>0.40589999999999993</v>
      </c>
      <c r="BN138" s="31">
        <f t="shared" si="72"/>
        <v>4.2200000000000015E-2</v>
      </c>
      <c r="BO138" s="31">
        <f t="shared" si="72"/>
        <v>0.11030000000000006</v>
      </c>
      <c r="BP138" s="31">
        <f t="shared" si="72"/>
        <v>1.0121000000000002</v>
      </c>
      <c r="BQ138" s="31">
        <f t="shared" si="72"/>
        <v>2.970000000000006E-2</v>
      </c>
      <c r="BR138" s="31">
        <f t="shared" si="72"/>
        <v>3.2100000000000017E-2</v>
      </c>
      <c r="BS138" s="31">
        <f t="shared" si="72"/>
        <v>0.11440000000000006</v>
      </c>
      <c r="BT138" s="31">
        <f t="shared" si="72"/>
        <v>0.40050000000000008</v>
      </c>
      <c r="BU138" s="31">
        <f t="shared" si="72"/>
        <v>0.35000000000000009</v>
      </c>
      <c r="BV138" s="31">
        <f t="shared" si="72"/>
        <v>0.10969999999999991</v>
      </c>
      <c r="BW138" s="31">
        <f t="shared" si="72"/>
        <v>6.8100000000000049E-2</v>
      </c>
      <c r="BX138" s="31">
        <f t="shared" si="72"/>
        <v>1.3359999999999999</v>
      </c>
      <c r="BY138" s="31">
        <f t="shared" si="72"/>
        <v>0.30079999999999996</v>
      </c>
      <c r="BZ138" s="31">
        <f t="shared" si="72"/>
        <v>0.72629999999999995</v>
      </c>
      <c r="CA138" s="31">
        <f t="shared" si="72"/>
        <v>1.0402999999999998</v>
      </c>
      <c r="CB138" s="31">
        <f t="shared" si="72"/>
        <v>0</v>
      </c>
      <c r="CC138" s="31">
        <f t="shared" si="72"/>
        <v>0.87179999999999991</v>
      </c>
      <c r="CD138" s="31">
        <f t="shared" si="72"/>
        <v>1.3582000000000001</v>
      </c>
      <c r="CE138" s="31">
        <f t="shared" si="72"/>
        <v>0.98839999999999995</v>
      </c>
      <c r="CF138" s="31">
        <f t="shared" si="72"/>
        <v>1.1878000000000002</v>
      </c>
      <c r="CG138" s="31">
        <f t="shared" si="72"/>
        <v>0.84060000000000001</v>
      </c>
      <c r="CH138" s="31">
        <f t="shared" si="72"/>
        <v>1.2262</v>
      </c>
      <c r="CI138" s="31">
        <f t="shared" si="72"/>
        <v>0.19140000000000001</v>
      </c>
      <c r="CJ138" s="31">
        <f t="shared" si="72"/>
        <v>0.15529999999999999</v>
      </c>
      <c r="CK138" s="31">
        <f t="shared" si="72"/>
        <v>3.0399999999999983E-2</v>
      </c>
      <c r="CL138" s="31">
        <f t="shared" si="72"/>
        <v>0.11159999999999992</v>
      </c>
      <c r="CM138" s="31">
        <f t="shared" si="72"/>
        <v>0.19209999999999994</v>
      </c>
      <c r="CN138" s="31">
        <f t="shared" si="72"/>
        <v>0</v>
      </c>
      <c r="CO138" s="31">
        <f t="shared" si="72"/>
        <v>0</v>
      </c>
      <c r="CP138" s="31">
        <f t="shared" si="72"/>
        <v>0.14409999999999989</v>
      </c>
      <c r="CQ138" s="31">
        <f t="shared" si="72"/>
        <v>0.17510000000000003</v>
      </c>
      <c r="CR138" s="31">
        <f t="shared" si="72"/>
        <v>0.77210000000000001</v>
      </c>
      <c r="CS138" s="31">
        <f t="shared" si="72"/>
        <v>0.54170000000000007</v>
      </c>
      <c r="CT138" s="31">
        <f t="shared" si="72"/>
        <v>1.157</v>
      </c>
      <c r="CU138" s="31">
        <f t="shared" si="72"/>
        <v>1.3168000000000002</v>
      </c>
      <c r="CV138" s="31">
        <f t="shared" si="72"/>
        <v>1.3582000000000001</v>
      </c>
      <c r="CW138" s="31">
        <f t="shared" si="72"/>
        <v>0.83650000000000002</v>
      </c>
      <c r="CX138" s="31">
        <f t="shared" si="72"/>
        <v>0.23799999999999999</v>
      </c>
      <c r="CY138" s="31">
        <f t="shared" si="72"/>
        <v>1.3582000000000001</v>
      </c>
      <c r="CZ138" s="31">
        <f t="shared" si="72"/>
        <v>8.0600000000000005E-2</v>
      </c>
      <c r="DA138" s="31">
        <f t="shared" si="72"/>
        <v>0.81840000000000002</v>
      </c>
      <c r="DB138" s="31">
        <f t="shared" si="72"/>
        <v>0.4789000000000001</v>
      </c>
      <c r="DC138" s="31">
        <f t="shared" si="72"/>
        <v>0.85790000000000011</v>
      </c>
      <c r="DD138" s="31">
        <f t="shared" si="72"/>
        <v>0.92749999999999999</v>
      </c>
      <c r="DE138" s="31">
        <f t="shared" si="72"/>
        <v>0.53089999999999993</v>
      </c>
      <c r="DF138" s="31">
        <f t="shared" si="72"/>
        <v>0</v>
      </c>
      <c r="DG138" s="31">
        <f t="shared" si="72"/>
        <v>1.2322000000000002</v>
      </c>
      <c r="DH138" s="31">
        <f t="shared" si="72"/>
        <v>8.1399999999999917E-2</v>
      </c>
      <c r="DI138" s="31">
        <f t="shared" si="72"/>
        <v>5.160000000000009E-2</v>
      </c>
      <c r="DJ138" s="31">
        <f t="shared" si="72"/>
        <v>0.20680000000000009</v>
      </c>
      <c r="DK138" s="31">
        <f t="shared" si="72"/>
        <v>0.23469999999999991</v>
      </c>
      <c r="DL138" s="31">
        <f t="shared" si="72"/>
        <v>2.970000000000006E-2</v>
      </c>
      <c r="DM138" s="31">
        <f t="shared" si="72"/>
        <v>0.69989999999999997</v>
      </c>
      <c r="DN138" s="31">
        <f t="shared" si="72"/>
        <v>0.10699999999999998</v>
      </c>
      <c r="DO138" s="31">
        <f t="shared" si="72"/>
        <v>3.9700000000000069E-2</v>
      </c>
      <c r="DP138" s="31">
        <f t="shared" si="72"/>
        <v>0.83499999999999996</v>
      </c>
      <c r="DQ138" s="31">
        <f t="shared" si="72"/>
        <v>0.1500999999999999</v>
      </c>
      <c r="DR138" s="31">
        <f t="shared" si="72"/>
        <v>0.10650000000000004</v>
      </c>
      <c r="DS138" s="31">
        <f t="shared" si="72"/>
        <v>0.21360000000000001</v>
      </c>
      <c r="DT138" s="31">
        <f t="shared" si="72"/>
        <v>0.91999999999999993</v>
      </c>
      <c r="DU138" s="31">
        <f t="shared" si="72"/>
        <v>0.42530000000000001</v>
      </c>
      <c r="DV138" s="31">
        <f t="shared" si="72"/>
        <v>0.80980000000000008</v>
      </c>
      <c r="DW138" s="31">
        <f t="shared" si="72"/>
        <v>0.50980000000000003</v>
      </c>
      <c r="DX138" s="31">
        <f t="shared" si="72"/>
        <v>0.95199999999999996</v>
      </c>
      <c r="DY138" s="31">
        <f t="shared" si="72"/>
        <v>0.5169999999999999</v>
      </c>
      <c r="DZ138" s="31">
        <f t="shared" si="72"/>
        <v>0.19660000000000011</v>
      </c>
      <c r="EA138" s="31">
        <f t="shared" si="72"/>
        <v>0.22449999999999992</v>
      </c>
      <c r="EB138" s="31">
        <f t="shared" si="72"/>
        <v>0.22540000000000004</v>
      </c>
      <c r="EC138" s="31">
        <f t="shared" si="72"/>
        <v>0.54129999999999989</v>
      </c>
      <c r="ED138" s="31">
        <f t="shared" si="72"/>
        <v>9.3399999999999928E-2</v>
      </c>
      <c r="EE138" s="31">
        <f t="shared" si="72"/>
        <v>0.86319999999999997</v>
      </c>
      <c r="EF138" s="31">
        <f t="shared" si="72"/>
        <v>0.10539999999999994</v>
      </c>
      <c r="EG138" s="31">
        <f t="shared" si="72"/>
        <v>0.63030000000000008</v>
      </c>
      <c r="EH138" s="31">
        <f t="shared" si="72"/>
        <v>0.65329999999999999</v>
      </c>
      <c r="EI138" s="31">
        <f t="shared" si="72"/>
        <v>0</v>
      </c>
      <c r="EJ138" s="31">
        <f t="shared" si="72"/>
        <v>0</v>
      </c>
      <c r="EK138" s="31">
        <f t="shared" si="72"/>
        <v>0.19589999999999996</v>
      </c>
      <c r="EL138" s="31">
        <f t="shared" si="72"/>
        <v>0.24140000000000006</v>
      </c>
      <c r="EM138" s="31">
        <f t="shared" si="72"/>
        <v>0.38610000000000011</v>
      </c>
      <c r="EN138" s="31">
        <f t="shared" si="72"/>
        <v>0.14999999999999991</v>
      </c>
      <c r="EO138" s="31">
        <f t="shared" si="72"/>
        <v>0.50629999999999997</v>
      </c>
      <c r="EP138" s="31">
        <f t="shared" si="72"/>
        <v>0.28970000000000007</v>
      </c>
      <c r="EQ138" s="31">
        <f t="shared" si="72"/>
        <v>4.9099999999999921E-2</v>
      </c>
      <c r="ER138" s="31">
        <f t="shared" si="72"/>
        <v>0.48930000000000007</v>
      </c>
      <c r="ES138" s="31">
        <f t="shared" si="72"/>
        <v>0.97080000000000011</v>
      </c>
      <c r="ET138" s="31">
        <f t="shared" si="72"/>
        <v>0.84099999999999997</v>
      </c>
      <c r="EU138" s="31">
        <f t="shared" si="72"/>
        <v>0.21490000000000009</v>
      </c>
      <c r="EV138" s="31">
        <f t="shared" si="72"/>
        <v>1.3119000000000001</v>
      </c>
      <c r="EW138" s="31">
        <f t="shared" si="72"/>
        <v>0.16739999999999999</v>
      </c>
      <c r="EX138" s="31">
        <f t="shared" si="72"/>
        <v>0.93130000000000002</v>
      </c>
      <c r="EY138" s="31">
        <f t="shared" si="72"/>
        <v>0.81089999999999995</v>
      </c>
      <c r="EZ138" s="31">
        <f t="shared" si="72"/>
        <v>1.0975000000000001</v>
      </c>
      <c r="FA138" s="31">
        <f t="shared" si="72"/>
        <v>3.8599999999999968E-2</v>
      </c>
      <c r="FB138" s="31">
        <f t="shared" si="72"/>
        <v>0.5455000000000001</v>
      </c>
      <c r="FC138" s="31">
        <f t="shared" si="72"/>
        <v>8.1199999999999939E-2</v>
      </c>
      <c r="FD138" s="31">
        <f t="shared" si="72"/>
        <v>0.33420000000000005</v>
      </c>
      <c r="FE138" s="31">
        <f t="shared" si="72"/>
        <v>1.2930999999999999</v>
      </c>
      <c r="FF138" s="31">
        <f t="shared" si="72"/>
        <v>0.90310000000000001</v>
      </c>
      <c r="FG138" s="31">
        <f t="shared" si="72"/>
        <v>1.1333000000000002</v>
      </c>
      <c r="FH138" s="31">
        <f t="shared" si="72"/>
        <v>1.3206000000000002</v>
      </c>
      <c r="FI138" s="31">
        <f t="shared" si="72"/>
        <v>8.6200000000000054E-2</v>
      </c>
      <c r="FJ138" s="31">
        <f t="shared" si="72"/>
        <v>6.8200000000000038E-2</v>
      </c>
      <c r="FK138" s="31">
        <f t="shared" si="72"/>
        <v>5.0100000000000033E-2</v>
      </c>
      <c r="FL138" s="31">
        <f t="shared" si="72"/>
        <v>0</v>
      </c>
      <c r="FM138" s="31">
        <f t="shared" si="72"/>
        <v>3.4499999999999975E-2</v>
      </c>
      <c r="FN138" s="31">
        <f t="shared" si="72"/>
        <v>0</v>
      </c>
      <c r="FO138" s="31">
        <f t="shared" si="72"/>
        <v>0.11650000000000005</v>
      </c>
      <c r="FP138" s="31">
        <f t="shared" si="72"/>
        <v>5.259999999999998E-2</v>
      </c>
      <c r="FQ138" s="31">
        <f t="shared" si="72"/>
        <v>0.13070000000000004</v>
      </c>
      <c r="FR138" s="31">
        <f t="shared" si="72"/>
        <v>0.9617</v>
      </c>
      <c r="FS138" s="31">
        <f t="shared" si="72"/>
        <v>0.96469999999999989</v>
      </c>
      <c r="FT138" s="31">
        <f t="shared" si="72"/>
        <v>1.3582000000000001</v>
      </c>
      <c r="FU138" s="31">
        <f t="shared" si="72"/>
        <v>0.17149999999999999</v>
      </c>
      <c r="FV138" s="31">
        <f t="shared" si="72"/>
        <v>0.19029999999999991</v>
      </c>
      <c r="FW138" s="31">
        <f t="shared" si="72"/>
        <v>1.0449000000000002</v>
      </c>
      <c r="FX138" s="31">
        <f t="shared" si="72"/>
        <v>1.3412999999999999</v>
      </c>
      <c r="FY138" s="25"/>
      <c r="FZ138" s="25"/>
      <c r="GA138" s="7"/>
      <c r="GB138" s="25"/>
      <c r="GC138" s="25"/>
      <c r="GD138" s="25"/>
      <c r="GE138" s="25"/>
      <c r="GF138" s="25"/>
      <c r="GG138" s="7"/>
      <c r="GH138" s="23"/>
      <c r="GI138" s="23"/>
      <c r="GJ138" s="23"/>
      <c r="GK138" s="23"/>
      <c r="GL138" s="23"/>
      <c r="GM138" s="23"/>
      <c r="GN138" s="23"/>
      <c r="GO138" s="23"/>
      <c r="GP138" s="7"/>
      <c r="GQ138" s="7"/>
      <c r="GR138" s="7"/>
      <c r="GS138" s="7"/>
      <c r="GT138" s="7"/>
      <c r="GU138" s="7"/>
      <c r="GV138" s="7"/>
    </row>
    <row r="139" spans="1:204" ht="15.5" x14ac:dyDescent="0.35">
      <c r="A139" s="60" t="s">
        <v>669</v>
      </c>
      <c r="B139" s="5" t="s">
        <v>670</v>
      </c>
      <c r="C139" s="61">
        <f t="shared" ref="C139:FX139" si="73">C72*C84*C138</f>
        <v>1648136.0738700032</v>
      </c>
      <c r="D139" s="61">
        <f t="shared" si="73"/>
        <v>0</v>
      </c>
      <c r="E139" s="61">
        <f t="shared" si="73"/>
        <v>1450989.6223680028</v>
      </c>
      <c r="F139" s="61">
        <f t="shared" si="73"/>
        <v>0</v>
      </c>
      <c r="G139" s="61">
        <f t="shared" si="73"/>
        <v>1240542.3700799986</v>
      </c>
      <c r="H139" s="61">
        <f t="shared" si="73"/>
        <v>1121675.920819999</v>
      </c>
      <c r="I139" s="61">
        <f t="shared" si="73"/>
        <v>0</v>
      </c>
      <c r="J139" s="61">
        <f t="shared" si="73"/>
        <v>1186570.9856519992</v>
      </c>
      <c r="K139" s="61">
        <f t="shared" si="73"/>
        <v>1393800.2728259997</v>
      </c>
      <c r="L139" s="61">
        <f t="shared" si="73"/>
        <v>1134199.0662600014</v>
      </c>
      <c r="M139" s="61">
        <f t="shared" si="73"/>
        <v>1129155.1278020001</v>
      </c>
      <c r="N139" s="61">
        <f t="shared" si="73"/>
        <v>0</v>
      </c>
      <c r="O139" s="61">
        <f t="shared" si="73"/>
        <v>0</v>
      </c>
      <c r="P139" s="61">
        <f t="shared" si="73"/>
        <v>1314629.6218380001</v>
      </c>
      <c r="Q139" s="61">
        <f t="shared" si="73"/>
        <v>0</v>
      </c>
      <c r="R139" s="61">
        <f t="shared" si="73"/>
        <v>978248.87846400007</v>
      </c>
      <c r="S139" s="61">
        <f t="shared" si="73"/>
        <v>1259610.0063300009</v>
      </c>
      <c r="T139" s="61">
        <f t="shared" si="73"/>
        <v>1369303.4775419997</v>
      </c>
      <c r="U139" s="61">
        <f t="shared" si="73"/>
        <v>708312.16559999995</v>
      </c>
      <c r="V139" s="61">
        <f t="shared" si="73"/>
        <v>1380380.9158879996</v>
      </c>
      <c r="W139" s="61">
        <f t="shared" si="73"/>
        <v>696506.96283999993</v>
      </c>
      <c r="X139" s="61">
        <f t="shared" si="73"/>
        <v>708312.16559999995</v>
      </c>
      <c r="Y139" s="61">
        <f t="shared" si="73"/>
        <v>1105147.9416120001</v>
      </c>
      <c r="Z139" s="61">
        <f t="shared" si="73"/>
        <v>1435399.1407079997</v>
      </c>
      <c r="AA139" s="61">
        <f t="shared" si="73"/>
        <v>0</v>
      </c>
      <c r="AB139" s="61">
        <f t="shared" si="73"/>
        <v>0</v>
      </c>
      <c r="AC139" s="61">
        <f t="shared" si="73"/>
        <v>1157151.415602</v>
      </c>
      <c r="AD139" s="61">
        <f t="shared" si="73"/>
        <v>1237381.3362559993</v>
      </c>
      <c r="AE139" s="61">
        <f t="shared" si="73"/>
        <v>1027744.5073999999</v>
      </c>
      <c r="AF139" s="61">
        <f t="shared" si="73"/>
        <v>1383744.6424879998</v>
      </c>
      <c r="AG139" s="61">
        <f t="shared" si="73"/>
        <v>1087246.1364960002</v>
      </c>
      <c r="AH139" s="61">
        <f t="shared" si="73"/>
        <v>1136442.5936760006</v>
      </c>
      <c r="AI139" s="61">
        <f t="shared" si="73"/>
        <v>1218732.0363400003</v>
      </c>
      <c r="AJ139" s="61">
        <f t="shared" si="73"/>
        <v>1421698.6040399999</v>
      </c>
      <c r="AK139" s="61">
        <f t="shared" si="73"/>
        <v>1374696.8263600001</v>
      </c>
      <c r="AL139" s="61">
        <f t="shared" si="73"/>
        <v>1315729.4822099998</v>
      </c>
      <c r="AM139" s="61">
        <f t="shared" si="73"/>
        <v>1295269.4195999994</v>
      </c>
      <c r="AN139" s="61">
        <f t="shared" si="73"/>
        <v>1312435.7245999998</v>
      </c>
      <c r="AO139" s="61">
        <f t="shared" si="73"/>
        <v>1189321.7665159986</v>
      </c>
      <c r="AP139" s="61">
        <f t="shared" si="73"/>
        <v>0</v>
      </c>
      <c r="AQ139" s="61">
        <f t="shared" si="73"/>
        <v>1395596.2594599999</v>
      </c>
      <c r="AR139" s="61">
        <f t="shared" si="73"/>
        <v>0</v>
      </c>
      <c r="AS139" s="61">
        <f t="shared" si="73"/>
        <v>1657894.0100580032</v>
      </c>
      <c r="AT139" s="61">
        <f t="shared" si="73"/>
        <v>1072902.4066280001</v>
      </c>
      <c r="AU139" s="61">
        <f t="shared" si="73"/>
        <v>1329667.2180999999</v>
      </c>
      <c r="AV139" s="61">
        <f t="shared" si="73"/>
        <v>1317416.2998359997</v>
      </c>
      <c r="AW139" s="61">
        <f t="shared" si="73"/>
        <v>1367967.6347999999</v>
      </c>
      <c r="AX139" s="61">
        <f t="shared" si="73"/>
        <v>900602.5953599998</v>
      </c>
      <c r="AY139" s="61">
        <f t="shared" si="73"/>
        <v>1167729.4231200002</v>
      </c>
      <c r="AZ139" s="61">
        <f t="shared" si="73"/>
        <v>0</v>
      </c>
      <c r="BA139" s="61">
        <f t="shared" si="73"/>
        <v>0</v>
      </c>
      <c r="BB139" s="61">
        <f t="shared" si="73"/>
        <v>0</v>
      </c>
      <c r="BC139" s="61">
        <f t="shared" si="73"/>
        <v>0</v>
      </c>
      <c r="BD139" s="61">
        <f t="shared" si="73"/>
        <v>1140097.7563300005</v>
      </c>
      <c r="BE139" s="61">
        <f t="shared" si="73"/>
        <v>1159687.7697599991</v>
      </c>
      <c r="BF139" s="61">
        <f t="shared" si="73"/>
        <v>0</v>
      </c>
      <c r="BG139" s="61">
        <f t="shared" si="73"/>
        <v>1147439.6328719996</v>
      </c>
      <c r="BH139" s="61">
        <f t="shared" si="73"/>
        <v>1032278.4979520004</v>
      </c>
      <c r="BI139" s="61">
        <f t="shared" si="73"/>
        <v>1377622.4862400002</v>
      </c>
      <c r="BJ139" s="61">
        <f t="shared" si="73"/>
        <v>1625651.5172040029</v>
      </c>
      <c r="BK139" s="61">
        <f t="shared" si="73"/>
        <v>0</v>
      </c>
      <c r="BL139" s="61">
        <f t="shared" si="73"/>
        <v>792069.82711999991</v>
      </c>
      <c r="BM139" s="61">
        <f t="shared" si="73"/>
        <v>1202342.9520959998</v>
      </c>
      <c r="BN139" s="61">
        <f t="shared" si="73"/>
        <v>1123343.1818960002</v>
      </c>
      <c r="BO139" s="61">
        <f t="shared" si="73"/>
        <v>1181700.4486040005</v>
      </c>
      <c r="BP139" s="61">
        <f t="shared" si="73"/>
        <v>1337139.5585600003</v>
      </c>
      <c r="BQ139" s="61">
        <f t="shared" si="73"/>
        <v>1515216.4616160032</v>
      </c>
      <c r="BR139" s="61">
        <f t="shared" si="73"/>
        <v>1252294.0313520003</v>
      </c>
      <c r="BS139" s="61">
        <f t="shared" si="73"/>
        <v>1151547.3775520003</v>
      </c>
      <c r="BT139" s="61">
        <f t="shared" si="73"/>
        <v>1261886.3887500002</v>
      </c>
      <c r="BU139" s="61">
        <f t="shared" si="73"/>
        <v>1194340.2380000001</v>
      </c>
      <c r="BV139" s="61">
        <f t="shared" si="73"/>
        <v>1187381.6698379989</v>
      </c>
      <c r="BW139" s="61">
        <f t="shared" si="73"/>
        <v>1194181.612650001</v>
      </c>
      <c r="BX139" s="61">
        <f t="shared" si="73"/>
        <v>765246.93231999991</v>
      </c>
      <c r="BY139" s="61">
        <f t="shared" si="73"/>
        <v>1103054.7823359997</v>
      </c>
      <c r="BZ139" s="61">
        <f t="shared" si="73"/>
        <v>1439330.7895199999</v>
      </c>
      <c r="CA139" s="61">
        <f t="shared" si="73"/>
        <v>1306580.4935299996</v>
      </c>
      <c r="CB139" s="61">
        <f t="shared" si="73"/>
        <v>0</v>
      </c>
      <c r="CC139" s="61">
        <f t="shared" si="73"/>
        <v>1434422.8777319998</v>
      </c>
      <c r="CD139" s="61">
        <f t="shared" si="73"/>
        <v>708312.16559999995</v>
      </c>
      <c r="CE139" s="61">
        <f t="shared" si="73"/>
        <v>1359951.3614959999</v>
      </c>
      <c r="CF139" s="61">
        <f t="shared" si="73"/>
        <v>1087129.8402120001</v>
      </c>
      <c r="CG139" s="61">
        <f t="shared" si="73"/>
        <v>1443730.2310079997</v>
      </c>
      <c r="CH139" s="61">
        <f t="shared" si="73"/>
        <v>1013564.8787159999</v>
      </c>
      <c r="CI139" s="61">
        <f t="shared" si="73"/>
        <v>1144397.676708</v>
      </c>
      <c r="CJ139" s="61">
        <f t="shared" si="73"/>
        <v>1164638.9667119998</v>
      </c>
      <c r="CK139" s="61">
        <f t="shared" si="73"/>
        <v>1283130.7993919991</v>
      </c>
      <c r="CL139" s="61">
        <f t="shared" si="73"/>
        <v>1171377.893087999</v>
      </c>
      <c r="CM139" s="61">
        <f t="shared" si="73"/>
        <v>1142906.0769099996</v>
      </c>
      <c r="CN139" s="61">
        <f t="shared" si="73"/>
        <v>0</v>
      </c>
      <c r="CO139" s="61">
        <f t="shared" si="73"/>
        <v>0</v>
      </c>
      <c r="CP139" s="61">
        <f t="shared" si="73"/>
        <v>1142645.1490739989</v>
      </c>
      <c r="CQ139" s="61">
        <f t="shared" si="73"/>
        <v>1167019.129224</v>
      </c>
      <c r="CR139" s="61">
        <f t="shared" si="73"/>
        <v>1448220.5887239999</v>
      </c>
      <c r="CS139" s="61">
        <f t="shared" si="73"/>
        <v>1310804.0999040001</v>
      </c>
      <c r="CT139" s="61">
        <f t="shared" si="73"/>
        <v>1141402.8300999999</v>
      </c>
      <c r="CU139" s="61">
        <f t="shared" si="73"/>
        <v>789729.99456000002</v>
      </c>
      <c r="CV139" s="61">
        <f t="shared" si="73"/>
        <v>708312.16559999995</v>
      </c>
      <c r="CW139" s="61">
        <f t="shared" si="73"/>
        <v>1444686.2420899998</v>
      </c>
      <c r="CX139" s="61">
        <f t="shared" si="73"/>
        <v>954474.37175999989</v>
      </c>
      <c r="CY139" s="61">
        <f t="shared" si="73"/>
        <v>708312.16559999995</v>
      </c>
      <c r="CZ139" s="61">
        <f t="shared" si="73"/>
        <v>1251548.79642</v>
      </c>
      <c r="DA139" s="61">
        <f t="shared" si="73"/>
        <v>1447570.6159199998</v>
      </c>
      <c r="DB139" s="61">
        <f t="shared" si="73"/>
        <v>1314518.4537160003</v>
      </c>
      <c r="DC139" s="61">
        <f t="shared" si="73"/>
        <v>1439142.1774600002</v>
      </c>
      <c r="DD139" s="61">
        <f t="shared" si="73"/>
        <v>1406756.9652499999</v>
      </c>
      <c r="DE139" s="61">
        <f t="shared" si="73"/>
        <v>1314202.9413759997</v>
      </c>
      <c r="DF139" s="61">
        <f t="shared" si="73"/>
        <v>0</v>
      </c>
      <c r="DG139" s="61">
        <f t="shared" si="73"/>
        <v>1001388.3622600001</v>
      </c>
      <c r="DH139" s="61">
        <f t="shared" si="73"/>
        <v>1252650.9166599987</v>
      </c>
      <c r="DI139" s="61">
        <f t="shared" si="73"/>
        <v>1082850.8670720018</v>
      </c>
      <c r="DJ139" s="61">
        <f t="shared" si="73"/>
        <v>1102025.3255440006</v>
      </c>
      <c r="DK139" s="61">
        <f t="shared" si="73"/>
        <v>974491.50024199951</v>
      </c>
      <c r="DL139" s="61">
        <f t="shared" si="73"/>
        <v>1465239.3069600028</v>
      </c>
      <c r="DM139" s="61">
        <f t="shared" si="73"/>
        <v>1429596.8426999997</v>
      </c>
      <c r="DN139" s="61">
        <f t="shared" si="73"/>
        <v>1203914.2556999999</v>
      </c>
      <c r="DO139" s="61">
        <f t="shared" si="73"/>
        <v>1135262.0734000017</v>
      </c>
      <c r="DP139" s="61">
        <f t="shared" si="73"/>
        <v>1444998.7122999998</v>
      </c>
      <c r="DQ139" s="61">
        <f t="shared" si="73"/>
        <v>1157214.9526599993</v>
      </c>
      <c r="DR139" s="61">
        <f t="shared" si="73"/>
        <v>1208470.9318500003</v>
      </c>
      <c r="DS139" s="61">
        <f t="shared" si="73"/>
        <v>1076809.7184000001</v>
      </c>
      <c r="DT139" s="61">
        <f t="shared" si="73"/>
        <v>1411374.4839999999</v>
      </c>
      <c r="DU139" s="61">
        <f t="shared" si="73"/>
        <v>1285315.6571579999</v>
      </c>
      <c r="DV139" s="61">
        <f t="shared" si="73"/>
        <v>1448547.921912</v>
      </c>
      <c r="DW139" s="61">
        <f t="shared" si="73"/>
        <v>1317803.0849359997</v>
      </c>
      <c r="DX139" s="61">
        <f t="shared" si="73"/>
        <v>1390131.7247999997</v>
      </c>
      <c r="DY139" s="61">
        <f t="shared" si="73"/>
        <v>1317091.9218599999</v>
      </c>
      <c r="DZ139" s="61">
        <f t="shared" si="73"/>
        <v>1130034.6510440004</v>
      </c>
      <c r="EA139" s="61">
        <f t="shared" si="73"/>
        <v>1028144.7647899995</v>
      </c>
      <c r="EB139" s="61">
        <f t="shared" si="73"/>
        <v>1023646.3237000002</v>
      </c>
      <c r="EC139" s="61">
        <f t="shared" si="73"/>
        <v>1310777.1553239997</v>
      </c>
      <c r="ED139" s="61">
        <f t="shared" si="73"/>
        <v>1257500.071879999</v>
      </c>
      <c r="EE139" s="61">
        <f t="shared" si="73"/>
        <v>1437529.1532159999</v>
      </c>
      <c r="EF139" s="61">
        <f t="shared" si="73"/>
        <v>1212753.9901359992</v>
      </c>
      <c r="EG139" s="61">
        <f t="shared" si="73"/>
        <v>1388784.9303900001</v>
      </c>
      <c r="EH139" s="61">
        <f t="shared" si="73"/>
        <v>1404824.5173559999</v>
      </c>
      <c r="EI139" s="61">
        <f t="shared" si="73"/>
        <v>0</v>
      </c>
      <c r="EJ139" s="61">
        <f t="shared" si="73"/>
        <v>0</v>
      </c>
      <c r="EK139" s="61">
        <f t="shared" si="73"/>
        <v>1133332.8414719999</v>
      </c>
      <c r="EL139" s="61">
        <f t="shared" si="73"/>
        <v>959507.09779600019</v>
      </c>
      <c r="EM139" s="61">
        <f t="shared" si="73"/>
        <v>1245375.9669780002</v>
      </c>
      <c r="EN139" s="61">
        <f t="shared" si="73"/>
        <v>1158530.0219999992</v>
      </c>
      <c r="EO139" s="61">
        <f t="shared" si="73"/>
        <v>1317997.1728299998</v>
      </c>
      <c r="EP139" s="61">
        <f t="shared" si="73"/>
        <v>1078969.1961100001</v>
      </c>
      <c r="EQ139" s="61">
        <f t="shared" si="73"/>
        <v>1107375.9976239982</v>
      </c>
      <c r="ER139" s="61">
        <f t="shared" si="73"/>
        <v>1308191.3448240003</v>
      </c>
      <c r="ES139" s="61">
        <f t="shared" si="73"/>
        <v>1375393.9087199999</v>
      </c>
      <c r="ET139" s="61">
        <f t="shared" si="73"/>
        <v>1443686.2504999998</v>
      </c>
      <c r="EU139" s="61">
        <f t="shared" si="73"/>
        <v>1071222.1947700004</v>
      </c>
      <c r="EV139" s="61">
        <f t="shared" si="73"/>
        <v>824420.44596599985</v>
      </c>
      <c r="EW139" s="61">
        <f t="shared" si="73"/>
        <v>1170407.8882079998</v>
      </c>
      <c r="EX139" s="61">
        <f t="shared" si="73"/>
        <v>1404425.8244899998</v>
      </c>
      <c r="EY139" s="61">
        <f t="shared" si="73"/>
        <v>1448401.1174099999</v>
      </c>
      <c r="EZ139" s="61">
        <f t="shared" si="73"/>
        <v>1233425.0896500002</v>
      </c>
      <c r="FA139" s="61">
        <f t="shared" si="73"/>
        <v>1126788.437579999</v>
      </c>
      <c r="FB139" s="61">
        <f t="shared" si="73"/>
        <v>1309094.1620900002</v>
      </c>
      <c r="FC139" s="61">
        <f t="shared" si="73"/>
        <v>1250420.079271999</v>
      </c>
      <c r="FD139" s="61">
        <f t="shared" si="73"/>
        <v>1167729.4231200002</v>
      </c>
      <c r="FE139" s="61">
        <f t="shared" si="73"/>
        <v>868803.03663399979</v>
      </c>
      <c r="FF139" s="61">
        <f t="shared" si="73"/>
        <v>1420771.1889799999</v>
      </c>
      <c r="FG139" s="61">
        <f t="shared" si="73"/>
        <v>1180079.9494120001</v>
      </c>
      <c r="FH139" s="61">
        <f t="shared" si="73"/>
        <v>803487.37560000014</v>
      </c>
      <c r="FI139" s="61">
        <f t="shared" si="73"/>
        <v>1260135.2518040007</v>
      </c>
      <c r="FJ139" s="61">
        <f t="shared" si="73"/>
        <v>1195342.4025400006</v>
      </c>
      <c r="FK139" s="61">
        <f t="shared" si="73"/>
        <v>1100797.2611220006</v>
      </c>
      <c r="FL139" s="61">
        <f t="shared" si="73"/>
        <v>0</v>
      </c>
      <c r="FM139" s="61">
        <f t="shared" si="73"/>
        <v>1193920.8586499989</v>
      </c>
      <c r="FN139" s="61">
        <f t="shared" si="73"/>
        <v>0</v>
      </c>
      <c r="FO139" s="61">
        <f t="shared" si="73"/>
        <v>1131270.7988400003</v>
      </c>
      <c r="FP139" s="61">
        <f t="shared" si="73"/>
        <v>1070507.2942199996</v>
      </c>
      <c r="FQ139" s="61">
        <f t="shared" si="73"/>
        <v>1116137.9404500003</v>
      </c>
      <c r="FR139" s="61">
        <f t="shared" si="73"/>
        <v>1382562.7315239999</v>
      </c>
      <c r="FS139" s="61">
        <f t="shared" si="73"/>
        <v>1380167.6191159997</v>
      </c>
      <c r="FT139" s="61">
        <f t="shared" si="73"/>
        <v>708312.16559999995</v>
      </c>
      <c r="FU139" s="61">
        <f t="shared" si="73"/>
        <v>1169111.8539099998</v>
      </c>
      <c r="FV139" s="61">
        <f t="shared" si="73"/>
        <v>1144602.2816799993</v>
      </c>
      <c r="FW139" s="61">
        <f t="shared" si="73"/>
        <v>1283295.3351660003</v>
      </c>
      <c r="FX139" s="61">
        <f t="shared" si="73"/>
        <v>751961.0814299999</v>
      </c>
      <c r="FY139" s="25"/>
      <c r="FZ139" s="7">
        <f>SUM(C139:FX139)</f>
        <v>185256769.92183399</v>
      </c>
      <c r="GA139" s="62">
        <v>185256769.92183399</v>
      </c>
      <c r="GB139" s="7">
        <f>FZ139-GA139</f>
        <v>0</v>
      </c>
      <c r="GC139" s="25"/>
      <c r="GD139" s="25"/>
      <c r="GE139" s="25"/>
      <c r="GF139" s="25"/>
      <c r="GG139" s="7"/>
      <c r="GH139" s="23"/>
      <c r="GI139" s="23"/>
      <c r="GJ139" s="23"/>
      <c r="GK139" s="23"/>
      <c r="GL139" s="23"/>
      <c r="GM139" s="23"/>
      <c r="GN139" s="23"/>
      <c r="GO139" s="23"/>
      <c r="GP139" s="7"/>
      <c r="GQ139" s="7"/>
      <c r="GR139" s="7"/>
      <c r="GS139" s="7"/>
      <c r="GT139" s="7"/>
      <c r="GU139" s="7"/>
      <c r="GV139" s="7"/>
    </row>
    <row r="140" spans="1:204" ht="15.5" x14ac:dyDescent="0.35">
      <c r="A140" s="12"/>
      <c r="B140" s="5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25"/>
      <c r="FZ140" s="7"/>
      <c r="GA140" s="7"/>
      <c r="GB140" s="7"/>
      <c r="GC140" s="25"/>
      <c r="GD140" s="25"/>
      <c r="GE140" s="25"/>
      <c r="GF140" s="25"/>
      <c r="GG140" s="7"/>
      <c r="GH140" s="23"/>
      <c r="GI140" s="23"/>
      <c r="GJ140" s="23"/>
      <c r="GK140" s="23"/>
      <c r="GL140" s="23"/>
      <c r="GM140" s="23"/>
      <c r="GN140" s="23"/>
      <c r="GO140" s="23"/>
      <c r="GP140" s="7"/>
      <c r="GQ140" s="7"/>
      <c r="GR140" s="7"/>
      <c r="GS140" s="7"/>
      <c r="GT140" s="7"/>
      <c r="GU140" s="7"/>
      <c r="GV140" s="7"/>
    </row>
    <row r="141" spans="1:204" ht="15.5" x14ac:dyDescent="0.35">
      <c r="A141" s="69"/>
      <c r="B141" s="5" t="s">
        <v>671</v>
      </c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5"/>
      <c r="FZ141" s="25"/>
      <c r="GA141" s="7"/>
      <c r="GB141" s="25"/>
      <c r="GC141" s="25"/>
      <c r="GD141" s="25"/>
      <c r="GE141" s="25"/>
      <c r="GF141" s="25"/>
      <c r="GG141" s="7"/>
      <c r="GH141" s="23"/>
      <c r="GI141" s="23"/>
      <c r="GJ141" s="23"/>
      <c r="GK141" s="23"/>
      <c r="GL141" s="23"/>
      <c r="GM141" s="23"/>
      <c r="GN141" s="23"/>
      <c r="GO141" s="23"/>
      <c r="GP141" s="7"/>
      <c r="GQ141" s="7"/>
      <c r="GR141" s="7"/>
      <c r="GS141" s="7"/>
      <c r="GT141" s="7"/>
      <c r="GU141" s="7"/>
      <c r="GV141" s="7"/>
    </row>
    <row r="142" spans="1:204" ht="15.5" x14ac:dyDescent="0.35">
      <c r="A142" s="12" t="s">
        <v>672</v>
      </c>
      <c r="B142" s="7" t="s">
        <v>673</v>
      </c>
      <c r="C142" s="53">
        <f t="shared" ref="C142:FX142" si="74">ROUND(C86+C98+C103+C111+C116+C121+C127+C133+C139,2)</f>
        <v>89730940.510000005</v>
      </c>
      <c r="D142" s="53">
        <f t="shared" si="74"/>
        <v>471259234.61000001</v>
      </c>
      <c r="E142" s="53">
        <f t="shared" si="74"/>
        <v>79853637.879999995</v>
      </c>
      <c r="F142" s="53">
        <f t="shared" si="74"/>
        <v>296319185.32999998</v>
      </c>
      <c r="G142" s="53">
        <f t="shared" si="74"/>
        <v>26406009.32</v>
      </c>
      <c r="H142" s="53">
        <f t="shared" si="74"/>
        <v>15844779.58</v>
      </c>
      <c r="I142" s="53">
        <f t="shared" si="74"/>
        <v>105243706.84</v>
      </c>
      <c r="J142" s="53">
        <f t="shared" si="74"/>
        <v>27111744.489999998</v>
      </c>
      <c r="K142" s="53">
        <f t="shared" si="74"/>
        <v>4731424.5</v>
      </c>
      <c r="L142" s="53">
        <f t="shared" si="74"/>
        <v>28097191.84</v>
      </c>
      <c r="M142" s="53">
        <f t="shared" si="74"/>
        <v>13744898.74</v>
      </c>
      <c r="N142" s="53">
        <f t="shared" si="74"/>
        <v>607334035.53999996</v>
      </c>
      <c r="O142" s="53">
        <f t="shared" si="74"/>
        <v>147685828.24000001</v>
      </c>
      <c r="P142" s="53">
        <f t="shared" si="74"/>
        <v>5856099.4400000004</v>
      </c>
      <c r="Q142" s="53">
        <f t="shared" si="74"/>
        <v>528303925.36000001</v>
      </c>
      <c r="R142" s="53">
        <f t="shared" si="74"/>
        <v>86673328.799999997</v>
      </c>
      <c r="S142" s="53">
        <f t="shared" si="74"/>
        <v>21728219.07</v>
      </c>
      <c r="T142" s="53">
        <f t="shared" si="74"/>
        <v>3637427.79</v>
      </c>
      <c r="U142" s="53">
        <f t="shared" si="74"/>
        <v>1570626.48</v>
      </c>
      <c r="V142" s="53">
        <f t="shared" si="74"/>
        <v>4895806.34</v>
      </c>
      <c r="W142" s="53">
        <f t="shared" si="74"/>
        <v>1572513.67</v>
      </c>
      <c r="X142" s="53">
        <f t="shared" si="74"/>
        <v>1525994.09</v>
      </c>
      <c r="Y142" s="53">
        <f t="shared" si="74"/>
        <v>13399572.25</v>
      </c>
      <c r="Z142" s="53">
        <f t="shared" si="74"/>
        <v>4371163.21</v>
      </c>
      <c r="AA142" s="53">
        <f t="shared" si="74"/>
        <v>360627950.67000002</v>
      </c>
      <c r="AB142" s="53">
        <f t="shared" si="74"/>
        <v>317681920.99000001</v>
      </c>
      <c r="AC142" s="53">
        <f t="shared" si="74"/>
        <v>12422347.390000001</v>
      </c>
      <c r="AD142" s="53">
        <f t="shared" si="74"/>
        <v>19224778</v>
      </c>
      <c r="AE142" s="53">
        <f t="shared" si="74"/>
        <v>2401571.2599999998</v>
      </c>
      <c r="AF142" s="53">
        <f t="shared" si="74"/>
        <v>3602694.23</v>
      </c>
      <c r="AG142" s="53">
        <f t="shared" si="74"/>
        <v>9034767.3000000007</v>
      </c>
      <c r="AH142" s="53">
        <f t="shared" si="74"/>
        <v>13414445.35</v>
      </c>
      <c r="AI142" s="53">
        <f t="shared" si="74"/>
        <v>6206461.46</v>
      </c>
      <c r="AJ142" s="53">
        <f t="shared" si="74"/>
        <v>4036014.7</v>
      </c>
      <c r="AK142" s="53">
        <f t="shared" si="74"/>
        <v>3776685.29</v>
      </c>
      <c r="AL142" s="53">
        <f t="shared" si="74"/>
        <v>5431554.0300000003</v>
      </c>
      <c r="AM142" s="53">
        <f t="shared" si="74"/>
        <v>5866418.2599999998</v>
      </c>
      <c r="AN142" s="53">
        <f t="shared" si="74"/>
        <v>5383352.54</v>
      </c>
      <c r="AO142" s="53">
        <f t="shared" si="74"/>
        <v>52426871.719999999</v>
      </c>
      <c r="AP142" s="53">
        <f t="shared" si="74"/>
        <v>1082318488.5999999</v>
      </c>
      <c r="AQ142" s="53">
        <f t="shared" si="74"/>
        <v>4929733.9800000004</v>
      </c>
      <c r="AR142" s="53">
        <f t="shared" si="74"/>
        <v>700478972.44000006</v>
      </c>
      <c r="AS142" s="53">
        <f t="shared" si="74"/>
        <v>86515476.609999999</v>
      </c>
      <c r="AT142" s="53">
        <f t="shared" si="74"/>
        <v>32032729.82</v>
      </c>
      <c r="AU142" s="53">
        <f t="shared" si="74"/>
        <v>4934156.68</v>
      </c>
      <c r="AV142" s="53">
        <f t="shared" si="74"/>
        <v>5618961.1500000004</v>
      </c>
      <c r="AW142" s="53">
        <f t="shared" si="74"/>
        <v>4723911.9800000004</v>
      </c>
      <c r="AX142" s="53">
        <f t="shared" si="74"/>
        <v>2142505.2000000002</v>
      </c>
      <c r="AY142" s="53">
        <f t="shared" si="74"/>
        <v>6547553.7999999998</v>
      </c>
      <c r="AZ142" s="53">
        <f t="shared" si="74"/>
        <v>149925845.31</v>
      </c>
      <c r="BA142" s="53">
        <f t="shared" si="74"/>
        <v>108081532.18000001</v>
      </c>
      <c r="BB142" s="53">
        <f t="shared" si="74"/>
        <v>89674580.319999993</v>
      </c>
      <c r="BC142" s="53">
        <f t="shared" si="74"/>
        <v>297238830.60000002</v>
      </c>
      <c r="BD142" s="53">
        <f t="shared" si="74"/>
        <v>42012737.829999998</v>
      </c>
      <c r="BE142" s="53">
        <f t="shared" si="74"/>
        <v>14596337.039999999</v>
      </c>
      <c r="BF142" s="53">
        <f t="shared" si="74"/>
        <v>286556264.05000001</v>
      </c>
      <c r="BG142" s="53">
        <f t="shared" si="74"/>
        <v>13862878.98</v>
      </c>
      <c r="BH142" s="53">
        <f t="shared" si="74"/>
        <v>8521032.7300000004</v>
      </c>
      <c r="BI142" s="53">
        <f t="shared" si="74"/>
        <v>5160471.16</v>
      </c>
      <c r="BJ142" s="53">
        <f t="shared" si="74"/>
        <v>71919598.019999996</v>
      </c>
      <c r="BK142" s="53">
        <f t="shared" si="74"/>
        <v>405607696.01999998</v>
      </c>
      <c r="BL142" s="53">
        <f t="shared" si="74"/>
        <v>1919021.41</v>
      </c>
      <c r="BM142" s="53">
        <f t="shared" si="74"/>
        <v>6325105.2199999997</v>
      </c>
      <c r="BN142" s="53">
        <f t="shared" si="74"/>
        <v>38270555.340000004</v>
      </c>
      <c r="BO142" s="53">
        <f t="shared" si="74"/>
        <v>17698482.59</v>
      </c>
      <c r="BP142" s="53">
        <f t="shared" si="74"/>
        <v>3554357.74</v>
      </c>
      <c r="BQ142" s="53">
        <f t="shared" si="74"/>
        <v>79857351.819999993</v>
      </c>
      <c r="BR142" s="53">
        <f t="shared" si="74"/>
        <v>60240895.689999998</v>
      </c>
      <c r="BS142" s="53">
        <f t="shared" si="74"/>
        <v>15845683.689999999</v>
      </c>
      <c r="BT142" s="53">
        <f t="shared" si="74"/>
        <v>6073340.9299999997</v>
      </c>
      <c r="BU142" s="53">
        <f t="shared" si="74"/>
        <v>6939429.6600000001</v>
      </c>
      <c r="BV142" s="53">
        <f t="shared" si="74"/>
        <v>18792397.420000002</v>
      </c>
      <c r="BW142" s="53">
        <f t="shared" si="74"/>
        <v>29676385.329999998</v>
      </c>
      <c r="BX142" s="53">
        <f t="shared" si="74"/>
        <v>1737200.49</v>
      </c>
      <c r="BY142" s="53">
        <f t="shared" si="74"/>
        <v>7319464.0300000003</v>
      </c>
      <c r="BZ142" s="53">
        <f t="shared" si="74"/>
        <v>4773688.6399999997</v>
      </c>
      <c r="CA142" s="53">
        <f t="shared" si="74"/>
        <v>3264717.84</v>
      </c>
      <c r="CB142" s="53">
        <f t="shared" si="74"/>
        <v>854073446.13</v>
      </c>
      <c r="CC142" s="53">
        <f t="shared" si="74"/>
        <v>3950280.87</v>
      </c>
      <c r="CD142" s="53">
        <f t="shared" si="74"/>
        <v>1524255.73</v>
      </c>
      <c r="CE142" s="53">
        <f t="shared" si="74"/>
        <v>3541105.52</v>
      </c>
      <c r="CF142" s="53">
        <f t="shared" si="74"/>
        <v>2547137.52</v>
      </c>
      <c r="CG142" s="53">
        <f t="shared" si="74"/>
        <v>4114295.31</v>
      </c>
      <c r="CH142" s="53">
        <f t="shared" si="74"/>
        <v>2449348.52</v>
      </c>
      <c r="CI142" s="53">
        <f t="shared" si="74"/>
        <v>10525443.48</v>
      </c>
      <c r="CJ142" s="53">
        <f t="shared" si="74"/>
        <v>13060321.890000001</v>
      </c>
      <c r="CK142" s="53">
        <f t="shared" si="74"/>
        <v>60568722.18</v>
      </c>
      <c r="CL142" s="53">
        <f t="shared" si="74"/>
        <v>17926447.09</v>
      </c>
      <c r="CM142" s="53">
        <f t="shared" si="74"/>
        <v>10706924.43</v>
      </c>
      <c r="CN142" s="53">
        <f t="shared" si="74"/>
        <v>352954883.98000002</v>
      </c>
      <c r="CO142" s="53">
        <f t="shared" si="74"/>
        <v>162111683.88</v>
      </c>
      <c r="CP142" s="53">
        <f t="shared" si="74"/>
        <v>12785375.869999999</v>
      </c>
      <c r="CQ142" s="53">
        <f t="shared" si="74"/>
        <v>11035998.279999999</v>
      </c>
      <c r="CR142" s="53">
        <f t="shared" si="74"/>
        <v>4284256.68</v>
      </c>
      <c r="CS142" s="53">
        <f t="shared" si="74"/>
        <v>4638381.5</v>
      </c>
      <c r="CT142" s="53">
        <f t="shared" si="74"/>
        <v>2843219</v>
      </c>
      <c r="CU142" s="53">
        <f t="shared" si="74"/>
        <v>6424914.7699999996</v>
      </c>
      <c r="CV142" s="53">
        <f t="shared" si="74"/>
        <v>1516215.82</v>
      </c>
      <c r="CW142" s="53">
        <f t="shared" si="74"/>
        <v>4209672.96</v>
      </c>
      <c r="CX142" s="53">
        <f t="shared" si="74"/>
        <v>7287970.8399999999</v>
      </c>
      <c r="CY142" s="53">
        <f t="shared" si="74"/>
        <v>1554590.11</v>
      </c>
      <c r="CZ142" s="53">
        <f t="shared" si="74"/>
        <v>22536533.600000001</v>
      </c>
      <c r="DA142" s="53">
        <f t="shared" si="74"/>
        <v>4064611.59</v>
      </c>
      <c r="DB142" s="53">
        <f t="shared" si="74"/>
        <v>5160413.97</v>
      </c>
      <c r="DC142" s="53">
        <f t="shared" si="74"/>
        <v>3930777.87</v>
      </c>
      <c r="DD142" s="53">
        <f t="shared" si="74"/>
        <v>3761591.57</v>
      </c>
      <c r="DE142" s="53">
        <f t="shared" si="74"/>
        <v>4944880.79</v>
      </c>
      <c r="DF142" s="53">
        <f t="shared" si="74"/>
        <v>231576510.34</v>
      </c>
      <c r="DG142" s="53">
        <f t="shared" si="74"/>
        <v>2303073.17</v>
      </c>
      <c r="DH142" s="53">
        <f t="shared" si="74"/>
        <v>23843852.460000001</v>
      </c>
      <c r="DI142" s="53">
        <f t="shared" si="74"/>
        <v>31370671.18</v>
      </c>
      <c r="DJ142" s="53">
        <f t="shared" si="74"/>
        <v>9208517.1999999993</v>
      </c>
      <c r="DK142" s="53">
        <f t="shared" si="74"/>
        <v>7516682.7300000004</v>
      </c>
      <c r="DL142" s="53">
        <f t="shared" si="74"/>
        <v>73649213.689999998</v>
      </c>
      <c r="DM142" s="53">
        <f t="shared" si="74"/>
        <v>4740347.76</v>
      </c>
      <c r="DN142" s="53">
        <f t="shared" si="74"/>
        <v>17757110.859999999</v>
      </c>
      <c r="DO142" s="53">
        <f t="shared" si="74"/>
        <v>43354036.350000001</v>
      </c>
      <c r="DP142" s="53">
        <f t="shared" si="74"/>
        <v>4024322.52</v>
      </c>
      <c r="DQ142" s="53">
        <f t="shared" si="74"/>
        <v>13410127.279999999</v>
      </c>
      <c r="DR142" s="53">
        <f t="shared" si="74"/>
        <v>17365980.390000001</v>
      </c>
      <c r="DS142" s="53">
        <f t="shared" si="74"/>
        <v>8899760.0099999998</v>
      </c>
      <c r="DT142" s="53">
        <f t="shared" si="74"/>
        <v>3986807.82</v>
      </c>
      <c r="DU142" s="53">
        <f t="shared" si="74"/>
        <v>6003997.3700000001</v>
      </c>
      <c r="DV142" s="53">
        <f t="shared" si="74"/>
        <v>3896167.49</v>
      </c>
      <c r="DW142" s="53">
        <f t="shared" si="74"/>
        <v>4925365.97</v>
      </c>
      <c r="DX142" s="53">
        <f t="shared" si="74"/>
        <v>3837482.69</v>
      </c>
      <c r="DY142" s="53">
        <f t="shared" si="74"/>
        <v>5444333.1500000004</v>
      </c>
      <c r="DZ142" s="53">
        <f t="shared" si="74"/>
        <v>10076298.59</v>
      </c>
      <c r="EA142" s="53">
        <f t="shared" si="74"/>
        <v>8607443.8800000008</v>
      </c>
      <c r="EB142" s="53">
        <f t="shared" si="74"/>
        <v>8059659.2599999998</v>
      </c>
      <c r="EC142" s="53">
        <f t="shared" si="74"/>
        <v>4914332.22</v>
      </c>
      <c r="ED142" s="53">
        <f t="shared" si="74"/>
        <v>20122400.93</v>
      </c>
      <c r="EE142" s="53">
        <f t="shared" si="74"/>
        <v>4131176.18</v>
      </c>
      <c r="EF142" s="53">
        <f t="shared" si="74"/>
        <v>17712279.210000001</v>
      </c>
      <c r="EG142" s="53">
        <f t="shared" si="74"/>
        <v>4824619.54</v>
      </c>
      <c r="EH142" s="53">
        <f t="shared" si="74"/>
        <v>4438130.5999999996</v>
      </c>
      <c r="EI142" s="53">
        <f t="shared" si="74"/>
        <v>168510962.86000001</v>
      </c>
      <c r="EJ142" s="53">
        <f t="shared" si="74"/>
        <v>121868470.17</v>
      </c>
      <c r="EK142" s="53">
        <f t="shared" si="74"/>
        <v>9865952.1099999994</v>
      </c>
      <c r="EL142" s="53">
        <f t="shared" si="74"/>
        <v>6946676.1900000004</v>
      </c>
      <c r="EM142" s="53">
        <f t="shared" si="74"/>
        <v>6210004.3300000001</v>
      </c>
      <c r="EN142" s="53">
        <f t="shared" si="74"/>
        <v>14149287.91</v>
      </c>
      <c r="EO142" s="53">
        <f t="shared" si="74"/>
        <v>5212345.97</v>
      </c>
      <c r="EP142" s="53">
        <f t="shared" si="74"/>
        <v>7090957.7199999997</v>
      </c>
      <c r="EQ142" s="53">
        <f t="shared" si="74"/>
        <v>33495836.690000001</v>
      </c>
      <c r="ER142" s="53">
        <f t="shared" si="74"/>
        <v>5687230.9299999997</v>
      </c>
      <c r="ES142" s="53">
        <f t="shared" si="74"/>
        <v>3682624.37</v>
      </c>
      <c r="ET142" s="53">
        <f t="shared" si="74"/>
        <v>4368408.26</v>
      </c>
      <c r="EU142" s="53">
        <f t="shared" si="74"/>
        <v>9551794.9100000001</v>
      </c>
      <c r="EV142" s="53">
        <f t="shared" si="74"/>
        <v>1969743.25</v>
      </c>
      <c r="EW142" s="53">
        <f t="shared" si="74"/>
        <v>12419049.460000001</v>
      </c>
      <c r="EX142" s="53">
        <f t="shared" si="74"/>
        <v>3886031.18</v>
      </c>
      <c r="EY142" s="53">
        <f t="shared" si="74"/>
        <v>9963961.4900000002</v>
      </c>
      <c r="EZ142" s="53">
        <f t="shared" si="74"/>
        <v>2977191.36</v>
      </c>
      <c r="FA142" s="53">
        <f t="shared" si="74"/>
        <v>46621737.109999999</v>
      </c>
      <c r="FB142" s="53">
        <f t="shared" si="74"/>
        <v>5380162.0499999998</v>
      </c>
      <c r="FC142" s="53">
        <f t="shared" si="74"/>
        <v>22217726.469999999</v>
      </c>
      <c r="FD142" s="53">
        <f t="shared" si="74"/>
        <v>6596724.1500000004</v>
      </c>
      <c r="FE142" s="53">
        <f t="shared" si="74"/>
        <v>2033609.38</v>
      </c>
      <c r="FF142" s="53">
        <f t="shared" si="74"/>
        <v>3894675.6</v>
      </c>
      <c r="FG142" s="53">
        <f t="shared" si="74"/>
        <v>2804173.17</v>
      </c>
      <c r="FH142" s="53">
        <f t="shared" si="74"/>
        <v>1832684.25</v>
      </c>
      <c r="FI142" s="53">
        <f t="shared" si="74"/>
        <v>24686211.16</v>
      </c>
      <c r="FJ142" s="53">
        <f t="shared" si="74"/>
        <v>24333939.629999999</v>
      </c>
      <c r="FK142" s="53">
        <f t="shared" si="74"/>
        <v>35719227.539999999</v>
      </c>
      <c r="FL142" s="53">
        <f t="shared" si="74"/>
        <v>95119895.379999995</v>
      </c>
      <c r="FM142" s="53">
        <f t="shared" si="74"/>
        <v>47231473.710000001</v>
      </c>
      <c r="FN142" s="53">
        <f t="shared" si="74"/>
        <v>282739475.02999997</v>
      </c>
      <c r="FO142" s="53">
        <f t="shared" si="74"/>
        <v>15683081.210000001</v>
      </c>
      <c r="FP142" s="53">
        <f t="shared" si="74"/>
        <v>30266663.32</v>
      </c>
      <c r="FQ142" s="53">
        <f t="shared" si="74"/>
        <v>14003665.369999999</v>
      </c>
      <c r="FR142" s="53">
        <f t="shared" si="74"/>
        <v>3483150.02</v>
      </c>
      <c r="FS142" s="53">
        <f t="shared" si="74"/>
        <v>3544972.51</v>
      </c>
      <c r="FT142" s="53">
        <f t="shared" si="74"/>
        <v>1602003.88</v>
      </c>
      <c r="FU142" s="53">
        <f t="shared" si="74"/>
        <v>11709868.029999999</v>
      </c>
      <c r="FV142" s="53">
        <f t="shared" si="74"/>
        <v>10398139.57</v>
      </c>
      <c r="FW142" s="53">
        <f t="shared" si="74"/>
        <v>3240880.27</v>
      </c>
      <c r="FX142" s="53">
        <f t="shared" si="74"/>
        <v>1658803.49</v>
      </c>
      <c r="FY142" s="25"/>
      <c r="FZ142" s="7">
        <f t="shared" ref="FZ142:FZ147" si="75">SUM(C142:FX142)</f>
        <v>10459817373.500006</v>
      </c>
      <c r="GA142" s="7" t="s">
        <v>674</v>
      </c>
      <c r="GB142" s="7">
        <f t="shared" ref="GB142:GB147" si="76">FZ142-GA142</f>
        <v>0</v>
      </c>
      <c r="GC142" s="25"/>
      <c r="GD142" s="25"/>
      <c r="GE142" s="25"/>
      <c r="GF142" s="25"/>
      <c r="GG142" s="7"/>
      <c r="GH142" s="23"/>
      <c r="GI142" s="23"/>
      <c r="GJ142" s="23"/>
      <c r="GK142" s="23"/>
      <c r="GL142" s="23"/>
      <c r="GM142" s="23"/>
      <c r="GN142" s="23"/>
      <c r="GO142" s="23"/>
      <c r="GP142" s="7"/>
      <c r="GQ142" s="7"/>
      <c r="GR142" s="7"/>
      <c r="GS142" s="7"/>
      <c r="GT142" s="7"/>
      <c r="GU142" s="7"/>
      <c r="GV142" s="7"/>
    </row>
    <row r="143" spans="1:204" ht="15.5" x14ac:dyDescent="0.35">
      <c r="A143" s="12" t="s">
        <v>675</v>
      </c>
      <c r="B143" s="7" t="s">
        <v>676</v>
      </c>
      <c r="C143" s="53">
        <v>77934324.75</v>
      </c>
      <c r="D143" s="53">
        <v>443314990.52999997</v>
      </c>
      <c r="E143" s="53">
        <v>71206914.790000007</v>
      </c>
      <c r="F143" s="53">
        <v>268471199.26999998</v>
      </c>
      <c r="G143" s="53">
        <v>20172478.309999999</v>
      </c>
      <c r="H143" s="53">
        <v>13187782.6</v>
      </c>
      <c r="I143" s="53">
        <v>98683103.170000002</v>
      </c>
      <c r="J143" s="53">
        <v>24300142.899999999</v>
      </c>
      <c r="K143" s="53">
        <v>4257003.24</v>
      </c>
      <c r="L143" s="53">
        <v>26143620</v>
      </c>
      <c r="M143" s="53">
        <v>13714030.26</v>
      </c>
      <c r="N143" s="53">
        <v>585173577.01999998</v>
      </c>
      <c r="O143" s="53">
        <v>144033827.53</v>
      </c>
      <c r="P143" s="53">
        <v>5187379.51</v>
      </c>
      <c r="Q143" s="53">
        <v>482038189.19999999</v>
      </c>
      <c r="R143" s="53">
        <v>72495287.170000002</v>
      </c>
      <c r="S143" s="53">
        <v>18990331.129999999</v>
      </c>
      <c r="T143" s="53">
        <v>3247356.85</v>
      </c>
      <c r="U143" s="53">
        <v>1414949.22</v>
      </c>
      <c r="V143" s="53">
        <v>4216256.3899999997</v>
      </c>
      <c r="W143" s="53">
        <v>2801531.69</v>
      </c>
      <c r="X143" s="53">
        <v>1234890.77</v>
      </c>
      <c r="Y143" s="53">
        <v>11015686.68</v>
      </c>
      <c r="Z143" s="53">
        <v>3811868.72</v>
      </c>
      <c r="AA143" s="53">
        <v>345304198.10000002</v>
      </c>
      <c r="AB143" s="53">
        <v>308280109.13999999</v>
      </c>
      <c r="AC143" s="53">
        <v>11163774.59</v>
      </c>
      <c r="AD143" s="53">
        <v>16140566.92</v>
      </c>
      <c r="AE143" s="53">
        <v>2193244.6800000002</v>
      </c>
      <c r="AF143" s="53">
        <v>3367995.65</v>
      </c>
      <c r="AG143" s="53">
        <v>7965433.3600000003</v>
      </c>
      <c r="AH143" s="53">
        <v>11661458.9</v>
      </c>
      <c r="AI143" s="53">
        <v>5298820.47</v>
      </c>
      <c r="AJ143" s="53">
        <v>3562680.05</v>
      </c>
      <c r="AK143" s="53">
        <v>3453526.17</v>
      </c>
      <c r="AL143" s="53">
        <v>4583460.9400000004</v>
      </c>
      <c r="AM143" s="53">
        <v>5291522.8600000003</v>
      </c>
      <c r="AN143" s="53">
        <v>4805109.58</v>
      </c>
      <c r="AO143" s="53">
        <v>51205864.93</v>
      </c>
      <c r="AP143" s="53">
        <v>1002592494.67</v>
      </c>
      <c r="AQ143" s="53">
        <v>4322713.3099999996</v>
      </c>
      <c r="AR143" s="53">
        <v>687519750.25</v>
      </c>
      <c r="AS143" s="53">
        <v>78695008.840000004</v>
      </c>
      <c r="AT143" s="53">
        <v>26702572.199999999</v>
      </c>
      <c r="AU143" s="53">
        <v>4579745.74</v>
      </c>
      <c r="AV143" s="53">
        <v>5039228.38</v>
      </c>
      <c r="AW143" s="53">
        <v>4395372.24</v>
      </c>
      <c r="AX143" s="53">
        <v>1848104.72</v>
      </c>
      <c r="AY143" s="53">
        <v>5985012.9400000004</v>
      </c>
      <c r="AZ143" s="53">
        <v>141643828.56999999</v>
      </c>
      <c r="BA143" s="53">
        <v>98638408.060000002</v>
      </c>
      <c r="BB143" s="53">
        <v>83087915.219999999</v>
      </c>
      <c r="BC143" s="53">
        <v>280369695.95999998</v>
      </c>
      <c r="BD143" s="53">
        <v>38996164.609999999</v>
      </c>
      <c r="BE143" s="53">
        <v>14452481.43</v>
      </c>
      <c r="BF143" s="53">
        <v>275723297.79000002</v>
      </c>
      <c r="BG143" s="53">
        <v>11755611.67</v>
      </c>
      <c r="BH143" s="53">
        <v>7609459.7699999996</v>
      </c>
      <c r="BI143" s="53">
        <v>4550589.7699999996</v>
      </c>
      <c r="BJ143" s="53">
        <v>67786837.739999995</v>
      </c>
      <c r="BK143" s="53">
        <v>360777453.82999998</v>
      </c>
      <c r="BL143" s="53">
        <v>2216243.83</v>
      </c>
      <c r="BM143" s="53">
        <v>5420079.1200000001</v>
      </c>
      <c r="BN143" s="53">
        <v>35189237.409999996</v>
      </c>
      <c r="BO143" s="53">
        <v>14609283.02</v>
      </c>
      <c r="BP143" s="53">
        <v>3397952.4</v>
      </c>
      <c r="BQ143" s="53">
        <v>71765641.579999998</v>
      </c>
      <c r="BR143" s="53">
        <v>50720993.07</v>
      </c>
      <c r="BS143" s="53">
        <v>14479934.279999999</v>
      </c>
      <c r="BT143" s="53">
        <v>5766371.3600000003</v>
      </c>
      <c r="BU143" s="53">
        <v>5922814.0700000003</v>
      </c>
      <c r="BV143" s="53">
        <v>14501208.789999999</v>
      </c>
      <c r="BW143" s="53">
        <v>23229236.039999999</v>
      </c>
      <c r="BX143" s="53">
        <v>1781744.71</v>
      </c>
      <c r="BY143" s="53">
        <v>6429493.0899999999</v>
      </c>
      <c r="BZ143" s="53">
        <v>3900180.83</v>
      </c>
      <c r="CA143" s="53">
        <v>3103264.09</v>
      </c>
      <c r="CB143" s="53">
        <v>825657217.16999996</v>
      </c>
      <c r="CC143" s="53">
        <v>3534839.16</v>
      </c>
      <c r="CD143" s="53">
        <v>2835204.01</v>
      </c>
      <c r="CE143" s="53">
        <v>3109911.05</v>
      </c>
      <c r="CF143" s="53">
        <v>2467533.2999999998</v>
      </c>
      <c r="CG143" s="53">
        <v>3659178.56</v>
      </c>
      <c r="CH143" s="53">
        <v>2274751.41</v>
      </c>
      <c r="CI143" s="53">
        <v>8472233.6999999993</v>
      </c>
      <c r="CJ143" s="53">
        <v>11527091.41</v>
      </c>
      <c r="CK143" s="53">
        <v>56780013.270000003</v>
      </c>
      <c r="CL143" s="53">
        <v>15284948.84</v>
      </c>
      <c r="CM143" s="53">
        <v>9460360.0099999998</v>
      </c>
      <c r="CN143" s="53">
        <v>356274942.75</v>
      </c>
      <c r="CO143" s="53">
        <v>156440941.00999999</v>
      </c>
      <c r="CP143" s="53">
        <v>12228888.060000001</v>
      </c>
      <c r="CQ143" s="53">
        <v>10290517.369999999</v>
      </c>
      <c r="CR143" s="53">
        <v>3953168.6</v>
      </c>
      <c r="CS143" s="53">
        <v>4573177.63</v>
      </c>
      <c r="CT143" s="53">
        <v>2542775.4900000002</v>
      </c>
      <c r="CU143" s="53">
        <v>5343287.6100000003</v>
      </c>
      <c r="CV143" s="53">
        <v>1150499.77</v>
      </c>
      <c r="CW143" s="53">
        <v>3782476.84</v>
      </c>
      <c r="CX143" s="53">
        <v>6011029.8600000003</v>
      </c>
      <c r="CY143" s="53">
        <v>1235986.58</v>
      </c>
      <c r="CZ143" s="53">
        <v>21037092.25</v>
      </c>
      <c r="DA143" s="53">
        <v>3640090.14</v>
      </c>
      <c r="DB143" s="53">
        <v>4813007.74</v>
      </c>
      <c r="DC143" s="53">
        <v>3466523.54</v>
      </c>
      <c r="DD143" s="53">
        <v>3447891.21</v>
      </c>
      <c r="DE143" s="53">
        <v>4625129.34</v>
      </c>
      <c r="DF143" s="53">
        <v>219783450.19</v>
      </c>
      <c r="DG143" s="53">
        <v>2221460.09</v>
      </c>
      <c r="DH143" s="53">
        <v>20691068.239999998</v>
      </c>
      <c r="DI143" s="53">
        <v>27665173.870000001</v>
      </c>
      <c r="DJ143" s="53">
        <v>8087813.1299999999</v>
      </c>
      <c r="DK143" s="53">
        <v>6287654.6799999997</v>
      </c>
      <c r="DL143" s="53">
        <v>65845606.780000001</v>
      </c>
      <c r="DM143" s="53">
        <v>4314287.7</v>
      </c>
      <c r="DN143" s="53">
        <v>15641940.109999999</v>
      </c>
      <c r="DO143" s="53">
        <v>37733660.490000002</v>
      </c>
      <c r="DP143" s="53">
        <v>3835375.22</v>
      </c>
      <c r="DQ143" s="53">
        <v>10430451.529999999</v>
      </c>
      <c r="DR143" s="53">
        <v>16138367.99</v>
      </c>
      <c r="DS143" s="53">
        <v>8410095.3399999999</v>
      </c>
      <c r="DT143" s="53">
        <v>3635908.41</v>
      </c>
      <c r="DU143" s="53">
        <v>5202465.09</v>
      </c>
      <c r="DV143" s="53">
        <v>3824675.96</v>
      </c>
      <c r="DW143" s="53">
        <v>4717593.07</v>
      </c>
      <c r="DX143" s="53">
        <v>3706908.81</v>
      </c>
      <c r="DY143" s="53">
        <v>5064986.5599999996</v>
      </c>
      <c r="DZ143" s="53">
        <v>9229260.9100000001</v>
      </c>
      <c r="EA143" s="53">
        <v>7031176.7800000003</v>
      </c>
      <c r="EB143" s="53">
        <v>7145800.7199999997</v>
      </c>
      <c r="EC143" s="53">
        <v>4320932.6100000003</v>
      </c>
      <c r="ED143" s="53">
        <v>23259673.48</v>
      </c>
      <c r="EE143" s="53">
        <v>3641777.45</v>
      </c>
      <c r="EF143" s="53">
        <v>16450115.33</v>
      </c>
      <c r="EG143" s="53">
        <v>4108593.61</v>
      </c>
      <c r="EH143" s="53">
        <v>4059192.23</v>
      </c>
      <c r="EI143" s="53">
        <v>163687034.40000001</v>
      </c>
      <c r="EJ143" s="53">
        <v>110418564.88</v>
      </c>
      <c r="EK143" s="53">
        <v>8211234.9299999997</v>
      </c>
      <c r="EL143" s="53">
        <v>5812243.7300000004</v>
      </c>
      <c r="EM143" s="53">
        <v>5411602.79</v>
      </c>
      <c r="EN143" s="53">
        <v>11816616.58</v>
      </c>
      <c r="EO143" s="53">
        <v>4712022.42</v>
      </c>
      <c r="EP143" s="53">
        <v>6005312.2199999997</v>
      </c>
      <c r="EQ143" s="53">
        <v>30596906</v>
      </c>
      <c r="ER143" s="53">
        <v>5028829.8899999997</v>
      </c>
      <c r="ES143" s="53">
        <v>3297793.59</v>
      </c>
      <c r="ET143" s="53">
        <v>4205760.08</v>
      </c>
      <c r="EU143" s="53">
        <v>7821202.0700000003</v>
      </c>
      <c r="EV143" s="53">
        <v>1893445.02</v>
      </c>
      <c r="EW143" s="53">
        <v>13370071.560000001</v>
      </c>
      <c r="EX143" s="53">
        <v>3659286.27</v>
      </c>
      <c r="EY143" s="53">
        <v>7647683.2000000002</v>
      </c>
      <c r="EZ143" s="53">
        <v>2780155.05</v>
      </c>
      <c r="FA143" s="53">
        <v>41747412.399999999</v>
      </c>
      <c r="FB143" s="53">
        <v>4765168.7699999996</v>
      </c>
      <c r="FC143" s="53">
        <v>21970505.670000002</v>
      </c>
      <c r="FD143" s="53">
        <v>5643145.6299999999</v>
      </c>
      <c r="FE143" s="53">
        <v>1991377.31</v>
      </c>
      <c r="FF143" s="53">
        <v>3689779.86</v>
      </c>
      <c r="FG143" s="53">
        <v>2767543.75</v>
      </c>
      <c r="FH143" s="53">
        <v>1710188.19</v>
      </c>
      <c r="FI143" s="53">
        <v>20277824.690000001</v>
      </c>
      <c r="FJ143" s="53">
        <v>22248675.289999999</v>
      </c>
      <c r="FK143" s="53">
        <v>28782923.780000001</v>
      </c>
      <c r="FL143" s="53">
        <v>91253350.659999996</v>
      </c>
      <c r="FM143" s="53">
        <v>42893648.82</v>
      </c>
      <c r="FN143" s="53">
        <v>254903396.11000001</v>
      </c>
      <c r="FO143" s="53">
        <v>13151936.9</v>
      </c>
      <c r="FP143" s="53">
        <v>26761209.670000002</v>
      </c>
      <c r="FQ143" s="53">
        <v>11876720.48</v>
      </c>
      <c r="FR143" s="53">
        <v>3378415.69</v>
      </c>
      <c r="FS143" s="53">
        <v>3425421.11</v>
      </c>
      <c r="FT143" s="53">
        <v>1484796</v>
      </c>
      <c r="FU143" s="53">
        <v>10706968.07</v>
      </c>
      <c r="FV143" s="53">
        <v>8940971.0099999998</v>
      </c>
      <c r="FW143" s="53">
        <v>3290841.9</v>
      </c>
      <c r="FX143" s="53">
        <v>1676825.22</v>
      </c>
      <c r="FY143" s="70"/>
      <c r="FZ143" s="7">
        <f t="shared" si="75"/>
        <v>9778950899.1599979</v>
      </c>
      <c r="GA143" s="62">
        <v>9778950899.1599979</v>
      </c>
      <c r="GB143" s="7">
        <f t="shared" si="76"/>
        <v>0</v>
      </c>
      <c r="GC143" s="70"/>
      <c r="GD143" s="70"/>
      <c r="GE143" s="70"/>
      <c r="GF143" s="70"/>
      <c r="GG143" s="5"/>
      <c r="GH143" s="71"/>
      <c r="GI143" s="71"/>
      <c r="GJ143" s="71"/>
      <c r="GK143" s="71"/>
      <c r="GL143" s="71"/>
      <c r="GM143" s="71"/>
      <c r="GN143" s="71"/>
      <c r="GO143" s="71"/>
      <c r="GP143" s="5"/>
      <c r="GQ143" s="5"/>
      <c r="GR143" s="5"/>
      <c r="GS143" s="5"/>
      <c r="GT143" s="5"/>
      <c r="GU143" s="5"/>
      <c r="GV143" s="5"/>
    </row>
    <row r="144" spans="1:204" ht="15.5" x14ac:dyDescent="0.35">
      <c r="A144" s="12" t="s">
        <v>677</v>
      </c>
      <c r="B144" s="7" t="s">
        <v>678</v>
      </c>
      <c r="C144" s="53">
        <f ca="1">FY26SFA1994!C259</f>
        <v>79052053.680000007</v>
      </c>
      <c r="D144" s="53">
        <f ca="1">FY26SFA1994!D259</f>
        <v>445981124.5</v>
      </c>
      <c r="E144" s="53">
        <f ca="1">FY26SFA1994!E259</f>
        <v>71451600.430000007</v>
      </c>
      <c r="F144" s="53">
        <f ca="1">FY26SFA1994!F259</f>
        <v>279259860.22000003</v>
      </c>
      <c r="G144" s="53">
        <f ca="1">FY26SFA1994!G259</f>
        <v>22103743.82</v>
      </c>
      <c r="H144" s="53">
        <f ca="1">FY26SFA1994!H259</f>
        <v>13385447.9</v>
      </c>
      <c r="I144" s="53">
        <f ca="1">FY26SFA1994!I259</f>
        <v>98882360.640000001</v>
      </c>
      <c r="J144" s="53">
        <f ca="1">FY26SFA1994!J259</f>
        <v>24467328.670000002</v>
      </c>
      <c r="K144" s="53">
        <f ca="1">FY26SFA1994!K259</f>
        <v>4312438.25</v>
      </c>
      <c r="L144" s="53">
        <f ca="1">FY26SFA1994!L259</f>
        <v>26165974.879999999</v>
      </c>
      <c r="M144" s="53">
        <f ca="1">FY26SFA1994!M259</f>
        <v>12949878.18</v>
      </c>
      <c r="N144" s="53">
        <f ca="1">FY26SFA1994!N259</f>
        <v>591734292.39999998</v>
      </c>
      <c r="O144" s="53">
        <f ca="1">FY26SFA1994!O259</f>
        <v>143765812.40000001</v>
      </c>
      <c r="P144" s="53">
        <f ca="1">FY26SFA1994!P259</f>
        <v>5256442.2699999996</v>
      </c>
      <c r="Q144" s="53">
        <f ca="1">FY26SFA1994!Q259</f>
        <v>497020802.72000003</v>
      </c>
      <c r="R144" s="53">
        <f ca="1">FY26SFA1994!R259</f>
        <v>79746543.269999996</v>
      </c>
      <c r="S144" s="53">
        <f ca="1">FY26SFA1994!S259</f>
        <v>19269511.710000001</v>
      </c>
      <c r="T144" s="53">
        <f ca="1">FY26SFA1994!T259</f>
        <v>3318152.62</v>
      </c>
      <c r="U144" s="53">
        <f ca="1">FY26SFA1994!U259</f>
        <v>1410288.68</v>
      </c>
      <c r="V144" s="53">
        <f ca="1">FY26SFA1994!V259</f>
        <v>4316362.38</v>
      </c>
      <c r="W144" s="53">
        <f ca="1">FY26SFA1994!W259</f>
        <v>1480077.76</v>
      </c>
      <c r="X144" s="53">
        <f ca="1">FY26SFA1994!X259</f>
        <v>1262581.68</v>
      </c>
      <c r="Y144" s="53">
        <f ca="1">FY26SFA1994!Y259</f>
        <v>11169795.210000001</v>
      </c>
      <c r="Z144" s="53">
        <f ca="1">FY26SFA1994!Z259</f>
        <v>3879323.23</v>
      </c>
      <c r="AA144" s="53">
        <f ca="1">FY26SFA1994!AA259</f>
        <v>352412400.11000001</v>
      </c>
      <c r="AB144" s="53">
        <f ca="1">FY26SFA1994!AB259</f>
        <v>312782805.33999997</v>
      </c>
      <c r="AC144" s="53">
        <f ca="1">FY26SFA1994!AC259</f>
        <v>11265780.48</v>
      </c>
      <c r="AD144" s="53">
        <f ca="1">FY26SFA1994!AD259</f>
        <v>16618866.029999999</v>
      </c>
      <c r="AE144" s="53">
        <f ca="1">FY26SFA1994!AE259</f>
        <v>2241390.11</v>
      </c>
      <c r="AF144" s="53">
        <f ca="1">FY26SFA1994!AF259</f>
        <v>3431505.06</v>
      </c>
      <c r="AG144" s="53">
        <f ca="1">FY26SFA1994!AG259</f>
        <v>8030694.9000000004</v>
      </c>
      <c r="AH144" s="53">
        <f ca="1">FY26SFA1994!AH259</f>
        <v>11751183.359999999</v>
      </c>
      <c r="AI144" s="53">
        <f ca="1">FY26SFA1994!AI259</f>
        <v>5477456.7800000003</v>
      </c>
      <c r="AJ144" s="53">
        <f ca="1">FY26SFA1994!AJ259</f>
        <v>3713794.02</v>
      </c>
      <c r="AK144" s="53">
        <f ca="1">FY26SFA1994!AK259</f>
        <v>3458406.28</v>
      </c>
      <c r="AL144" s="53">
        <f ca="1">FY26SFA1994!AL259</f>
        <v>4717201.12</v>
      </c>
      <c r="AM144" s="53">
        <f ca="1">FY26SFA1994!AM259</f>
        <v>5240217.4400000004</v>
      </c>
      <c r="AN144" s="53">
        <f ca="1">FY26SFA1994!AN259</f>
        <v>4779906.71</v>
      </c>
      <c r="AO144" s="53">
        <f ca="1">FY26SFA1994!AO259</f>
        <v>50534324.149999999</v>
      </c>
      <c r="AP144" s="53">
        <f ca="1">FY26SFA1994!AP259</f>
        <v>1019506255.91</v>
      </c>
      <c r="AQ144" s="53">
        <f ca="1">FY26SFA1994!AQ259</f>
        <v>4492088.3600000003</v>
      </c>
      <c r="AR144" s="53">
        <f ca="1">FY26SFA1994!AR259</f>
        <v>694618771.50999999</v>
      </c>
      <c r="AS144" s="53">
        <f ca="1">FY26SFA1994!AS259</f>
        <v>79299839.129999995</v>
      </c>
      <c r="AT144" s="53">
        <f ca="1">FY26SFA1994!AT259</f>
        <v>27506168.370000001</v>
      </c>
      <c r="AU144" s="53">
        <f ca="1">FY26SFA1994!AU259</f>
        <v>4675918.18</v>
      </c>
      <c r="AV144" s="53">
        <f ca="1">FY26SFA1994!AV259</f>
        <v>5120477.45</v>
      </c>
      <c r="AW144" s="53">
        <f ca="1">FY26SFA1994!AW259</f>
        <v>4494358.13</v>
      </c>
      <c r="AX144" s="53">
        <f ca="1">FY26SFA1994!AX259</f>
        <v>2057632.03</v>
      </c>
      <c r="AY144" s="53">
        <f ca="1">FY26SFA1994!AY259</f>
        <v>6020645.1799999997</v>
      </c>
      <c r="AZ144" s="53">
        <f ca="1">FY26SFA1994!AZ259</f>
        <v>142626815.31999999</v>
      </c>
      <c r="BA144" s="53">
        <f ca="1">FY26SFA1994!BA259</f>
        <v>100627416.67</v>
      </c>
      <c r="BB144" s="53">
        <f ca="1">FY26SFA1994!BB259</f>
        <v>83817514.620000005</v>
      </c>
      <c r="BC144" s="53">
        <f ca="1">FY26SFA1994!BC259</f>
        <v>282823004.06999999</v>
      </c>
      <c r="BD144" s="53">
        <f ca="1">FY26SFA1994!BD259</f>
        <v>40101015.780000001</v>
      </c>
      <c r="BE144" s="53">
        <f ca="1">FY26SFA1994!BE259</f>
        <v>14211729.34</v>
      </c>
      <c r="BF144" s="53">
        <f ca="1">FY26SFA1994!BF259</f>
        <v>281878750.83999997</v>
      </c>
      <c r="BG144" s="53">
        <f ca="1">FY26SFA1994!BG259</f>
        <v>11992392.609999999</v>
      </c>
      <c r="BH144" s="53">
        <f ca="1">FY26SFA1994!BH259</f>
        <v>7631150.0199999996</v>
      </c>
      <c r="BI144" s="53">
        <f ca="1">FY26SFA1994!BI259</f>
        <v>4655443.62</v>
      </c>
      <c r="BJ144" s="53">
        <f ca="1">FY26SFA1994!BJ259</f>
        <v>69582892.510000005</v>
      </c>
      <c r="BK144" s="53">
        <f ca="1">FY26SFA1994!BK259</f>
        <v>390659101.26999998</v>
      </c>
      <c r="BL144" s="53">
        <f ca="1">FY26SFA1994!BL259</f>
        <v>1967959.09</v>
      </c>
      <c r="BM144" s="53">
        <f ca="1">FY26SFA1994!BM259</f>
        <v>5436203.6900000004</v>
      </c>
      <c r="BN144" s="53">
        <f ca="1">FY26SFA1994!BN259</f>
        <v>35196799.289999999</v>
      </c>
      <c r="BO144" s="53">
        <f ca="1">FY26SFA1994!BO259</f>
        <v>14707253.09</v>
      </c>
      <c r="BP144" s="53">
        <f ca="1">FY26SFA1994!BP259</f>
        <v>3342513.9</v>
      </c>
      <c r="BQ144" s="53">
        <f ca="1">FY26SFA1994!BQ259</f>
        <v>73180073.379999995</v>
      </c>
      <c r="BR144" s="53">
        <f ca="1">FY26SFA1994!BR259</f>
        <v>51838961.100000001</v>
      </c>
      <c r="BS144" s="53">
        <f ca="1">FY26SFA1994!BS259</f>
        <v>14896672.880000001</v>
      </c>
      <c r="BT144" s="53">
        <f ca="1">FY26SFA1994!BT259</f>
        <v>5808684.25</v>
      </c>
      <c r="BU144" s="53">
        <f ca="1">FY26SFA1994!BU259</f>
        <v>6031635.75</v>
      </c>
      <c r="BV144" s="53">
        <f ca="1">FY26SFA1994!BV259</f>
        <v>14808759.189999999</v>
      </c>
      <c r="BW144" s="53">
        <f ca="1">FY26SFA1994!BW259</f>
        <v>23767201.809999999</v>
      </c>
      <c r="BX144" s="53">
        <f ca="1">FY26SFA1994!BX259</f>
        <v>1747493.26</v>
      </c>
      <c r="BY144" s="53">
        <f ca="1">FY26SFA1994!BY259</f>
        <v>6226435.4199999999</v>
      </c>
      <c r="BZ144" s="53">
        <f ca="1">FY26SFA1994!BZ259</f>
        <v>4027229.55</v>
      </c>
      <c r="CA144" s="53">
        <f ca="1">FY26SFA1994!CA259</f>
        <v>3145296</v>
      </c>
      <c r="CB144" s="53">
        <f ca="1">FY26SFA1994!CB259</f>
        <v>829325795.82000005</v>
      </c>
      <c r="CC144" s="53">
        <f ca="1">FY26SFA1994!CC259</f>
        <v>3591422.38</v>
      </c>
      <c r="CD144" s="53">
        <f ca="1">FY26SFA1994!CD259</f>
        <v>1211944.3999999999</v>
      </c>
      <c r="CE144" s="53">
        <f ca="1">FY26SFA1994!CE259</f>
        <v>3165905.17</v>
      </c>
      <c r="CF144" s="53">
        <f ca="1">FY26SFA1994!CF259</f>
        <v>2391611.64</v>
      </c>
      <c r="CG144" s="53">
        <f ca="1">FY26SFA1994!CG259</f>
        <v>3672390.33</v>
      </c>
      <c r="CH144" s="53">
        <f ca="1">FY26SFA1994!CH259</f>
        <v>2254948.56</v>
      </c>
      <c r="CI144" s="53">
        <f ca="1">FY26SFA1994!CI259</f>
        <v>8604631.9199999999</v>
      </c>
      <c r="CJ144" s="53">
        <f ca="1">FY26SFA1994!CJ259</f>
        <v>11489962.68</v>
      </c>
      <c r="CK144" s="53">
        <f ca="1">FY26SFA1994!CK259</f>
        <v>57230299.68</v>
      </c>
      <c r="CL144" s="53">
        <f ca="1">FY26SFA1994!CL259</f>
        <v>15245739.859999999</v>
      </c>
      <c r="CM144" s="53">
        <f ca="1">FY26SFA1994!CM259</f>
        <v>9332190.8900000006</v>
      </c>
      <c r="CN144" s="53">
        <f ca="1">FY26SFA1994!CN259</f>
        <v>346567499.31999999</v>
      </c>
      <c r="CO144" s="53">
        <f ca="1">FY26SFA1994!CO259</f>
        <v>158501756.33000001</v>
      </c>
      <c r="CP144" s="53">
        <f ca="1">FY26SFA1994!CP259</f>
        <v>12173967.699999999</v>
      </c>
      <c r="CQ144" s="53">
        <f ca="1">FY26SFA1994!CQ259</f>
        <v>10319943.82</v>
      </c>
      <c r="CR144" s="53">
        <f ca="1">FY26SFA1994!CR259</f>
        <v>3879878.58</v>
      </c>
      <c r="CS144" s="53">
        <f ca="1">FY26SFA1994!CS259</f>
        <v>4486541.0199999996</v>
      </c>
      <c r="CT144" s="53">
        <f ca="1">FY26SFA1994!CT259</f>
        <v>2570076.59</v>
      </c>
      <c r="CU144" s="53">
        <f ca="1">FY26SFA1994!CU259</f>
        <v>5447546.1399999997</v>
      </c>
      <c r="CV144" s="53">
        <f ca="1">FY26SFA1994!CV259</f>
        <v>1176684.73</v>
      </c>
      <c r="CW144" s="53">
        <f ca="1">FY26SFA1994!CW259</f>
        <v>3791096.75</v>
      </c>
      <c r="CX144" s="53">
        <f ca="1">FY26SFA1994!CX259</f>
        <v>6133963.3200000003</v>
      </c>
      <c r="CY144" s="53">
        <f ca="1">FY26SFA1994!CY259</f>
        <v>1248005.03</v>
      </c>
      <c r="CZ144" s="53">
        <f ca="1">FY26SFA1994!CZ259</f>
        <v>21008137.969999999</v>
      </c>
      <c r="DA144" s="53">
        <f ca="1">FY26SFA1994!DA259</f>
        <v>3739031.97</v>
      </c>
      <c r="DB144" s="53">
        <f ca="1">FY26SFA1994!DB259</f>
        <v>4880964.34</v>
      </c>
      <c r="DC144" s="53">
        <f ca="1">FY26SFA1994!DC259</f>
        <v>3660350.21</v>
      </c>
      <c r="DD144" s="53">
        <f ca="1">FY26SFA1994!DD259</f>
        <v>3579436.51</v>
      </c>
      <c r="DE144" s="53">
        <f ca="1">FY26SFA1994!DE259</f>
        <v>4615219.92</v>
      </c>
      <c r="DF144" s="53">
        <f ca="1">FY26SFA1994!DF259</f>
        <v>229732560.37</v>
      </c>
      <c r="DG144" s="53">
        <f ca="1">FY26SFA1994!DG259</f>
        <v>2234952.04</v>
      </c>
      <c r="DH144" s="53">
        <f ca="1">FY26SFA1994!DH259</f>
        <v>20650989.93</v>
      </c>
      <c r="DI144" s="53">
        <f ca="1">FY26SFA1994!DI259</f>
        <v>28043177.52</v>
      </c>
      <c r="DJ144" s="53">
        <f ca="1">FY26SFA1994!DJ259</f>
        <v>8211576.4000000004</v>
      </c>
      <c r="DK144" s="53">
        <f ca="1">FY26SFA1994!DK259</f>
        <v>6295019.5</v>
      </c>
      <c r="DL144" s="53">
        <f ca="1">FY26SFA1994!DL259</f>
        <v>66823620.409999996</v>
      </c>
      <c r="DM144" s="53">
        <f ca="1">FY26SFA1994!DM259</f>
        <v>4440075.55</v>
      </c>
      <c r="DN144" s="53">
        <f ca="1">FY26SFA1994!DN259</f>
        <v>16075280.23</v>
      </c>
      <c r="DO144" s="53">
        <f ca="1">FY26SFA1994!DO259</f>
        <v>38630398.159999996</v>
      </c>
      <c r="DP144" s="53">
        <f ca="1">FY26SFA1994!DP259</f>
        <v>3881904.38</v>
      </c>
      <c r="DQ144" s="53">
        <f ca="1">FY26SFA1994!DQ259</f>
        <v>11138997.6</v>
      </c>
      <c r="DR144" s="53">
        <f ca="1">FY26SFA1994!DR259</f>
        <v>16125868.59</v>
      </c>
      <c r="DS144" s="53">
        <f ca="1">FY26SFA1994!DS259</f>
        <v>8220717.54</v>
      </c>
      <c r="DT144" s="53">
        <f ca="1">FY26SFA1994!DT259</f>
        <v>3708126.51</v>
      </c>
      <c r="DU144" s="53">
        <f ca="1">FY26SFA1994!DU259</f>
        <v>5288530.8899999997</v>
      </c>
      <c r="DV144" s="53">
        <f ca="1">FY26SFA1994!DV259</f>
        <v>3870179.44</v>
      </c>
      <c r="DW144" s="53">
        <f ca="1">FY26SFA1994!DW259</f>
        <v>4762020.5199999996</v>
      </c>
      <c r="DX144" s="53">
        <f ca="1">FY26SFA1994!DX259</f>
        <v>3811652.82</v>
      </c>
      <c r="DY144" s="53">
        <f ca="1">FY26SFA1994!DY259</f>
        <v>5093286.76</v>
      </c>
      <c r="DZ144" s="53">
        <f ca="1">FY26SFA1994!DZ259</f>
        <v>9153990.4900000002</v>
      </c>
      <c r="EA144" s="53">
        <f ca="1">FY26SFA1994!EA259</f>
        <v>7265995.7999999998</v>
      </c>
      <c r="EB144" s="53">
        <f ca="1">FY26SFA1994!EB259</f>
        <v>7038996.6299999999</v>
      </c>
      <c r="EC144" s="53">
        <f ca="1">FY26SFA1994!EC259</f>
        <v>4335034.8099999996</v>
      </c>
      <c r="ED144" s="53">
        <f ca="1">FY26SFA1994!ED259</f>
        <v>23689244.559999999</v>
      </c>
      <c r="EE144" s="53">
        <f ca="1">FY26SFA1994!EE259</f>
        <v>3687045.68</v>
      </c>
      <c r="EF144" s="53">
        <f ca="1">FY26SFA1994!EF259</f>
        <v>16370469.24</v>
      </c>
      <c r="EG144" s="53">
        <f ca="1">FY26SFA1994!EG259</f>
        <v>4175170.93</v>
      </c>
      <c r="EH144" s="53">
        <f ca="1">FY26SFA1994!EH259</f>
        <v>4140789.68</v>
      </c>
      <c r="EI144" s="53">
        <f ca="1">FY26SFA1994!EI259</f>
        <v>162554647.53</v>
      </c>
      <c r="EJ144" s="53">
        <f ca="1">FY26SFA1994!EJ259</f>
        <v>112123605.77</v>
      </c>
      <c r="EK144" s="53">
        <f ca="1">FY26SFA1994!EK259</f>
        <v>8375153.3300000001</v>
      </c>
      <c r="EL144" s="53">
        <f ca="1">FY26SFA1994!EL259</f>
        <v>5899050.4400000004</v>
      </c>
      <c r="EM144" s="53">
        <f ca="1">FY26SFA1994!EM259</f>
        <v>5485560.5599999996</v>
      </c>
      <c r="EN144" s="53">
        <f ca="1">FY26SFA1994!EN259</f>
        <v>11829639.640000001</v>
      </c>
      <c r="EO144" s="53">
        <f ca="1">FY26SFA1994!EO259</f>
        <v>4726223.4400000004</v>
      </c>
      <c r="EP144" s="53">
        <f ca="1">FY26SFA1994!EP259</f>
        <v>6204234.5099999998</v>
      </c>
      <c r="EQ144" s="53">
        <f ca="1">FY26SFA1994!EQ259</f>
        <v>30746048.289999999</v>
      </c>
      <c r="ER144" s="53">
        <f ca="1">FY26SFA1994!ER259</f>
        <v>5131906.5</v>
      </c>
      <c r="ES144" s="53">
        <f ca="1">FY26SFA1994!ES259</f>
        <v>3353793.81</v>
      </c>
      <c r="ET144" s="53">
        <f ca="1">FY26SFA1994!ET259</f>
        <v>4356324.13</v>
      </c>
      <c r="EU144" s="53">
        <f ca="1">FY26SFA1994!EU259</f>
        <v>7963315.6799999997</v>
      </c>
      <c r="EV144" s="53">
        <f ca="1">FY26SFA1994!EV259</f>
        <v>1890492.83</v>
      </c>
      <c r="EW144" s="53">
        <f ca="1">FY26SFA1994!EW259</f>
        <v>13309322.109999999</v>
      </c>
      <c r="EX144" s="53">
        <f ca="1">FY26SFA1994!EX259</f>
        <v>3791058.95</v>
      </c>
      <c r="EY144" s="53">
        <f ca="1">FY26SFA1994!EY259</f>
        <v>7759567.2400000002</v>
      </c>
      <c r="EZ144" s="53">
        <f ca="1">FY26SFA1994!EZ259</f>
        <v>2820167.82</v>
      </c>
      <c r="FA144" s="53">
        <f ca="1">FY26SFA1994!FA259</f>
        <v>42112505.409999996</v>
      </c>
      <c r="FB144" s="53">
        <f ca="1">FY26SFA1994!FB259</f>
        <v>4797387.76</v>
      </c>
      <c r="FC144" s="53">
        <f ca="1">FY26SFA1994!FC259</f>
        <v>21147856.920000002</v>
      </c>
      <c r="FD144" s="53">
        <f ca="1">FY26SFA1994!FD259</f>
        <v>5770108.4400000004</v>
      </c>
      <c r="FE144" s="53">
        <f ca="1">FY26SFA1994!FE259</f>
        <v>1963010.65</v>
      </c>
      <c r="FF144" s="53">
        <f ca="1">FY26SFA1994!FF259</f>
        <v>3691748.16</v>
      </c>
      <c r="FG144" s="53">
        <f ca="1">FY26SFA1994!FG259</f>
        <v>2729985.41</v>
      </c>
      <c r="FH144" s="53">
        <f ca="1">FY26SFA1994!FH259</f>
        <v>1718391.6</v>
      </c>
      <c r="FI144" s="53">
        <f ca="1">FY26SFA1994!FI259</f>
        <v>20443703.68</v>
      </c>
      <c r="FJ144" s="53">
        <f ca="1">FY26SFA1994!FJ259</f>
        <v>22797589.829999998</v>
      </c>
      <c r="FK144" s="53">
        <f ca="1">FY26SFA1994!FK259</f>
        <v>29294622.940000001</v>
      </c>
      <c r="FL144" s="53">
        <f ca="1">FY26SFA1994!FL259</f>
        <v>94168128.030000001</v>
      </c>
      <c r="FM144" s="53">
        <f ca="1">FY26SFA1994!FM259</f>
        <v>44634765.020000003</v>
      </c>
      <c r="FN144" s="53">
        <f ca="1">FY26SFA1994!FN259</f>
        <v>263482240.59</v>
      </c>
      <c r="FO144" s="53">
        <f ca="1">FY26SFA1994!FO259</f>
        <v>13522225.609999999</v>
      </c>
      <c r="FP144" s="53">
        <f ca="1">FY26SFA1994!FP259</f>
        <v>27763436.34</v>
      </c>
      <c r="FQ144" s="53">
        <f ca="1">FY26SFA1994!FQ259</f>
        <v>12038652.4</v>
      </c>
      <c r="FR144" s="53">
        <f ca="1">FY26SFA1994!FR259</f>
        <v>3396557.44</v>
      </c>
      <c r="FS144" s="53">
        <f ca="1">FY26SFA1994!FS259</f>
        <v>3389803.97</v>
      </c>
      <c r="FT144" s="53">
        <f ca="1">FY26SFA1994!FT259</f>
        <v>1489181.21</v>
      </c>
      <c r="FU144" s="53">
        <f ca="1">FY26SFA1994!FU259</f>
        <v>10636237.18</v>
      </c>
      <c r="FV144" s="53">
        <f ca="1">FY26SFA1994!FV259</f>
        <v>9131296.1099999994</v>
      </c>
      <c r="FW144" s="53">
        <f ca="1">FY26SFA1994!FW259</f>
        <v>3213284.85</v>
      </c>
      <c r="FX144" s="53">
        <f ca="1">FY26SFA1994!FX259</f>
        <v>1701192.38</v>
      </c>
      <c r="FY144" s="70"/>
      <c r="FZ144" s="7">
        <f t="shared" ca="1" si="75"/>
        <v>9938172923.0300045</v>
      </c>
      <c r="GA144" s="62">
        <v>9938172923.029995</v>
      </c>
      <c r="GB144" s="7">
        <f t="shared" ca="1" si="76"/>
        <v>0</v>
      </c>
      <c r="GC144" s="70"/>
      <c r="GD144" s="70"/>
      <c r="GE144" s="70"/>
      <c r="GF144" s="70"/>
      <c r="GG144" s="5"/>
      <c r="GH144" s="71"/>
      <c r="GI144" s="71"/>
      <c r="GJ144" s="71"/>
      <c r="GK144" s="71"/>
      <c r="GL144" s="71"/>
      <c r="GM144" s="71"/>
      <c r="GN144" s="71"/>
      <c r="GO144" s="71"/>
      <c r="GP144" s="5"/>
      <c r="GQ144" s="5"/>
      <c r="GR144" s="5"/>
      <c r="GS144" s="5"/>
      <c r="GT144" s="5"/>
      <c r="GU144" s="5"/>
      <c r="GV144" s="5"/>
    </row>
    <row r="145" spans="1:204" ht="15.5" x14ac:dyDescent="0.35">
      <c r="A145" s="12" t="s">
        <v>8</v>
      </c>
      <c r="B145" s="7" t="s">
        <v>679</v>
      </c>
      <c r="C145" s="53">
        <f t="shared" ref="C145:FX145" ca="1" si="77">IF(C142-C144&lt;0,0,C142-C144)</f>
        <v>10678886.829999998</v>
      </c>
      <c r="D145" s="53">
        <f t="shared" ca="1" si="77"/>
        <v>25278110.110000014</v>
      </c>
      <c r="E145" s="53">
        <f t="shared" ca="1" si="77"/>
        <v>8402037.4499999881</v>
      </c>
      <c r="F145" s="53">
        <f t="shared" ca="1" si="77"/>
        <v>17059325.109999955</v>
      </c>
      <c r="G145" s="53">
        <f t="shared" ca="1" si="77"/>
        <v>4302265.5</v>
      </c>
      <c r="H145" s="53">
        <f t="shared" ca="1" si="77"/>
        <v>2459331.6799999997</v>
      </c>
      <c r="I145" s="53">
        <f t="shared" ca="1" si="77"/>
        <v>6361346.200000003</v>
      </c>
      <c r="J145" s="53">
        <f t="shared" ca="1" si="77"/>
        <v>2644415.8199999966</v>
      </c>
      <c r="K145" s="53">
        <f t="shared" ca="1" si="77"/>
        <v>418986.25</v>
      </c>
      <c r="L145" s="53">
        <f t="shared" ca="1" si="77"/>
        <v>1931216.9600000009</v>
      </c>
      <c r="M145" s="53">
        <f t="shared" ca="1" si="77"/>
        <v>795020.56000000052</v>
      </c>
      <c r="N145" s="53">
        <f t="shared" ca="1" si="77"/>
        <v>15599743.139999986</v>
      </c>
      <c r="O145" s="53">
        <f t="shared" ca="1" si="77"/>
        <v>3920015.8400000036</v>
      </c>
      <c r="P145" s="53">
        <f t="shared" ca="1" si="77"/>
        <v>599657.17000000086</v>
      </c>
      <c r="Q145" s="53">
        <f t="shared" ca="1" si="77"/>
        <v>31283122.639999986</v>
      </c>
      <c r="R145" s="53">
        <f t="shared" ca="1" si="77"/>
        <v>6926785.5300000012</v>
      </c>
      <c r="S145" s="53">
        <f t="shared" ca="1" si="77"/>
        <v>2458707.3599999994</v>
      </c>
      <c r="T145" s="53">
        <f t="shared" ca="1" si="77"/>
        <v>319275.16999999993</v>
      </c>
      <c r="U145" s="53">
        <f t="shared" ca="1" si="77"/>
        <v>160337.80000000005</v>
      </c>
      <c r="V145" s="53">
        <f t="shared" ca="1" si="77"/>
        <v>579443.96</v>
      </c>
      <c r="W145" s="53">
        <f t="shared" ca="1" si="77"/>
        <v>92435.909999999916</v>
      </c>
      <c r="X145" s="53">
        <f t="shared" ca="1" si="77"/>
        <v>263412.41000000015</v>
      </c>
      <c r="Y145" s="53">
        <f t="shared" ca="1" si="77"/>
        <v>2229777.0399999991</v>
      </c>
      <c r="Z145" s="53">
        <f t="shared" ca="1" si="77"/>
        <v>491839.98</v>
      </c>
      <c r="AA145" s="53">
        <f t="shared" ca="1" si="77"/>
        <v>8215550.5600000024</v>
      </c>
      <c r="AB145" s="53">
        <f t="shared" ca="1" si="77"/>
        <v>4899115.6500000358</v>
      </c>
      <c r="AC145" s="53">
        <f t="shared" ca="1" si="77"/>
        <v>1156566.9100000001</v>
      </c>
      <c r="AD145" s="53">
        <f t="shared" ca="1" si="77"/>
        <v>2605911.9700000007</v>
      </c>
      <c r="AE145" s="53">
        <f t="shared" ca="1" si="77"/>
        <v>160181.14999999991</v>
      </c>
      <c r="AF145" s="53">
        <f t="shared" ca="1" si="77"/>
        <v>171189.16999999993</v>
      </c>
      <c r="AG145" s="53">
        <f t="shared" ca="1" si="77"/>
        <v>1004072.4000000004</v>
      </c>
      <c r="AH145" s="53">
        <f t="shared" ca="1" si="77"/>
        <v>1663261.9900000002</v>
      </c>
      <c r="AI145" s="53">
        <f t="shared" ca="1" si="77"/>
        <v>729004.6799999997</v>
      </c>
      <c r="AJ145" s="53">
        <f t="shared" ca="1" si="77"/>
        <v>322220.68000000017</v>
      </c>
      <c r="AK145" s="53">
        <f t="shared" ca="1" si="77"/>
        <v>318279.01000000024</v>
      </c>
      <c r="AL145" s="53">
        <f t="shared" ca="1" si="77"/>
        <v>714352.91000000015</v>
      </c>
      <c r="AM145" s="53">
        <f t="shared" ca="1" si="77"/>
        <v>626200.81999999937</v>
      </c>
      <c r="AN145" s="53">
        <f t="shared" ca="1" si="77"/>
        <v>603445.83000000007</v>
      </c>
      <c r="AO145" s="53">
        <f t="shared" ca="1" si="77"/>
        <v>1892547.5700000003</v>
      </c>
      <c r="AP145" s="53">
        <f t="shared" ca="1" si="77"/>
        <v>62812232.689999938</v>
      </c>
      <c r="AQ145" s="53">
        <f t="shared" ca="1" si="77"/>
        <v>437645.62000000011</v>
      </c>
      <c r="AR145" s="53">
        <f t="shared" ca="1" si="77"/>
        <v>5860200.9300000668</v>
      </c>
      <c r="AS145" s="53">
        <f t="shared" ca="1" si="77"/>
        <v>7215637.4800000042</v>
      </c>
      <c r="AT145" s="53">
        <f t="shared" ca="1" si="77"/>
        <v>4526561.4499999993</v>
      </c>
      <c r="AU145" s="53">
        <f t="shared" ca="1" si="77"/>
        <v>258238.5</v>
      </c>
      <c r="AV145" s="53">
        <f t="shared" ca="1" si="77"/>
        <v>498483.70000000019</v>
      </c>
      <c r="AW145" s="53">
        <f t="shared" ca="1" si="77"/>
        <v>229553.85000000056</v>
      </c>
      <c r="AX145" s="53">
        <f t="shared" ca="1" si="77"/>
        <v>84873.170000000158</v>
      </c>
      <c r="AY145" s="53">
        <f t="shared" ca="1" si="77"/>
        <v>526908.62000000011</v>
      </c>
      <c r="AZ145" s="53">
        <f t="shared" ca="1" si="77"/>
        <v>7299029.9900000095</v>
      </c>
      <c r="BA145" s="53">
        <f t="shared" ca="1" si="77"/>
        <v>7454115.5100000054</v>
      </c>
      <c r="BB145" s="53">
        <f t="shared" ca="1" si="77"/>
        <v>5857065.6999999881</v>
      </c>
      <c r="BC145" s="53">
        <f t="shared" ca="1" si="77"/>
        <v>14415826.530000031</v>
      </c>
      <c r="BD145" s="53">
        <f t="shared" ca="1" si="77"/>
        <v>1911722.049999997</v>
      </c>
      <c r="BE145" s="53">
        <f t="shared" ca="1" si="77"/>
        <v>384607.69999999925</v>
      </c>
      <c r="BF145" s="53">
        <f t="shared" ca="1" si="77"/>
        <v>4677513.2100000381</v>
      </c>
      <c r="BG145" s="53">
        <f t="shared" ca="1" si="77"/>
        <v>1870486.370000001</v>
      </c>
      <c r="BH145" s="53">
        <f t="shared" ca="1" si="77"/>
        <v>889882.71000000089</v>
      </c>
      <c r="BI145" s="53">
        <f t="shared" ca="1" si="77"/>
        <v>505027.54000000004</v>
      </c>
      <c r="BJ145" s="53">
        <f t="shared" ca="1" si="77"/>
        <v>2336705.5099999905</v>
      </c>
      <c r="BK145" s="53">
        <f t="shared" ca="1" si="77"/>
        <v>14948594.75</v>
      </c>
      <c r="BL145" s="53">
        <f t="shared" ca="1" si="77"/>
        <v>0</v>
      </c>
      <c r="BM145" s="53">
        <f t="shared" ca="1" si="77"/>
        <v>888901.52999999933</v>
      </c>
      <c r="BN145" s="53">
        <f t="shared" ca="1" si="77"/>
        <v>3073756.0500000045</v>
      </c>
      <c r="BO145" s="53">
        <f t="shared" ca="1" si="77"/>
        <v>2991229.5</v>
      </c>
      <c r="BP145" s="53">
        <f t="shared" ca="1" si="77"/>
        <v>211843.84000000032</v>
      </c>
      <c r="BQ145" s="53">
        <f t="shared" ca="1" si="77"/>
        <v>6677278.4399999976</v>
      </c>
      <c r="BR145" s="53">
        <f t="shared" ca="1" si="77"/>
        <v>8401934.5899999961</v>
      </c>
      <c r="BS145" s="53">
        <f t="shared" ca="1" si="77"/>
        <v>949010.80999999866</v>
      </c>
      <c r="BT145" s="53">
        <f t="shared" ca="1" si="77"/>
        <v>264656.6799999997</v>
      </c>
      <c r="BU145" s="53">
        <f t="shared" ca="1" si="77"/>
        <v>907793.91000000015</v>
      </c>
      <c r="BV145" s="53">
        <f t="shared" ca="1" si="77"/>
        <v>3983638.2300000023</v>
      </c>
      <c r="BW145" s="53">
        <f t="shared" ca="1" si="77"/>
        <v>5909183.5199999996</v>
      </c>
      <c r="BX145" s="53">
        <f t="shared" ca="1" si="77"/>
        <v>0</v>
      </c>
      <c r="BY145" s="53">
        <f t="shared" ca="1" si="77"/>
        <v>1093028.6100000003</v>
      </c>
      <c r="BZ145" s="53">
        <f t="shared" ca="1" si="77"/>
        <v>746459.08999999985</v>
      </c>
      <c r="CA145" s="53">
        <f t="shared" ca="1" si="77"/>
        <v>119421.83999999985</v>
      </c>
      <c r="CB145" s="53">
        <f t="shared" ca="1" si="77"/>
        <v>24747650.309999943</v>
      </c>
      <c r="CC145" s="53">
        <f t="shared" ca="1" si="77"/>
        <v>358858.49000000022</v>
      </c>
      <c r="CD145" s="53">
        <f t="shared" ca="1" si="77"/>
        <v>312311.33000000007</v>
      </c>
      <c r="CE145" s="53">
        <f t="shared" ca="1" si="77"/>
        <v>375200.35000000009</v>
      </c>
      <c r="CF145" s="53">
        <f t="shared" ca="1" si="77"/>
        <v>155525.87999999989</v>
      </c>
      <c r="CG145" s="53">
        <f t="shared" ca="1" si="77"/>
        <v>441904.98</v>
      </c>
      <c r="CH145" s="53">
        <f t="shared" ca="1" si="77"/>
        <v>194399.95999999996</v>
      </c>
      <c r="CI145" s="53">
        <f t="shared" ca="1" si="77"/>
        <v>1920811.5600000005</v>
      </c>
      <c r="CJ145" s="53">
        <f t="shared" ca="1" si="77"/>
        <v>1570359.2100000009</v>
      </c>
      <c r="CK145" s="53">
        <f t="shared" ca="1" si="77"/>
        <v>3338422.5</v>
      </c>
      <c r="CL145" s="53">
        <f t="shared" ca="1" si="77"/>
        <v>2680707.2300000004</v>
      </c>
      <c r="CM145" s="53">
        <f t="shared" ca="1" si="77"/>
        <v>1374733.5399999991</v>
      </c>
      <c r="CN145" s="53">
        <f t="shared" ca="1" si="77"/>
        <v>6387384.6600000262</v>
      </c>
      <c r="CO145" s="53">
        <f t="shared" ca="1" si="77"/>
        <v>3609927.5499999821</v>
      </c>
      <c r="CP145" s="53">
        <f t="shared" ca="1" si="77"/>
        <v>611408.16999999993</v>
      </c>
      <c r="CQ145" s="53">
        <f t="shared" ca="1" si="77"/>
        <v>716054.45999999903</v>
      </c>
      <c r="CR145" s="53">
        <f t="shared" ca="1" si="77"/>
        <v>404378.09999999963</v>
      </c>
      <c r="CS145" s="53">
        <f t="shared" ca="1" si="77"/>
        <v>151840.48000000045</v>
      </c>
      <c r="CT145" s="53">
        <f t="shared" ca="1" si="77"/>
        <v>273142.41000000015</v>
      </c>
      <c r="CU145" s="53">
        <f t="shared" ca="1" si="77"/>
        <v>977368.62999999989</v>
      </c>
      <c r="CV145" s="53">
        <f t="shared" ca="1" si="77"/>
        <v>339531.09000000008</v>
      </c>
      <c r="CW145" s="53">
        <f t="shared" ca="1" si="77"/>
        <v>418576.20999999996</v>
      </c>
      <c r="CX145" s="53">
        <f t="shared" ca="1" si="77"/>
        <v>1154007.5199999996</v>
      </c>
      <c r="CY145" s="53">
        <f t="shared" ca="1" si="77"/>
        <v>306585.08000000007</v>
      </c>
      <c r="CZ145" s="53">
        <f t="shared" ca="1" si="77"/>
        <v>1528395.6300000027</v>
      </c>
      <c r="DA145" s="53">
        <f t="shared" ca="1" si="77"/>
        <v>325579.61999999965</v>
      </c>
      <c r="DB145" s="53">
        <f t="shared" ca="1" si="77"/>
        <v>279449.62999999989</v>
      </c>
      <c r="DC145" s="53">
        <f t="shared" ca="1" si="77"/>
        <v>270427.66000000015</v>
      </c>
      <c r="DD145" s="53">
        <f t="shared" ca="1" si="77"/>
        <v>182155.06000000006</v>
      </c>
      <c r="DE145" s="53">
        <f t="shared" ca="1" si="77"/>
        <v>329660.87000000011</v>
      </c>
      <c r="DF145" s="53">
        <f t="shared" ca="1" si="77"/>
        <v>1843949.9699999988</v>
      </c>
      <c r="DG145" s="53">
        <f t="shared" ca="1" si="77"/>
        <v>68121.129999999888</v>
      </c>
      <c r="DH145" s="53">
        <f t="shared" ca="1" si="77"/>
        <v>3192862.5300000012</v>
      </c>
      <c r="DI145" s="53">
        <f t="shared" ca="1" si="77"/>
        <v>3327493.66</v>
      </c>
      <c r="DJ145" s="53">
        <f t="shared" ca="1" si="77"/>
        <v>996940.79999999888</v>
      </c>
      <c r="DK145" s="53">
        <f t="shared" ca="1" si="77"/>
        <v>1221663.2300000004</v>
      </c>
      <c r="DL145" s="53">
        <f t="shared" ca="1" si="77"/>
        <v>6825593.2800000012</v>
      </c>
      <c r="DM145" s="53">
        <f t="shared" ca="1" si="77"/>
        <v>300272.20999999996</v>
      </c>
      <c r="DN145" s="53">
        <f t="shared" ca="1" si="77"/>
        <v>1681830.629999999</v>
      </c>
      <c r="DO145" s="53">
        <f t="shared" ca="1" si="77"/>
        <v>4723638.1900000051</v>
      </c>
      <c r="DP145" s="53">
        <f t="shared" ca="1" si="77"/>
        <v>142418.14000000013</v>
      </c>
      <c r="DQ145" s="53">
        <f t="shared" ca="1" si="77"/>
        <v>2271129.6799999997</v>
      </c>
      <c r="DR145" s="53">
        <f t="shared" ca="1" si="77"/>
        <v>1240111.8000000007</v>
      </c>
      <c r="DS145" s="53">
        <f t="shared" ca="1" si="77"/>
        <v>679042.46999999974</v>
      </c>
      <c r="DT145" s="53">
        <f t="shared" ca="1" si="77"/>
        <v>278681.31000000006</v>
      </c>
      <c r="DU145" s="53">
        <f t="shared" ca="1" si="77"/>
        <v>715466.48000000045</v>
      </c>
      <c r="DV145" s="53">
        <f t="shared" ca="1" si="77"/>
        <v>25988.050000000279</v>
      </c>
      <c r="DW145" s="53">
        <f t="shared" ca="1" si="77"/>
        <v>163345.45000000019</v>
      </c>
      <c r="DX145" s="53">
        <f t="shared" ca="1" si="77"/>
        <v>25829.870000000112</v>
      </c>
      <c r="DY145" s="53">
        <f t="shared" ca="1" si="77"/>
        <v>351046.3900000006</v>
      </c>
      <c r="DZ145" s="53">
        <f t="shared" ca="1" si="77"/>
        <v>922308.09999999963</v>
      </c>
      <c r="EA145" s="53">
        <f t="shared" ca="1" si="77"/>
        <v>1341448.080000001</v>
      </c>
      <c r="EB145" s="53">
        <f t="shared" ca="1" si="77"/>
        <v>1020662.6299999999</v>
      </c>
      <c r="EC145" s="53">
        <f t="shared" ca="1" si="77"/>
        <v>579297.41000000015</v>
      </c>
      <c r="ED145" s="53">
        <f t="shared" ca="1" si="77"/>
        <v>0</v>
      </c>
      <c r="EE145" s="53">
        <f t="shared" ca="1" si="77"/>
        <v>444130.5</v>
      </c>
      <c r="EF145" s="53">
        <f t="shared" ca="1" si="77"/>
        <v>1341809.9700000007</v>
      </c>
      <c r="EG145" s="53">
        <f t="shared" ca="1" si="77"/>
        <v>649448.60999999987</v>
      </c>
      <c r="EH145" s="53">
        <f t="shared" ca="1" si="77"/>
        <v>297340.91999999946</v>
      </c>
      <c r="EI145" s="53">
        <f t="shared" ca="1" si="77"/>
        <v>5956315.3300000131</v>
      </c>
      <c r="EJ145" s="53">
        <f t="shared" ca="1" si="77"/>
        <v>9744864.400000006</v>
      </c>
      <c r="EK145" s="53">
        <f t="shared" ca="1" si="77"/>
        <v>1490798.7799999993</v>
      </c>
      <c r="EL145" s="53">
        <f t="shared" ca="1" si="77"/>
        <v>1047625.75</v>
      </c>
      <c r="EM145" s="53">
        <f t="shared" ca="1" si="77"/>
        <v>724443.77000000048</v>
      </c>
      <c r="EN145" s="53">
        <f t="shared" ca="1" si="77"/>
        <v>2319648.2699999996</v>
      </c>
      <c r="EO145" s="53">
        <f t="shared" ca="1" si="77"/>
        <v>486122.52999999933</v>
      </c>
      <c r="EP145" s="53">
        <f t="shared" ca="1" si="77"/>
        <v>886723.21</v>
      </c>
      <c r="EQ145" s="53">
        <f t="shared" ca="1" si="77"/>
        <v>2749788.4000000022</v>
      </c>
      <c r="ER145" s="53">
        <f t="shared" ca="1" si="77"/>
        <v>555324.4299999997</v>
      </c>
      <c r="ES145" s="53">
        <f t="shared" ca="1" si="77"/>
        <v>328830.56000000006</v>
      </c>
      <c r="ET145" s="53">
        <f t="shared" ca="1" si="77"/>
        <v>12084.129999999888</v>
      </c>
      <c r="EU145" s="53">
        <f t="shared" ca="1" si="77"/>
        <v>1588479.2300000004</v>
      </c>
      <c r="EV145" s="53">
        <f t="shared" ca="1" si="77"/>
        <v>79250.419999999925</v>
      </c>
      <c r="EW145" s="53">
        <f t="shared" ca="1" si="77"/>
        <v>0</v>
      </c>
      <c r="EX145" s="53">
        <f t="shared" ca="1" si="77"/>
        <v>94972.229999999981</v>
      </c>
      <c r="EY145" s="53">
        <f t="shared" ca="1" si="77"/>
        <v>2204394.25</v>
      </c>
      <c r="EZ145" s="53">
        <f t="shared" ca="1" si="77"/>
        <v>157023.54000000004</v>
      </c>
      <c r="FA145" s="53">
        <f t="shared" ca="1" si="77"/>
        <v>4509231.700000003</v>
      </c>
      <c r="FB145" s="53">
        <f t="shared" ca="1" si="77"/>
        <v>582774.29</v>
      </c>
      <c r="FC145" s="53">
        <f t="shared" ca="1" si="77"/>
        <v>1069869.549999997</v>
      </c>
      <c r="FD145" s="53">
        <f t="shared" ca="1" si="77"/>
        <v>826615.71</v>
      </c>
      <c r="FE145" s="53">
        <f t="shared" ca="1" si="77"/>
        <v>70598.729999999981</v>
      </c>
      <c r="FF145" s="53">
        <f t="shared" ca="1" si="77"/>
        <v>202927.43999999994</v>
      </c>
      <c r="FG145" s="53">
        <f t="shared" ca="1" si="77"/>
        <v>74187.759999999776</v>
      </c>
      <c r="FH145" s="53">
        <f t="shared" ca="1" si="77"/>
        <v>114292.64999999991</v>
      </c>
      <c r="FI145" s="53">
        <f t="shared" ca="1" si="77"/>
        <v>4242507.4800000004</v>
      </c>
      <c r="FJ145" s="53">
        <f t="shared" ca="1" si="77"/>
        <v>1536349.8000000007</v>
      </c>
      <c r="FK145" s="53">
        <f t="shared" ca="1" si="77"/>
        <v>6424604.5999999978</v>
      </c>
      <c r="FL145" s="53">
        <f t="shared" ca="1" si="77"/>
        <v>951767.34999999404</v>
      </c>
      <c r="FM145" s="53">
        <f t="shared" ca="1" si="77"/>
        <v>2596708.6899999976</v>
      </c>
      <c r="FN145" s="53">
        <f t="shared" ca="1" si="77"/>
        <v>19257234.439999968</v>
      </c>
      <c r="FO145" s="53">
        <f t="shared" ca="1" si="77"/>
        <v>2160855.6000000015</v>
      </c>
      <c r="FP145" s="53">
        <f t="shared" ca="1" si="77"/>
        <v>2503226.9800000004</v>
      </c>
      <c r="FQ145" s="53">
        <f t="shared" ca="1" si="77"/>
        <v>1965012.9699999988</v>
      </c>
      <c r="FR145" s="53">
        <f t="shared" ca="1" si="77"/>
        <v>86592.580000000075</v>
      </c>
      <c r="FS145" s="53">
        <f t="shared" ca="1" si="77"/>
        <v>155168.53999999957</v>
      </c>
      <c r="FT145" s="53">
        <f t="shared" ca="1" si="77"/>
        <v>112822.66999999993</v>
      </c>
      <c r="FU145" s="53">
        <f t="shared" ca="1" si="77"/>
        <v>1073630.8499999996</v>
      </c>
      <c r="FV145" s="53">
        <f t="shared" ca="1" si="77"/>
        <v>1266843.4600000009</v>
      </c>
      <c r="FW145" s="53">
        <f t="shared" ca="1" si="77"/>
        <v>27595.419999999925</v>
      </c>
      <c r="FX145" s="53">
        <f t="shared" ca="1" si="77"/>
        <v>0</v>
      </c>
      <c r="FY145" s="70"/>
      <c r="FZ145" s="7">
        <f t="shared" ca="1" si="75"/>
        <v>526203186.09000009</v>
      </c>
      <c r="GA145" s="62">
        <v>526203186.09000009</v>
      </c>
      <c r="GB145" s="7">
        <f t="shared" ca="1" si="76"/>
        <v>0</v>
      </c>
      <c r="GC145" s="70"/>
      <c r="GD145" s="70"/>
      <c r="GE145" s="70"/>
      <c r="GF145" s="70"/>
      <c r="GG145" s="5"/>
      <c r="GH145" s="71"/>
      <c r="GI145" s="71"/>
      <c r="GJ145" s="71"/>
      <c r="GK145" s="71"/>
      <c r="GL145" s="71"/>
      <c r="GM145" s="71"/>
      <c r="GN145" s="71"/>
      <c r="GO145" s="71"/>
      <c r="GP145" s="5"/>
      <c r="GQ145" s="5"/>
      <c r="GR145" s="5"/>
      <c r="GS145" s="5"/>
      <c r="GT145" s="5"/>
      <c r="GU145" s="5"/>
      <c r="GV145" s="5"/>
    </row>
    <row r="146" spans="1:204" ht="15.5" x14ac:dyDescent="0.35">
      <c r="A146" s="12" t="s">
        <v>680</v>
      </c>
      <c r="B146" s="7" t="s">
        <v>681</v>
      </c>
      <c r="C146" s="72">
        <f t="shared" ref="C146:FX146" ca="1" si="78">IF(C144&gt;C142,C144,C144+(C145*$B$6))</f>
        <v>80653886.704500005</v>
      </c>
      <c r="D146" s="72">
        <f t="shared" ca="1" si="78"/>
        <v>449772841.0165</v>
      </c>
      <c r="E146" s="72">
        <f t="shared" ca="1" si="78"/>
        <v>72711906.047499999</v>
      </c>
      <c r="F146" s="72">
        <f t="shared" ca="1" si="78"/>
        <v>281818758.98650002</v>
      </c>
      <c r="G146" s="72">
        <f t="shared" ca="1" si="78"/>
        <v>22749083.645</v>
      </c>
      <c r="H146" s="72">
        <f t="shared" ca="1" si="78"/>
        <v>13754347.652000001</v>
      </c>
      <c r="I146" s="72">
        <f t="shared" ca="1" si="78"/>
        <v>99836562.570000008</v>
      </c>
      <c r="J146" s="72">
        <f t="shared" ca="1" si="78"/>
        <v>24863991.043000001</v>
      </c>
      <c r="K146" s="72">
        <f t="shared" ca="1" si="78"/>
        <v>4375286.1875</v>
      </c>
      <c r="L146" s="72">
        <f t="shared" ca="1" si="78"/>
        <v>26455657.423999999</v>
      </c>
      <c r="M146" s="72">
        <f t="shared" ca="1" si="78"/>
        <v>13069131.264</v>
      </c>
      <c r="N146" s="72">
        <f t="shared" ca="1" si="78"/>
        <v>594074253.87099993</v>
      </c>
      <c r="O146" s="72">
        <f t="shared" ca="1" si="78"/>
        <v>144353814.77599999</v>
      </c>
      <c r="P146" s="72">
        <f t="shared" ca="1" si="78"/>
        <v>5346390.8454999998</v>
      </c>
      <c r="Q146" s="72">
        <f t="shared" ca="1" si="78"/>
        <v>501713271.11600006</v>
      </c>
      <c r="R146" s="72">
        <f t="shared" ca="1" si="78"/>
        <v>80785561.0995</v>
      </c>
      <c r="S146" s="72">
        <f t="shared" ca="1" si="78"/>
        <v>19638317.813999999</v>
      </c>
      <c r="T146" s="72">
        <f t="shared" ca="1" si="78"/>
        <v>3366043.8955000001</v>
      </c>
      <c r="U146" s="72">
        <f t="shared" ca="1" si="78"/>
        <v>1434339.3499999999</v>
      </c>
      <c r="V146" s="72">
        <f t="shared" ca="1" si="78"/>
        <v>4403278.9739999995</v>
      </c>
      <c r="W146" s="72">
        <f t="shared" ca="1" si="78"/>
        <v>1493943.1465</v>
      </c>
      <c r="X146" s="72">
        <f t="shared" ca="1" si="78"/>
        <v>1302093.5415000001</v>
      </c>
      <c r="Y146" s="72">
        <f t="shared" ca="1" si="78"/>
        <v>11504261.766000001</v>
      </c>
      <c r="Z146" s="72">
        <f t="shared" ca="1" si="78"/>
        <v>3953099.227</v>
      </c>
      <c r="AA146" s="72">
        <f t="shared" ca="1" si="78"/>
        <v>353644732.69400001</v>
      </c>
      <c r="AB146" s="72">
        <f t="shared" ca="1" si="78"/>
        <v>313517672.6875</v>
      </c>
      <c r="AC146" s="72">
        <f t="shared" ca="1" si="78"/>
        <v>11439265.5165</v>
      </c>
      <c r="AD146" s="72">
        <f t="shared" ca="1" si="78"/>
        <v>17009752.8255</v>
      </c>
      <c r="AE146" s="72">
        <f t="shared" ca="1" si="78"/>
        <v>2265417.2824999997</v>
      </c>
      <c r="AF146" s="72">
        <f t="shared" ca="1" si="78"/>
        <v>3457183.4355000001</v>
      </c>
      <c r="AG146" s="72">
        <f t="shared" ca="1" si="78"/>
        <v>8181305.7600000007</v>
      </c>
      <c r="AH146" s="72">
        <f t="shared" ca="1" si="78"/>
        <v>12000672.658499999</v>
      </c>
      <c r="AI146" s="72">
        <f t="shared" ca="1" si="78"/>
        <v>5586807.4819999998</v>
      </c>
      <c r="AJ146" s="72">
        <f t="shared" ca="1" si="78"/>
        <v>3762127.122</v>
      </c>
      <c r="AK146" s="72">
        <f t="shared" ca="1" si="78"/>
        <v>3506148.1314999997</v>
      </c>
      <c r="AL146" s="72">
        <f t="shared" ca="1" si="78"/>
        <v>4824354.0564999999</v>
      </c>
      <c r="AM146" s="72">
        <f t="shared" ca="1" si="78"/>
        <v>5334147.5630000001</v>
      </c>
      <c r="AN146" s="72">
        <f t="shared" ca="1" si="78"/>
        <v>4870423.5844999999</v>
      </c>
      <c r="AO146" s="72">
        <f t="shared" ca="1" si="78"/>
        <v>50818206.285499997</v>
      </c>
      <c r="AP146" s="72">
        <f t="shared" ca="1" si="78"/>
        <v>1028928090.8134999</v>
      </c>
      <c r="AQ146" s="72">
        <f t="shared" ca="1" si="78"/>
        <v>4557735.2030000007</v>
      </c>
      <c r="AR146" s="72">
        <f t="shared" ca="1" si="78"/>
        <v>695497801.64950001</v>
      </c>
      <c r="AS146" s="72">
        <f t="shared" ca="1" si="78"/>
        <v>80382184.751999989</v>
      </c>
      <c r="AT146" s="72">
        <f t="shared" ca="1" si="78"/>
        <v>28185152.587500002</v>
      </c>
      <c r="AU146" s="72">
        <f t="shared" ca="1" si="78"/>
        <v>4714653.9550000001</v>
      </c>
      <c r="AV146" s="72">
        <f t="shared" ca="1" si="78"/>
        <v>5195250.0049999999</v>
      </c>
      <c r="AW146" s="72">
        <f t="shared" ca="1" si="78"/>
        <v>4528791.2074999996</v>
      </c>
      <c r="AX146" s="72">
        <f t="shared" ca="1" si="78"/>
        <v>2070363.0055</v>
      </c>
      <c r="AY146" s="72">
        <f t="shared" ca="1" si="78"/>
        <v>6099681.4729999993</v>
      </c>
      <c r="AZ146" s="72">
        <f t="shared" ca="1" si="78"/>
        <v>143721669.81849998</v>
      </c>
      <c r="BA146" s="72">
        <f t="shared" ca="1" si="78"/>
        <v>101745533.9965</v>
      </c>
      <c r="BB146" s="72">
        <f t="shared" ca="1" si="78"/>
        <v>84696074.475000009</v>
      </c>
      <c r="BC146" s="72">
        <f t="shared" ca="1" si="78"/>
        <v>284985378.04949999</v>
      </c>
      <c r="BD146" s="72">
        <f t="shared" ca="1" si="78"/>
        <v>40387774.087499999</v>
      </c>
      <c r="BE146" s="72">
        <f t="shared" ca="1" si="78"/>
        <v>14269420.494999999</v>
      </c>
      <c r="BF146" s="72">
        <f t="shared" ca="1" si="78"/>
        <v>282580377.8215</v>
      </c>
      <c r="BG146" s="72">
        <f t="shared" ca="1" si="78"/>
        <v>12272965.565499999</v>
      </c>
      <c r="BH146" s="72">
        <f t="shared" ca="1" si="78"/>
        <v>7764632.4265000001</v>
      </c>
      <c r="BI146" s="72">
        <f t="shared" ca="1" si="78"/>
        <v>4731197.7510000002</v>
      </c>
      <c r="BJ146" s="72">
        <f t="shared" ca="1" si="78"/>
        <v>69933398.336500004</v>
      </c>
      <c r="BK146" s="72">
        <f t="shared" ca="1" si="78"/>
        <v>392901390.48249996</v>
      </c>
      <c r="BL146" s="72">
        <f t="shared" ca="1" si="78"/>
        <v>1967959.09</v>
      </c>
      <c r="BM146" s="72">
        <f t="shared" ca="1" si="78"/>
        <v>5569538.9195000008</v>
      </c>
      <c r="BN146" s="72">
        <f t="shared" ca="1" si="78"/>
        <v>35657862.697499998</v>
      </c>
      <c r="BO146" s="72">
        <f t="shared" ca="1" si="78"/>
        <v>15155937.515000001</v>
      </c>
      <c r="BP146" s="72">
        <f t="shared" ca="1" si="78"/>
        <v>3374290.4759999998</v>
      </c>
      <c r="BQ146" s="72">
        <f t="shared" ca="1" si="78"/>
        <v>74181665.145999998</v>
      </c>
      <c r="BR146" s="72">
        <f t="shared" ca="1" si="78"/>
        <v>53099251.288500004</v>
      </c>
      <c r="BS146" s="72">
        <f t="shared" ca="1" si="78"/>
        <v>15039024.501500001</v>
      </c>
      <c r="BT146" s="72">
        <f t="shared" ca="1" si="78"/>
        <v>5848382.7520000003</v>
      </c>
      <c r="BU146" s="72">
        <f t="shared" ca="1" si="78"/>
        <v>6167804.8365000002</v>
      </c>
      <c r="BV146" s="72">
        <f t="shared" ca="1" si="78"/>
        <v>15406304.9245</v>
      </c>
      <c r="BW146" s="72">
        <f t="shared" ca="1" si="78"/>
        <v>24653579.338</v>
      </c>
      <c r="BX146" s="72">
        <f t="shared" ca="1" si="78"/>
        <v>1747493.26</v>
      </c>
      <c r="BY146" s="72">
        <f t="shared" ca="1" si="78"/>
        <v>6390389.7115000002</v>
      </c>
      <c r="BZ146" s="72">
        <f t="shared" ca="1" si="78"/>
        <v>4139198.4134999998</v>
      </c>
      <c r="CA146" s="72">
        <f t="shared" ca="1" si="78"/>
        <v>3163209.2760000001</v>
      </c>
      <c r="CB146" s="72">
        <f t="shared" ca="1" si="78"/>
        <v>833037943.36650002</v>
      </c>
      <c r="CC146" s="72">
        <f t="shared" ca="1" si="78"/>
        <v>3645251.1535</v>
      </c>
      <c r="CD146" s="72">
        <f t="shared" ca="1" si="78"/>
        <v>1258791.0995</v>
      </c>
      <c r="CE146" s="72">
        <f t="shared" ca="1" si="78"/>
        <v>3222185.2225000001</v>
      </c>
      <c r="CF146" s="72">
        <f t="shared" ca="1" si="78"/>
        <v>2414940.5219999999</v>
      </c>
      <c r="CG146" s="72">
        <f t="shared" ca="1" si="78"/>
        <v>3738676.077</v>
      </c>
      <c r="CH146" s="72">
        <f t="shared" ca="1" si="78"/>
        <v>2284108.554</v>
      </c>
      <c r="CI146" s="72">
        <f t="shared" ca="1" si="78"/>
        <v>8892753.6539999992</v>
      </c>
      <c r="CJ146" s="72">
        <f t="shared" ca="1" si="78"/>
        <v>11725516.5615</v>
      </c>
      <c r="CK146" s="72">
        <f t="shared" ca="1" si="78"/>
        <v>57731063.055</v>
      </c>
      <c r="CL146" s="72">
        <f t="shared" ca="1" si="78"/>
        <v>15647845.944499999</v>
      </c>
      <c r="CM146" s="72">
        <f t="shared" ca="1" si="78"/>
        <v>9538400.9210000001</v>
      </c>
      <c r="CN146" s="72">
        <f t="shared" ca="1" si="78"/>
        <v>347525607.01899999</v>
      </c>
      <c r="CO146" s="72">
        <f t="shared" ca="1" si="78"/>
        <v>159043245.46250001</v>
      </c>
      <c r="CP146" s="72">
        <f t="shared" ca="1" si="78"/>
        <v>12265678.9255</v>
      </c>
      <c r="CQ146" s="72">
        <f t="shared" ca="1" si="78"/>
        <v>10427351.989</v>
      </c>
      <c r="CR146" s="72">
        <f t="shared" ca="1" si="78"/>
        <v>3940535.2949999999</v>
      </c>
      <c r="CS146" s="72">
        <f t="shared" ca="1" si="78"/>
        <v>4509317.0919999992</v>
      </c>
      <c r="CT146" s="72">
        <f t="shared" ca="1" si="78"/>
        <v>2611047.9515</v>
      </c>
      <c r="CU146" s="72">
        <f t="shared" ca="1" si="78"/>
        <v>5594151.4344999995</v>
      </c>
      <c r="CV146" s="72">
        <f t="shared" ca="1" si="78"/>
        <v>1227614.3935</v>
      </c>
      <c r="CW146" s="72">
        <f t="shared" ca="1" si="78"/>
        <v>3853883.1814999999</v>
      </c>
      <c r="CX146" s="72">
        <f t="shared" ca="1" si="78"/>
        <v>6307064.4479999999</v>
      </c>
      <c r="CY146" s="72">
        <f t="shared" ca="1" si="78"/>
        <v>1293992.7920000001</v>
      </c>
      <c r="CZ146" s="72">
        <f t="shared" ca="1" si="78"/>
        <v>21237397.3145</v>
      </c>
      <c r="DA146" s="72">
        <f t="shared" ca="1" si="78"/>
        <v>3787868.9130000002</v>
      </c>
      <c r="DB146" s="72">
        <f t="shared" ca="1" si="78"/>
        <v>4922881.7845000001</v>
      </c>
      <c r="DC146" s="72">
        <f t="shared" ca="1" si="78"/>
        <v>3700914.3590000002</v>
      </c>
      <c r="DD146" s="72">
        <f t="shared" ca="1" si="78"/>
        <v>3606759.7689999999</v>
      </c>
      <c r="DE146" s="72">
        <f t="shared" ca="1" si="78"/>
        <v>4664669.0504999999</v>
      </c>
      <c r="DF146" s="72">
        <f t="shared" ca="1" si="78"/>
        <v>230009152.8655</v>
      </c>
      <c r="DG146" s="72">
        <f t="shared" ca="1" si="78"/>
        <v>2245170.2094999999</v>
      </c>
      <c r="DH146" s="72">
        <f t="shared" ca="1" si="78"/>
        <v>21129919.309500001</v>
      </c>
      <c r="DI146" s="72">
        <f t="shared" ca="1" si="78"/>
        <v>28542301.568999998</v>
      </c>
      <c r="DJ146" s="72">
        <f t="shared" ca="1" si="78"/>
        <v>8361117.5200000005</v>
      </c>
      <c r="DK146" s="72">
        <f t="shared" ca="1" si="78"/>
        <v>6478268.9845000003</v>
      </c>
      <c r="DL146" s="72">
        <f t="shared" ca="1" si="78"/>
        <v>67847459.401999995</v>
      </c>
      <c r="DM146" s="72">
        <f t="shared" ca="1" si="78"/>
        <v>4485116.3815000001</v>
      </c>
      <c r="DN146" s="72">
        <f t="shared" ca="1" si="78"/>
        <v>16327554.8245</v>
      </c>
      <c r="DO146" s="72">
        <f t="shared" ca="1" si="78"/>
        <v>39338943.888499998</v>
      </c>
      <c r="DP146" s="72">
        <f t="shared" ca="1" si="78"/>
        <v>3903267.1009999998</v>
      </c>
      <c r="DQ146" s="72">
        <f t="shared" ca="1" si="78"/>
        <v>11479667.051999999</v>
      </c>
      <c r="DR146" s="72">
        <f t="shared" ca="1" si="78"/>
        <v>16311885.359999999</v>
      </c>
      <c r="DS146" s="72">
        <f t="shared" ca="1" si="78"/>
        <v>8322573.9105000002</v>
      </c>
      <c r="DT146" s="72">
        <f t="shared" ca="1" si="78"/>
        <v>3749928.7064999999</v>
      </c>
      <c r="DU146" s="72">
        <f t="shared" ca="1" si="78"/>
        <v>5395850.8619999997</v>
      </c>
      <c r="DV146" s="72">
        <f t="shared" ca="1" si="78"/>
        <v>3874077.6475</v>
      </c>
      <c r="DW146" s="72">
        <f t="shared" ca="1" si="78"/>
        <v>4786522.3374999994</v>
      </c>
      <c r="DX146" s="72">
        <f t="shared" ca="1" si="78"/>
        <v>3815527.3004999999</v>
      </c>
      <c r="DY146" s="72">
        <f t="shared" ca="1" si="78"/>
        <v>5145943.7184999995</v>
      </c>
      <c r="DZ146" s="72">
        <f t="shared" ca="1" si="78"/>
        <v>9292336.7050000001</v>
      </c>
      <c r="EA146" s="72">
        <f t="shared" ca="1" si="78"/>
        <v>7467213.0120000001</v>
      </c>
      <c r="EB146" s="72">
        <f t="shared" ca="1" si="78"/>
        <v>7192096.0245000003</v>
      </c>
      <c r="EC146" s="72">
        <f t="shared" ca="1" si="78"/>
        <v>4421929.4214999992</v>
      </c>
      <c r="ED146" s="72">
        <f t="shared" ca="1" si="78"/>
        <v>23689244.559999999</v>
      </c>
      <c r="EE146" s="72">
        <f t="shared" ca="1" si="78"/>
        <v>3753665.2550000004</v>
      </c>
      <c r="EF146" s="72">
        <f t="shared" ca="1" si="78"/>
        <v>16571740.7355</v>
      </c>
      <c r="EG146" s="72">
        <f t="shared" ca="1" si="78"/>
        <v>4272588.2215</v>
      </c>
      <c r="EH146" s="72">
        <f t="shared" ca="1" si="78"/>
        <v>4185390.818</v>
      </c>
      <c r="EI146" s="72">
        <f t="shared" ca="1" si="78"/>
        <v>163448094.82949999</v>
      </c>
      <c r="EJ146" s="72">
        <f t="shared" ca="1" si="78"/>
        <v>113585335.42999999</v>
      </c>
      <c r="EK146" s="72">
        <f t="shared" ca="1" si="78"/>
        <v>8598773.1469999999</v>
      </c>
      <c r="EL146" s="72">
        <f t="shared" ca="1" si="78"/>
        <v>6056194.3025000002</v>
      </c>
      <c r="EM146" s="72">
        <f t="shared" ca="1" si="78"/>
        <v>5594227.1255000001</v>
      </c>
      <c r="EN146" s="72">
        <f t="shared" ca="1" si="78"/>
        <v>12177586.8805</v>
      </c>
      <c r="EO146" s="72">
        <f t="shared" ca="1" si="78"/>
        <v>4799141.8195000002</v>
      </c>
      <c r="EP146" s="72">
        <f t="shared" ca="1" si="78"/>
        <v>6337242.9914999995</v>
      </c>
      <c r="EQ146" s="72">
        <f t="shared" ca="1" si="78"/>
        <v>31158516.550000001</v>
      </c>
      <c r="ER146" s="72">
        <f t="shared" ca="1" si="78"/>
        <v>5215205.1645</v>
      </c>
      <c r="ES146" s="72">
        <f t="shared" ca="1" si="78"/>
        <v>3403118.3939999999</v>
      </c>
      <c r="ET146" s="72">
        <f t="shared" ca="1" si="78"/>
        <v>4358136.7494999999</v>
      </c>
      <c r="EU146" s="72">
        <f t="shared" ca="1" si="78"/>
        <v>8201587.5644999994</v>
      </c>
      <c r="EV146" s="72">
        <f t="shared" ca="1" si="78"/>
        <v>1902380.3930000002</v>
      </c>
      <c r="EW146" s="72">
        <f t="shared" ca="1" si="78"/>
        <v>13309322.109999999</v>
      </c>
      <c r="EX146" s="72">
        <f t="shared" ca="1" si="78"/>
        <v>3805304.7845000001</v>
      </c>
      <c r="EY146" s="72">
        <f t="shared" ca="1" si="78"/>
        <v>8090226.3775000004</v>
      </c>
      <c r="EZ146" s="72">
        <f t="shared" ca="1" si="78"/>
        <v>2843721.3509999998</v>
      </c>
      <c r="FA146" s="72">
        <f t="shared" ca="1" si="78"/>
        <v>42788890.164999999</v>
      </c>
      <c r="FB146" s="72">
        <f t="shared" ca="1" si="78"/>
        <v>4884803.9035</v>
      </c>
      <c r="FC146" s="72">
        <f t="shared" ca="1" si="78"/>
        <v>21308337.352500003</v>
      </c>
      <c r="FD146" s="72">
        <f t="shared" ca="1" si="78"/>
        <v>5894100.7965000002</v>
      </c>
      <c r="FE146" s="72">
        <f t="shared" ca="1" si="78"/>
        <v>1973600.4594999999</v>
      </c>
      <c r="FF146" s="72">
        <f t="shared" ca="1" si="78"/>
        <v>3722187.2760000001</v>
      </c>
      <c r="FG146" s="72">
        <f t="shared" ca="1" si="78"/>
        <v>2741113.574</v>
      </c>
      <c r="FH146" s="72">
        <f t="shared" ca="1" si="78"/>
        <v>1735535.4975000001</v>
      </c>
      <c r="FI146" s="72">
        <f t="shared" ca="1" si="78"/>
        <v>21080079.802000001</v>
      </c>
      <c r="FJ146" s="72">
        <f t="shared" ca="1" si="78"/>
        <v>23028042.299999997</v>
      </c>
      <c r="FK146" s="72">
        <f t="shared" ca="1" si="78"/>
        <v>30258313.630000003</v>
      </c>
      <c r="FL146" s="72">
        <f t="shared" ca="1" si="78"/>
        <v>94310893.132499993</v>
      </c>
      <c r="FM146" s="72">
        <f t="shared" ca="1" si="78"/>
        <v>45024271.3235</v>
      </c>
      <c r="FN146" s="72">
        <f t="shared" ca="1" si="78"/>
        <v>266370825.75600001</v>
      </c>
      <c r="FO146" s="72">
        <f t="shared" ca="1" si="78"/>
        <v>13846353.949999999</v>
      </c>
      <c r="FP146" s="72">
        <f t="shared" ca="1" si="78"/>
        <v>28138920.386999998</v>
      </c>
      <c r="FQ146" s="72">
        <f t="shared" ca="1" si="78"/>
        <v>12333404.3455</v>
      </c>
      <c r="FR146" s="72">
        <f t="shared" ca="1" si="78"/>
        <v>3409546.327</v>
      </c>
      <c r="FS146" s="72">
        <f t="shared" ca="1" si="78"/>
        <v>3413079.2510000002</v>
      </c>
      <c r="FT146" s="72">
        <f t="shared" ca="1" si="78"/>
        <v>1506104.6105</v>
      </c>
      <c r="FU146" s="72">
        <f t="shared" ca="1" si="78"/>
        <v>10797281.807499999</v>
      </c>
      <c r="FV146" s="72">
        <f t="shared" ca="1" si="78"/>
        <v>9321322.6289999988</v>
      </c>
      <c r="FW146" s="72">
        <f t="shared" ca="1" si="78"/>
        <v>3217424.1630000002</v>
      </c>
      <c r="FX146" s="72">
        <f t="shared" ca="1" si="78"/>
        <v>1701192.38</v>
      </c>
      <c r="FY146" s="70"/>
      <c r="FZ146" s="73">
        <f t="shared" ca="1" si="75"/>
        <v>10017103400.943495</v>
      </c>
      <c r="GA146" s="62">
        <v>10017103400.943495</v>
      </c>
      <c r="GB146" s="7">
        <f t="shared" ca="1" si="76"/>
        <v>0</v>
      </c>
      <c r="GC146" s="70"/>
      <c r="GD146" s="70"/>
      <c r="GE146" s="70"/>
      <c r="GF146" s="70"/>
      <c r="GG146" s="5"/>
      <c r="GH146" s="71"/>
      <c r="GI146" s="71"/>
      <c r="GJ146" s="71"/>
      <c r="GK146" s="71"/>
      <c r="GL146" s="71"/>
      <c r="GM146" s="71"/>
      <c r="GN146" s="71"/>
      <c r="GO146" s="71"/>
      <c r="GP146" s="5"/>
      <c r="GQ146" s="5"/>
      <c r="GR146" s="5"/>
      <c r="GS146" s="5"/>
      <c r="GT146" s="5"/>
      <c r="GU146" s="5"/>
      <c r="GV146" s="5"/>
    </row>
    <row r="147" spans="1:204" ht="15.5" x14ac:dyDescent="0.35">
      <c r="A147" s="60" t="s">
        <v>682</v>
      </c>
      <c r="B147" s="5" t="s">
        <v>683</v>
      </c>
      <c r="C147" s="72">
        <f t="shared" ref="C147:FX147" ca="1" si="79">MAX(C143,C146)</f>
        <v>80653886.704500005</v>
      </c>
      <c r="D147" s="72">
        <f t="shared" ca="1" si="79"/>
        <v>449772841.0165</v>
      </c>
      <c r="E147" s="72">
        <f t="shared" ca="1" si="79"/>
        <v>72711906.047499999</v>
      </c>
      <c r="F147" s="72">
        <f t="shared" ca="1" si="79"/>
        <v>281818758.98650002</v>
      </c>
      <c r="G147" s="72">
        <f t="shared" ca="1" si="79"/>
        <v>22749083.645</v>
      </c>
      <c r="H147" s="72">
        <f t="shared" ca="1" si="79"/>
        <v>13754347.652000001</v>
      </c>
      <c r="I147" s="72">
        <f t="shared" ca="1" si="79"/>
        <v>99836562.570000008</v>
      </c>
      <c r="J147" s="72">
        <f t="shared" ca="1" si="79"/>
        <v>24863991.043000001</v>
      </c>
      <c r="K147" s="72">
        <f t="shared" ca="1" si="79"/>
        <v>4375286.1875</v>
      </c>
      <c r="L147" s="72">
        <f t="shared" ca="1" si="79"/>
        <v>26455657.423999999</v>
      </c>
      <c r="M147" s="72">
        <f t="shared" ca="1" si="79"/>
        <v>13714030.26</v>
      </c>
      <c r="N147" s="72">
        <f t="shared" ca="1" si="79"/>
        <v>594074253.87099993</v>
      </c>
      <c r="O147" s="72">
        <f t="shared" ca="1" si="79"/>
        <v>144353814.77599999</v>
      </c>
      <c r="P147" s="72">
        <f t="shared" ca="1" si="79"/>
        <v>5346390.8454999998</v>
      </c>
      <c r="Q147" s="72">
        <f t="shared" ca="1" si="79"/>
        <v>501713271.11600006</v>
      </c>
      <c r="R147" s="72">
        <f t="shared" ca="1" si="79"/>
        <v>80785561.0995</v>
      </c>
      <c r="S147" s="72">
        <f t="shared" ca="1" si="79"/>
        <v>19638317.813999999</v>
      </c>
      <c r="T147" s="72">
        <f t="shared" ca="1" si="79"/>
        <v>3366043.8955000001</v>
      </c>
      <c r="U147" s="72">
        <f t="shared" ca="1" si="79"/>
        <v>1434339.3499999999</v>
      </c>
      <c r="V147" s="72">
        <f t="shared" ca="1" si="79"/>
        <v>4403278.9739999995</v>
      </c>
      <c r="W147" s="72">
        <f t="shared" ca="1" si="79"/>
        <v>2801531.69</v>
      </c>
      <c r="X147" s="72">
        <f t="shared" ca="1" si="79"/>
        <v>1302093.5415000001</v>
      </c>
      <c r="Y147" s="72">
        <f t="shared" ca="1" si="79"/>
        <v>11504261.766000001</v>
      </c>
      <c r="Z147" s="72">
        <f t="shared" ca="1" si="79"/>
        <v>3953099.227</v>
      </c>
      <c r="AA147" s="72">
        <f t="shared" ca="1" si="79"/>
        <v>353644732.69400001</v>
      </c>
      <c r="AB147" s="72">
        <f t="shared" ca="1" si="79"/>
        <v>313517672.6875</v>
      </c>
      <c r="AC147" s="72">
        <f t="shared" ca="1" si="79"/>
        <v>11439265.5165</v>
      </c>
      <c r="AD147" s="72">
        <f t="shared" ca="1" si="79"/>
        <v>17009752.8255</v>
      </c>
      <c r="AE147" s="72">
        <f t="shared" ca="1" si="79"/>
        <v>2265417.2824999997</v>
      </c>
      <c r="AF147" s="72">
        <f t="shared" ca="1" si="79"/>
        <v>3457183.4355000001</v>
      </c>
      <c r="AG147" s="72">
        <f t="shared" ca="1" si="79"/>
        <v>8181305.7600000007</v>
      </c>
      <c r="AH147" s="72">
        <f t="shared" ca="1" si="79"/>
        <v>12000672.658499999</v>
      </c>
      <c r="AI147" s="72">
        <f t="shared" ca="1" si="79"/>
        <v>5586807.4819999998</v>
      </c>
      <c r="AJ147" s="72">
        <f t="shared" ca="1" si="79"/>
        <v>3762127.122</v>
      </c>
      <c r="AK147" s="72">
        <f t="shared" ca="1" si="79"/>
        <v>3506148.1314999997</v>
      </c>
      <c r="AL147" s="72">
        <f t="shared" ca="1" si="79"/>
        <v>4824354.0564999999</v>
      </c>
      <c r="AM147" s="72">
        <f t="shared" ca="1" si="79"/>
        <v>5334147.5630000001</v>
      </c>
      <c r="AN147" s="72">
        <f t="shared" ca="1" si="79"/>
        <v>4870423.5844999999</v>
      </c>
      <c r="AO147" s="72">
        <f t="shared" ca="1" si="79"/>
        <v>51205864.93</v>
      </c>
      <c r="AP147" s="72">
        <f t="shared" ca="1" si="79"/>
        <v>1028928090.8134999</v>
      </c>
      <c r="AQ147" s="72">
        <f t="shared" ca="1" si="79"/>
        <v>4557735.2030000007</v>
      </c>
      <c r="AR147" s="72">
        <f t="shared" ca="1" si="79"/>
        <v>695497801.64950001</v>
      </c>
      <c r="AS147" s="72">
        <f t="shared" ca="1" si="79"/>
        <v>80382184.751999989</v>
      </c>
      <c r="AT147" s="72">
        <f t="shared" ca="1" si="79"/>
        <v>28185152.587500002</v>
      </c>
      <c r="AU147" s="72">
        <f t="shared" ca="1" si="79"/>
        <v>4714653.9550000001</v>
      </c>
      <c r="AV147" s="72">
        <f t="shared" ca="1" si="79"/>
        <v>5195250.0049999999</v>
      </c>
      <c r="AW147" s="72">
        <f t="shared" ca="1" si="79"/>
        <v>4528791.2074999996</v>
      </c>
      <c r="AX147" s="72">
        <f t="shared" ca="1" si="79"/>
        <v>2070363.0055</v>
      </c>
      <c r="AY147" s="72">
        <f t="shared" ca="1" si="79"/>
        <v>6099681.4729999993</v>
      </c>
      <c r="AZ147" s="72">
        <f t="shared" ca="1" si="79"/>
        <v>143721669.81849998</v>
      </c>
      <c r="BA147" s="72">
        <f t="shared" ca="1" si="79"/>
        <v>101745533.9965</v>
      </c>
      <c r="BB147" s="72">
        <f t="shared" ca="1" si="79"/>
        <v>84696074.475000009</v>
      </c>
      <c r="BC147" s="72">
        <f t="shared" ca="1" si="79"/>
        <v>284985378.04949999</v>
      </c>
      <c r="BD147" s="72">
        <f t="shared" ca="1" si="79"/>
        <v>40387774.087499999</v>
      </c>
      <c r="BE147" s="72">
        <f t="shared" ca="1" si="79"/>
        <v>14452481.43</v>
      </c>
      <c r="BF147" s="72">
        <f t="shared" ca="1" si="79"/>
        <v>282580377.8215</v>
      </c>
      <c r="BG147" s="72">
        <f t="shared" ca="1" si="79"/>
        <v>12272965.565499999</v>
      </c>
      <c r="BH147" s="72">
        <f t="shared" ca="1" si="79"/>
        <v>7764632.4265000001</v>
      </c>
      <c r="BI147" s="72">
        <f t="shared" ca="1" si="79"/>
        <v>4731197.7510000002</v>
      </c>
      <c r="BJ147" s="72">
        <f t="shared" ca="1" si="79"/>
        <v>69933398.336500004</v>
      </c>
      <c r="BK147" s="72">
        <f t="shared" ca="1" si="79"/>
        <v>392901390.48249996</v>
      </c>
      <c r="BL147" s="72">
        <f t="shared" ca="1" si="79"/>
        <v>2216243.83</v>
      </c>
      <c r="BM147" s="72">
        <f t="shared" ca="1" si="79"/>
        <v>5569538.9195000008</v>
      </c>
      <c r="BN147" s="72">
        <f t="shared" ca="1" si="79"/>
        <v>35657862.697499998</v>
      </c>
      <c r="BO147" s="72">
        <f t="shared" ca="1" si="79"/>
        <v>15155937.515000001</v>
      </c>
      <c r="BP147" s="72">
        <f t="shared" ca="1" si="79"/>
        <v>3397952.4</v>
      </c>
      <c r="BQ147" s="72">
        <f t="shared" ca="1" si="79"/>
        <v>74181665.145999998</v>
      </c>
      <c r="BR147" s="72">
        <f t="shared" ca="1" si="79"/>
        <v>53099251.288500004</v>
      </c>
      <c r="BS147" s="72">
        <f t="shared" ca="1" si="79"/>
        <v>15039024.501500001</v>
      </c>
      <c r="BT147" s="72">
        <f t="shared" ca="1" si="79"/>
        <v>5848382.7520000003</v>
      </c>
      <c r="BU147" s="72">
        <f t="shared" ca="1" si="79"/>
        <v>6167804.8365000002</v>
      </c>
      <c r="BV147" s="72">
        <f t="shared" ca="1" si="79"/>
        <v>15406304.9245</v>
      </c>
      <c r="BW147" s="72">
        <f t="shared" ca="1" si="79"/>
        <v>24653579.338</v>
      </c>
      <c r="BX147" s="72">
        <f t="shared" ca="1" si="79"/>
        <v>1781744.71</v>
      </c>
      <c r="BY147" s="72">
        <f t="shared" ca="1" si="79"/>
        <v>6429493.0899999999</v>
      </c>
      <c r="BZ147" s="72">
        <f t="shared" ca="1" si="79"/>
        <v>4139198.4134999998</v>
      </c>
      <c r="CA147" s="72">
        <f t="shared" ca="1" si="79"/>
        <v>3163209.2760000001</v>
      </c>
      <c r="CB147" s="72">
        <f t="shared" ca="1" si="79"/>
        <v>833037943.36650002</v>
      </c>
      <c r="CC147" s="72">
        <f t="shared" ca="1" si="79"/>
        <v>3645251.1535</v>
      </c>
      <c r="CD147" s="72">
        <f t="shared" ca="1" si="79"/>
        <v>2835204.01</v>
      </c>
      <c r="CE147" s="72">
        <f t="shared" ca="1" si="79"/>
        <v>3222185.2225000001</v>
      </c>
      <c r="CF147" s="72">
        <f t="shared" ca="1" si="79"/>
        <v>2467533.2999999998</v>
      </c>
      <c r="CG147" s="72">
        <f t="shared" ca="1" si="79"/>
        <v>3738676.077</v>
      </c>
      <c r="CH147" s="72">
        <f t="shared" ca="1" si="79"/>
        <v>2284108.554</v>
      </c>
      <c r="CI147" s="72">
        <f t="shared" ca="1" si="79"/>
        <v>8892753.6539999992</v>
      </c>
      <c r="CJ147" s="72">
        <f t="shared" ca="1" si="79"/>
        <v>11725516.5615</v>
      </c>
      <c r="CK147" s="72">
        <f t="shared" ca="1" si="79"/>
        <v>57731063.055</v>
      </c>
      <c r="CL147" s="72">
        <f t="shared" ca="1" si="79"/>
        <v>15647845.944499999</v>
      </c>
      <c r="CM147" s="72">
        <f t="shared" ca="1" si="79"/>
        <v>9538400.9210000001</v>
      </c>
      <c r="CN147" s="72">
        <f t="shared" ca="1" si="79"/>
        <v>356274942.75</v>
      </c>
      <c r="CO147" s="72">
        <f t="shared" ca="1" si="79"/>
        <v>159043245.46250001</v>
      </c>
      <c r="CP147" s="72">
        <f t="shared" ca="1" si="79"/>
        <v>12265678.9255</v>
      </c>
      <c r="CQ147" s="72">
        <f t="shared" ca="1" si="79"/>
        <v>10427351.989</v>
      </c>
      <c r="CR147" s="72">
        <f t="shared" ca="1" si="79"/>
        <v>3953168.6</v>
      </c>
      <c r="CS147" s="72">
        <f t="shared" ca="1" si="79"/>
        <v>4573177.63</v>
      </c>
      <c r="CT147" s="72">
        <f t="shared" ca="1" si="79"/>
        <v>2611047.9515</v>
      </c>
      <c r="CU147" s="72">
        <f t="shared" ca="1" si="79"/>
        <v>5594151.4344999995</v>
      </c>
      <c r="CV147" s="72">
        <f t="shared" ca="1" si="79"/>
        <v>1227614.3935</v>
      </c>
      <c r="CW147" s="72">
        <f t="shared" ca="1" si="79"/>
        <v>3853883.1814999999</v>
      </c>
      <c r="CX147" s="72">
        <f t="shared" ca="1" si="79"/>
        <v>6307064.4479999999</v>
      </c>
      <c r="CY147" s="72">
        <f t="shared" ca="1" si="79"/>
        <v>1293992.7920000001</v>
      </c>
      <c r="CZ147" s="72">
        <f t="shared" ca="1" si="79"/>
        <v>21237397.3145</v>
      </c>
      <c r="DA147" s="72">
        <f t="shared" ca="1" si="79"/>
        <v>3787868.9130000002</v>
      </c>
      <c r="DB147" s="72">
        <f t="shared" ca="1" si="79"/>
        <v>4922881.7845000001</v>
      </c>
      <c r="DC147" s="72">
        <f t="shared" ca="1" si="79"/>
        <v>3700914.3590000002</v>
      </c>
      <c r="DD147" s="72">
        <f t="shared" ca="1" si="79"/>
        <v>3606759.7689999999</v>
      </c>
      <c r="DE147" s="72">
        <f t="shared" ca="1" si="79"/>
        <v>4664669.0504999999</v>
      </c>
      <c r="DF147" s="72">
        <f t="shared" ca="1" si="79"/>
        <v>230009152.8655</v>
      </c>
      <c r="DG147" s="72">
        <f t="shared" ca="1" si="79"/>
        <v>2245170.2094999999</v>
      </c>
      <c r="DH147" s="72">
        <f t="shared" ca="1" si="79"/>
        <v>21129919.309500001</v>
      </c>
      <c r="DI147" s="72">
        <f t="shared" ca="1" si="79"/>
        <v>28542301.568999998</v>
      </c>
      <c r="DJ147" s="72">
        <f t="shared" ca="1" si="79"/>
        <v>8361117.5200000005</v>
      </c>
      <c r="DK147" s="72">
        <f t="shared" ca="1" si="79"/>
        <v>6478268.9845000003</v>
      </c>
      <c r="DL147" s="72">
        <f t="shared" ca="1" si="79"/>
        <v>67847459.401999995</v>
      </c>
      <c r="DM147" s="72">
        <f t="shared" ca="1" si="79"/>
        <v>4485116.3815000001</v>
      </c>
      <c r="DN147" s="72">
        <f t="shared" ca="1" si="79"/>
        <v>16327554.8245</v>
      </c>
      <c r="DO147" s="72">
        <f t="shared" ca="1" si="79"/>
        <v>39338943.888499998</v>
      </c>
      <c r="DP147" s="72">
        <f t="shared" ca="1" si="79"/>
        <v>3903267.1009999998</v>
      </c>
      <c r="DQ147" s="72">
        <f t="shared" ca="1" si="79"/>
        <v>11479667.051999999</v>
      </c>
      <c r="DR147" s="72">
        <f t="shared" ca="1" si="79"/>
        <v>16311885.359999999</v>
      </c>
      <c r="DS147" s="72">
        <f t="shared" ca="1" si="79"/>
        <v>8410095.3399999999</v>
      </c>
      <c r="DT147" s="72">
        <f t="shared" ca="1" si="79"/>
        <v>3749928.7064999999</v>
      </c>
      <c r="DU147" s="72">
        <f t="shared" ca="1" si="79"/>
        <v>5395850.8619999997</v>
      </c>
      <c r="DV147" s="72">
        <f t="shared" ca="1" si="79"/>
        <v>3874077.6475</v>
      </c>
      <c r="DW147" s="72">
        <f t="shared" ca="1" si="79"/>
        <v>4786522.3374999994</v>
      </c>
      <c r="DX147" s="72">
        <f t="shared" ca="1" si="79"/>
        <v>3815527.3004999999</v>
      </c>
      <c r="DY147" s="72">
        <f t="shared" ca="1" si="79"/>
        <v>5145943.7184999995</v>
      </c>
      <c r="DZ147" s="72">
        <f t="shared" ca="1" si="79"/>
        <v>9292336.7050000001</v>
      </c>
      <c r="EA147" s="72">
        <f t="shared" ca="1" si="79"/>
        <v>7467213.0120000001</v>
      </c>
      <c r="EB147" s="72">
        <f t="shared" ca="1" si="79"/>
        <v>7192096.0245000003</v>
      </c>
      <c r="EC147" s="72">
        <f t="shared" ca="1" si="79"/>
        <v>4421929.4214999992</v>
      </c>
      <c r="ED147" s="72">
        <f t="shared" ca="1" si="79"/>
        <v>23689244.559999999</v>
      </c>
      <c r="EE147" s="72">
        <f t="shared" ca="1" si="79"/>
        <v>3753665.2550000004</v>
      </c>
      <c r="EF147" s="72">
        <f t="shared" ca="1" si="79"/>
        <v>16571740.7355</v>
      </c>
      <c r="EG147" s="72">
        <f t="shared" ca="1" si="79"/>
        <v>4272588.2215</v>
      </c>
      <c r="EH147" s="72">
        <f t="shared" ca="1" si="79"/>
        <v>4185390.818</v>
      </c>
      <c r="EI147" s="72">
        <f t="shared" ca="1" si="79"/>
        <v>163687034.40000001</v>
      </c>
      <c r="EJ147" s="72">
        <f t="shared" ca="1" si="79"/>
        <v>113585335.42999999</v>
      </c>
      <c r="EK147" s="72">
        <f t="shared" ca="1" si="79"/>
        <v>8598773.1469999999</v>
      </c>
      <c r="EL147" s="72">
        <f t="shared" ca="1" si="79"/>
        <v>6056194.3025000002</v>
      </c>
      <c r="EM147" s="72">
        <f t="shared" ca="1" si="79"/>
        <v>5594227.1255000001</v>
      </c>
      <c r="EN147" s="72">
        <f t="shared" ca="1" si="79"/>
        <v>12177586.8805</v>
      </c>
      <c r="EO147" s="72">
        <f t="shared" ca="1" si="79"/>
        <v>4799141.8195000002</v>
      </c>
      <c r="EP147" s="72">
        <f t="shared" ca="1" si="79"/>
        <v>6337242.9914999995</v>
      </c>
      <c r="EQ147" s="72">
        <f t="shared" ca="1" si="79"/>
        <v>31158516.550000001</v>
      </c>
      <c r="ER147" s="72">
        <f t="shared" ca="1" si="79"/>
        <v>5215205.1645</v>
      </c>
      <c r="ES147" s="72">
        <f t="shared" ca="1" si="79"/>
        <v>3403118.3939999999</v>
      </c>
      <c r="ET147" s="72">
        <f t="shared" ca="1" si="79"/>
        <v>4358136.7494999999</v>
      </c>
      <c r="EU147" s="72">
        <f t="shared" ca="1" si="79"/>
        <v>8201587.5644999994</v>
      </c>
      <c r="EV147" s="72">
        <f t="shared" ca="1" si="79"/>
        <v>1902380.3930000002</v>
      </c>
      <c r="EW147" s="72">
        <f t="shared" ca="1" si="79"/>
        <v>13370071.560000001</v>
      </c>
      <c r="EX147" s="72">
        <f t="shared" ca="1" si="79"/>
        <v>3805304.7845000001</v>
      </c>
      <c r="EY147" s="72">
        <f t="shared" ca="1" si="79"/>
        <v>8090226.3775000004</v>
      </c>
      <c r="EZ147" s="72">
        <f t="shared" ca="1" si="79"/>
        <v>2843721.3509999998</v>
      </c>
      <c r="FA147" s="72">
        <f t="shared" ca="1" si="79"/>
        <v>42788890.164999999</v>
      </c>
      <c r="FB147" s="72">
        <f t="shared" ca="1" si="79"/>
        <v>4884803.9035</v>
      </c>
      <c r="FC147" s="72">
        <f t="shared" ca="1" si="79"/>
        <v>21970505.670000002</v>
      </c>
      <c r="FD147" s="72">
        <f t="shared" ca="1" si="79"/>
        <v>5894100.7965000002</v>
      </c>
      <c r="FE147" s="72">
        <f t="shared" ca="1" si="79"/>
        <v>1991377.31</v>
      </c>
      <c r="FF147" s="72">
        <f t="shared" ca="1" si="79"/>
        <v>3722187.2760000001</v>
      </c>
      <c r="FG147" s="72">
        <f t="shared" ca="1" si="79"/>
        <v>2767543.75</v>
      </c>
      <c r="FH147" s="72">
        <f t="shared" ca="1" si="79"/>
        <v>1735535.4975000001</v>
      </c>
      <c r="FI147" s="72">
        <f t="shared" ca="1" si="79"/>
        <v>21080079.802000001</v>
      </c>
      <c r="FJ147" s="72">
        <f t="shared" ca="1" si="79"/>
        <v>23028042.299999997</v>
      </c>
      <c r="FK147" s="72">
        <f t="shared" ca="1" si="79"/>
        <v>30258313.630000003</v>
      </c>
      <c r="FL147" s="72">
        <f t="shared" ca="1" si="79"/>
        <v>94310893.132499993</v>
      </c>
      <c r="FM147" s="72">
        <f t="shared" ca="1" si="79"/>
        <v>45024271.3235</v>
      </c>
      <c r="FN147" s="72">
        <f t="shared" ca="1" si="79"/>
        <v>266370825.75600001</v>
      </c>
      <c r="FO147" s="72">
        <f t="shared" ca="1" si="79"/>
        <v>13846353.949999999</v>
      </c>
      <c r="FP147" s="72">
        <f t="shared" ca="1" si="79"/>
        <v>28138920.386999998</v>
      </c>
      <c r="FQ147" s="72">
        <f t="shared" ca="1" si="79"/>
        <v>12333404.3455</v>
      </c>
      <c r="FR147" s="72">
        <f t="shared" ca="1" si="79"/>
        <v>3409546.327</v>
      </c>
      <c r="FS147" s="72">
        <f t="shared" ca="1" si="79"/>
        <v>3425421.11</v>
      </c>
      <c r="FT147" s="72">
        <f t="shared" ca="1" si="79"/>
        <v>1506104.6105</v>
      </c>
      <c r="FU147" s="72">
        <f t="shared" ca="1" si="79"/>
        <v>10797281.807499999</v>
      </c>
      <c r="FV147" s="72">
        <f t="shared" ca="1" si="79"/>
        <v>9321322.6289999988</v>
      </c>
      <c r="FW147" s="72">
        <f t="shared" ca="1" si="79"/>
        <v>3290841.9</v>
      </c>
      <c r="FX147" s="72">
        <f t="shared" ca="1" si="79"/>
        <v>1701192.38</v>
      </c>
      <c r="FY147" s="70"/>
      <c r="FZ147" s="73">
        <f t="shared" ca="1" si="75"/>
        <v>10031606090.207495</v>
      </c>
      <c r="GA147" s="62">
        <v>10031606090.207495</v>
      </c>
      <c r="GB147" s="7">
        <f t="shared" ca="1" si="76"/>
        <v>0</v>
      </c>
      <c r="GC147" s="70"/>
      <c r="GD147" s="70"/>
      <c r="GE147" s="70"/>
      <c r="GF147" s="70"/>
      <c r="GG147" s="5"/>
      <c r="GH147" s="71"/>
      <c r="GI147" s="71"/>
      <c r="GJ147" s="71"/>
      <c r="GK147" s="71"/>
      <c r="GL147" s="71"/>
      <c r="GM147" s="71"/>
      <c r="GN147" s="71"/>
      <c r="GO147" s="71"/>
      <c r="GP147" s="5"/>
      <c r="GQ147" s="5"/>
      <c r="GR147" s="5"/>
      <c r="GS147" s="5"/>
      <c r="GT147" s="5"/>
      <c r="GU147" s="5"/>
      <c r="GV147" s="5"/>
    </row>
    <row r="148" spans="1:204" ht="15.5" x14ac:dyDescent="0.35">
      <c r="A148" s="60"/>
      <c r="B148" s="5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0"/>
      <c r="FZ148" s="7"/>
      <c r="GA148" s="62"/>
      <c r="GB148" s="7"/>
      <c r="GC148" s="70"/>
      <c r="GD148" s="70"/>
      <c r="GE148" s="70"/>
      <c r="GF148" s="70"/>
      <c r="GG148" s="5"/>
      <c r="GH148" s="71"/>
      <c r="GI148" s="71"/>
      <c r="GJ148" s="71"/>
      <c r="GK148" s="71"/>
      <c r="GL148" s="71"/>
      <c r="GM148" s="71"/>
      <c r="GN148" s="71"/>
      <c r="GO148" s="71"/>
      <c r="GP148" s="5"/>
      <c r="GQ148" s="5"/>
      <c r="GR148" s="5"/>
      <c r="GS148" s="5"/>
      <c r="GT148" s="5"/>
      <c r="GU148" s="5"/>
      <c r="GV148" s="5"/>
    </row>
    <row r="149" spans="1:204" ht="15.5" x14ac:dyDescent="0.35">
      <c r="A149" s="12" t="s">
        <v>684</v>
      </c>
      <c r="B149" s="5" t="s">
        <v>685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</row>
    <row r="150" spans="1:204" ht="15.5" x14ac:dyDescent="0.35">
      <c r="A150" s="12" t="s">
        <v>686</v>
      </c>
      <c r="B150" s="7" t="s">
        <v>687</v>
      </c>
      <c r="C150" s="38">
        <f t="shared" ref="C150:FX150" si="80">C42</f>
        <v>27</v>
      </c>
      <c r="D150" s="38">
        <f t="shared" si="80"/>
        <v>27</v>
      </c>
      <c r="E150" s="38">
        <f t="shared" si="80"/>
        <v>27</v>
      </c>
      <c r="F150" s="38">
        <f t="shared" si="80"/>
        <v>27</v>
      </c>
      <c r="G150" s="38">
        <f t="shared" si="80"/>
        <v>25.265000000000001</v>
      </c>
      <c r="H150" s="38">
        <f t="shared" si="80"/>
        <v>27</v>
      </c>
      <c r="I150" s="38">
        <f t="shared" si="80"/>
        <v>27</v>
      </c>
      <c r="J150" s="38">
        <f t="shared" si="80"/>
        <v>27</v>
      </c>
      <c r="K150" s="38">
        <f t="shared" si="80"/>
        <v>27</v>
      </c>
      <c r="L150" s="38">
        <f t="shared" si="80"/>
        <v>26.895</v>
      </c>
      <c r="M150" s="38">
        <f t="shared" si="80"/>
        <v>25.946999999999999</v>
      </c>
      <c r="N150" s="38">
        <f t="shared" si="80"/>
        <v>18.756</v>
      </c>
      <c r="O150" s="38">
        <f t="shared" si="80"/>
        <v>27</v>
      </c>
      <c r="P150" s="38">
        <f t="shared" si="80"/>
        <v>27</v>
      </c>
      <c r="Q150" s="38">
        <f t="shared" si="80"/>
        <v>27</v>
      </c>
      <c r="R150" s="38">
        <f t="shared" si="80"/>
        <v>27</v>
      </c>
      <c r="S150" s="38">
        <f t="shared" si="80"/>
        <v>26.013999999999999</v>
      </c>
      <c r="T150" s="38">
        <f t="shared" si="80"/>
        <v>24.300999999999998</v>
      </c>
      <c r="U150" s="38">
        <f t="shared" si="80"/>
        <v>23.800999999999998</v>
      </c>
      <c r="V150" s="38">
        <f t="shared" si="80"/>
        <v>27</v>
      </c>
      <c r="W150" s="38">
        <f t="shared" si="80"/>
        <v>27</v>
      </c>
      <c r="X150" s="38">
        <f t="shared" si="80"/>
        <v>15.755999999999998</v>
      </c>
      <c r="Y150" s="38">
        <f t="shared" si="80"/>
        <v>24.498000000000001</v>
      </c>
      <c r="Z150" s="38">
        <f t="shared" si="80"/>
        <v>23.59</v>
      </c>
      <c r="AA150" s="38">
        <f t="shared" si="80"/>
        <v>27</v>
      </c>
      <c r="AB150" s="38">
        <f t="shared" si="80"/>
        <v>27</v>
      </c>
      <c r="AC150" s="38">
        <f t="shared" si="80"/>
        <v>20.981999999999999</v>
      </c>
      <c r="AD150" s="38">
        <f t="shared" si="80"/>
        <v>19.693000000000001</v>
      </c>
      <c r="AE150" s="38">
        <f t="shared" si="80"/>
        <v>12.814</v>
      </c>
      <c r="AF150" s="38">
        <f t="shared" si="80"/>
        <v>11.673999999999999</v>
      </c>
      <c r="AG150" s="38">
        <f t="shared" si="80"/>
        <v>12.484999999999999</v>
      </c>
      <c r="AH150" s="38">
        <f t="shared" si="80"/>
        <v>22.123000000000001</v>
      </c>
      <c r="AI150" s="38">
        <f t="shared" si="80"/>
        <v>27</v>
      </c>
      <c r="AJ150" s="38">
        <f t="shared" si="80"/>
        <v>23.788</v>
      </c>
      <c r="AK150" s="38">
        <f t="shared" si="80"/>
        <v>21.28</v>
      </c>
      <c r="AL150" s="38">
        <f t="shared" si="80"/>
        <v>27</v>
      </c>
      <c r="AM150" s="38">
        <f t="shared" si="80"/>
        <v>21.449000000000002</v>
      </c>
      <c r="AN150" s="38">
        <f t="shared" si="80"/>
        <v>27</v>
      </c>
      <c r="AO150" s="38">
        <f t="shared" si="80"/>
        <v>27</v>
      </c>
      <c r="AP150" s="38">
        <f t="shared" si="80"/>
        <v>27</v>
      </c>
      <c r="AQ150" s="38">
        <f t="shared" si="80"/>
        <v>18.684999999999999</v>
      </c>
      <c r="AR150" s="38">
        <f t="shared" si="80"/>
        <v>27</v>
      </c>
      <c r="AS150" s="38">
        <f t="shared" si="80"/>
        <v>12.138</v>
      </c>
      <c r="AT150" s="38">
        <f t="shared" si="80"/>
        <v>27</v>
      </c>
      <c r="AU150" s="38">
        <f t="shared" si="80"/>
        <v>24.187999999999999</v>
      </c>
      <c r="AV150" s="38">
        <f t="shared" si="80"/>
        <v>27</v>
      </c>
      <c r="AW150" s="38">
        <f t="shared" si="80"/>
        <v>24.431000000000001</v>
      </c>
      <c r="AX150" s="38">
        <f t="shared" si="80"/>
        <v>21.797999999999998</v>
      </c>
      <c r="AY150" s="38">
        <f t="shared" si="80"/>
        <v>27</v>
      </c>
      <c r="AZ150" s="38">
        <f t="shared" si="80"/>
        <v>15.72</v>
      </c>
      <c r="BA150" s="38">
        <f t="shared" si="80"/>
        <v>26.893999999999998</v>
      </c>
      <c r="BB150" s="38">
        <f t="shared" si="80"/>
        <v>24.684000000000001</v>
      </c>
      <c r="BC150" s="38">
        <f t="shared" si="80"/>
        <v>20.715</v>
      </c>
      <c r="BD150" s="38">
        <f t="shared" si="80"/>
        <v>27</v>
      </c>
      <c r="BE150" s="38">
        <f t="shared" si="80"/>
        <v>27</v>
      </c>
      <c r="BF150" s="38">
        <f t="shared" si="80"/>
        <v>27</v>
      </c>
      <c r="BG150" s="38">
        <f t="shared" si="80"/>
        <v>27</v>
      </c>
      <c r="BH150" s="38">
        <f t="shared" si="80"/>
        <v>26.419</v>
      </c>
      <c r="BI150" s="38">
        <f t="shared" si="80"/>
        <v>13.433</v>
      </c>
      <c r="BJ150" s="38">
        <f t="shared" si="80"/>
        <v>27</v>
      </c>
      <c r="BK150" s="38">
        <f t="shared" si="80"/>
        <v>27</v>
      </c>
      <c r="BL150" s="38">
        <f t="shared" si="80"/>
        <v>27</v>
      </c>
      <c r="BM150" s="38">
        <f t="shared" si="80"/>
        <v>25.834</v>
      </c>
      <c r="BN150" s="38">
        <f t="shared" si="80"/>
        <v>27</v>
      </c>
      <c r="BO150" s="38">
        <f t="shared" si="80"/>
        <v>20.202999999999999</v>
      </c>
      <c r="BP150" s="38">
        <f t="shared" si="80"/>
        <v>26.702000000000002</v>
      </c>
      <c r="BQ150" s="38">
        <f t="shared" si="80"/>
        <v>26.759</v>
      </c>
      <c r="BR150" s="38">
        <f t="shared" si="80"/>
        <v>9.6999999999999993</v>
      </c>
      <c r="BS150" s="38">
        <f t="shared" si="80"/>
        <v>4.3949999999999996</v>
      </c>
      <c r="BT150" s="38">
        <f t="shared" si="80"/>
        <v>6.6509999999999998</v>
      </c>
      <c r="BU150" s="38">
        <f t="shared" si="80"/>
        <v>13.811</v>
      </c>
      <c r="BV150" s="38">
        <f t="shared" si="80"/>
        <v>10.33</v>
      </c>
      <c r="BW150" s="38">
        <f t="shared" si="80"/>
        <v>15.736000000000001</v>
      </c>
      <c r="BX150" s="38">
        <f t="shared" si="80"/>
        <v>19.067</v>
      </c>
      <c r="BY150" s="38">
        <f t="shared" si="80"/>
        <v>27</v>
      </c>
      <c r="BZ150" s="38">
        <f t="shared" si="80"/>
        <v>27</v>
      </c>
      <c r="CA150" s="38">
        <f t="shared" si="80"/>
        <v>23.041</v>
      </c>
      <c r="CB150" s="38">
        <f t="shared" si="80"/>
        <v>27</v>
      </c>
      <c r="CC150" s="38">
        <f t="shared" si="80"/>
        <v>27</v>
      </c>
      <c r="CD150" s="38">
        <f t="shared" si="80"/>
        <v>24.52</v>
      </c>
      <c r="CE150" s="38">
        <f t="shared" si="80"/>
        <v>27</v>
      </c>
      <c r="CF150" s="38">
        <f t="shared" si="80"/>
        <v>24.334</v>
      </c>
      <c r="CG150" s="38">
        <f t="shared" si="80"/>
        <v>27</v>
      </c>
      <c r="CH150" s="38">
        <f t="shared" si="80"/>
        <v>27</v>
      </c>
      <c r="CI150" s="38">
        <f t="shared" si="80"/>
        <v>27</v>
      </c>
      <c r="CJ150" s="38">
        <f t="shared" si="80"/>
        <v>26.513999999999999</v>
      </c>
      <c r="CK150" s="38">
        <f t="shared" si="80"/>
        <v>11.601000000000001</v>
      </c>
      <c r="CL150" s="38">
        <f t="shared" si="80"/>
        <v>13.228999999999999</v>
      </c>
      <c r="CM150" s="38">
        <f t="shared" si="80"/>
        <v>7.274</v>
      </c>
      <c r="CN150" s="38">
        <f t="shared" si="80"/>
        <v>27</v>
      </c>
      <c r="CO150" s="38">
        <f t="shared" si="80"/>
        <v>27</v>
      </c>
      <c r="CP150" s="38">
        <f t="shared" si="80"/>
        <v>18.135999999999999</v>
      </c>
      <c r="CQ150" s="38">
        <f t="shared" si="80"/>
        <v>17.427</v>
      </c>
      <c r="CR150" s="38">
        <f t="shared" si="80"/>
        <v>4.1689999999999996</v>
      </c>
      <c r="CS150" s="38">
        <f t="shared" si="80"/>
        <v>27</v>
      </c>
      <c r="CT150" s="38">
        <f t="shared" si="80"/>
        <v>13.52</v>
      </c>
      <c r="CU150" s="38">
        <f t="shared" si="80"/>
        <v>24.616</v>
      </c>
      <c r="CV150" s="38">
        <f t="shared" si="80"/>
        <v>15.979000000000001</v>
      </c>
      <c r="CW150" s="38">
        <f t="shared" si="80"/>
        <v>17.379000000000001</v>
      </c>
      <c r="CX150" s="38">
        <f t="shared" si="80"/>
        <v>26.824000000000002</v>
      </c>
      <c r="CY150" s="38">
        <f t="shared" si="80"/>
        <v>27</v>
      </c>
      <c r="CZ150" s="38">
        <f t="shared" si="80"/>
        <v>27</v>
      </c>
      <c r="DA150" s="38">
        <f t="shared" si="80"/>
        <v>27</v>
      </c>
      <c r="DB150" s="38">
        <f t="shared" si="80"/>
        <v>27</v>
      </c>
      <c r="DC150" s="38">
        <f t="shared" si="80"/>
        <v>22.417999999999999</v>
      </c>
      <c r="DD150" s="38">
        <f t="shared" si="80"/>
        <v>3.43</v>
      </c>
      <c r="DE150" s="38">
        <f t="shared" si="80"/>
        <v>11.895</v>
      </c>
      <c r="DF150" s="38">
        <f t="shared" si="80"/>
        <v>27</v>
      </c>
      <c r="DG150" s="38">
        <f t="shared" si="80"/>
        <v>25.452999999999999</v>
      </c>
      <c r="DH150" s="38">
        <f t="shared" si="80"/>
        <v>25.515999999999998</v>
      </c>
      <c r="DI150" s="38">
        <f t="shared" si="80"/>
        <v>23.844999999999999</v>
      </c>
      <c r="DJ150" s="38">
        <f t="shared" si="80"/>
        <v>25.882999999999999</v>
      </c>
      <c r="DK150" s="38">
        <f t="shared" si="80"/>
        <v>20.658000000000001</v>
      </c>
      <c r="DL150" s="38">
        <f t="shared" si="80"/>
        <v>26.966999999999999</v>
      </c>
      <c r="DM150" s="38">
        <f t="shared" si="80"/>
        <v>24.899000000000001</v>
      </c>
      <c r="DN150" s="38">
        <f t="shared" si="80"/>
        <v>27</v>
      </c>
      <c r="DO150" s="38">
        <f t="shared" si="80"/>
        <v>27</v>
      </c>
      <c r="DP150" s="38">
        <f t="shared" si="80"/>
        <v>27</v>
      </c>
      <c r="DQ150" s="38">
        <f t="shared" si="80"/>
        <v>24.545000000000002</v>
      </c>
      <c r="DR150" s="38">
        <f t="shared" si="80"/>
        <v>27</v>
      </c>
      <c r="DS150" s="38">
        <f t="shared" si="80"/>
        <v>27</v>
      </c>
      <c r="DT150" s="38">
        <f t="shared" si="80"/>
        <v>26.728999999999999</v>
      </c>
      <c r="DU150" s="38">
        <f t="shared" si="80"/>
        <v>27</v>
      </c>
      <c r="DV150" s="38">
        <f t="shared" si="80"/>
        <v>27</v>
      </c>
      <c r="DW150" s="38">
        <f t="shared" si="80"/>
        <v>26.997</v>
      </c>
      <c r="DX150" s="38">
        <f t="shared" si="80"/>
        <v>23.931000000000001</v>
      </c>
      <c r="DY150" s="38">
        <f t="shared" si="80"/>
        <v>17.928000000000001</v>
      </c>
      <c r="DZ150" s="38">
        <f t="shared" si="80"/>
        <v>22.661999999999999</v>
      </c>
      <c r="EA150" s="38">
        <f t="shared" si="80"/>
        <v>11.192</v>
      </c>
      <c r="EB150" s="38">
        <f t="shared" si="80"/>
        <v>27</v>
      </c>
      <c r="EC150" s="38">
        <f t="shared" si="80"/>
        <v>27</v>
      </c>
      <c r="ED150" s="38">
        <f t="shared" si="80"/>
        <v>4.0839999999999996</v>
      </c>
      <c r="EE150" s="38">
        <f t="shared" si="80"/>
        <v>27</v>
      </c>
      <c r="EF150" s="38">
        <f t="shared" si="80"/>
        <v>24.594999999999999</v>
      </c>
      <c r="EG150" s="38">
        <f t="shared" si="80"/>
        <v>27</v>
      </c>
      <c r="EH150" s="38">
        <f t="shared" si="80"/>
        <v>27</v>
      </c>
      <c r="EI150" s="38">
        <f t="shared" si="80"/>
        <v>27</v>
      </c>
      <c r="EJ150" s="38">
        <f t="shared" si="80"/>
        <v>27</v>
      </c>
      <c r="EK150" s="38">
        <f t="shared" si="80"/>
        <v>5.7670000000000003</v>
      </c>
      <c r="EL150" s="38">
        <f t="shared" si="80"/>
        <v>6.1429999999999998</v>
      </c>
      <c r="EM150" s="38">
        <f t="shared" si="80"/>
        <v>21.308</v>
      </c>
      <c r="EN150" s="38">
        <f t="shared" si="80"/>
        <v>27</v>
      </c>
      <c r="EO150" s="38">
        <f t="shared" si="80"/>
        <v>27</v>
      </c>
      <c r="EP150" s="38">
        <f t="shared" si="80"/>
        <v>25.585999999999999</v>
      </c>
      <c r="EQ150" s="38">
        <f t="shared" si="80"/>
        <v>5.101</v>
      </c>
      <c r="ER150" s="38">
        <f t="shared" si="80"/>
        <v>21.283000000000001</v>
      </c>
      <c r="ES150" s="38">
        <f t="shared" si="80"/>
        <v>27</v>
      </c>
      <c r="ET150" s="38">
        <f t="shared" si="80"/>
        <v>27</v>
      </c>
      <c r="EU150" s="38">
        <f t="shared" si="80"/>
        <v>27</v>
      </c>
      <c r="EV150" s="38">
        <f t="shared" si="80"/>
        <v>15.009</v>
      </c>
      <c r="EW150" s="38">
        <f t="shared" si="80"/>
        <v>7.2809999999999997</v>
      </c>
      <c r="EX150" s="38">
        <f t="shared" si="80"/>
        <v>8.91</v>
      </c>
      <c r="EY150" s="38">
        <f t="shared" si="80"/>
        <v>27</v>
      </c>
      <c r="EZ150" s="38">
        <f t="shared" si="80"/>
        <v>27</v>
      </c>
      <c r="FA150" s="38">
        <f t="shared" si="80"/>
        <v>10.666</v>
      </c>
      <c r="FB150" s="38">
        <f t="shared" si="80"/>
        <v>9.6240000000000006</v>
      </c>
      <c r="FC150" s="38">
        <f t="shared" si="80"/>
        <v>27</v>
      </c>
      <c r="FD150" s="38">
        <f t="shared" si="80"/>
        <v>27</v>
      </c>
      <c r="FE150" s="38">
        <f t="shared" si="80"/>
        <v>19.181000000000001</v>
      </c>
      <c r="FF150" s="38">
        <f t="shared" si="80"/>
        <v>27</v>
      </c>
      <c r="FG150" s="38">
        <f t="shared" si="80"/>
        <v>27</v>
      </c>
      <c r="FH150" s="38">
        <f t="shared" si="80"/>
        <v>24.771999999999998</v>
      </c>
      <c r="FI150" s="38">
        <f t="shared" si="80"/>
        <v>9.6389999999999993</v>
      </c>
      <c r="FJ150" s="38">
        <f t="shared" si="80"/>
        <v>22.207999999999998</v>
      </c>
      <c r="FK150" s="38">
        <f t="shared" si="80"/>
        <v>10.845000000000001</v>
      </c>
      <c r="FL150" s="38">
        <f t="shared" si="80"/>
        <v>27</v>
      </c>
      <c r="FM150" s="38">
        <f t="shared" si="80"/>
        <v>23.414000000000001</v>
      </c>
      <c r="FN150" s="38">
        <f t="shared" si="80"/>
        <v>27</v>
      </c>
      <c r="FO150" s="38">
        <f t="shared" si="80"/>
        <v>4.2009999999999996</v>
      </c>
      <c r="FP150" s="38">
        <f t="shared" si="80"/>
        <v>12.143000000000001</v>
      </c>
      <c r="FQ150" s="38">
        <f t="shared" si="80"/>
        <v>21.88</v>
      </c>
      <c r="FR150" s="38">
        <f t="shared" si="80"/>
        <v>6.7229999999999999</v>
      </c>
      <c r="FS150" s="38">
        <f t="shared" si="80"/>
        <v>5.0679999999999996</v>
      </c>
      <c r="FT150" s="38">
        <f t="shared" si="80"/>
        <v>3.3940000000000001</v>
      </c>
      <c r="FU150" s="38">
        <f t="shared" si="80"/>
        <v>23.344999999999999</v>
      </c>
      <c r="FV150" s="38">
        <f t="shared" si="80"/>
        <v>20.032</v>
      </c>
      <c r="FW150" s="38">
        <f t="shared" si="80"/>
        <v>26.498000000000001</v>
      </c>
      <c r="FX150" s="38">
        <f t="shared" si="80"/>
        <v>24.675000000000001</v>
      </c>
      <c r="FY150" s="49"/>
      <c r="FZ150" s="7"/>
      <c r="GA150" s="45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</row>
    <row r="151" spans="1:204" ht="15.5" x14ac:dyDescent="0.35">
      <c r="A151" s="12" t="s">
        <v>688</v>
      </c>
      <c r="B151" s="7" t="s">
        <v>689</v>
      </c>
      <c r="C151" s="38">
        <f t="shared" ref="C151:FX151" ca="1" si="81">ROUND(((C147-C40)/C41)*1000,3)</f>
        <v>62.795999999999999</v>
      </c>
      <c r="D151" s="38">
        <f t="shared" ca="1" si="81"/>
        <v>101.749</v>
      </c>
      <c r="E151" s="38">
        <f t="shared" ca="1" si="81"/>
        <v>55.529000000000003</v>
      </c>
      <c r="F151" s="38">
        <f t="shared" ca="1" si="81"/>
        <v>82.369</v>
      </c>
      <c r="G151" s="38">
        <f t="shared" ca="1" si="81"/>
        <v>53.401000000000003</v>
      </c>
      <c r="H151" s="38">
        <f t="shared" ca="1" si="81"/>
        <v>92.5</v>
      </c>
      <c r="I151" s="38">
        <f t="shared" ca="1" si="81"/>
        <v>80.710999999999999</v>
      </c>
      <c r="J151" s="38">
        <f t="shared" ca="1" si="81"/>
        <v>122.267</v>
      </c>
      <c r="K151" s="38">
        <f t="shared" ca="1" si="81"/>
        <v>80.772000000000006</v>
      </c>
      <c r="L151" s="38">
        <f t="shared" ca="1" si="81"/>
        <v>26.885999999999999</v>
      </c>
      <c r="M151" s="38">
        <f t="shared" ca="1" si="81"/>
        <v>36.97</v>
      </c>
      <c r="N151" s="38">
        <f t="shared" ca="1" si="81"/>
        <v>58.692</v>
      </c>
      <c r="O151" s="38">
        <f t="shared" ca="1" si="81"/>
        <v>51.631999999999998</v>
      </c>
      <c r="P151" s="38">
        <f t="shared" ca="1" si="81"/>
        <v>89.387</v>
      </c>
      <c r="Q151" s="38">
        <f t="shared" ca="1" si="81"/>
        <v>77.626999999999995</v>
      </c>
      <c r="R151" s="38">
        <f t="shared" ca="1" si="81"/>
        <v>1047</v>
      </c>
      <c r="S151" s="38">
        <f t="shared" ca="1" si="81"/>
        <v>29.696999999999999</v>
      </c>
      <c r="T151" s="38">
        <f t="shared" ca="1" si="81"/>
        <v>119.999</v>
      </c>
      <c r="U151" s="38">
        <f t="shared" ca="1" si="81"/>
        <v>41.695</v>
      </c>
      <c r="V151" s="38">
        <f t="shared" ca="1" si="81"/>
        <v>115.473</v>
      </c>
      <c r="W151" s="38">
        <f t="shared" ca="1" si="81"/>
        <v>390.74599999999998</v>
      </c>
      <c r="X151" s="38">
        <f t="shared" ca="1" si="81"/>
        <v>66.441999999999993</v>
      </c>
      <c r="Y151" s="38">
        <f t="shared" ca="1" si="81"/>
        <v>147.21199999999999</v>
      </c>
      <c r="Z151" s="38">
        <f t="shared" ca="1" si="81"/>
        <v>137.54900000000001</v>
      </c>
      <c r="AA151" s="38">
        <f t="shared" ca="1" si="81"/>
        <v>64.893000000000001</v>
      </c>
      <c r="AB151" s="38">
        <f t="shared" ca="1" si="81"/>
        <v>29.908999999999999</v>
      </c>
      <c r="AC151" s="38">
        <f t="shared" ca="1" si="81"/>
        <v>23.181999999999999</v>
      </c>
      <c r="AD151" s="38">
        <f t="shared" ca="1" si="81"/>
        <v>31.123999999999999</v>
      </c>
      <c r="AE151" s="38">
        <f t="shared" ca="1" si="81"/>
        <v>46.68</v>
      </c>
      <c r="AF151" s="38">
        <f t="shared" ca="1" si="81"/>
        <v>37.942999999999998</v>
      </c>
      <c r="AG151" s="38">
        <f t="shared" ca="1" si="81"/>
        <v>20.670999999999999</v>
      </c>
      <c r="AH151" s="38">
        <f t="shared" ca="1" si="81"/>
        <v>250.27099999999999</v>
      </c>
      <c r="AI151" s="38">
        <f t="shared" ca="1" si="81"/>
        <v>451.69299999999998</v>
      </c>
      <c r="AJ151" s="38">
        <f t="shared" ca="1" si="81"/>
        <v>87.876999999999995</v>
      </c>
      <c r="AK151" s="38">
        <f t="shared" ca="1" si="81"/>
        <v>48.542999999999999</v>
      </c>
      <c r="AL151" s="38">
        <f t="shared" ca="1" si="81"/>
        <v>48.726999999999997</v>
      </c>
      <c r="AM151" s="38">
        <f t="shared" ca="1" si="81"/>
        <v>80.337000000000003</v>
      </c>
      <c r="AN151" s="38">
        <f t="shared" ca="1" si="81"/>
        <v>23.695</v>
      </c>
      <c r="AO151" s="38">
        <f t="shared" ca="1" si="81"/>
        <v>84.245000000000005</v>
      </c>
      <c r="AP151" s="38">
        <f t="shared" ca="1" si="81"/>
        <v>36.075000000000003</v>
      </c>
      <c r="AQ151" s="38">
        <f t="shared" ca="1" si="81"/>
        <v>47.9</v>
      </c>
      <c r="AR151" s="38">
        <f t="shared" ca="1" si="81"/>
        <v>58.398000000000003</v>
      </c>
      <c r="AS151" s="38">
        <f t="shared" ca="1" si="81"/>
        <v>14.981999999999999</v>
      </c>
      <c r="AT151" s="38">
        <f t="shared" ca="1" si="81"/>
        <v>58.790999999999997</v>
      </c>
      <c r="AU151" s="38">
        <f t="shared" ca="1" si="81"/>
        <v>56.377000000000002</v>
      </c>
      <c r="AV151" s="38">
        <f t="shared" ca="1" si="81"/>
        <v>100.529</v>
      </c>
      <c r="AW151" s="38">
        <f t="shared" ca="1" si="81"/>
        <v>101.93899999999999</v>
      </c>
      <c r="AX151" s="38">
        <f t="shared" ca="1" si="81"/>
        <v>60.207000000000001</v>
      </c>
      <c r="AY151" s="38">
        <f t="shared" ca="1" si="81"/>
        <v>91.049000000000007</v>
      </c>
      <c r="AZ151" s="38">
        <f t="shared" ca="1" si="81"/>
        <v>128.87700000000001</v>
      </c>
      <c r="BA151" s="38">
        <f t="shared" ca="1" si="81"/>
        <v>102.887</v>
      </c>
      <c r="BB151" s="38">
        <f t="shared" ca="1" si="81"/>
        <v>300.65100000000001</v>
      </c>
      <c r="BC151" s="38">
        <f t="shared" ca="1" si="81"/>
        <v>60.137</v>
      </c>
      <c r="BD151" s="38">
        <f t="shared" ca="1" si="81"/>
        <v>65.290000000000006</v>
      </c>
      <c r="BE151" s="38">
        <f t="shared" ca="1" si="81"/>
        <v>66.378</v>
      </c>
      <c r="BF151" s="38">
        <f t="shared" ca="1" si="81"/>
        <v>88.620999999999995</v>
      </c>
      <c r="BG151" s="38">
        <f t="shared" ca="1" si="81"/>
        <v>165.13300000000001</v>
      </c>
      <c r="BH151" s="38">
        <f t="shared" ca="1" si="81"/>
        <v>88.563999999999993</v>
      </c>
      <c r="BI151" s="38">
        <f t="shared" ca="1" si="81"/>
        <v>81.111000000000004</v>
      </c>
      <c r="BJ151" s="38">
        <f t="shared" ca="1" si="81"/>
        <v>65.644000000000005</v>
      </c>
      <c r="BK151" s="38">
        <f t="shared" ca="1" si="81"/>
        <v>199.07300000000001</v>
      </c>
      <c r="BL151" s="38">
        <f t="shared" ca="1" si="81"/>
        <v>243.321</v>
      </c>
      <c r="BM151" s="38">
        <f t="shared" ca="1" si="81"/>
        <v>113.649</v>
      </c>
      <c r="BN151" s="38">
        <f t="shared" ca="1" si="81"/>
        <v>84.027000000000001</v>
      </c>
      <c r="BO151" s="38">
        <f t="shared" ca="1" si="81"/>
        <v>67.093000000000004</v>
      </c>
      <c r="BP151" s="38">
        <f t="shared" ca="1" si="81"/>
        <v>29.896000000000001</v>
      </c>
      <c r="BQ151" s="38">
        <f t="shared" ca="1" si="81"/>
        <v>33.758000000000003</v>
      </c>
      <c r="BR151" s="38">
        <f t="shared" ca="1" si="81"/>
        <v>58.232999999999997</v>
      </c>
      <c r="BS151" s="38">
        <f t="shared" ca="1" si="81"/>
        <v>22.977</v>
      </c>
      <c r="BT151" s="38">
        <f t="shared" ca="1" si="81"/>
        <v>12.045</v>
      </c>
      <c r="BU151" s="38">
        <f t="shared" ca="1" si="81"/>
        <v>33.832999999999998</v>
      </c>
      <c r="BV151" s="38">
        <f t="shared" ca="1" si="81"/>
        <v>10.047000000000001</v>
      </c>
      <c r="BW151" s="38">
        <f t="shared" ca="1" si="81"/>
        <v>19.271999999999998</v>
      </c>
      <c r="BX151" s="38">
        <f t="shared" ca="1" si="81"/>
        <v>26.018000000000001</v>
      </c>
      <c r="BY151" s="38">
        <f t="shared" ca="1" si="81"/>
        <v>45.554000000000002</v>
      </c>
      <c r="BZ151" s="38">
        <f t="shared" ca="1" si="81"/>
        <v>92.933000000000007</v>
      </c>
      <c r="CA151" s="38">
        <f t="shared" ca="1" si="81"/>
        <v>24.59</v>
      </c>
      <c r="CB151" s="38">
        <f t="shared" ca="1" si="81"/>
        <v>52.357999999999997</v>
      </c>
      <c r="CC151" s="38">
        <f t="shared" ca="1" si="81"/>
        <v>173.47800000000001</v>
      </c>
      <c r="CD151" s="38">
        <f t="shared" ca="1" si="81"/>
        <v>139.16499999999999</v>
      </c>
      <c r="CE151" s="38">
        <f t="shared" ca="1" si="81"/>
        <v>64.864000000000004</v>
      </c>
      <c r="CF151" s="38">
        <f t="shared" ca="1" si="81"/>
        <v>66.593999999999994</v>
      </c>
      <c r="CG151" s="38">
        <f t="shared" ca="1" si="81"/>
        <v>128.46799999999999</v>
      </c>
      <c r="CH151" s="38">
        <f t="shared" ca="1" si="81"/>
        <v>116.62</v>
      </c>
      <c r="CI151" s="38">
        <f t="shared" ca="1" si="81"/>
        <v>66.956000000000003</v>
      </c>
      <c r="CJ151" s="38">
        <f t="shared" ca="1" si="81"/>
        <v>28.54</v>
      </c>
      <c r="CK151" s="38">
        <f t="shared" ca="1" si="81"/>
        <v>30.562999999999999</v>
      </c>
      <c r="CL151" s="38">
        <f t="shared" ca="1" si="81"/>
        <v>59.012</v>
      </c>
      <c r="CM151" s="38">
        <f t="shared" ca="1" si="81"/>
        <v>38.412999999999997</v>
      </c>
      <c r="CN151" s="38">
        <f t="shared" ca="1" si="81"/>
        <v>63.728999999999999</v>
      </c>
      <c r="CO151" s="38">
        <f t="shared" ca="1" si="81"/>
        <v>44.939</v>
      </c>
      <c r="CP151" s="38">
        <f t="shared" ca="1" si="81"/>
        <v>17.302</v>
      </c>
      <c r="CQ151" s="38">
        <f t="shared" ca="1" si="81"/>
        <v>60.686999999999998</v>
      </c>
      <c r="CR151" s="38">
        <f t="shared" ca="1" si="81"/>
        <v>46.609000000000002</v>
      </c>
      <c r="CS151" s="38">
        <f t="shared" ca="1" si="81"/>
        <v>74.290000000000006</v>
      </c>
      <c r="CT151" s="38">
        <f t="shared" ca="1" si="81"/>
        <v>53.180999999999997</v>
      </c>
      <c r="CU151" s="38">
        <f t="shared" ca="1" si="81"/>
        <v>279.38900000000001</v>
      </c>
      <c r="CV151" s="38">
        <f t="shared" ca="1" si="81"/>
        <v>43.607999999999997</v>
      </c>
      <c r="CW151" s="38">
        <f t="shared" ca="1" si="81"/>
        <v>54.816000000000003</v>
      </c>
      <c r="CX151" s="38">
        <f t="shared" ca="1" si="81"/>
        <v>67.16</v>
      </c>
      <c r="CY151" s="38">
        <f t="shared" ca="1" si="81"/>
        <v>181.65100000000001</v>
      </c>
      <c r="CZ151" s="38">
        <f t="shared" ca="1" si="81"/>
        <v>75.001999999999995</v>
      </c>
      <c r="DA151" s="38">
        <f t="shared" ca="1" si="81"/>
        <v>72.256</v>
      </c>
      <c r="DB151" s="38">
        <f t="shared" ca="1" si="81"/>
        <v>96.528999999999996</v>
      </c>
      <c r="DC151" s="38">
        <f t="shared" ca="1" si="81"/>
        <v>62.643000000000001</v>
      </c>
      <c r="DD151" s="38">
        <f t="shared" ca="1" si="81"/>
        <v>14.298999999999999</v>
      </c>
      <c r="DE151" s="38">
        <f t="shared" ca="1" si="81"/>
        <v>27.437000000000001</v>
      </c>
      <c r="DF151" s="38">
        <f t="shared" ca="1" si="81"/>
        <v>71.03</v>
      </c>
      <c r="DG151" s="38">
        <f t="shared" ca="1" si="81"/>
        <v>32.752000000000002</v>
      </c>
      <c r="DH151" s="38">
        <f t="shared" ca="1" si="81"/>
        <v>49.728000000000002</v>
      </c>
      <c r="DI151" s="38">
        <f t="shared" ca="1" si="81"/>
        <v>48.613</v>
      </c>
      <c r="DJ151" s="38">
        <f t="shared" ca="1" si="81"/>
        <v>108.624</v>
      </c>
      <c r="DK151" s="38">
        <f t="shared" ca="1" si="81"/>
        <v>94.272000000000006</v>
      </c>
      <c r="DL151" s="38">
        <f t="shared" ca="1" si="81"/>
        <v>67.644000000000005</v>
      </c>
      <c r="DM151" s="38">
        <f t="shared" ca="1" si="81"/>
        <v>145.80099999999999</v>
      </c>
      <c r="DN151" s="38">
        <f t="shared" ca="1" si="81"/>
        <v>55.813000000000002</v>
      </c>
      <c r="DO151" s="38">
        <f t="shared" ca="1" si="81"/>
        <v>97.561999999999998</v>
      </c>
      <c r="DP151" s="38">
        <f t="shared" ca="1" si="81"/>
        <v>105.396</v>
      </c>
      <c r="DQ151" s="38">
        <f t="shared" ca="1" si="81"/>
        <v>27.945</v>
      </c>
      <c r="DR151" s="38">
        <f t="shared" ca="1" si="81"/>
        <v>160.964</v>
      </c>
      <c r="DS151" s="38">
        <f t="shared" ca="1" si="81"/>
        <v>175.57499999999999</v>
      </c>
      <c r="DT151" s="38">
        <f t="shared" ca="1" si="81"/>
        <v>291.24</v>
      </c>
      <c r="DU151" s="38">
        <f t="shared" ca="1" si="81"/>
        <v>164.24100000000001</v>
      </c>
      <c r="DV151" s="38">
        <f t="shared" ca="1" si="81"/>
        <v>376.06200000000001</v>
      </c>
      <c r="DW151" s="38">
        <f t="shared" ca="1" si="81"/>
        <v>214.154</v>
      </c>
      <c r="DX151" s="38">
        <f t="shared" ca="1" si="81"/>
        <v>32.125999999999998</v>
      </c>
      <c r="DY151" s="38">
        <f t="shared" ca="1" si="81"/>
        <v>22.298999999999999</v>
      </c>
      <c r="DZ151" s="38">
        <f t="shared" ca="1" si="81"/>
        <v>33.692999999999998</v>
      </c>
      <c r="EA151" s="38">
        <f t="shared" ca="1" si="81"/>
        <v>10.039</v>
      </c>
      <c r="EB151" s="38">
        <f t="shared" ca="1" si="81"/>
        <v>79.734999999999999</v>
      </c>
      <c r="EC151" s="38">
        <f t="shared" ca="1" si="81"/>
        <v>111.85299999999999</v>
      </c>
      <c r="ED151" s="38">
        <f t="shared" ca="1" si="81"/>
        <v>4.0309999999999997</v>
      </c>
      <c r="EE151" s="38">
        <f t="shared" ca="1" si="81"/>
        <v>194.78800000000001</v>
      </c>
      <c r="EF151" s="38">
        <f t="shared" ca="1" si="81"/>
        <v>152.23699999999999</v>
      </c>
      <c r="EG151" s="38">
        <f t="shared" ca="1" si="81"/>
        <v>132.83199999999999</v>
      </c>
      <c r="EH151" s="38">
        <f t="shared" ca="1" si="81"/>
        <v>274.39400000000001</v>
      </c>
      <c r="EI151" s="38">
        <f t="shared" ca="1" si="81"/>
        <v>108.47199999999999</v>
      </c>
      <c r="EJ151" s="38">
        <f t="shared" ca="1" si="81"/>
        <v>96.37</v>
      </c>
      <c r="EK151" s="38">
        <f t="shared" ca="1" si="81"/>
        <v>17.405000000000001</v>
      </c>
      <c r="EL151" s="38">
        <f t="shared" ca="1" si="81"/>
        <v>22.576000000000001</v>
      </c>
      <c r="EM151" s="38">
        <f t="shared" ca="1" si="81"/>
        <v>39.055</v>
      </c>
      <c r="EN151" s="38">
        <f t="shared" ca="1" si="81"/>
        <v>135.93299999999999</v>
      </c>
      <c r="EO151" s="38">
        <f t="shared" ca="1" si="81"/>
        <v>100.111</v>
      </c>
      <c r="EP151" s="38">
        <f t="shared" ca="1" si="81"/>
        <v>35.470999999999997</v>
      </c>
      <c r="EQ151" s="38">
        <f t="shared" ca="1" si="81"/>
        <v>14.255000000000001</v>
      </c>
      <c r="ER151" s="38">
        <f t="shared" ca="1" si="81"/>
        <v>30.244</v>
      </c>
      <c r="ES151" s="38">
        <f t="shared" ca="1" si="81"/>
        <v>86.376000000000005</v>
      </c>
      <c r="ET151" s="38">
        <f t="shared" ca="1" si="81"/>
        <v>84.887</v>
      </c>
      <c r="EU151" s="38">
        <f t="shared" ca="1" si="81"/>
        <v>171.624</v>
      </c>
      <c r="EV151" s="38">
        <f t="shared" ca="1" si="81"/>
        <v>23.437999999999999</v>
      </c>
      <c r="EW151" s="38">
        <f t="shared" ca="1" si="81"/>
        <v>9.1820000000000004</v>
      </c>
      <c r="EX151" s="38">
        <f t="shared" ca="1" si="81"/>
        <v>63.274000000000001</v>
      </c>
      <c r="EY151" s="38">
        <f t="shared" ca="1" si="81"/>
        <v>197.37299999999999</v>
      </c>
      <c r="EZ151" s="38">
        <f t="shared" ca="1" si="81"/>
        <v>85.018000000000001</v>
      </c>
      <c r="FA151" s="38">
        <f t="shared" ca="1" si="81"/>
        <v>10.93</v>
      </c>
      <c r="FB151" s="38">
        <f t="shared" ca="1" si="81"/>
        <v>11.128</v>
      </c>
      <c r="FC151" s="38">
        <f t="shared" ca="1" si="81"/>
        <v>45.317</v>
      </c>
      <c r="FD151" s="38">
        <f t="shared" ca="1" si="81"/>
        <v>103.736</v>
      </c>
      <c r="FE151" s="38">
        <f t="shared" ca="1" si="81"/>
        <v>61.441000000000003</v>
      </c>
      <c r="FF151" s="38">
        <f t="shared" ca="1" si="81"/>
        <v>151.47900000000001</v>
      </c>
      <c r="FG151" s="38">
        <f t="shared" ca="1" si="81"/>
        <v>78.424000000000007</v>
      </c>
      <c r="FH151" s="38">
        <f t="shared" ca="1" si="81"/>
        <v>43.332000000000001</v>
      </c>
      <c r="FI151" s="38">
        <f t="shared" ca="1" si="81"/>
        <v>15.103</v>
      </c>
      <c r="FJ151" s="38">
        <f t="shared" ca="1" si="81"/>
        <v>27.35</v>
      </c>
      <c r="FK151" s="38">
        <f t="shared" ca="1" si="81"/>
        <v>13.262</v>
      </c>
      <c r="FL151" s="38">
        <f t="shared" ca="1" si="81"/>
        <v>48.805</v>
      </c>
      <c r="FM151" s="38">
        <f t="shared" ca="1" si="81"/>
        <v>33.591000000000001</v>
      </c>
      <c r="FN151" s="38">
        <f t="shared" ca="1" si="81"/>
        <v>109.479</v>
      </c>
      <c r="FO151" s="38">
        <f t="shared" ca="1" si="81"/>
        <v>3.4359999999999999</v>
      </c>
      <c r="FP151" s="38">
        <f t="shared" ca="1" si="81"/>
        <v>25.792999999999999</v>
      </c>
      <c r="FQ151" s="38">
        <f t="shared" ca="1" si="81"/>
        <v>13.557</v>
      </c>
      <c r="FR151" s="38">
        <f t="shared" ca="1" si="81"/>
        <v>6.7149999999999999</v>
      </c>
      <c r="FS151" s="38">
        <f t="shared" ca="1" si="81"/>
        <v>6.4669999999999996</v>
      </c>
      <c r="FT151" s="38">
        <f t="shared" ca="1" si="81"/>
        <v>2.5209999999999999</v>
      </c>
      <c r="FU151" s="38">
        <f t="shared" ca="1" si="81"/>
        <v>67.602000000000004</v>
      </c>
      <c r="FV151" s="38">
        <f t="shared" ca="1" si="81"/>
        <v>68.927000000000007</v>
      </c>
      <c r="FW151" s="38">
        <f t="shared" ca="1" si="81"/>
        <v>187.733</v>
      </c>
      <c r="FX151" s="38">
        <f t="shared" ca="1" si="81"/>
        <v>102.515</v>
      </c>
      <c r="FY151" s="45"/>
      <c r="FZ151" s="45">
        <f ca="1">SUM(C151:FX151)</f>
        <v>15650.45800000001</v>
      </c>
      <c r="GA151" s="45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</row>
    <row r="152" spans="1:204" ht="15.5" x14ac:dyDescent="0.35">
      <c r="A152" s="60" t="s">
        <v>690</v>
      </c>
      <c r="B152" s="5" t="s">
        <v>691</v>
      </c>
      <c r="C152" s="74">
        <f t="shared" ref="C152:FX152" ca="1" si="82">MIN(C150,C151)</f>
        <v>27</v>
      </c>
      <c r="D152" s="74">
        <f t="shared" ca="1" si="82"/>
        <v>27</v>
      </c>
      <c r="E152" s="74">
        <f t="shared" ca="1" si="82"/>
        <v>27</v>
      </c>
      <c r="F152" s="74">
        <f t="shared" ca="1" si="82"/>
        <v>27</v>
      </c>
      <c r="G152" s="74">
        <f t="shared" ca="1" si="82"/>
        <v>25.265000000000001</v>
      </c>
      <c r="H152" s="74">
        <f t="shared" ca="1" si="82"/>
        <v>27</v>
      </c>
      <c r="I152" s="74">
        <f t="shared" ca="1" si="82"/>
        <v>27</v>
      </c>
      <c r="J152" s="74">
        <f t="shared" ca="1" si="82"/>
        <v>27</v>
      </c>
      <c r="K152" s="74">
        <f t="shared" ca="1" si="82"/>
        <v>27</v>
      </c>
      <c r="L152" s="74">
        <f t="shared" ca="1" si="82"/>
        <v>26.885999999999999</v>
      </c>
      <c r="M152" s="74">
        <f t="shared" ca="1" si="82"/>
        <v>25.946999999999999</v>
      </c>
      <c r="N152" s="74">
        <f t="shared" ca="1" si="82"/>
        <v>18.756</v>
      </c>
      <c r="O152" s="74">
        <f t="shared" ca="1" si="82"/>
        <v>27</v>
      </c>
      <c r="P152" s="74">
        <f t="shared" ca="1" si="82"/>
        <v>27</v>
      </c>
      <c r="Q152" s="74">
        <f t="shared" ca="1" si="82"/>
        <v>27</v>
      </c>
      <c r="R152" s="74">
        <f t="shared" ca="1" si="82"/>
        <v>27</v>
      </c>
      <c r="S152" s="74">
        <f t="shared" ca="1" si="82"/>
        <v>26.013999999999999</v>
      </c>
      <c r="T152" s="74">
        <f t="shared" ca="1" si="82"/>
        <v>24.300999999999998</v>
      </c>
      <c r="U152" s="74">
        <f t="shared" ca="1" si="82"/>
        <v>23.800999999999998</v>
      </c>
      <c r="V152" s="74">
        <f t="shared" ca="1" si="82"/>
        <v>27</v>
      </c>
      <c r="W152" s="74">
        <f t="shared" ca="1" si="82"/>
        <v>27</v>
      </c>
      <c r="X152" s="74">
        <f t="shared" ca="1" si="82"/>
        <v>15.755999999999998</v>
      </c>
      <c r="Y152" s="74">
        <f t="shared" ca="1" si="82"/>
        <v>24.498000000000001</v>
      </c>
      <c r="Z152" s="74">
        <f t="shared" ca="1" si="82"/>
        <v>23.59</v>
      </c>
      <c r="AA152" s="74">
        <f t="shared" ca="1" si="82"/>
        <v>27</v>
      </c>
      <c r="AB152" s="74">
        <f t="shared" ca="1" si="82"/>
        <v>27</v>
      </c>
      <c r="AC152" s="74">
        <f t="shared" ca="1" si="82"/>
        <v>20.981999999999999</v>
      </c>
      <c r="AD152" s="74">
        <f t="shared" ca="1" si="82"/>
        <v>19.693000000000001</v>
      </c>
      <c r="AE152" s="74">
        <f t="shared" ca="1" si="82"/>
        <v>12.814</v>
      </c>
      <c r="AF152" s="74">
        <f t="shared" ca="1" si="82"/>
        <v>11.673999999999999</v>
      </c>
      <c r="AG152" s="74">
        <f t="shared" ca="1" si="82"/>
        <v>12.484999999999999</v>
      </c>
      <c r="AH152" s="74">
        <f t="shared" ca="1" si="82"/>
        <v>22.123000000000001</v>
      </c>
      <c r="AI152" s="74">
        <f t="shared" ca="1" si="82"/>
        <v>27</v>
      </c>
      <c r="AJ152" s="74">
        <f t="shared" ca="1" si="82"/>
        <v>23.788</v>
      </c>
      <c r="AK152" s="74">
        <f t="shared" ca="1" si="82"/>
        <v>21.28</v>
      </c>
      <c r="AL152" s="74">
        <f t="shared" ca="1" si="82"/>
        <v>27</v>
      </c>
      <c r="AM152" s="74">
        <f t="shared" ca="1" si="82"/>
        <v>21.449000000000002</v>
      </c>
      <c r="AN152" s="74">
        <f t="shared" ca="1" si="82"/>
        <v>23.695</v>
      </c>
      <c r="AO152" s="74">
        <f t="shared" ca="1" si="82"/>
        <v>27</v>
      </c>
      <c r="AP152" s="74">
        <f t="shared" ca="1" si="82"/>
        <v>27</v>
      </c>
      <c r="AQ152" s="74">
        <f t="shared" ca="1" si="82"/>
        <v>18.684999999999999</v>
      </c>
      <c r="AR152" s="74">
        <f t="shared" ca="1" si="82"/>
        <v>27</v>
      </c>
      <c r="AS152" s="74">
        <f t="shared" ca="1" si="82"/>
        <v>12.138</v>
      </c>
      <c r="AT152" s="74">
        <f t="shared" ca="1" si="82"/>
        <v>27</v>
      </c>
      <c r="AU152" s="74">
        <f t="shared" ca="1" si="82"/>
        <v>24.187999999999999</v>
      </c>
      <c r="AV152" s="74">
        <f t="shared" ca="1" si="82"/>
        <v>27</v>
      </c>
      <c r="AW152" s="74">
        <f t="shared" ca="1" si="82"/>
        <v>24.431000000000001</v>
      </c>
      <c r="AX152" s="74">
        <f t="shared" ca="1" si="82"/>
        <v>21.797999999999998</v>
      </c>
      <c r="AY152" s="74">
        <f t="shared" ca="1" si="82"/>
        <v>27</v>
      </c>
      <c r="AZ152" s="74">
        <f t="shared" ca="1" si="82"/>
        <v>15.72</v>
      </c>
      <c r="BA152" s="74">
        <f t="shared" ca="1" si="82"/>
        <v>26.893999999999998</v>
      </c>
      <c r="BB152" s="74">
        <f t="shared" ca="1" si="82"/>
        <v>24.684000000000001</v>
      </c>
      <c r="BC152" s="74">
        <f t="shared" ca="1" si="82"/>
        <v>20.715</v>
      </c>
      <c r="BD152" s="74">
        <f t="shared" ca="1" si="82"/>
        <v>27</v>
      </c>
      <c r="BE152" s="74">
        <f t="shared" ca="1" si="82"/>
        <v>27</v>
      </c>
      <c r="BF152" s="74">
        <f t="shared" ca="1" si="82"/>
        <v>27</v>
      </c>
      <c r="BG152" s="74">
        <f t="shared" ca="1" si="82"/>
        <v>27</v>
      </c>
      <c r="BH152" s="74">
        <f t="shared" ca="1" si="82"/>
        <v>26.419</v>
      </c>
      <c r="BI152" s="74">
        <f t="shared" ca="1" si="82"/>
        <v>13.433</v>
      </c>
      <c r="BJ152" s="74">
        <f t="shared" ca="1" si="82"/>
        <v>27</v>
      </c>
      <c r="BK152" s="74">
        <f t="shared" ca="1" si="82"/>
        <v>27</v>
      </c>
      <c r="BL152" s="74">
        <f t="shared" ca="1" si="82"/>
        <v>27</v>
      </c>
      <c r="BM152" s="74">
        <f t="shared" ca="1" si="82"/>
        <v>25.834</v>
      </c>
      <c r="BN152" s="74">
        <f t="shared" ca="1" si="82"/>
        <v>27</v>
      </c>
      <c r="BO152" s="74">
        <f t="shared" ca="1" si="82"/>
        <v>20.202999999999999</v>
      </c>
      <c r="BP152" s="74">
        <f t="shared" ca="1" si="82"/>
        <v>26.702000000000002</v>
      </c>
      <c r="BQ152" s="74">
        <f t="shared" ca="1" si="82"/>
        <v>26.759</v>
      </c>
      <c r="BR152" s="74">
        <f t="shared" ca="1" si="82"/>
        <v>9.6999999999999993</v>
      </c>
      <c r="BS152" s="74">
        <f t="shared" ca="1" si="82"/>
        <v>4.3949999999999996</v>
      </c>
      <c r="BT152" s="74">
        <f t="shared" ca="1" si="82"/>
        <v>6.6509999999999998</v>
      </c>
      <c r="BU152" s="74">
        <f t="shared" ca="1" si="82"/>
        <v>13.811</v>
      </c>
      <c r="BV152" s="74">
        <f t="shared" ca="1" si="82"/>
        <v>10.047000000000001</v>
      </c>
      <c r="BW152" s="74">
        <f t="shared" ca="1" si="82"/>
        <v>15.736000000000001</v>
      </c>
      <c r="BX152" s="74">
        <f t="shared" ca="1" si="82"/>
        <v>19.067</v>
      </c>
      <c r="BY152" s="74">
        <f t="shared" ca="1" si="82"/>
        <v>27</v>
      </c>
      <c r="BZ152" s="74">
        <f t="shared" ca="1" si="82"/>
        <v>27</v>
      </c>
      <c r="CA152" s="74">
        <f t="shared" ca="1" si="82"/>
        <v>23.041</v>
      </c>
      <c r="CB152" s="74">
        <f t="shared" ca="1" si="82"/>
        <v>27</v>
      </c>
      <c r="CC152" s="74">
        <f t="shared" ca="1" si="82"/>
        <v>27</v>
      </c>
      <c r="CD152" s="74">
        <f t="shared" ca="1" si="82"/>
        <v>24.52</v>
      </c>
      <c r="CE152" s="74">
        <f t="shared" ca="1" si="82"/>
        <v>27</v>
      </c>
      <c r="CF152" s="74">
        <f t="shared" ca="1" si="82"/>
        <v>24.334</v>
      </c>
      <c r="CG152" s="74">
        <f t="shared" ca="1" si="82"/>
        <v>27</v>
      </c>
      <c r="CH152" s="74">
        <f t="shared" ca="1" si="82"/>
        <v>27</v>
      </c>
      <c r="CI152" s="74">
        <f t="shared" ca="1" si="82"/>
        <v>27</v>
      </c>
      <c r="CJ152" s="74">
        <f t="shared" ca="1" si="82"/>
        <v>26.513999999999999</v>
      </c>
      <c r="CK152" s="74">
        <f t="shared" ca="1" si="82"/>
        <v>11.601000000000001</v>
      </c>
      <c r="CL152" s="74">
        <f t="shared" ca="1" si="82"/>
        <v>13.228999999999999</v>
      </c>
      <c r="CM152" s="74">
        <f t="shared" ca="1" si="82"/>
        <v>7.274</v>
      </c>
      <c r="CN152" s="74">
        <f t="shared" ca="1" si="82"/>
        <v>27</v>
      </c>
      <c r="CO152" s="74">
        <f t="shared" ca="1" si="82"/>
        <v>27</v>
      </c>
      <c r="CP152" s="74">
        <f t="shared" ca="1" si="82"/>
        <v>17.302</v>
      </c>
      <c r="CQ152" s="74">
        <f t="shared" ca="1" si="82"/>
        <v>17.427</v>
      </c>
      <c r="CR152" s="74">
        <f t="shared" ca="1" si="82"/>
        <v>4.1689999999999996</v>
      </c>
      <c r="CS152" s="74">
        <f t="shared" ca="1" si="82"/>
        <v>27</v>
      </c>
      <c r="CT152" s="74">
        <f t="shared" ca="1" si="82"/>
        <v>13.52</v>
      </c>
      <c r="CU152" s="74">
        <f t="shared" ca="1" si="82"/>
        <v>24.616</v>
      </c>
      <c r="CV152" s="74">
        <f t="shared" ca="1" si="82"/>
        <v>15.979000000000001</v>
      </c>
      <c r="CW152" s="74">
        <f t="shared" ca="1" si="82"/>
        <v>17.379000000000001</v>
      </c>
      <c r="CX152" s="74">
        <f t="shared" ca="1" si="82"/>
        <v>26.824000000000002</v>
      </c>
      <c r="CY152" s="74">
        <f t="shared" ca="1" si="82"/>
        <v>27</v>
      </c>
      <c r="CZ152" s="74">
        <f t="shared" ca="1" si="82"/>
        <v>27</v>
      </c>
      <c r="DA152" s="74">
        <f t="shared" ca="1" si="82"/>
        <v>27</v>
      </c>
      <c r="DB152" s="74">
        <f t="shared" ca="1" si="82"/>
        <v>27</v>
      </c>
      <c r="DC152" s="74">
        <f t="shared" ca="1" si="82"/>
        <v>22.417999999999999</v>
      </c>
      <c r="DD152" s="74">
        <f t="shared" ca="1" si="82"/>
        <v>3.43</v>
      </c>
      <c r="DE152" s="74">
        <f t="shared" ca="1" si="82"/>
        <v>11.895</v>
      </c>
      <c r="DF152" s="74">
        <f t="shared" ca="1" si="82"/>
        <v>27</v>
      </c>
      <c r="DG152" s="74">
        <f t="shared" ca="1" si="82"/>
        <v>25.452999999999999</v>
      </c>
      <c r="DH152" s="74">
        <f t="shared" ca="1" si="82"/>
        <v>25.515999999999998</v>
      </c>
      <c r="DI152" s="74">
        <f t="shared" ca="1" si="82"/>
        <v>23.844999999999999</v>
      </c>
      <c r="DJ152" s="74">
        <f t="shared" ca="1" si="82"/>
        <v>25.882999999999999</v>
      </c>
      <c r="DK152" s="74">
        <f t="shared" ca="1" si="82"/>
        <v>20.658000000000001</v>
      </c>
      <c r="DL152" s="74">
        <f t="shared" ca="1" si="82"/>
        <v>26.966999999999999</v>
      </c>
      <c r="DM152" s="74">
        <f t="shared" ca="1" si="82"/>
        <v>24.899000000000001</v>
      </c>
      <c r="DN152" s="74">
        <f t="shared" ca="1" si="82"/>
        <v>27</v>
      </c>
      <c r="DO152" s="74">
        <f t="shared" ca="1" si="82"/>
        <v>27</v>
      </c>
      <c r="DP152" s="74">
        <f t="shared" ca="1" si="82"/>
        <v>27</v>
      </c>
      <c r="DQ152" s="74">
        <f t="shared" ca="1" si="82"/>
        <v>24.545000000000002</v>
      </c>
      <c r="DR152" s="74">
        <f t="shared" ca="1" si="82"/>
        <v>27</v>
      </c>
      <c r="DS152" s="74">
        <f t="shared" ca="1" si="82"/>
        <v>27</v>
      </c>
      <c r="DT152" s="74">
        <f t="shared" ca="1" si="82"/>
        <v>26.728999999999999</v>
      </c>
      <c r="DU152" s="74">
        <f t="shared" ca="1" si="82"/>
        <v>27</v>
      </c>
      <c r="DV152" s="74">
        <f t="shared" ca="1" si="82"/>
        <v>27</v>
      </c>
      <c r="DW152" s="74">
        <f t="shared" ca="1" si="82"/>
        <v>26.997</v>
      </c>
      <c r="DX152" s="74">
        <f t="shared" ca="1" si="82"/>
        <v>23.931000000000001</v>
      </c>
      <c r="DY152" s="74">
        <f t="shared" ca="1" si="82"/>
        <v>17.928000000000001</v>
      </c>
      <c r="DZ152" s="74">
        <f t="shared" ca="1" si="82"/>
        <v>22.661999999999999</v>
      </c>
      <c r="EA152" s="74">
        <f t="shared" ca="1" si="82"/>
        <v>10.039</v>
      </c>
      <c r="EB152" s="74">
        <f t="shared" ca="1" si="82"/>
        <v>27</v>
      </c>
      <c r="EC152" s="74">
        <f t="shared" ca="1" si="82"/>
        <v>27</v>
      </c>
      <c r="ED152" s="74">
        <f t="shared" ca="1" si="82"/>
        <v>4.0309999999999997</v>
      </c>
      <c r="EE152" s="74">
        <f t="shared" ca="1" si="82"/>
        <v>27</v>
      </c>
      <c r="EF152" s="74">
        <f t="shared" ca="1" si="82"/>
        <v>24.594999999999999</v>
      </c>
      <c r="EG152" s="74">
        <f t="shared" ca="1" si="82"/>
        <v>27</v>
      </c>
      <c r="EH152" s="74">
        <f t="shared" ca="1" si="82"/>
        <v>27</v>
      </c>
      <c r="EI152" s="74">
        <f t="shared" ca="1" si="82"/>
        <v>27</v>
      </c>
      <c r="EJ152" s="74">
        <f t="shared" ca="1" si="82"/>
        <v>27</v>
      </c>
      <c r="EK152" s="74">
        <f t="shared" ca="1" si="82"/>
        <v>5.7670000000000003</v>
      </c>
      <c r="EL152" s="74">
        <f t="shared" ca="1" si="82"/>
        <v>6.1429999999999998</v>
      </c>
      <c r="EM152" s="74">
        <f t="shared" ca="1" si="82"/>
        <v>21.308</v>
      </c>
      <c r="EN152" s="74">
        <f t="shared" ca="1" si="82"/>
        <v>27</v>
      </c>
      <c r="EO152" s="74">
        <f t="shared" ca="1" si="82"/>
        <v>27</v>
      </c>
      <c r="EP152" s="74">
        <f t="shared" ca="1" si="82"/>
        <v>25.585999999999999</v>
      </c>
      <c r="EQ152" s="74">
        <f t="shared" ca="1" si="82"/>
        <v>5.101</v>
      </c>
      <c r="ER152" s="74">
        <f t="shared" ca="1" si="82"/>
        <v>21.283000000000001</v>
      </c>
      <c r="ES152" s="74">
        <f t="shared" ca="1" si="82"/>
        <v>27</v>
      </c>
      <c r="ET152" s="74">
        <f t="shared" ca="1" si="82"/>
        <v>27</v>
      </c>
      <c r="EU152" s="74">
        <f t="shared" ca="1" si="82"/>
        <v>27</v>
      </c>
      <c r="EV152" s="74">
        <f t="shared" ca="1" si="82"/>
        <v>15.009</v>
      </c>
      <c r="EW152" s="74">
        <f t="shared" ca="1" si="82"/>
        <v>7.2809999999999997</v>
      </c>
      <c r="EX152" s="74">
        <f t="shared" ca="1" si="82"/>
        <v>8.91</v>
      </c>
      <c r="EY152" s="74">
        <f t="shared" ca="1" si="82"/>
        <v>27</v>
      </c>
      <c r="EZ152" s="74">
        <f t="shared" ca="1" si="82"/>
        <v>27</v>
      </c>
      <c r="FA152" s="74">
        <f t="shared" ca="1" si="82"/>
        <v>10.666</v>
      </c>
      <c r="FB152" s="74">
        <f t="shared" ca="1" si="82"/>
        <v>9.6240000000000006</v>
      </c>
      <c r="FC152" s="74">
        <f t="shared" ca="1" si="82"/>
        <v>27</v>
      </c>
      <c r="FD152" s="74">
        <f t="shared" ca="1" si="82"/>
        <v>27</v>
      </c>
      <c r="FE152" s="74">
        <f t="shared" ca="1" si="82"/>
        <v>19.181000000000001</v>
      </c>
      <c r="FF152" s="74">
        <f t="shared" ca="1" si="82"/>
        <v>27</v>
      </c>
      <c r="FG152" s="74">
        <f t="shared" ca="1" si="82"/>
        <v>27</v>
      </c>
      <c r="FH152" s="74">
        <f t="shared" ca="1" si="82"/>
        <v>24.771999999999998</v>
      </c>
      <c r="FI152" s="74">
        <f t="shared" ca="1" si="82"/>
        <v>9.6389999999999993</v>
      </c>
      <c r="FJ152" s="74">
        <f t="shared" ca="1" si="82"/>
        <v>22.207999999999998</v>
      </c>
      <c r="FK152" s="74">
        <f t="shared" ca="1" si="82"/>
        <v>10.845000000000001</v>
      </c>
      <c r="FL152" s="74">
        <f t="shared" ca="1" si="82"/>
        <v>27</v>
      </c>
      <c r="FM152" s="74">
        <f t="shared" ca="1" si="82"/>
        <v>23.414000000000001</v>
      </c>
      <c r="FN152" s="74">
        <f t="shared" ca="1" si="82"/>
        <v>27</v>
      </c>
      <c r="FO152" s="74">
        <f t="shared" ca="1" si="82"/>
        <v>3.4359999999999999</v>
      </c>
      <c r="FP152" s="74">
        <f t="shared" ca="1" si="82"/>
        <v>12.143000000000001</v>
      </c>
      <c r="FQ152" s="74">
        <f t="shared" ca="1" si="82"/>
        <v>13.557</v>
      </c>
      <c r="FR152" s="74">
        <f t="shared" ca="1" si="82"/>
        <v>6.7149999999999999</v>
      </c>
      <c r="FS152" s="74">
        <f t="shared" ca="1" si="82"/>
        <v>5.0679999999999996</v>
      </c>
      <c r="FT152" s="74">
        <f t="shared" ca="1" si="82"/>
        <v>2.5209999999999999</v>
      </c>
      <c r="FU152" s="74">
        <f t="shared" ca="1" si="82"/>
        <v>23.344999999999999</v>
      </c>
      <c r="FV152" s="74">
        <f t="shared" ca="1" si="82"/>
        <v>20.032</v>
      </c>
      <c r="FW152" s="74">
        <f t="shared" ca="1" si="82"/>
        <v>26.498000000000001</v>
      </c>
      <c r="FX152" s="74">
        <f t="shared" ca="1" si="82"/>
        <v>24.675000000000001</v>
      </c>
      <c r="FY152" s="45"/>
      <c r="FZ152" s="38">
        <f ca="1">ROUND(SUM(C152:FX152),6)</f>
        <v>3902.6840000000002</v>
      </c>
      <c r="GA152" s="75">
        <v>3902.7189999999987</v>
      </c>
      <c r="GB152" s="38">
        <f ca="1">FZ152-GA152</f>
        <v>-3.4999999998490239E-2</v>
      </c>
      <c r="GC152" s="45"/>
      <c r="GD152" s="45"/>
      <c r="GE152" s="45"/>
      <c r="GF152" s="45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</row>
    <row r="153" spans="1:204" ht="15.5" x14ac:dyDescent="0.35">
      <c r="A153" s="12" t="s">
        <v>692</v>
      </c>
      <c r="B153" s="7" t="s">
        <v>693</v>
      </c>
      <c r="C153" s="38">
        <f t="shared" ref="C153:FX153" ca="1" si="83">C150-C152-C158</f>
        <v>0</v>
      </c>
      <c r="D153" s="38">
        <f t="shared" ca="1" si="83"/>
        <v>0</v>
      </c>
      <c r="E153" s="38">
        <f t="shared" ca="1" si="83"/>
        <v>0</v>
      </c>
      <c r="F153" s="38">
        <f t="shared" ca="1" si="83"/>
        <v>0</v>
      </c>
      <c r="G153" s="38">
        <f t="shared" ca="1" si="83"/>
        <v>0</v>
      </c>
      <c r="H153" s="38">
        <f t="shared" ca="1" si="83"/>
        <v>0</v>
      </c>
      <c r="I153" s="38">
        <f t="shared" ca="1" si="83"/>
        <v>0</v>
      </c>
      <c r="J153" s="38">
        <f t="shared" ca="1" si="83"/>
        <v>0</v>
      </c>
      <c r="K153" s="38">
        <f t="shared" ca="1" si="83"/>
        <v>0</v>
      </c>
      <c r="L153" s="38">
        <f t="shared" ca="1" si="83"/>
        <v>3.41740524767431E-16</v>
      </c>
      <c r="M153" s="38">
        <f t="shared" ca="1" si="83"/>
        <v>0</v>
      </c>
      <c r="N153" s="38">
        <f t="shared" ca="1" si="83"/>
        <v>0</v>
      </c>
      <c r="O153" s="38">
        <f t="shared" ca="1" si="83"/>
        <v>0</v>
      </c>
      <c r="P153" s="38">
        <f t="shared" ca="1" si="83"/>
        <v>0</v>
      </c>
      <c r="Q153" s="38">
        <f t="shared" ca="1" si="83"/>
        <v>0</v>
      </c>
      <c r="R153" s="38">
        <f t="shared" ca="1" si="83"/>
        <v>0</v>
      </c>
      <c r="S153" s="38">
        <f t="shared" ca="1" si="83"/>
        <v>0</v>
      </c>
      <c r="T153" s="38">
        <f t="shared" ca="1" si="83"/>
        <v>0</v>
      </c>
      <c r="U153" s="38">
        <f t="shared" ca="1" si="83"/>
        <v>0</v>
      </c>
      <c r="V153" s="38">
        <f t="shared" ca="1" si="83"/>
        <v>0</v>
      </c>
      <c r="W153" s="38">
        <f t="shared" ca="1" si="83"/>
        <v>0</v>
      </c>
      <c r="X153" s="38">
        <f t="shared" ca="1" si="83"/>
        <v>0</v>
      </c>
      <c r="Y153" s="38">
        <f t="shared" ca="1" si="83"/>
        <v>0</v>
      </c>
      <c r="Z153" s="38">
        <f t="shared" ca="1" si="83"/>
        <v>0</v>
      </c>
      <c r="AA153" s="38">
        <f t="shared" ca="1" si="83"/>
        <v>0</v>
      </c>
      <c r="AB153" s="38">
        <f t="shared" ca="1" si="83"/>
        <v>0</v>
      </c>
      <c r="AC153" s="38">
        <f t="shared" ca="1" si="83"/>
        <v>0</v>
      </c>
      <c r="AD153" s="38">
        <f t="shared" ca="1" si="83"/>
        <v>0</v>
      </c>
      <c r="AE153" s="38">
        <f t="shared" ca="1" si="83"/>
        <v>0</v>
      </c>
      <c r="AF153" s="38">
        <f t="shared" ca="1" si="83"/>
        <v>0</v>
      </c>
      <c r="AG153" s="38">
        <f t="shared" ca="1" si="83"/>
        <v>0</v>
      </c>
      <c r="AH153" s="38">
        <f t="shared" ca="1" si="83"/>
        <v>0</v>
      </c>
      <c r="AI153" s="38">
        <f t="shared" ca="1" si="83"/>
        <v>0</v>
      </c>
      <c r="AJ153" s="38">
        <f t="shared" ca="1" si="83"/>
        <v>0</v>
      </c>
      <c r="AK153" s="38">
        <f t="shared" ca="1" si="83"/>
        <v>0</v>
      </c>
      <c r="AL153" s="38">
        <f t="shared" ca="1" si="83"/>
        <v>0</v>
      </c>
      <c r="AM153" s="38">
        <f t="shared" ca="1" si="83"/>
        <v>0</v>
      </c>
      <c r="AN153" s="38">
        <f t="shared" ca="1" si="83"/>
        <v>2.3939999999999997</v>
      </c>
      <c r="AO153" s="38">
        <f t="shared" ca="1" si="83"/>
        <v>0</v>
      </c>
      <c r="AP153" s="38">
        <f t="shared" ca="1" si="83"/>
        <v>0</v>
      </c>
      <c r="AQ153" s="38">
        <f t="shared" ca="1" si="83"/>
        <v>0</v>
      </c>
      <c r="AR153" s="38">
        <f t="shared" ca="1" si="83"/>
        <v>0</v>
      </c>
      <c r="AS153" s="38">
        <f t="shared" ca="1" si="83"/>
        <v>0</v>
      </c>
      <c r="AT153" s="38">
        <f t="shared" ca="1" si="83"/>
        <v>0</v>
      </c>
      <c r="AU153" s="38">
        <f t="shared" ca="1" si="83"/>
        <v>0</v>
      </c>
      <c r="AV153" s="38">
        <f t="shared" ca="1" si="83"/>
        <v>0</v>
      </c>
      <c r="AW153" s="38">
        <f t="shared" ca="1" si="83"/>
        <v>0</v>
      </c>
      <c r="AX153" s="38">
        <f t="shared" ca="1" si="83"/>
        <v>0</v>
      </c>
      <c r="AY153" s="38">
        <f t="shared" ca="1" si="83"/>
        <v>0</v>
      </c>
      <c r="AZ153" s="38">
        <f t="shared" ca="1" si="83"/>
        <v>0</v>
      </c>
      <c r="BA153" s="38">
        <f t="shared" ca="1" si="83"/>
        <v>0</v>
      </c>
      <c r="BB153" s="38">
        <f t="shared" ca="1" si="83"/>
        <v>0</v>
      </c>
      <c r="BC153" s="38">
        <f t="shared" ca="1" si="83"/>
        <v>0</v>
      </c>
      <c r="BD153" s="38">
        <f t="shared" ca="1" si="83"/>
        <v>0</v>
      </c>
      <c r="BE153" s="38">
        <f t="shared" ca="1" si="83"/>
        <v>0</v>
      </c>
      <c r="BF153" s="38">
        <f t="shared" ca="1" si="83"/>
        <v>0</v>
      </c>
      <c r="BG153" s="38">
        <f t="shared" ca="1" si="83"/>
        <v>0</v>
      </c>
      <c r="BH153" s="38">
        <f t="shared" ca="1" si="83"/>
        <v>0</v>
      </c>
      <c r="BI153" s="38">
        <f t="shared" ca="1" si="83"/>
        <v>0</v>
      </c>
      <c r="BJ153" s="38">
        <f t="shared" ca="1" si="83"/>
        <v>0</v>
      </c>
      <c r="BK153" s="38">
        <f t="shared" ca="1" si="83"/>
        <v>0</v>
      </c>
      <c r="BL153" s="38">
        <f t="shared" ca="1" si="83"/>
        <v>0</v>
      </c>
      <c r="BM153" s="38">
        <f t="shared" ca="1" si="83"/>
        <v>0</v>
      </c>
      <c r="BN153" s="38">
        <f t="shared" ca="1" si="83"/>
        <v>0</v>
      </c>
      <c r="BO153" s="38">
        <f t="shared" ca="1" si="83"/>
        <v>0</v>
      </c>
      <c r="BP153" s="38">
        <f t="shared" ca="1" si="83"/>
        <v>0</v>
      </c>
      <c r="BQ153" s="38">
        <f t="shared" ca="1" si="83"/>
        <v>0</v>
      </c>
      <c r="BR153" s="38">
        <f t="shared" ca="1" si="83"/>
        <v>0</v>
      </c>
      <c r="BS153" s="38">
        <f t="shared" ca="1" si="83"/>
        <v>0</v>
      </c>
      <c r="BT153" s="38">
        <f t="shared" ca="1" si="83"/>
        <v>0</v>
      </c>
      <c r="BU153" s="38">
        <f t="shared" ca="1" si="83"/>
        <v>0</v>
      </c>
      <c r="BV153" s="38">
        <f t="shared" ca="1" si="83"/>
        <v>-0.25900000000000056</v>
      </c>
      <c r="BW153" s="38">
        <f t="shared" ca="1" si="83"/>
        <v>0</v>
      </c>
      <c r="BX153" s="38">
        <f t="shared" ca="1" si="83"/>
        <v>0</v>
      </c>
      <c r="BY153" s="38">
        <f t="shared" ca="1" si="83"/>
        <v>0</v>
      </c>
      <c r="BZ153" s="38">
        <f t="shared" ca="1" si="83"/>
        <v>0</v>
      </c>
      <c r="CA153" s="38">
        <f t="shared" ca="1" si="83"/>
        <v>0</v>
      </c>
      <c r="CB153" s="38">
        <f t="shared" ca="1" si="83"/>
        <v>0</v>
      </c>
      <c r="CC153" s="38">
        <f t="shared" ca="1" si="83"/>
        <v>0</v>
      </c>
      <c r="CD153" s="38">
        <f t="shared" ca="1" si="83"/>
        <v>0</v>
      </c>
      <c r="CE153" s="38">
        <f t="shared" ca="1" si="83"/>
        <v>0</v>
      </c>
      <c r="CF153" s="38">
        <f t="shared" ca="1" si="83"/>
        <v>0</v>
      </c>
      <c r="CG153" s="38">
        <f t="shared" ca="1" si="83"/>
        <v>0</v>
      </c>
      <c r="CH153" s="38">
        <f t="shared" ca="1" si="83"/>
        <v>0</v>
      </c>
      <c r="CI153" s="38">
        <f t="shared" ca="1" si="83"/>
        <v>0</v>
      </c>
      <c r="CJ153" s="38">
        <f t="shared" ca="1" si="83"/>
        <v>0</v>
      </c>
      <c r="CK153" s="38">
        <f t="shared" ca="1" si="83"/>
        <v>0</v>
      </c>
      <c r="CL153" s="38">
        <f t="shared" ca="1" si="83"/>
        <v>0</v>
      </c>
      <c r="CM153" s="38">
        <f t="shared" ca="1" si="83"/>
        <v>0</v>
      </c>
      <c r="CN153" s="38">
        <f t="shared" ca="1" si="83"/>
        <v>0</v>
      </c>
      <c r="CO153" s="38">
        <f t="shared" ca="1" si="83"/>
        <v>0</v>
      </c>
      <c r="CP153" s="38">
        <f t="shared" ca="1" si="83"/>
        <v>4.3999999999999595E-2</v>
      </c>
      <c r="CQ153" s="38">
        <f t="shared" ca="1" si="83"/>
        <v>0</v>
      </c>
      <c r="CR153" s="38">
        <f t="shared" ca="1" si="83"/>
        <v>0</v>
      </c>
      <c r="CS153" s="38">
        <f t="shared" ca="1" si="83"/>
        <v>0</v>
      </c>
      <c r="CT153" s="38">
        <f t="shared" ca="1" si="83"/>
        <v>0</v>
      </c>
      <c r="CU153" s="38">
        <f t="shared" ca="1" si="83"/>
        <v>0</v>
      </c>
      <c r="CV153" s="38">
        <f t="shared" ca="1" si="83"/>
        <v>0</v>
      </c>
      <c r="CW153" s="38">
        <f t="shared" ca="1" si="83"/>
        <v>0</v>
      </c>
      <c r="CX153" s="38">
        <f t="shared" ca="1" si="83"/>
        <v>0</v>
      </c>
      <c r="CY153" s="38">
        <f t="shared" ca="1" si="83"/>
        <v>0</v>
      </c>
      <c r="CZ153" s="38">
        <f t="shared" ca="1" si="83"/>
        <v>0</v>
      </c>
      <c r="DA153" s="38">
        <f t="shared" ca="1" si="83"/>
        <v>0</v>
      </c>
      <c r="DB153" s="38">
        <f t="shared" ca="1" si="83"/>
        <v>0</v>
      </c>
      <c r="DC153" s="38">
        <f t="shared" ca="1" si="83"/>
        <v>0</v>
      </c>
      <c r="DD153" s="38">
        <f t="shared" ca="1" si="83"/>
        <v>0</v>
      </c>
      <c r="DE153" s="38">
        <f t="shared" ca="1" si="83"/>
        <v>0</v>
      </c>
      <c r="DF153" s="38">
        <f t="shared" ca="1" si="83"/>
        <v>0</v>
      </c>
      <c r="DG153" s="38">
        <f t="shared" ca="1" si="83"/>
        <v>0</v>
      </c>
      <c r="DH153" s="38">
        <f t="shared" ca="1" si="83"/>
        <v>0</v>
      </c>
      <c r="DI153" s="38">
        <f t="shared" ca="1" si="83"/>
        <v>0</v>
      </c>
      <c r="DJ153" s="38">
        <f t="shared" ca="1" si="83"/>
        <v>0</v>
      </c>
      <c r="DK153" s="38">
        <f t="shared" ca="1" si="83"/>
        <v>0</v>
      </c>
      <c r="DL153" s="38">
        <f t="shared" ca="1" si="83"/>
        <v>0</v>
      </c>
      <c r="DM153" s="38">
        <f t="shared" ca="1" si="83"/>
        <v>0</v>
      </c>
      <c r="DN153" s="38">
        <f t="shared" ca="1" si="83"/>
        <v>0</v>
      </c>
      <c r="DO153" s="38">
        <f t="shared" ca="1" si="83"/>
        <v>0</v>
      </c>
      <c r="DP153" s="38">
        <f t="shared" ca="1" si="83"/>
        <v>0</v>
      </c>
      <c r="DQ153" s="38">
        <f t="shared" ca="1" si="83"/>
        <v>0</v>
      </c>
      <c r="DR153" s="38">
        <f t="shared" ca="1" si="83"/>
        <v>0</v>
      </c>
      <c r="DS153" s="38">
        <f t="shared" ca="1" si="83"/>
        <v>0</v>
      </c>
      <c r="DT153" s="38">
        <f t="shared" ca="1" si="83"/>
        <v>0</v>
      </c>
      <c r="DU153" s="38">
        <f t="shared" ca="1" si="83"/>
        <v>0</v>
      </c>
      <c r="DV153" s="38">
        <f t="shared" ca="1" si="83"/>
        <v>0</v>
      </c>
      <c r="DW153" s="38">
        <f t="shared" ca="1" si="83"/>
        <v>0</v>
      </c>
      <c r="DX153" s="38">
        <f t="shared" ca="1" si="83"/>
        <v>0</v>
      </c>
      <c r="DY153" s="38">
        <f t="shared" ca="1" si="83"/>
        <v>0</v>
      </c>
      <c r="DZ153" s="38">
        <f t="shared" ca="1" si="83"/>
        <v>0</v>
      </c>
      <c r="EA153" s="38">
        <f t="shared" ca="1" si="83"/>
        <v>0.38200000000000045</v>
      </c>
      <c r="EB153" s="38">
        <f t="shared" ca="1" si="83"/>
        <v>0</v>
      </c>
      <c r="EC153" s="38">
        <f t="shared" ca="1" si="83"/>
        <v>0</v>
      </c>
      <c r="ED153" s="38">
        <f t="shared" ca="1" si="83"/>
        <v>-8.5000000000000075E-2</v>
      </c>
      <c r="EE153" s="38">
        <f t="shared" ca="1" si="83"/>
        <v>0</v>
      </c>
      <c r="EF153" s="38">
        <f t="shared" ca="1" si="83"/>
        <v>0</v>
      </c>
      <c r="EG153" s="38">
        <f t="shared" ca="1" si="83"/>
        <v>0</v>
      </c>
      <c r="EH153" s="38">
        <f t="shared" ca="1" si="83"/>
        <v>0</v>
      </c>
      <c r="EI153" s="38">
        <f t="shared" ca="1" si="83"/>
        <v>0</v>
      </c>
      <c r="EJ153" s="38">
        <f t="shared" ca="1" si="83"/>
        <v>0</v>
      </c>
      <c r="EK153" s="38">
        <f t="shared" ca="1" si="83"/>
        <v>0</v>
      </c>
      <c r="EL153" s="38">
        <f t="shared" ca="1" si="83"/>
        <v>0</v>
      </c>
      <c r="EM153" s="38">
        <f t="shared" ca="1" si="83"/>
        <v>0</v>
      </c>
      <c r="EN153" s="38">
        <f t="shared" ca="1" si="83"/>
        <v>0</v>
      </c>
      <c r="EO153" s="38">
        <f t="shared" ca="1" si="83"/>
        <v>0</v>
      </c>
      <c r="EP153" s="38">
        <f t="shared" ca="1" si="83"/>
        <v>0</v>
      </c>
      <c r="EQ153" s="38">
        <f t="shared" ca="1" si="83"/>
        <v>0</v>
      </c>
      <c r="ER153" s="38">
        <f t="shared" ca="1" si="83"/>
        <v>0</v>
      </c>
      <c r="ES153" s="38">
        <f t="shared" ca="1" si="83"/>
        <v>0</v>
      </c>
      <c r="ET153" s="38">
        <f t="shared" ca="1" si="83"/>
        <v>0</v>
      </c>
      <c r="EU153" s="38">
        <f t="shared" ca="1" si="83"/>
        <v>0</v>
      </c>
      <c r="EV153" s="38">
        <f t="shared" ca="1" si="83"/>
        <v>0</v>
      </c>
      <c r="EW153" s="38">
        <f t="shared" ca="1" si="83"/>
        <v>0</v>
      </c>
      <c r="EX153" s="38">
        <f t="shared" ca="1" si="83"/>
        <v>0</v>
      </c>
      <c r="EY153" s="38">
        <f t="shared" ca="1" si="83"/>
        <v>0</v>
      </c>
      <c r="EZ153" s="38">
        <f t="shared" ca="1" si="83"/>
        <v>0</v>
      </c>
      <c r="FA153" s="38">
        <f t="shared" ca="1" si="83"/>
        <v>0</v>
      </c>
      <c r="FB153" s="38">
        <f t="shared" ca="1" si="83"/>
        <v>0</v>
      </c>
      <c r="FC153" s="38">
        <f t="shared" ca="1" si="83"/>
        <v>0</v>
      </c>
      <c r="FD153" s="38">
        <f t="shared" ca="1" si="83"/>
        <v>0</v>
      </c>
      <c r="FE153" s="38">
        <f t="shared" ca="1" si="83"/>
        <v>0</v>
      </c>
      <c r="FF153" s="38">
        <f t="shared" ca="1" si="83"/>
        <v>0</v>
      </c>
      <c r="FG153" s="38">
        <f t="shared" ca="1" si="83"/>
        <v>0</v>
      </c>
      <c r="FH153" s="38">
        <f t="shared" ca="1" si="83"/>
        <v>0</v>
      </c>
      <c r="FI153" s="38">
        <f t="shared" ca="1" si="83"/>
        <v>0</v>
      </c>
      <c r="FJ153" s="38">
        <f t="shared" ca="1" si="83"/>
        <v>0</v>
      </c>
      <c r="FK153" s="38">
        <f t="shared" ca="1" si="83"/>
        <v>0</v>
      </c>
      <c r="FL153" s="38">
        <f t="shared" ca="1" si="83"/>
        <v>0</v>
      </c>
      <c r="FM153" s="38">
        <f t="shared" ca="1" si="83"/>
        <v>0</v>
      </c>
      <c r="FN153" s="38">
        <f t="shared" ca="1" si="83"/>
        <v>0</v>
      </c>
      <c r="FO153" s="38">
        <f t="shared" ca="1" si="83"/>
        <v>0.59499999999999964</v>
      </c>
      <c r="FP153" s="38">
        <f t="shared" ca="1" si="83"/>
        <v>0</v>
      </c>
      <c r="FQ153" s="38">
        <f t="shared" ca="1" si="83"/>
        <v>7.621999999999999</v>
      </c>
      <c r="FR153" s="38">
        <f t="shared" ca="1" si="83"/>
        <v>-0.217</v>
      </c>
      <c r="FS153" s="38">
        <f t="shared" ca="1" si="83"/>
        <v>0</v>
      </c>
      <c r="FT153" s="38">
        <f t="shared" ca="1" si="83"/>
        <v>0.74300000000000022</v>
      </c>
      <c r="FU153" s="38">
        <f t="shared" ca="1" si="83"/>
        <v>0</v>
      </c>
      <c r="FV153" s="38">
        <f t="shared" ca="1" si="83"/>
        <v>0</v>
      </c>
      <c r="FW153" s="38">
        <f t="shared" ca="1" si="83"/>
        <v>0</v>
      </c>
      <c r="FX153" s="38">
        <f t="shared" ca="1" si="83"/>
        <v>0</v>
      </c>
      <c r="FY153" s="76"/>
      <c r="FZ153" s="45">
        <f ca="1">ROUND(SUM(C153:FX153)*1000,6)</f>
        <v>11219</v>
      </c>
      <c r="GA153" s="45"/>
      <c r="GB153" s="45"/>
      <c r="GC153" s="45"/>
      <c r="GD153" s="45"/>
      <c r="GE153" s="45"/>
      <c r="GF153" s="45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</row>
    <row r="154" spans="1:204" ht="15.5" x14ac:dyDescent="0.35">
      <c r="A154" s="12"/>
      <c r="B154" s="7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</row>
    <row r="155" spans="1:204" ht="15.5" x14ac:dyDescent="0.35">
      <c r="A155" s="12" t="s">
        <v>684</v>
      </c>
      <c r="B155" s="5" t="s">
        <v>694</v>
      </c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77"/>
      <c r="FZ155" s="7"/>
      <c r="GA155" s="45"/>
      <c r="GB155" s="78"/>
      <c r="GC155" s="78"/>
      <c r="GD155" s="78"/>
      <c r="GE155" s="32"/>
      <c r="GF155" s="32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</row>
    <row r="156" spans="1:204" ht="15.5" x14ac:dyDescent="0.35">
      <c r="A156" s="12" t="s">
        <v>695</v>
      </c>
      <c r="B156" s="7" t="s">
        <v>696</v>
      </c>
      <c r="C156" s="7">
        <f t="shared" ref="C156:FX156" si="84">ROUND(C59,2)</f>
        <v>4115447.48</v>
      </c>
      <c r="D156" s="7">
        <f t="shared" si="84"/>
        <v>21988055.530000001</v>
      </c>
      <c r="E156" s="7">
        <f t="shared" si="84"/>
        <v>4147541.89</v>
      </c>
      <c r="F156" s="7">
        <f t="shared" si="84"/>
        <v>13257379.439999999</v>
      </c>
      <c r="G156" s="7">
        <f t="shared" si="84"/>
        <v>883775.89</v>
      </c>
      <c r="H156" s="7">
        <f t="shared" si="84"/>
        <v>880571.33</v>
      </c>
      <c r="I156" s="7">
        <f t="shared" si="84"/>
        <v>5305223.59</v>
      </c>
      <c r="J156" s="7">
        <f t="shared" si="84"/>
        <v>1143530.69</v>
      </c>
      <c r="K156" s="7">
        <f t="shared" si="84"/>
        <v>159838.35</v>
      </c>
      <c r="L156" s="7">
        <f t="shared" si="84"/>
        <v>1932744.1</v>
      </c>
      <c r="M156" s="7">
        <f t="shared" si="84"/>
        <v>749626.83</v>
      </c>
      <c r="N156" s="7">
        <f t="shared" si="84"/>
        <v>36570415.560000002</v>
      </c>
      <c r="O156" s="7">
        <f t="shared" si="84"/>
        <v>8504645.2400000002</v>
      </c>
      <c r="P156" s="7">
        <f t="shared" si="84"/>
        <v>264061.09999999998</v>
      </c>
      <c r="Q156" s="7">
        <f t="shared" si="84"/>
        <v>27320784.140000001</v>
      </c>
      <c r="R156" s="7">
        <f t="shared" si="84"/>
        <v>2713427.67</v>
      </c>
      <c r="S156" s="7">
        <f t="shared" si="84"/>
        <v>904809.78</v>
      </c>
      <c r="T156" s="7">
        <f t="shared" si="84"/>
        <v>78238.850000000006</v>
      </c>
      <c r="U156" s="7">
        <f t="shared" si="84"/>
        <v>48348.07</v>
      </c>
      <c r="V156" s="7">
        <f t="shared" si="84"/>
        <v>174054.56</v>
      </c>
      <c r="W156" s="7">
        <f t="shared" si="84"/>
        <v>55611.27</v>
      </c>
      <c r="X156" s="7">
        <f t="shared" si="84"/>
        <v>24841.45</v>
      </c>
      <c r="Y156" s="7">
        <f t="shared" si="84"/>
        <v>452086.37</v>
      </c>
      <c r="Z156" s="7">
        <f t="shared" si="84"/>
        <v>126166.93</v>
      </c>
      <c r="AA156" s="7">
        <f t="shared" si="84"/>
        <v>19187212.91</v>
      </c>
      <c r="AB156" s="7">
        <f t="shared" si="84"/>
        <v>19070408.940000001</v>
      </c>
      <c r="AC156" s="7">
        <f t="shared" si="84"/>
        <v>526914.66</v>
      </c>
      <c r="AD156" s="7">
        <f t="shared" si="84"/>
        <v>633163.69999999995</v>
      </c>
      <c r="AE156" s="7">
        <f t="shared" si="84"/>
        <v>92353.3</v>
      </c>
      <c r="AF156" s="7">
        <f t="shared" si="84"/>
        <v>130806.89</v>
      </c>
      <c r="AG156" s="7">
        <f t="shared" si="84"/>
        <v>410031.48</v>
      </c>
      <c r="AH156" s="7">
        <f t="shared" si="84"/>
        <v>553557.74</v>
      </c>
      <c r="AI156" s="7">
        <f t="shared" si="84"/>
        <v>148594.06</v>
      </c>
      <c r="AJ156" s="7">
        <f t="shared" si="84"/>
        <v>90352.97</v>
      </c>
      <c r="AK156" s="7">
        <f t="shared" si="84"/>
        <v>108666.23</v>
      </c>
      <c r="AL156" s="7">
        <f t="shared" si="84"/>
        <v>79889.91</v>
      </c>
      <c r="AM156" s="7">
        <f t="shared" si="84"/>
        <v>247242.2</v>
      </c>
      <c r="AN156" s="7">
        <f t="shared" si="84"/>
        <v>166728.6</v>
      </c>
      <c r="AO156" s="7">
        <f t="shared" si="84"/>
        <v>2894054.44</v>
      </c>
      <c r="AP156" s="7">
        <f t="shared" si="84"/>
        <v>53625040.390000001</v>
      </c>
      <c r="AQ156" s="7">
        <f t="shared" si="84"/>
        <v>235396.9</v>
      </c>
      <c r="AR156" s="7">
        <f t="shared" si="84"/>
        <v>34424646.840000004</v>
      </c>
      <c r="AS156" s="7">
        <f t="shared" si="84"/>
        <v>3765192.56</v>
      </c>
      <c r="AT156" s="7">
        <f t="shared" si="84"/>
        <v>1446872.3</v>
      </c>
      <c r="AU156" s="7">
        <f t="shared" si="84"/>
        <v>233245.3</v>
      </c>
      <c r="AV156" s="7">
        <f t="shared" si="84"/>
        <v>247867.07</v>
      </c>
      <c r="AW156" s="7">
        <f t="shared" si="84"/>
        <v>179173.82</v>
      </c>
      <c r="AX156" s="7">
        <f t="shared" si="84"/>
        <v>78400.97</v>
      </c>
      <c r="AY156" s="7">
        <f t="shared" si="84"/>
        <v>320198.98</v>
      </c>
      <c r="AZ156" s="7">
        <f t="shared" si="84"/>
        <v>7639271.29</v>
      </c>
      <c r="BA156" s="7">
        <f t="shared" si="84"/>
        <v>5880088.6900000004</v>
      </c>
      <c r="BB156" s="7">
        <f t="shared" si="84"/>
        <v>6516181.8799999999</v>
      </c>
      <c r="BC156" s="7">
        <f t="shared" si="84"/>
        <v>12362113.24</v>
      </c>
      <c r="BD156" s="7">
        <f t="shared" si="84"/>
        <v>1707370.63</v>
      </c>
      <c r="BE156" s="7">
        <f t="shared" si="84"/>
        <v>758115.78</v>
      </c>
      <c r="BF156" s="7">
        <f t="shared" si="84"/>
        <v>10354373.539999999</v>
      </c>
      <c r="BG156" s="7">
        <f t="shared" si="84"/>
        <v>738640.59</v>
      </c>
      <c r="BH156" s="7">
        <f t="shared" si="84"/>
        <v>353655.22</v>
      </c>
      <c r="BI156" s="7">
        <f t="shared" si="84"/>
        <v>262927.96000000002</v>
      </c>
      <c r="BJ156" s="7">
        <f t="shared" si="84"/>
        <v>2981129.22</v>
      </c>
      <c r="BK156" s="7">
        <f t="shared" si="84"/>
        <v>12462875.279999999</v>
      </c>
      <c r="BL156" s="7">
        <f t="shared" si="84"/>
        <v>76541.53</v>
      </c>
      <c r="BM156" s="7">
        <f t="shared" si="84"/>
        <v>376546.87</v>
      </c>
      <c r="BN156" s="7">
        <f t="shared" si="84"/>
        <v>1967658.45</v>
      </c>
      <c r="BO156" s="7">
        <f t="shared" si="84"/>
        <v>1020193.06</v>
      </c>
      <c r="BP156" s="7">
        <f t="shared" si="84"/>
        <v>107260.7</v>
      </c>
      <c r="BQ156" s="7">
        <f t="shared" si="84"/>
        <v>3335810.09</v>
      </c>
      <c r="BR156" s="7">
        <f t="shared" si="84"/>
        <v>2556312.7000000002</v>
      </c>
      <c r="BS156" s="7">
        <f t="shared" si="84"/>
        <v>642569.21</v>
      </c>
      <c r="BT156" s="7">
        <f t="shared" si="84"/>
        <v>226823.25</v>
      </c>
      <c r="BU156" s="7">
        <f t="shared" si="84"/>
        <v>287908.78999999998</v>
      </c>
      <c r="BV156" s="7">
        <f t="shared" si="84"/>
        <v>790408.25</v>
      </c>
      <c r="BW156" s="7">
        <f t="shared" si="84"/>
        <v>936884.53</v>
      </c>
      <c r="BX156" s="7">
        <f t="shared" si="84"/>
        <v>31957.58</v>
      </c>
      <c r="BY156" s="7">
        <f t="shared" si="84"/>
        <v>471560.56</v>
      </c>
      <c r="BZ156" s="7">
        <f t="shared" si="84"/>
        <v>147397.01999999999</v>
      </c>
      <c r="CA156" s="7">
        <f t="shared" si="84"/>
        <v>81881.61</v>
      </c>
      <c r="CB156" s="7">
        <f t="shared" si="84"/>
        <v>42984966.399999999</v>
      </c>
      <c r="CC156" s="7">
        <f t="shared" si="84"/>
        <v>141707.54</v>
      </c>
      <c r="CD156" s="7">
        <f t="shared" si="84"/>
        <v>29134.09</v>
      </c>
      <c r="CE156" s="7">
        <f t="shared" si="84"/>
        <v>152132.01</v>
      </c>
      <c r="CF156" s="7">
        <f t="shared" si="84"/>
        <v>77235.210000000006</v>
      </c>
      <c r="CG156" s="7">
        <f t="shared" si="84"/>
        <v>119886.59</v>
      </c>
      <c r="CH156" s="7">
        <f t="shared" si="84"/>
        <v>82262.33</v>
      </c>
      <c r="CI156" s="7">
        <f t="shared" si="84"/>
        <v>483869.51</v>
      </c>
      <c r="CJ156" s="7">
        <f t="shared" si="84"/>
        <v>657795.11</v>
      </c>
      <c r="CK156" s="7">
        <f t="shared" si="84"/>
        <v>3439278.9</v>
      </c>
      <c r="CL156" s="7">
        <f t="shared" si="84"/>
        <v>951966.03</v>
      </c>
      <c r="CM156" s="7">
        <f t="shared" si="84"/>
        <v>518616.36</v>
      </c>
      <c r="CN156" s="7">
        <f t="shared" si="84"/>
        <v>16894023.309999999</v>
      </c>
      <c r="CO156" s="7">
        <f t="shared" si="84"/>
        <v>8341795.6600000001</v>
      </c>
      <c r="CP156" s="7">
        <f t="shared" si="84"/>
        <v>524936.19999999995</v>
      </c>
      <c r="CQ156" s="7">
        <f t="shared" si="84"/>
        <v>590441.01</v>
      </c>
      <c r="CR156" s="7">
        <f t="shared" si="84"/>
        <v>188867.55</v>
      </c>
      <c r="CS156" s="7">
        <f t="shared" si="84"/>
        <v>195817.19</v>
      </c>
      <c r="CT156" s="7">
        <f t="shared" si="84"/>
        <v>98576.03</v>
      </c>
      <c r="CU156" s="7">
        <f t="shared" si="84"/>
        <v>115847.82</v>
      </c>
      <c r="CV156" s="7">
        <f t="shared" si="84"/>
        <v>52974.95</v>
      </c>
      <c r="CW156" s="7">
        <f t="shared" si="84"/>
        <v>230295.56</v>
      </c>
      <c r="CX156" s="7">
        <f t="shared" si="84"/>
        <v>418715.53</v>
      </c>
      <c r="CY156" s="7">
        <f t="shared" si="84"/>
        <v>39194.18</v>
      </c>
      <c r="CZ156" s="7">
        <f t="shared" si="84"/>
        <v>1634681.03</v>
      </c>
      <c r="DA156" s="7">
        <f t="shared" si="84"/>
        <v>137800.54999999999</v>
      </c>
      <c r="DB156" s="7">
        <f t="shared" si="84"/>
        <v>229733.11</v>
      </c>
      <c r="DC156" s="7">
        <f t="shared" si="84"/>
        <v>184565.8</v>
      </c>
      <c r="DD156" s="7">
        <f t="shared" si="84"/>
        <v>105508.86</v>
      </c>
      <c r="DE156" s="7">
        <f t="shared" si="84"/>
        <v>163701.06</v>
      </c>
      <c r="DF156" s="7">
        <f t="shared" si="84"/>
        <v>15074062.25</v>
      </c>
      <c r="DG156" s="7">
        <f t="shared" si="84"/>
        <v>55278.239999999998</v>
      </c>
      <c r="DH156" s="7">
        <f t="shared" si="84"/>
        <v>1207166.6200000001</v>
      </c>
      <c r="DI156" s="7">
        <f t="shared" si="84"/>
        <v>1806530.19</v>
      </c>
      <c r="DJ156" s="7">
        <f t="shared" si="84"/>
        <v>365948.26</v>
      </c>
      <c r="DK156" s="7">
        <f t="shared" si="84"/>
        <v>334341.86</v>
      </c>
      <c r="DL156" s="7">
        <f t="shared" si="84"/>
        <v>3529220.78</v>
      </c>
      <c r="DM156" s="7">
        <f t="shared" si="84"/>
        <v>266511.93</v>
      </c>
      <c r="DN156" s="7">
        <f t="shared" si="84"/>
        <v>828909.3</v>
      </c>
      <c r="DO156" s="7">
        <f t="shared" si="84"/>
        <v>1810017.67</v>
      </c>
      <c r="DP156" s="7">
        <f t="shared" si="84"/>
        <v>171936.8</v>
      </c>
      <c r="DQ156" s="7">
        <f t="shared" si="84"/>
        <v>354548.96</v>
      </c>
      <c r="DR156" s="7">
        <f t="shared" si="84"/>
        <v>758400.56</v>
      </c>
      <c r="DS156" s="7">
        <f t="shared" si="84"/>
        <v>372790.13</v>
      </c>
      <c r="DT156" s="7">
        <f t="shared" si="84"/>
        <v>59950.57</v>
      </c>
      <c r="DU156" s="7">
        <f t="shared" si="84"/>
        <v>189259.02</v>
      </c>
      <c r="DV156" s="7">
        <f t="shared" si="84"/>
        <v>128589.44</v>
      </c>
      <c r="DW156" s="7">
        <f t="shared" si="84"/>
        <v>136916.67000000001</v>
      </c>
      <c r="DX156" s="7">
        <f t="shared" si="84"/>
        <v>95705.46</v>
      </c>
      <c r="DY156" s="7">
        <f t="shared" si="84"/>
        <v>166516.94</v>
      </c>
      <c r="DZ156" s="7">
        <f t="shared" si="84"/>
        <v>601351.02</v>
      </c>
      <c r="EA156" s="7">
        <f t="shared" si="84"/>
        <v>520112.91</v>
      </c>
      <c r="EB156" s="7">
        <f t="shared" si="84"/>
        <v>394222.09</v>
      </c>
      <c r="EC156" s="7">
        <f t="shared" si="84"/>
        <v>205863.69</v>
      </c>
      <c r="ED156" s="7">
        <f t="shared" si="84"/>
        <v>792065.8</v>
      </c>
      <c r="EE156" s="7">
        <f t="shared" si="84"/>
        <v>123260.87</v>
      </c>
      <c r="EF156" s="7">
        <f t="shared" si="84"/>
        <v>889017.03</v>
      </c>
      <c r="EG156" s="7">
        <f t="shared" si="84"/>
        <v>193926.56</v>
      </c>
      <c r="EH156" s="7">
        <f t="shared" si="84"/>
        <v>129468.89</v>
      </c>
      <c r="EI156" s="7">
        <f t="shared" si="84"/>
        <v>8692051.2300000004</v>
      </c>
      <c r="EJ156" s="7">
        <f t="shared" si="84"/>
        <v>6686528.6200000001</v>
      </c>
      <c r="EK156" s="7">
        <f t="shared" si="84"/>
        <v>392590.09</v>
      </c>
      <c r="EL156" s="7">
        <f t="shared" si="84"/>
        <v>366557.67</v>
      </c>
      <c r="EM156" s="7">
        <f t="shared" si="84"/>
        <v>147958.71</v>
      </c>
      <c r="EN156" s="7">
        <f t="shared" si="84"/>
        <v>597825.73</v>
      </c>
      <c r="EO156" s="7">
        <f t="shared" si="84"/>
        <v>105493.8</v>
      </c>
      <c r="EP156" s="7">
        <f t="shared" si="84"/>
        <v>211195.65</v>
      </c>
      <c r="EQ156" s="7">
        <f t="shared" si="84"/>
        <v>1539643.42</v>
      </c>
      <c r="ER156" s="7">
        <f t="shared" si="84"/>
        <v>216961.6</v>
      </c>
      <c r="ES156" s="7">
        <f t="shared" si="84"/>
        <v>91359.33</v>
      </c>
      <c r="ET156" s="7">
        <f t="shared" si="84"/>
        <v>125021.63</v>
      </c>
      <c r="EU156" s="7">
        <f t="shared" si="84"/>
        <v>340958.95</v>
      </c>
      <c r="EV156" s="7">
        <f t="shared" si="84"/>
        <v>54712.76</v>
      </c>
      <c r="EW156" s="7">
        <f t="shared" si="84"/>
        <v>375554.34</v>
      </c>
      <c r="EX156" s="7">
        <f t="shared" si="84"/>
        <v>98506.3</v>
      </c>
      <c r="EY156" s="7">
        <f t="shared" si="84"/>
        <v>590149.93000000005</v>
      </c>
      <c r="EZ156" s="7">
        <f t="shared" si="84"/>
        <v>103785.48</v>
      </c>
      <c r="FA156" s="7">
        <f t="shared" si="84"/>
        <v>2089516.11</v>
      </c>
      <c r="FB156" s="7">
        <f t="shared" si="84"/>
        <v>293614.84999999998</v>
      </c>
      <c r="FC156" s="7">
        <f t="shared" si="84"/>
        <v>1048255.61</v>
      </c>
      <c r="FD156" s="7">
        <f t="shared" si="84"/>
        <v>365432.34</v>
      </c>
      <c r="FE156" s="7">
        <f t="shared" si="84"/>
        <v>80098.59</v>
      </c>
      <c r="FF156" s="7">
        <f t="shared" si="84"/>
        <v>155376.35</v>
      </c>
      <c r="FG156" s="7">
        <f t="shared" si="84"/>
        <v>109732.4</v>
      </c>
      <c r="FH156" s="7">
        <f t="shared" si="84"/>
        <v>88070.56</v>
      </c>
      <c r="FI156" s="7">
        <f t="shared" si="84"/>
        <v>1154686.06</v>
      </c>
      <c r="FJ156" s="7">
        <f t="shared" si="84"/>
        <v>862101.62</v>
      </c>
      <c r="FK156" s="7">
        <f t="shared" si="84"/>
        <v>1229441.3400000001</v>
      </c>
      <c r="FL156" s="7">
        <f t="shared" si="84"/>
        <v>3951265.03</v>
      </c>
      <c r="FM156" s="7">
        <f t="shared" si="84"/>
        <v>2177948.5699999998</v>
      </c>
      <c r="FN156" s="7">
        <f t="shared" si="84"/>
        <v>12760041.01</v>
      </c>
      <c r="FO156" s="7">
        <f t="shared" si="84"/>
        <v>646663.01</v>
      </c>
      <c r="FP156" s="7">
        <f t="shared" si="84"/>
        <v>1434075.11</v>
      </c>
      <c r="FQ156" s="7">
        <f t="shared" si="84"/>
        <v>616881.11</v>
      </c>
      <c r="FR156" s="7">
        <f t="shared" si="84"/>
        <v>104955.26</v>
      </c>
      <c r="FS156" s="7">
        <f t="shared" si="84"/>
        <v>81040.39</v>
      </c>
      <c r="FT156" s="7">
        <f t="shared" si="84"/>
        <v>72963.55</v>
      </c>
      <c r="FU156" s="7">
        <f t="shared" si="84"/>
        <v>583459.38</v>
      </c>
      <c r="FV156" s="7">
        <f t="shared" si="84"/>
        <v>472853.52</v>
      </c>
      <c r="FW156" s="7">
        <f t="shared" si="84"/>
        <v>105927.03999999999</v>
      </c>
      <c r="FX156" s="7">
        <f t="shared" si="84"/>
        <v>34575.870000000003</v>
      </c>
      <c r="FY156" s="7"/>
      <c r="FZ156" s="7"/>
      <c r="GA156" s="45"/>
      <c r="GB156" s="45"/>
      <c r="GC156" s="45"/>
      <c r="GD156" s="45"/>
      <c r="GE156" s="45"/>
      <c r="GF156" s="45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</row>
    <row r="157" spans="1:204" ht="15.5" x14ac:dyDescent="0.35">
      <c r="A157" s="12" t="s">
        <v>697</v>
      </c>
      <c r="B157" s="7" t="s">
        <v>698</v>
      </c>
      <c r="C157" s="38">
        <f t="shared" ref="C157:CI157" si="85">ROUND(C156/C41,6)*1000</f>
        <v>3.3089999999999997</v>
      </c>
      <c r="D157" s="38">
        <f t="shared" si="85"/>
        <v>5.04</v>
      </c>
      <c r="E157" s="38">
        <f t="shared" si="85"/>
        <v>3.2360000000000002</v>
      </c>
      <c r="F157" s="38">
        <f t="shared" si="85"/>
        <v>3.9969999999999999</v>
      </c>
      <c r="G157" s="38">
        <f t="shared" si="85"/>
        <v>2.1310000000000002</v>
      </c>
      <c r="H157" s="38">
        <f t="shared" si="85"/>
        <v>5.9459999999999997</v>
      </c>
      <c r="I157" s="38">
        <f t="shared" si="85"/>
        <v>4.3610000000000007</v>
      </c>
      <c r="J157" s="38">
        <f t="shared" si="85"/>
        <v>5.75</v>
      </c>
      <c r="K157" s="38">
        <f t="shared" si="85"/>
        <v>3.0550000000000002</v>
      </c>
      <c r="L157" s="38">
        <f t="shared" si="85"/>
        <v>2.0830000000000002</v>
      </c>
      <c r="M157" s="38">
        <f t="shared" si="85"/>
        <v>2.097</v>
      </c>
      <c r="N157" s="38">
        <f t="shared" si="85"/>
        <v>3.694</v>
      </c>
      <c r="O157" s="38">
        <f t="shared" si="85"/>
        <v>3.1629999999999998</v>
      </c>
      <c r="P157" s="38">
        <f t="shared" si="85"/>
        <v>4.4889999999999999</v>
      </c>
      <c r="Q157" s="38">
        <f t="shared" si="85"/>
        <v>4.3099999999999996</v>
      </c>
      <c r="R157" s="38">
        <f t="shared" si="85"/>
        <v>35.214000000000006</v>
      </c>
      <c r="S157" s="38">
        <f t="shared" si="85"/>
        <v>1.4490000000000001</v>
      </c>
      <c r="T157" s="38">
        <f t="shared" si="85"/>
        <v>2.7959999999999998</v>
      </c>
      <c r="U157" s="38">
        <f t="shared" si="85"/>
        <v>1.48</v>
      </c>
      <c r="V157" s="38">
        <f t="shared" si="85"/>
        <v>4.6579999999999995</v>
      </c>
      <c r="W157" s="38">
        <f t="shared" si="85"/>
        <v>7.8090000000000002</v>
      </c>
      <c r="X157" s="38">
        <f t="shared" si="85"/>
        <v>1.294</v>
      </c>
      <c r="Y157" s="38">
        <f t="shared" si="85"/>
        <v>5.8570000000000002</v>
      </c>
      <c r="Z157" s="38">
        <f t="shared" si="85"/>
        <v>4.4630000000000001</v>
      </c>
      <c r="AA157" s="38">
        <f t="shared" si="85"/>
        <v>3.5920000000000001</v>
      </c>
      <c r="AB157" s="38">
        <f t="shared" si="85"/>
        <v>1.899</v>
      </c>
      <c r="AC157" s="38">
        <f t="shared" si="85"/>
        <v>1.143</v>
      </c>
      <c r="AD157" s="38">
        <f t="shared" si="85"/>
        <v>1.2149999999999999</v>
      </c>
      <c r="AE157" s="38">
        <f t="shared" si="85"/>
        <v>1.9570000000000001</v>
      </c>
      <c r="AF157" s="38">
        <f t="shared" si="85"/>
        <v>1.478</v>
      </c>
      <c r="AG157" s="38">
        <f t="shared" si="85"/>
        <v>1.081</v>
      </c>
      <c r="AH157" s="38">
        <f t="shared" si="85"/>
        <v>11.708</v>
      </c>
      <c r="AI157" s="38">
        <f t="shared" si="85"/>
        <v>12.139000000000001</v>
      </c>
      <c r="AJ157" s="38">
        <f t="shared" si="85"/>
        <v>2.1940000000000004</v>
      </c>
      <c r="AK157" s="38">
        <f t="shared" si="85"/>
        <v>1.5269999999999999</v>
      </c>
      <c r="AL157" s="38">
        <f t="shared" si="85"/>
        <v>0.83100000000000007</v>
      </c>
      <c r="AM157" s="38">
        <f t="shared" si="85"/>
        <v>3.8040000000000003</v>
      </c>
      <c r="AN157" s="38">
        <f t="shared" si="85"/>
        <v>0.91100000000000003</v>
      </c>
      <c r="AO157" s="38">
        <f t="shared" si="85"/>
        <v>4.9340000000000002</v>
      </c>
      <c r="AP157" s="38">
        <f t="shared" si="85"/>
        <v>1.9510000000000001</v>
      </c>
      <c r="AQ157" s="38">
        <f t="shared" si="85"/>
        <v>2.5390000000000001</v>
      </c>
      <c r="AR157" s="38">
        <f t="shared" si="85"/>
        <v>2.98</v>
      </c>
      <c r="AS157" s="38">
        <f t="shared" si="85"/>
        <v>0.73</v>
      </c>
      <c r="AT157" s="38">
        <f t="shared" si="85"/>
        <v>3.1480000000000001</v>
      </c>
      <c r="AU157" s="38">
        <f t="shared" si="85"/>
        <v>2.9119999999999999</v>
      </c>
      <c r="AV157" s="38">
        <f t="shared" si="85"/>
        <v>4.9589999999999996</v>
      </c>
      <c r="AW157" s="38">
        <f t="shared" si="85"/>
        <v>4.1390000000000002</v>
      </c>
      <c r="AX157" s="38">
        <f t="shared" si="85"/>
        <v>2.3770000000000002</v>
      </c>
      <c r="AY157" s="38">
        <f t="shared" si="85"/>
        <v>4.8900000000000006</v>
      </c>
      <c r="AZ157" s="38">
        <f t="shared" si="85"/>
        <v>6.9260000000000002</v>
      </c>
      <c r="BA157" s="38">
        <f t="shared" si="85"/>
        <v>6.0889999999999995</v>
      </c>
      <c r="BB157" s="38">
        <f t="shared" si="85"/>
        <v>23.27</v>
      </c>
      <c r="BC157" s="38">
        <f t="shared" si="85"/>
        <v>2.69</v>
      </c>
      <c r="BD157" s="38">
        <f t="shared" si="85"/>
        <v>2.8579999999999997</v>
      </c>
      <c r="BE157" s="38">
        <f t="shared" si="85"/>
        <v>3.5979999999999999</v>
      </c>
      <c r="BF157" s="38">
        <f t="shared" si="85"/>
        <v>3.3359999999999999</v>
      </c>
      <c r="BG157" s="38">
        <f t="shared" si="85"/>
        <v>10.044</v>
      </c>
      <c r="BH157" s="38">
        <f t="shared" si="85"/>
        <v>4.1349999999999998</v>
      </c>
      <c r="BI157" s="38">
        <f t="shared" si="85"/>
        <v>4.5779999999999994</v>
      </c>
      <c r="BJ157" s="38">
        <f t="shared" si="85"/>
        <v>2.8809999999999998</v>
      </c>
      <c r="BK157" s="38">
        <f t="shared" si="85"/>
        <v>6.3740000000000006</v>
      </c>
      <c r="BL157" s="38">
        <f t="shared" si="85"/>
        <v>8.4710000000000001</v>
      </c>
      <c r="BM157" s="38">
        <f t="shared" si="85"/>
        <v>7.8209999999999997</v>
      </c>
      <c r="BN157" s="38">
        <f t="shared" si="85"/>
        <v>4.7939999999999996</v>
      </c>
      <c r="BO157" s="38">
        <f t="shared" si="85"/>
        <v>4.6340000000000003</v>
      </c>
      <c r="BP157" s="38">
        <f t="shared" si="85"/>
        <v>1.0150000000000001</v>
      </c>
      <c r="BQ157" s="38">
        <f t="shared" si="85"/>
        <v>1.5649999999999999</v>
      </c>
      <c r="BR157" s="38">
        <f t="shared" si="85"/>
        <v>2.835</v>
      </c>
      <c r="BS157" s="38">
        <f t="shared" si="85"/>
        <v>1.0029999999999999</v>
      </c>
      <c r="BT157" s="38">
        <f t="shared" si="85"/>
        <v>0.48099999999999998</v>
      </c>
      <c r="BU157" s="38">
        <f t="shared" si="85"/>
        <v>1.6039999999999999</v>
      </c>
      <c r="BV157" s="38">
        <f t="shared" si="85"/>
        <v>0.54299999999999993</v>
      </c>
      <c r="BW157" s="38">
        <f t="shared" si="85"/>
        <v>0.76</v>
      </c>
      <c r="BX157" s="38">
        <f t="shared" si="85"/>
        <v>0.49299999999999994</v>
      </c>
      <c r="BY157" s="38">
        <f t="shared" si="85"/>
        <v>3.5209999999999999</v>
      </c>
      <c r="BZ157" s="38">
        <f t="shared" si="85"/>
        <v>3.387</v>
      </c>
      <c r="CA157" s="38">
        <f t="shared" si="85"/>
        <v>0.72099999999999997</v>
      </c>
      <c r="CB157" s="38">
        <f t="shared" si="85"/>
        <v>2.786</v>
      </c>
      <c r="CC157" s="38">
        <f t="shared" si="85"/>
        <v>6.7560000000000002</v>
      </c>
      <c r="CD157" s="38">
        <f t="shared" si="85"/>
        <v>1.478</v>
      </c>
      <c r="CE157" s="38">
        <f t="shared" si="85"/>
        <v>3.1830000000000003</v>
      </c>
      <c r="CF157" s="38">
        <f t="shared" si="85"/>
        <v>2.16</v>
      </c>
      <c r="CG157" s="38">
        <f t="shared" si="85"/>
        <v>4.1900000000000004</v>
      </c>
      <c r="CH157" s="38">
        <f t="shared" si="85"/>
        <v>4.258</v>
      </c>
      <c r="CI157" s="38">
        <f t="shared" si="85"/>
        <v>3.7520000000000002</v>
      </c>
      <c r="CJ157" s="38">
        <f>ROUND(CJ156/CJ41,6)*1000-0.001</f>
        <v>1.6600000000000001</v>
      </c>
      <c r="CK157" s="38">
        <f t="shared" ref="CK157:CO157" si="86">ROUND(CK156/CK41,6)*1000</f>
        <v>1.8779999999999999</v>
      </c>
      <c r="CL157" s="38">
        <f t="shared" si="86"/>
        <v>3.6470000000000002</v>
      </c>
      <c r="CM157" s="38">
        <f t="shared" si="86"/>
        <v>2.1310000000000002</v>
      </c>
      <c r="CN157" s="38">
        <f t="shared" si="86"/>
        <v>3.0990000000000002</v>
      </c>
      <c r="CO157" s="38">
        <f t="shared" si="86"/>
        <v>2.4420000000000002</v>
      </c>
      <c r="CP157" s="38">
        <f>ROUND(CP156/CP41,6)*1000-0.001</f>
        <v>0.78900000000000003</v>
      </c>
      <c r="CQ157" s="38">
        <f t="shared" ref="CQ157:FN157" si="87">ROUND(CQ156/CQ41,6)*1000</f>
        <v>3.5790000000000002</v>
      </c>
      <c r="CR157" s="38">
        <f t="shared" si="87"/>
        <v>2.2720000000000002</v>
      </c>
      <c r="CS157" s="38">
        <f t="shared" si="87"/>
        <v>3.3579999999999997</v>
      </c>
      <c r="CT157" s="38">
        <f t="shared" si="87"/>
        <v>2.0799999999999996</v>
      </c>
      <c r="CU157" s="38">
        <f t="shared" si="87"/>
        <v>5.8419999999999996</v>
      </c>
      <c r="CV157" s="38">
        <f t="shared" si="87"/>
        <v>1.9480000000000002</v>
      </c>
      <c r="CW157" s="38">
        <f t="shared" si="87"/>
        <v>3.4329999999999998</v>
      </c>
      <c r="CX157" s="38">
        <f t="shared" si="87"/>
        <v>4.6319999999999997</v>
      </c>
      <c r="CY157" s="38">
        <f t="shared" si="87"/>
        <v>5.593</v>
      </c>
      <c r="CZ157" s="38">
        <f t="shared" si="87"/>
        <v>5.9870000000000001</v>
      </c>
      <c r="DA157" s="38">
        <f t="shared" si="87"/>
        <v>2.7450000000000001</v>
      </c>
      <c r="DB157" s="38">
        <f t="shared" si="87"/>
        <v>4.6210000000000004</v>
      </c>
      <c r="DC157" s="38">
        <f t="shared" si="87"/>
        <v>3.2629999999999999</v>
      </c>
      <c r="DD157" s="38">
        <f t="shared" si="87"/>
        <v>0.42899999999999999</v>
      </c>
      <c r="DE157" s="38">
        <f t="shared" si="87"/>
        <v>1.0129999999999999</v>
      </c>
      <c r="DF157" s="38">
        <f t="shared" si="87"/>
        <v>4.8209999999999997</v>
      </c>
      <c r="DG157" s="38">
        <f t="shared" si="87"/>
        <v>0.86099999999999999</v>
      </c>
      <c r="DH157" s="38">
        <f t="shared" si="87"/>
        <v>2.9780000000000002</v>
      </c>
      <c r="DI157" s="38">
        <f t="shared" si="87"/>
        <v>3.2250000000000001</v>
      </c>
      <c r="DJ157" s="38">
        <f t="shared" si="87"/>
        <v>4.8490000000000002</v>
      </c>
      <c r="DK157" s="38">
        <f t="shared" si="87"/>
        <v>4.9340000000000002</v>
      </c>
      <c r="DL157" s="38">
        <f t="shared" si="87"/>
        <v>3.665</v>
      </c>
      <c r="DM157" s="38">
        <f t="shared" si="87"/>
        <v>8.8229999999999986</v>
      </c>
      <c r="DN157" s="38">
        <f t="shared" si="87"/>
        <v>2.9450000000000003</v>
      </c>
      <c r="DO157" s="38">
        <f t="shared" si="87"/>
        <v>4.5810000000000004</v>
      </c>
      <c r="DP157" s="38">
        <f t="shared" si="87"/>
        <v>4.718</v>
      </c>
      <c r="DQ157" s="38">
        <f t="shared" si="87"/>
        <v>0.90200000000000002</v>
      </c>
      <c r="DR157" s="38">
        <f t="shared" si="87"/>
        <v>7.6579999999999995</v>
      </c>
      <c r="DS157" s="38">
        <f t="shared" si="87"/>
        <v>7.9930000000000003</v>
      </c>
      <c r="DT157" s="38">
        <f t="shared" si="87"/>
        <v>4.7280000000000006</v>
      </c>
      <c r="DU157" s="38">
        <f t="shared" si="87"/>
        <v>5.9009999999999998</v>
      </c>
      <c r="DV157" s="38">
        <f t="shared" si="87"/>
        <v>12.649000000000001</v>
      </c>
      <c r="DW157" s="38">
        <f t="shared" si="87"/>
        <v>6.2760000000000007</v>
      </c>
      <c r="DX157" s="38">
        <f t="shared" si="87"/>
        <v>0.83799999999999997</v>
      </c>
      <c r="DY157" s="38">
        <f t="shared" si="87"/>
        <v>0.75800000000000001</v>
      </c>
      <c r="DZ157" s="38">
        <f t="shared" si="87"/>
        <v>2.2850000000000001</v>
      </c>
      <c r="EA157" s="38">
        <f t="shared" si="87"/>
        <v>0.77200000000000002</v>
      </c>
      <c r="EB157" s="38">
        <f t="shared" si="87"/>
        <v>4.5319999999999991</v>
      </c>
      <c r="EC157" s="38">
        <f t="shared" si="87"/>
        <v>5.3439999999999994</v>
      </c>
      <c r="ED157" s="38">
        <f t="shared" si="87"/>
        <v>0.13899999999999998</v>
      </c>
      <c r="EE157" s="38">
        <f t="shared" si="87"/>
        <v>6.5129999999999999</v>
      </c>
      <c r="EF157" s="38">
        <f t="shared" si="87"/>
        <v>8.3360000000000003</v>
      </c>
      <c r="EG157" s="38">
        <f t="shared" si="87"/>
        <v>6.1980000000000004</v>
      </c>
      <c r="EH157" s="38">
        <f t="shared" si="87"/>
        <v>8.5960000000000001</v>
      </c>
      <c r="EI157" s="38">
        <f t="shared" si="87"/>
        <v>5.875</v>
      </c>
      <c r="EJ157" s="38">
        <f t="shared" si="87"/>
        <v>5.79</v>
      </c>
      <c r="EK157" s="38">
        <f t="shared" si="87"/>
        <v>0.80699999999999994</v>
      </c>
      <c r="EL157" s="38">
        <f t="shared" si="87"/>
        <v>1.387</v>
      </c>
      <c r="EM157" s="38">
        <f t="shared" si="87"/>
        <v>1.089</v>
      </c>
      <c r="EN157" s="38">
        <f t="shared" si="87"/>
        <v>6.8280000000000003</v>
      </c>
      <c r="EO157" s="38">
        <f t="shared" si="87"/>
        <v>2.2549999999999999</v>
      </c>
      <c r="EP157" s="38">
        <f t="shared" si="87"/>
        <v>1.2229999999999999</v>
      </c>
      <c r="EQ157" s="38">
        <f t="shared" si="87"/>
        <v>0.72599999999999998</v>
      </c>
      <c r="ER157" s="38">
        <f t="shared" si="87"/>
        <v>1.3110000000000002</v>
      </c>
      <c r="ES157" s="38">
        <f t="shared" si="87"/>
        <v>2.4900000000000002</v>
      </c>
      <c r="ET157" s="38">
        <f t="shared" si="87"/>
        <v>2.5100000000000002</v>
      </c>
      <c r="EU157" s="38">
        <f t="shared" si="87"/>
        <v>7.2919999999999998</v>
      </c>
      <c r="EV157" s="38">
        <f t="shared" si="87"/>
        <v>0.70200000000000007</v>
      </c>
      <c r="EW157" s="38">
        <f t="shared" si="87"/>
        <v>0.26400000000000001</v>
      </c>
      <c r="EX157" s="38">
        <f t="shared" si="87"/>
        <v>1.647</v>
      </c>
      <c r="EY157" s="38">
        <f t="shared" si="87"/>
        <v>14.595000000000001</v>
      </c>
      <c r="EZ157" s="38">
        <f t="shared" si="87"/>
        <v>3.2120000000000002</v>
      </c>
      <c r="FA157" s="38">
        <f t="shared" si="87"/>
        <v>0.55699999999999994</v>
      </c>
      <c r="FB157" s="38">
        <f t="shared" si="87"/>
        <v>0.71899999999999997</v>
      </c>
      <c r="FC157" s="38">
        <f t="shared" si="87"/>
        <v>2.254</v>
      </c>
      <c r="FD157" s="38">
        <f t="shared" si="87"/>
        <v>6.6129999999999995</v>
      </c>
      <c r="FE157" s="38">
        <f t="shared" si="87"/>
        <v>2.56</v>
      </c>
      <c r="FF157" s="38">
        <f t="shared" si="87"/>
        <v>6.4510000000000005</v>
      </c>
      <c r="FG157" s="38">
        <f t="shared" si="87"/>
        <v>3.2109999999999999</v>
      </c>
      <c r="FH157" s="38">
        <f t="shared" si="87"/>
        <v>2.3530000000000002</v>
      </c>
      <c r="FI157" s="38">
        <f t="shared" si="87"/>
        <v>0.85599999999999998</v>
      </c>
      <c r="FJ157" s="38">
        <f t="shared" si="87"/>
        <v>1.0690000000000002</v>
      </c>
      <c r="FK157" s="38">
        <f t="shared" si="87"/>
        <v>0.55599999999999994</v>
      </c>
      <c r="FL157" s="38">
        <f t="shared" si="87"/>
        <v>2.0950000000000002</v>
      </c>
      <c r="FM157" s="38">
        <f t="shared" si="87"/>
        <v>1.659</v>
      </c>
      <c r="FN157" s="38">
        <f t="shared" si="87"/>
        <v>5.3109999999999999</v>
      </c>
      <c r="FO157" s="38">
        <f>ROUND(FO156/FO41,6)*1000-0.001</f>
        <v>0.17</v>
      </c>
      <c r="FP157" s="38">
        <f t="shared" ref="FP157:FX157" si="88">ROUND(FP156/FP41,6)*1000</f>
        <v>1.349</v>
      </c>
      <c r="FQ157" s="38">
        <f t="shared" si="88"/>
        <v>0.70200000000000007</v>
      </c>
      <c r="FR157" s="38">
        <f t="shared" si="88"/>
        <v>0.22500000000000001</v>
      </c>
      <c r="FS157" s="38">
        <f t="shared" si="88"/>
        <v>0.157</v>
      </c>
      <c r="FT157" s="38">
        <f t="shared" si="88"/>
        <v>0.12999999999999998</v>
      </c>
      <c r="FU157" s="38">
        <f t="shared" si="88"/>
        <v>3.7720000000000002</v>
      </c>
      <c r="FV157" s="38">
        <f t="shared" si="88"/>
        <v>3.5779999999999998</v>
      </c>
      <c r="FW157" s="38">
        <f t="shared" si="88"/>
        <v>6.1349999999999998</v>
      </c>
      <c r="FX157" s="38">
        <f t="shared" si="88"/>
        <v>2.133</v>
      </c>
      <c r="FY157" s="7"/>
      <c r="FZ157" s="7"/>
      <c r="GA157" s="45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</row>
    <row r="158" spans="1:204" ht="15.5" x14ac:dyDescent="0.35">
      <c r="A158" s="60" t="s">
        <v>699</v>
      </c>
      <c r="B158" s="5" t="s">
        <v>700</v>
      </c>
      <c r="C158" s="74">
        <f t="shared" ref="C158:BU158" ca="1" si="89">IF(ROUND(MIN(C157,(C150-C152)),6)&lt;0,0,(ROUND(MIN(C157,(C150-C152)),6)))</f>
        <v>0</v>
      </c>
      <c r="D158" s="74">
        <f t="shared" ca="1" si="89"/>
        <v>0</v>
      </c>
      <c r="E158" s="74">
        <f t="shared" ca="1" si="89"/>
        <v>0</v>
      </c>
      <c r="F158" s="74">
        <f t="shared" ca="1" si="89"/>
        <v>0</v>
      </c>
      <c r="G158" s="74">
        <f t="shared" ca="1" si="89"/>
        <v>0</v>
      </c>
      <c r="H158" s="74">
        <f t="shared" ca="1" si="89"/>
        <v>0</v>
      </c>
      <c r="I158" s="74">
        <f t="shared" ca="1" si="89"/>
        <v>0</v>
      </c>
      <c r="J158" s="74">
        <f t="shared" ca="1" si="89"/>
        <v>0</v>
      </c>
      <c r="K158" s="74">
        <f t="shared" ca="1" si="89"/>
        <v>0</v>
      </c>
      <c r="L158" s="74">
        <f t="shared" ca="1" si="89"/>
        <v>8.9999999999999993E-3</v>
      </c>
      <c r="M158" s="74">
        <f t="shared" ca="1" si="89"/>
        <v>0</v>
      </c>
      <c r="N158" s="74">
        <f t="shared" ca="1" si="89"/>
        <v>0</v>
      </c>
      <c r="O158" s="74">
        <f t="shared" ca="1" si="89"/>
        <v>0</v>
      </c>
      <c r="P158" s="74">
        <f t="shared" ca="1" si="89"/>
        <v>0</v>
      </c>
      <c r="Q158" s="74">
        <f t="shared" ca="1" si="89"/>
        <v>0</v>
      </c>
      <c r="R158" s="74">
        <f t="shared" ca="1" si="89"/>
        <v>0</v>
      </c>
      <c r="S158" s="74">
        <f t="shared" ca="1" si="89"/>
        <v>0</v>
      </c>
      <c r="T158" s="74">
        <f t="shared" ca="1" si="89"/>
        <v>0</v>
      </c>
      <c r="U158" s="74">
        <f t="shared" ca="1" si="89"/>
        <v>0</v>
      </c>
      <c r="V158" s="74">
        <f t="shared" ca="1" si="89"/>
        <v>0</v>
      </c>
      <c r="W158" s="74">
        <f t="shared" ca="1" si="89"/>
        <v>0</v>
      </c>
      <c r="X158" s="74">
        <f t="shared" ca="1" si="89"/>
        <v>0</v>
      </c>
      <c r="Y158" s="74">
        <f t="shared" ca="1" si="89"/>
        <v>0</v>
      </c>
      <c r="Z158" s="74">
        <f t="shared" ca="1" si="89"/>
        <v>0</v>
      </c>
      <c r="AA158" s="74">
        <f t="shared" ca="1" si="89"/>
        <v>0</v>
      </c>
      <c r="AB158" s="74">
        <f t="shared" ca="1" si="89"/>
        <v>0</v>
      </c>
      <c r="AC158" s="74">
        <f t="shared" ca="1" si="89"/>
        <v>0</v>
      </c>
      <c r="AD158" s="74">
        <f t="shared" ca="1" si="89"/>
        <v>0</v>
      </c>
      <c r="AE158" s="74">
        <f t="shared" ca="1" si="89"/>
        <v>0</v>
      </c>
      <c r="AF158" s="74">
        <f t="shared" ca="1" si="89"/>
        <v>0</v>
      </c>
      <c r="AG158" s="74">
        <f t="shared" ca="1" si="89"/>
        <v>0</v>
      </c>
      <c r="AH158" s="74">
        <f t="shared" ca="1" si="89"/>
        <v>0</v>
      </c>
      <c r="AI158" s="74">
        <f t="shared" ca="1" si="89"/>
        <v>0</v>
      </c>
      <c r="AJ158" s="74">
        <f t="shared" ca="1" si="89"/>
        <v>0</v>
      </c>
      <c r="AK158" s="74">
        <f t="shared" ca="1" si="89"/>
        <v>0</v>
      </c>
      <c r="AL158" s="74">
        <f t="shared" ca="1" si="89"/>
        <v>0</v>
      </c>
      <c r="AM158" s="74">
        <f t="shared" ca="1" si="89"/>
        <v>0</v>
      </c>
      <c r="AN158" s="74">
        <f t="shared" ca="1" si="89"/>
        <v>0.91100000000000003</v>
      </c>
      <c r="AO158" s="74">
        <f t="shared" ca="1" si="89"/>
        <v>0</v>
      </c>
      <c r="AP158" s="74">
        <f t="shared" ca="1" si="89"/>
        <v>0</v>
      </c>
      <c r="AQ158" s="74">
        <f t="shared" ca="1" si="89"/>
        <v>0</v>
      </c>
      <c r="AR158" s="74">
        <f t="shared" ca="1" si="89"/>
        <v>0</v>
      </c>
      <c r="AS158" s="74">
        <f t="shared" ca="1" si="89"/>
        <v>0</v>
      </c>
      <c r="AT158" s="74">
        <f t="shared" ca="1" si="89"/>
        <v>0</v>
      </c>
      <c r="AU158" s="74">
        <f t="shared" ca="1" si="89"/>
        <v>0</v>
      </c>
      <c r="AV158" s="74">
        <f t="shared" ca="1" si="89"/>
        <v>0</v>
      </c>
      <c r="AW158" s="74">
        <f t="shared" ca="1" si="89"/>
        <v>0</v>
      </c>
      <c r="AX158" s="74">
        <f t="shared" ca="1" si="89"/>
        <v>0</v>
      </c>
      <c r="AY158" s="74">
        <f t="shared" ca="1" si="89"/>
        <v>0</v>
      </c>
      <c r="AZ158" s="74">
        <f t="shared" ca="1" si="89"/>
        <v>0</v>
      </c>
      <c r="BA158" s="74">
        <f t="shared" ca="1" si="89"/>
        <v>0</v>
      </c>
      <c r="BB158" s="74">
        <f t="shared" ca="1" si="89"/>
        <v>0</v>
      </c>
      <c r="BC158" s="74">
        <f t="shared" ca="1" si="89"/>
        <v>0</v>
      </c>
      <c r="BD158" s="74">
        <f t="shared" ca="1" si="89"/>
        <v>0</v>
      </c>
      <c r="BE158" s="74">
        <f t="shared" ca="1" si="89"/>
        <v>0</v>
      </c>
      <c r="BF158" s="74">
        <f t="shared" ca="1" si="89"/>
        <v>0</v>
      </c>
      <c r="BG158" s="74">
        <f t="shared" ca="1" si="89"/>
        <v>0</v>
      </c>
      <c r="BH158" s="74">
        <f t="shared" ca="1" si="89"/>
        <v>0</v>
      </c>
      <c r="BI158" s="74">
        <f t="shared" ca="1" si="89"/>
        <v>0</v>
      </c>
      <c r="BJ158" s="74">
        <f t="shared" ca="1" si="89"/>
        <v>0</v>
      </c>
      <c r="BK158" s="74">
        <f t="shared" ca="1" si="89"/>
        <v>0</v>
      </c>
      <c r="BL158" s="74">
        <f t="shared" ca="1" si="89"/>
        <v>0</v>
      </c>
      <c r="BM158" s="74">
        <f t="shared" ca="1" si="89"/>
        <v>0</v>
      </c>
      <c r="BN158" s="74">
        <f t="shared" ca="1" si="89"/>
        <v>0</v>
      </c>
      <c r="BO158" s="74">
        <f t="shared" ca="1" si="89"/>
        <v>0</v>
      </c>
      <c r="BP158" s="74">
        <f t="shared" ca="1" si="89"/>
        <v>0</v>
      </c>
      <c r="BQ158" s="74">
        <f t="shared" ca="1" si="89"/>
        <v>0</v>
      </c>
      <c r="BR158" s="74">
        <f t="shared" ca="1" si="89"/>
        <v>0</v>
      </c>
      <c r="BS158" s="74">
        <f t="shared" ca="1" si="89"/>
        <v>0</v>
      </c>
      <c r="BT158" s="74">
        <f t="shared" ca="1" si="89"/>
        <v>0</v>
      </c>
      <c r="BU158" s="74">
        <f t="shared" ca="1" si="89"/>
        <v>0</v>
      </c>
      <c r="BV158" s="74">
        <v>0.54200000000000004</v>
      </c>
      <c r="BW158" s="74">
        <f t="shared" ref="BW158:CO158" ca="1" si="90">IF(ROUND(MIN(BW157,(BW150-BW152)),6)&lt;0,0,(ROUND(MIN(BW157,(BW150-BW152)),6)))</f>
        <v>0</v>
      </c>
      <c r="BX158" s="74">
        <f t="shared" ca="1" si="90"/>
        <v>0</v>
      </c>
      <c r="BY158" s="74">
        <f t="shared" ca="1" si="90"/>
        <v>0</v>
      </c>
      <c r="BZ158" s="74">
        <f t="shared" ca="1" si="90"/>
        <v>0</v>
      </c>
      <c r="CA158" s="74">
        <f t="shared" ca="1" si="90"/>
        <v>0</v>
      </c>
      <c r="CB158" s="74">
        <f t="shared" ca="1" si="90"/>
        <v>0</v>
      </c>
      <c r="CC158" s="74">
        <f t="shared" ca="1" si="90"/>
        <v>0</v>
      </c>
      <c r="CD158" s="74">
        <f t="shared" ca="1" si="90"/>
        <v>0</v>
      </c>
      <c r="CE158" s="74">
        <f t="shared" ca="1" si="90"/>
        <v>0</v>
      </c>
      <c r="CF158" s="74">
        <f t="shared" ca="1" si="90"/>
        <v>0</v>
      </c>
      <c r="CG158" s="74">
        <f t="shared" ca="1" si="90"/>
        <v>0</v>
      </c>
      <c r="CH158" s="74">
        <f t="shared" ca="1" si="90"/>
        <v>0</v>
      </c>
      <c r="CI158" s="74">
        <f t="shared" ca="1" si="90"/>
        <v>0</v>
      </c>
      <c r="CJ158" s="74">
        <f t="shared" ca="1" si="90"/>
        <v>0</v>
      </c>
      <c r="CK158" s="74">
        <f t="shared" ca="1" si="90"/>
        <v>0</v>
      </c>
      <c r="CL158" s="74">
        <f t="shared" ca="1" si="90"/>
        <v>0</v>
      </c>
      <c r="CM158" s="74">
        <f t="shared" ca="1" si="90"/>
        <v>0</v>
      </c>
      <c r="CN158" s="74">
        <f t="shared" ca="1" si="90"/>
        <v>0</v>
      </c>
      <c r="CO158" s="74">
        <f t="shared" ca="1" si="90"/>
        <v>0</v>
      </c>
      <c r="CP158" s="74">
        <v>0.79</v>
      </c>
      <c r="CQ158" s="74">
        <f t="shared" ref="CQ158:DZ158" ca="1" si="91">IF(ROUND(MIN(CQ157,(CQ150-CQ152)),6)&lt;0,0,(ROUND(MIN(CQ157,(CQ150-CQ152)),6)))</f>
        <v>0</v>
      </c>
      <c r="CR158" s="74">
        <f t="shared" ca="1" si="91"/>
        <v>0</v>
      </c>
      <c r="CS158" s="74">
        <f t="shared" ca="1" si="91"/>
        <v>0</v>
      </c>
      <c r="CT158" s="74">
        <f t="shared" ca="1" si="91"/>
        <v>0</v>
      </c>
      <c r="CU158" s="74">
        <f t="shared" ca="1" si="91"/>
        <v>0</v>
      </c>
      <c r="CV158" s="74">
        <f t="shared" ca="1" si="91"/>
        <v>0</v>
      </c>
      <c r="CW158" s="74">
        <f t="shared" ca="1" si="91"/>
        <v>0</v>
      </c>
      <c r="CX158" s="74">
        <f t="shared" ca="1" si="91"/>
        <v>0</v>
      </c>
      <c r="CY158" s="74">
        <f t="shared" ca="1" si="91"/>
        <v>0</v>
      </c>
      <c r="CZ158" s="74">
        <f t="shared" ca="1" si="91"/>
        <v>0</v>
      </c>
      <c r="DA158" s="74">
        <f t="shared" ca="1" si="91"/>
        <v>0</v>
      </c>
      <c r="DB158" s="74">
        <f t="shared" ca="1" si="91"/>
        <v>0</v>
      </c>
      <c r="DC158" s="74">
        <f t="shared" ca="1" si="91"/>
        <v>0</v>
      </c>
      <c r="DD158" s="74">
        <f t="shared" ca="1" si="91"/>
        <v>0</v>
      </c>
      <c r="DE158" s="74">
        <f t="shared" ca="1" si="91"/>
        <v>0</v>
      </c>
      <c r="DF158" s="74">
        <f t="shared" ca="1" si="91"/>
        <v>0</v>
      </c>
      <c r="DG158" s="74">
        <f t="shared" ca="1" si="91"/>
        <v>0</v>
      </c>
      <c r="DH158" s="74">
        <f t="shared" ca="1" si="91"/>
        <v>0</v>
      </c>
      <c r="DI158" s="74">
        <f t="shared" ca="1" si="91"/>
        <v>0</v>
      </c>
      <c r="DJ158" s="74">
        <f t="shared" ca="1" si="91"/>
        <v>0</v>
      </c>
      <c r="DK158" s="74">
        <f t="shared" ca="1" si="91"/>
        <v>0</v>
      </c>
      <c r="DL158" s="74">
        <f t="shared" ca="1" si="91"/>
        <v>0</v>
      </c>
      <c r="DM158" s="74">
        <f t="shared" ca="1" si="91"/>
        <v>0</v>
      </c>
      <c r="DN158" s="74">
        <f t="shared" ca="1" si="91"/>
        <v>0</v>
      </c>
      <c r="DO158" s="74">
        <f t="shared" ca="1" si="91"/>
        <v>0</v>
      </c>
      <c r="DP158" s="74">
        <f t="shared" ca="1" si="91"/>
        <v>0</v>
      </c>
      <c r="DQ158" s="74">
        <f t="shared" ca="1" si="91"/>
        <v>0</v>
      </c>
      <c r="DR158" s="74">
        <f t="shared" ca="1" si="91"/>
        <v>0</v>
      </c>
      <c r="DS158" s="74">
        <f t="shared" ca="1" si="91"/>
        <v>0</v>
      </c>
      <c r="DT158" s="74">
        <f t="shared" ca="1" si="91"/>
        <v>0</v>
      </c>
      <c r="DU158" s="74">
        <f t="shared" ca="1" si="91"/>
        <v>0</v>
      </c>
      <c r="DV158" s="74">
        <f t="shared" ca="1" si="91"/>
        <v>0</v>
      </c>
      <c r="DW158" s="74">
        <f t="shared" ca="1" si="91"/>
        <v>0</v>
      </c>
      <c r="DX158" s="74">
        <f t="shared" ca="1" si="91"/>
        <v>0</v>
      </c>
      <c r="DY158" s="74">
        <f t="shared" ca="1" si="91"/>
        <v>0</v>
      </c>
      <c r="DZ158" s="74">
        <f t="shared" ca="1" si="91"/>
        <v>0</v>
      </c>
      <c r="EA158" s="74">
        <f ca="1">IF(ROUND(MIN(EA157,(EA150-EA152)),6)&lt;0,0,(ROUND(MIN(EA157,(EA150-EA152)),6)))-0.001</f>
        <v>0.77100000000000002</v>
      </c>
      <c r="EB158" s="74">
        <f t="shared" ref="EB158:EC158" ca="1" si="92">IF(ROUND(MIN(EB157,(EB150-EB152)),6)&lt;0,0,(ROUND(MIN(EB157,(EB150-EB152)),6)))</f>
        <v>0</v>
      </c>
      <c r="EC158" s="74">
        <f t="shared" ca="1" si="92"/>
        <v>0</v>
      </c>
      <c r="ED158" s="74">
        <v>0.13800000000000001</v>
      </c>
      <c r="EE158" s="74">
        <f t="shared" ref="EE158:FP158" ca="1" si="93">IF(ROUND(MIN(EE157,(EE150-EE152)),6)&lt;0,0,(ROUND(MIN(EE157,(EE150-EE152)),6)))</f>
        <v>0</v>
      </c>
      <c r="EF158" s="74">
        <f t="shared" ca="1" si="93"/>
        <v>0</v>
      </c>
      <c r="EG158" s="74">
        <f t="shared" ca="1" si="93"/>
        <v>0</v>
      </c>
      <c r="EH158" s="74">
        <f t="shared" ca="1" si="93"/>
        <v>0</v>
      </c>
      <c r="EI158" s="74">
        <f t="shared" ca="1" si="93"/>
        <v>0</v>
      </c>
      <c r="EJ158" s="74">
        <f t="shared" ca="1" si="93"/>
        <v>0</v>
      </c>
      <c r="EK158" s="74">
        <f t="shared" ca="1" si="93"/>
        <v>0</v>
      </c>
      <c r="EL158" s="74">
        <f t="shared" ca="1" si="93"/>
        <v>0</v>
      </c>
      <c r="EM158" s="74">
        <f t="shared" ca="1" si="93"/>
        <v>0</v>
      </c>
      <c r="EN158" s="74">
        <f t="shared" ca="1" si="93"/>
        <v>0</v>
      </c>
      <c r="EO158" s="74">
        <f t="shared" ca="1" si="93"/>
        <v>0</v>
      </c>
      <c r="EP158" s="74">
        <f t="shared" ca="1" si="93"/>
        <v>0</v>
      </c>
      <c r="EQ158" s="74">
        <f t="shared" ca="1" si="93"/>
        <v>0</v>
      </c>
      <c r="ER158" s="74">
        <f t="shared" ca="1" si="93"/>
        <v>0</v>
      </c>
      <c r="ES158" s="74">
        <f t="shared" ca="1" si="93"/>
        <v>0</v>
      </c>
      <c r="ET158" s="74">
        <f t="shared" ca="1" si="93"/>
        <v>0</v>
      </c>
      <c r="EU158" s="74">
        <f t="shared" ca="1" si="93"/>
        <v>0</v>
      </c>
      <c r="EV158" s="74">
        <f t="shared" ca="1" si="93"/>
        <v>0</v>
      </c>
      <c r="EW158" s="74">
        <f t="shared" ca="1" si="93"/>
        <v>0</v>
      </c>
      <c r="EX158" s="74">
        <f t="shared" ca="1" si="93"/>
        <v>0</v>
      </c>
      <c r="EY158" s="74">
        <f t="shared" ca="1" si="93"/>
        <v>0</v>
      </c>
      <c r="EZ158" s="74">
        <f t="shared" ca="1" si="93"/>
        <v>0</v>
      </c>
      <c r="FA158" s="74">
        <f t="shared" ca="1" si="93"/>
        <v>0</v>
      </c>
      <c r="FB158" s="74">
        <f t="shared" ca="1" si="93"/>
        <v>0</v>
      </c>
      <c r="FC158" s="74">
        <f t="shared" ca="1" si="93"/>
        <v>0</v>
      </c>
      <c r="FD158" s="74">
        <f t="shared" ca="1" si="93"/>
        <v>0</v>
      </c>
      <c r="FE158" s="74">
        <f t="shared" ca="1" si="93"/>
        <v>0</v>
      </c>
      <c r="FF158" s="74">
        <f t="shared" ca="1" si="93"/>
        <v>0</v>
      </c>
      <c r="FG158" s="74">
        <f t="shared" ca="1" si="93"/>
        <v>0</v>
      </c>
      <c r="FH158" s="74">
        <f t="shared" ca="1" si="93"/>
        <v>0</v>
      </c>
      <c r="FI158" s="74">
        <f t="shared" ca="1" si="93"/>
        <v>0</v>
      </c>
      <c r="FJ158" s="74">
        <f t="shared" ca="1" si="93"/>
        <v>0</v>
      </c>
      <c r="FK158" s="74">
        <f t="shared" ca="1" si="93"/>
        <v>0</v>
      </c>
      <c r="FL158" s="74">
        <f t="shared" ca="1" si="93"/>
        <v>0</v>
      </c>
      <c r="FM158" s="74">
        <f t="shared" ca="1" si="93"/>
        <v>0</v>
      </c>
      <c r="FN158" s="74">
        <f t="shared" ca="1" si="93"/>
        <v>0</v>
      </c>
      <c r="FO158" s="74">
        <f t="shared" ca="1" si="93"/>
        <v>0.17</v>
      </c>
      <c r="FP158" s="74">
        <f t="shared" ca="1" si="93"/>
        <v>0</v>
      </c>
      <c r="FQ158" s="74">
        <f ca="1">IF(ROUND(MIN(FQ157,(FQ150-FQ152)),6)&lt;0,0,(ROUND(MIN(FQ157,(FQ150-FQ152)),6)))-0.001</f>
        <v>0.70099999999999996</v>
      </c>
      <c r="FR158" s="74">
        <v>0.22500000000000001</v>
      </c>
      <c r="FS158" s="74">
        <f ca="1">IF(ROUND(MIN(FS157,(FS150-FS152)),6)&lt;0,0,(ROUND(MIN(FS157,(FS150-FS152)),6)))</f>
        <v>0</v>
      </c>
      <c r="FT158" s="74">
        <v>0.13</v>
      </c>
      <c r="FU158" s="74">
        <f t="shared" ref="FU158:FX158" ca="1" si="94">IF(ROUND(MIN(FU157,(FU150-FU152)),6)&lt;0,0,(ROUND(MIN(FU157,(FU150-FU152)),6)))</f>
        <v>0</v>
      </c>
      <c r="FV158" s="74">
        <f t="shared" ca="1" si="94"/>
        <v>0</v>
      </c>
      <c r="FW158" s="74">
        <f t="shared" ca="1" si="94"/>
        <v>0</v>
      </c>
      <c r="FX158" s="74">
        <f t="shared" ca="1" si="94"/>
        <v>0</v>
      </c>
      <c r="FY158" s="79"/>
      <c r="FZ158" s="79">
        <f ca="1">SUM(C158:FX158)</f>
        <v>4.3869999999999996</v>
      </c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</row>
    <row r="159" spans="1:204" ht="15.5" x14ac:dyDescent="0.35">
      <c r="A159" s="7"/>
      <c r="B159" s="7" t="s">
        <v>701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45"/>
      <c r="FZ159" s="45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</row>
    <row r="160" spans="1:204" ht="15.5" x14ac:dyDescent="0.35">
      <c r="A160" s="12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80"/>
      <c r="GA160" s="7"/>
      <c r="GB160" s="7"/>
      <c r="GC160" s="81"/>
      <c r="GD160" s="81"/>
      <c r="GE160" s="81"/>
      <c r="GF160" s="81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</row>
    <row r="161" spans="1:204" ht="15.5" x14ac:dyDescent="0.35">
      <c r="A161" s="12" t="s">
        <v>684</v>
      </c>
      <c r="B161" s="5" t="s">
        <v>702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>
        <v>12757920</v>
      </c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</row>
    <row r="162" spans="1:204" ht="15.5" x14ac:dyDescent="0.35">
      <c r="A162" s="12" t="s">
        <v>703</v>
      </c>
      <c r="B162" s="7" t="s">
        <v>704</v>
      </c>
      <c r="C162" s="7">
        <f t="shared" ref="C162:FX162" ca="1" si="95">C147</f>
        <v>80653886.704500005</v>
      </c>
      <c r="D162" s="7">
        <f t="shared" ca="1" si="95"/>
        <v>449772841.0165</v>
      </c>
      <c r="E162" s="7">
        <f t="shared" ca="1" si="95"/>
        <v>72711906.047499999</v>
      </c>
      <c r="F162" s="7">
        <f t="shared" ca="1" si="95"/>
        <v>281818758.98650002</v>
      </c>
      <c r="G162" s="7">
        <f t="shared" ca="1" si="95"/>
        <v>22749083.645</v>
      </c>
      <c r="H162" s="7">
        <f t="shared" ca="1" si="95"/>
        <v>13754347.652000001</v>
      </c>
      <c r="I162" s="7">
        <f t="shared" ca="1" si="95"/>
        <v>99836562.570000008</v>
      </c>
      <c r="J162" s="7">
        <f t="shared" ca="1" si="95"/>
        <v>24863991.043000001</v>
      </c>
      <c r="K162" s="7">
        <f t="shared" ca="1" si="95"/>
        <v>4375286.1875</v>
      </c>
      <c r="L162" s="7">
        <f t="shared" ca="1" si="95"/>
        <v>26455657.423999999</v>
      </c>
      <c r="M162" s="7">
        <f t="shared" ca="1" si="95"/>
        <v>13714030.26</v>
      </c>
      <c r="N162" s="7">
        <f t="shared" ca="1" si="95"/>
        <v>594074253.87099993</v>
      </c>
      <c r="O162" s="7">
        <f t="shared" ca="1" si="95"/>
        <v>144353814.77599999</v>
      </c>
      <c r="P162" s="7">
        <f t="shared" ca="1" si="95"/>
        <v>5346390.8454999998</v>
      </c>
      <c r="Q162" s="7">
        <f t="shared" ca="1" si="95"/>
        <v>501713271.11600006</v>
      </c>
      <c r="R162" s="7">
        <f t="shared" ca="1" si="95"/>
        <v>80785561.0995</v>
      </c>
      <c r="S162" s="7">
        <f t="shared" ca="1" si="95"/>
        <v>19638317.813999999</v>
      </c>
      <c r="T162" s="7">
        <f t="shared" ca="1" si="95"/>
        <v>3366043.8955000001</v>
      </c>
      <c r="U162" s="7">
        <f t="shared" ca="1" si="95"/>
        <v>1434339.3499999999</v>
      </c>
      <c r="V162" s="7">
        <f t="shared" ca="1" si="95"/>
        <v>4403278.9739999995</v>
      </c>
      <c r="W162" s="7">
        <f t="shared" ca="1" si="95"/>
        <v>2801531.69</v>
      </c>
      <c r="X162" s="7">
        <f t="shared" ca="1" si="95"/>
        <v>1302093.5415000001</v>
      </c>
      <c r="Y162" s="7">
        <f t="shared" ca="1" si="95"/>
        <v>11504261.766000001</v>
      </c>
      <c r="Z162" s="7">
        <f t="shared" ca="1" si="95"/>
        <v>3953099.227</v>
      </c>
      <c r="AA162" s="7">
        <f t="shared" ca="1" si="95"/>
        <v>353644732.69400001</v>
      </c>
      <c r="AB162" s="7">
        <f t="shared" ca="1" si="95"/>
        <v>313517672.6875</v>
      </c>
      <c r="AC162" s="7">
        <f t="shared" ca="1" si="95"/>
        <v>11439265.5165</v>
      </c>
      <c r="AD162" s="7">
        <f t="shared" ca="1" si="95"/>
        <v>17009752.8255</v>
      </c>
      <c r="AE162" s="7">
        <f t="shared" ca="1" si="95"/>
        <v>2265417.2824999997</v>
      </c>
      <c r="AF162" s="7">
        <f t="shared" ca="1" si="95"/>
        <v>3457183.4355000001</v>
      </c>
      <c r="AG162" s="7">
        <f t="shared" ca="1" si="95"/>
        <v>8181305.7600000007</v>
      </c>
      <c r="AH162" s="7">
        <f t="shared" ca="1" si="95"/>
        <v>12000672.658499999</v>
      </c>
      <c r="AI162" s="7">
        <f t="shared" ca="1" si="95"/>
        <v>5586807.4819999998</v>
      </c>
      <c r="AJ162" s="7">
        <f t="shared" ca="1" si="95"/>
        <v>3762127.122</v>
      </c>
      <c r="AK162" s="7">
        <f t="shared" ca="1" si="95"/>
        <v>3506148.1314999997</v>
      </c>
      <c r="AL162" s="7">
        <f t="shared" ca="1" si="95"/>
        <v>4824354.0564999999</v>
      </c>
      <c r="AM162" s="7">
        <f t="shared" ca="1" si="95"/>
        <v>5334147.5630000001</v>
      </c>
      <c r="AN162" s="7">
        <f t="shared" ca="1" si="95"/>
        <v>4870423.5844999999</v>
      </c>
      <c r="AO162" s="7">
        <f t="shared" ca="1" si="95"/>
        <v>51205864.93</v>
      </c>
      <c r="AP162" s="7">
        <f t="shared" ca="1" si="95"/>
        <v>1028928090.8134999</v>
      </c>
      <c r="AQ162" s="7">
        <f t="shared" ca="1" si="95"/>
        <v>4557735.2030000007</v>
      </c>
      <c r="AR162" s="7">
        <f t="shared" ca="1" si="95"/>
        <v>695497801.64950001</v>
      </c>
      <c r="AS162" s="7">
        <f t="shared" ca="1" si="95"/>
        <v>80382184.751999989</v>
      </c>
      <c r="AT162" s="7">
        <f t="shared" ca="1" si="95"/>
        <v>28185152.587500002</v>
      </c>
      <c r="AU162" s="7">
        <f t="shared" ca="1" si="95"/>
        <v>4714653.9550000001</v>
      </c>
      <c r="AV162" s="7">
        <f t="shared" ca="1" si="95"/>
        <v>5195250.0049999999</v>
      </c>
      <c r="AW162" s="7">
        <f t="shared" ca="1" si="95"/>
        <v>4528791.2074999996</v>
      </c>
      <c r="AX162" s="7">
        <f t="shared" ca="1" si="95"/>
        <v>2070363.0055</v>
      </c>
      <c r="AY162" s="7">
        <f t="shared" ca="1" si="95"/>
        <v>6099681.4729999993</v>
      </c>
      <c r="AZ162" s="7">
        <f t="shared" ca="1" si="95"/>
        <v>143721669.81849998</v>
      </c>
      <c r="BA162" s="7">
        <f t="shared" ca="1" si="95"/>
        <v>101745533.9965</v>
      </c>
      <c r="BB162" s="7">
        <f t="shared" ca="1" si="95"/>
        <v>84696074.475000009</v>
      </c>
      <c r="BC162" s="7">
        <f t="shared" ca="1" si="95"/>
        <v>284985378.04949999</v>
      </c>
      <c r="BD162" s="7">
        <f t="shared" ca="1" si="95"/>
        <v>40387774.087499999</v>
      </c>
      <c r="BE162" s="7">
        <f t="shared" ca="1" si="95"/>
        <v>14452481.43</v>
      </c>
      <c r="BF162" s="7">
        <f t="shared" ca="1" si="95"/>
        <v>282580377.8215</v>
      </c>
      <c r="BG162" s="7">
        <f t="shared" ca="1" si="95"/>
        <v>12272965.565499999</v>
      </c>
      <c r="BH162" s="7">
        <f t="shared" ca="1" si="95"/>
        <v>7764632.4265000001</v>
      </c>
      <c r="BI162" s="7">
        <f t="shared" ca="1" si="95"/>
        <v>4731197.7510000002</v>
      </c>
      <c r="BJ162" s="7">
        <f t="shared" ca="1" si="95"/>
        <v>69933398.336500004</v>
      </c>
      <c r="BK162" s="7">
        <f t="shared" ca="1" si="95"/>
        <v>392901390.48249996</v>
      </c>
      <c r="BL162" s="7">
        <f t="shared" ca="1" si="95"/>
        <v>2216243.83</v>
      </c>
      <c r="BM162" s="7">
        <f t="shared" ca="1" si="95"/>
        <v>5569538.9195000008</v>
      </c>
      <c r="BN162" s="7">
        <f t="shared" ca="1" si="95"/>
        <v>35657862.697499998</v>
      </c>
      <c r="BO162" s="7">
        <f t="shared" ca="1" si="95"/>
        <v>15155937.515000001</v>
      </c>
      <c r="BP162" s="7">
        <f t="shared" ca="1" si="95"/>
        <v>3397952.4</v>
      </c>
      <c r="BQ162" s="7">
        <f t="shared" ca="1" si="95"/>
        <v>74181665.145999998</v>
      </c>
      <c r="BR162" s="7">
        <f t="shared" ca="1" si="95"/>
        <v>53099251.288500004</v>
      </c>
      <c r="BS162" s="7">
        <f t="shared" ca="1" si="95"/>
        <v>15039024.501500001</v>
      </c>
      <c r="BT162" s="7">
        <f t="shared" ca="1" si="95"/>
        <v>5848382.7520000003</v>
      </c>
      <c r="BU162" s="7">
        <f t="shared" ca="1" si="95"/>
        <v>6167804.8365000002</v>
      </c>
      <c r="BV162" s="7">
        <f t="shared" ca="1" si="95"/>
        <v>15406304.9245</v>
      </c>
      <c r="BW162" s="7">
        <f t="shared" ca="1" si="95"/>
        <v>24653579.338</v>
      </c>
      <c r="BX162" s="7">
        <f t="shared" ca="1" si="95"/>
        <v>1781744.71</v>
      </c>
      <c r="BY162" s="7">
        <f t="shared" ca="1" si="95"/>
        <v>6429493.0899999999</v>
      </c>
      <c r="BZ162" s="7">
        <f t="shared" ca="1" si="95"/>
        <v>4139198.4134999998</v>
      </c>
      <c r="CA162" s="7">
        <f t="shared" ca="1" si="95"/>
        <v>3163209.2760000001</v>
      </c>
      <c r="CB162" s="7">
        <f t="shared" ca="1" si="95"/>
        <v>833037943.36650002</v>
      </c>
      <c r="CC162" s="7">
        <f t="shared" ca="1" si="95"/>
        <v>3645251.1535</v>
      </c>
      <c r="CD162" s="7">
        <f t="shared" ca="1" si="95"/>
        <v>2835204.01</v>
      </c>
      <c r="CE162" s="7">
        <f t="shared" ca="1" si="95"/>
        <v>3222185.2225000001</v>
      </c>
      <c r="CF162" s="7">
        <f t="shared" ca="1" si="95"/>
        <v>2467533.2999999998</v>
      </c>
      <c r="CG162" s="7">
        <f t="shared" ca="1" si="95"/>
        <v>3738676.077</v>
      </c>
      <c r="CH162" s="7">
        <f t="shared" ca="1" si="95"/>
        <v>2284108.554</v>
      </c>
      <c r="CI162" s="7">
        <f t="shared" ca="1" si="95"/>
        <v>8892753.6539999992</v>
      </c>
      <c r="CJ162" s="7">
        <f t="shared" ca="1" si="95"/>
        <v>11725516.5615</v>
      </c>
      <c r="CK162" s="7">
        <f t="shared" ca="1" si="95"/>
        <v>57731063.055</v>
      </c>
      <c r="CL162" s="7">
        <f t="shared" ca="1" si="95"/>
        <v>15647845.944499999</v>
      </c>
      <c r="CM162" s="7">
        <f t="shared" ca="1" si="95"/>
        <v>9538400.9210000001</v>
      </c>
      <c r="CN162" s="7">
        <f t="shared" ca="1" si="95"/>
        <v>356274942.75</v>
      </c>
      <c r="CO162" s="7">
        <f t="shared" ca="1" si="95"/>
        <v>159043245.46250001</v>
      </c>
      <c r="CP162" s="7">
        <f t="shared" ca="1" si="95"/>
        <v>12265678.9255</v>
      </c>
      <c r="CQ162" s="7">
        <f t="shared" ca="1" si="95"/>
        <v>10427351.989</v>
      </c>
      <c r="CR162" s="7">
        <f t="shared" ca="1" si="95"/>
        <v>3953168.6</v>
      </c>
      <c r="CS162" s="7">
        <f t="shared" ca="1" si="95"/>
        <v>4573177.63</v>
      </c>
      <c r="CT162" s="7">
        <f t="shared" ca="1" si="95"/>
        <v>2611047.9515</v>
      </c>
      <c r="CU162" s="7">
        <f t="shared" ca="1" si="95"/>
        <v>5594151.4344999995</v>
      </c>
      <c r="CV162" s="7">
        <f t="shared" ca="1" si="95"/>
        <v>1227614.3935</v>
      </c>
      <c r="CW162" s="7">
        <f t="shared" ca="1" si="95"/>
        <v>3853883.1814999999</v>
      </c>
      <c r="CX162" s="7">
        <f t="shared" ca="1" si="95"/>
        <v>6307064.4479999999</v>
      </c>
      <c r="CY162" s="7">
        <f t="shared" ca="1" si="95"/>
        <v>1293992.7920000001</v>
      </c>
      <c r="CZ162" s="7">
        <f t="shared" ca="1" si="95"/>
        <v>21237397.3145</v>
      </c>
      <c r="DA162" s="7">
        <f t="shared" ca="1" si="95"/>
        <v>3787868.9130000002</v>
      </c>
      <c r="DB162" s="7">
        <f t="shared" ca="1" si="95"/>
        <v>4922881.7845000001</v>
      </c>
      <c r="DC162" s="7">
        <f t="shared" ca="1" si="95"/>
        <v>3700914.3590000002</v>
      </c>
      <c r="DD162" s="7">
        <f t="shared" ca="1" si="95"/>
        <v>3606759.7689999999</v>
      </c>
      <c r="DE162" s="7">
        <f t="shared" ca="1" si="95"/>
        <v>4664669.0504999999</v>
      </c>
      <c r="DF162" s="7">
        <f t="shared" ca="1" si="95"/>
        <v>230009152.8655</v>
      </c>
      <c r="DG162" s="7">
        <f t="shared" ca="1" si="95"/>
        <v>2245170.2094999999</v>
      </c>
      <c r="DH162" s="7">
        <f t="shared" ca="1" si="95"/>
        <v>21129919.309500001</v>
      </c>
      <c r="DI162" s="7">
        <f t="shared" ca="1" si="95"/>
        <v>28542301.568999998</v>
      </c>
      <c r="DJ162" s="7">
        <f t="shared" ca="1" si="95"/>
        <v>8361117.5200000005</v>
      </c>
      <c r="DK162" s="7">
        <f t="shared" ca="1" si="95"/>
        <v>6478268.9845000003</v>
      </c>
      <c r="DL162" s="7">
        <f t="shared" ca="1" si="95"/>
        <v>67847459.401999995</v>
      </c>
      <c r="DM162" s="7">
        <f t="shared" ca="1" si="95"/>
        <v>4485116.3815000001</v>
      </c>
      <c r="DN162" s="7">
        <f t="shared" ca="1" si="95"/>
        <v>16327554.8245</v>
      </c>
      <c r="DO162" s="7">
        <f t="shared" ca="1" si="95"/>
        <v>39338943.888499998</v>
      </c>
      <c r="DP162" s="7">
        <f t="shared" ca="1" si="95"/>
        <v>3903267.1009999998</v>
      </c>
      <c r="DQ162" s="7">
        <f t="shared" ca="1" si="95"/>
        <v>11479667.051999999</v>
      </c>
      <c r="DR162" s="7">
        <f t="shared" ca="1" si="95"/>
        <v>16311885.359999999</v>
      </c>
      <c r="DS162" s="7">
        <f t="shared" ca="1" si="95"/>
        <v>8410095.3399999999</v>
      </c>
      <c r="DT162" s="7">
        <f t="shared" ca="1" si="95"/>
        <v>3749928.7064999999</v>
      </c>
      <c r="DU162" s="7">
        <f t="shared" ca="1" si="95"/>
        <v>5395850.8619999997</v>
      </c>
      <c r="DV162" s="7">
        <f t="shared" ca="1" si="95"/>
        <v>3874077.6475</v>
      </c>
      <c r="DW162" s="7">
        <f t="shared" ca="1" si="95"/>
        <v>4786522.3374999994</v>
      </c>
      <c r="DX162" s="7">
        <f t="shared" ca="1" si="95"/>
        <v>3815527.3004999999</v>
      </c>
      <c r="DY162" s="7">
        <f t="shared" ca="1" si="95"/>
        <v>5145943.7184999995</v>
      </c>
      <c r="DZ162" s="7">
        <f t="shared" ca="1" si="95"/>
        <v>9292336.7050000001</v>
      </c>
      <c r="EA162" s="7">
        <f t="shared" ca="1" si="95"/>
        <v>7467213.0120000001</v>
      </c>
      <c r="EB162" s="7">
        <f t="shared" ca="1" si="95"/>
        <v>7192096.0245000003</v>
      </c>
      <c r="EC162" s="7">
        <f t="shared" ca="1" si="95"/>
        <v>4421929.4214999992</v>
      </c>
      <c r="ED162" s="7">
        <f t="shared" ca="1" si="95"/>
        <v>23689244.559999999</v>
      </c>
      <c r="EE162" s="7">
        <f t="shared" ca="1" si="95"/>
        <v>3753665.2550000004</v>
      </c>
      <c r="EF162" s="7">
        <f t="shared" ca="1" si="95"/>
        <v>16571740.7355</v>
      </c>
      <c r="EG162" s="7">
        <f t="shared" ca="1" si="95"/>
        <v>4272588.2215</v>
      </c>
      <c r="EH162" s="7">
        <f t="shared" ca="1" si="95"/>
        <v>4185390.818</v>
      </c>
      <c r="EI162" s="7">
        <f t="shared" ca="1" si="95"/>
        <v>163687034.40000001</v>
      </c>
      <c r="EJ162" s="7">
        <f t="shared" ca="1" si="95"/>
        <v>113585335.42999999</v>
      </c>
      <c r="EK162" s="7">
        <f t="shared" ca="1" si="95"/>
        <v>8598773.1469999999</v>
      </c>
      <c r="EL162" s="7">
        <f t="shared" ca="1" si="95"/>
        <v>6056194.3025000002</v>
      </c>
      <c r="EM162" s="7">
        <f t="shared" ca="1" si="95"/>
        <v>5594227.1255000001</v>
      </c>
      <c r="EN162" s="7">
        <f t="shared" ca="1" si="95"/>
        <v>12177586.8805</v>
      </c>
      <c r="EO162" s="7">
        <f t="shared" ca="1" si="95"/>
        <v>4799141.8195000002</v>
      </c>
      <c r="EP162" s="7">
        <f t="shared" ca="1" si="95"/>
        <v>6337242.9914999995</v>
      </c>
      <c r="EQ162" s="7">
        <f t="shared" ca="1" si="95"/>
        <v>31158516.550000001</v>
      </c>
      <c r="ER162" s="7">
        <f t="shared" ca="1" si="95"/>
        <v>5215205.1645</v>
      </c>
      <c r="ES162" s="7">
        <f t="shared" ca="1" si="95"/>
        <v>3403118.3939999999</v>
      </c>
      <c r="ET162" s="7">
        <f t="shared" ca="1" si="95"/>
        <v>4358136.7494999999</v>
      </c>
      <c r="EU162" s="7">
        <f t="shared" ca="1" si="95"/>
        <v>8201587.5644999994</v>
      </c>
      <c r="EV162" s="7">
        <f t="shared" ca="1" si="95"/>
        <v>1902380.3930000002</v>
      </c>
      <c r="EW162" s="7">
        <f t="shared" ca="1" si="95"/>
        <v>13370071.560000001</v>
      </c>
      <c r="EX162" s="7">
        <f t="shared" ca="1" si="95"/>
        <v>3805304.7845000001</v>
      </c>
      <c r="EY162" s="7">
        <f t="shared" ca="1" si="95"/>
        <v>8090226.3775000004</v>
      </c>
      <c r="EZ162" s="7">
        <f t="shared" ca="1" si="95"/>
        <v>2843721.3509999998</v>
      </c>
      <c r="FA162" s="7">
        <f t="shared" ca="1" si="95"/>
        <v>42788890.164999999</v>
      </c>
      <c r="FB162" s="7">
        <f t="shared" ca="1" si="95"/>
        <v>4884803.9035</v>
      </c>
      <c r="FC162" s="7">
        <f t="shared" ca="1" si="95"/>
        <v>21970505.670000002</v>
      </c>
      <c r="FD162" s="7">
        <f t="shared" ca="1" si="95"/>
        <v>5894100.7965000002</v>
      </c>
      <c r="FE162" s="7">
        <f t="shared" ca="1" si="95"/>
        <v>1991377.31</v>
      </c>
      <c r="FF162" s="7">
        <f t="shared" ca="1" si="95"/>
        <v>3722187.2760000001</v>
      </c>
      <c r="FG162" s="7">
        <f t="shared" ca="1" si="95"/>
        <v>2767543.75</v>
      </c>
      <c r="FH162" s="7">
        <f t="shared" ca="1" si="95"/>
        <v>1735535.4975000001</v>
      </c>
      <c r="FI162" s="7">
        <f t="shared" ca="1" si="95"/>
        <v>21080079.802000001</v>
      </c>
      <c r="FJ162" s="7">
        <f t="shared" ca="1" si="95"/>
        <v>23028042.299999997</v>
      </c>
      <c r="FK162" s="7">
        <f t="shared" ca="1" si="95"/>
        <v>30258313.630000003</v>
      </c>
      <c r="FL162" s="7">
        <f t="shared" ca="1" si="95"/>
        <v>94310893.132499993</v>
      </c>
      <c r="FM162" s="7">
        <f t="shared" ca="1" si="95"/>
        <v>45024271.3235</v>
      </c>
      <c r="FN162" s="7">
        <f t="shared" ca="1" si="95"/>
        <v>266370825.75600001</v>
      </c>
      <c r="FO162" s="7">
        <f t="shared" ca="1" si="95"/>
        <v>13846353.949999999</v>
      </c>
      <c r="FP162" s="7">
        <f t="shared" ca="1" si="95"/>
        <v>28138920.386999998</v>
      </c>
      <c r="FQ162" s="7">
        <f t="shared" ca="1" si="95"/>
        <v>12333404.3455</v>
      </c>
      <c r="FR162" s="7">
        <f t="shared" ca="1" si="95"/>
        <v>3409546.327</v>
      </c>
      <c r="FS162" s="7">
        <f t="shared" ca="1" si="95"/>
        <v>3425421.11</v>
      </c>
      <c r="FT162" s="7">
        <f t="shared" ca="1" si="95"/>
        <v>1506104.6105</v>
      </c>
      <c r="FU162" s="7">
        <f t="shared" ca="1" si="95"/>
        <v>10797281.807499999</v>
      </c>
      <c r="FV162" s="7">
        <f t="shared" ca="1" si="95"/>
        <v>9321322.6289999988</v>
      </c>
      <c r="FW162" s="7">
        <f t="shared" ca="1" si="95"/>
        <v>3290841.9</v>
      </c>
      <c r="FX162" s="7">
        <f t="shared" ca="1" si="95"/>
        <v>1701192.38</v>
      </c>
      <c r="FY162" s="7"/>
      <c r="FZ162" s="82">
        <f ca="1">SUM(C162:FX162)</f>
        <v>10031606090.207495</v>
      </c>
      <c r="GA162" s="62">
        <v>10036070748.107494</v>
      </c>
      <c r="GB162" s="7">
        <f ca="1">FZ162-GA162</f>
        <v>-4464657.8999996185</v>
      </c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</row>
    <row r="163" spans="1:204" ht="15.5" x14ac:dyDescent="0.35">
      <c r="A163" s="12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82"/>
      <c r="GA163" s="62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</row>
    <row r="164" spans="1:204" ht="15.5" x14ac:dyDescent="0.35">
      <c r="A164" s="12" t="s">
        <v>705</v>
      </c>
      <c r="B164" s="7" t="s">
        <v>706</v>
      </c>
      <c r="C164" s="7">
        <f t="shared" ref="C164:FX164" ca="1" si="96">ROUND(((C152*C41)/1000)-C171,2)</f>
        <v>33577243.380000003</v>
      </c>
      <c r="D164" s="7">
        <f t="shared" ca="1" si="96"/>
        <v>117787428.8</v>
      </c>
      <c r="E164" s="7">
        <f t="shared" ca="1" si="96"/>
        <v>34609092.530000001</v>
      </c>
      <c r="F164" s="7">
        <f t="shared" ca="1" si="96"/>
        <v>89552335.959999993</v>
      </c>
      <c r="G164" s="7">
        <f t="shared" ca="1" si="96"/>
        <v>10475818.99</v>
      </c>
      <c r="H164" s="7">
        <f t="shared" ca="1" si="96"/>
        <v>3998572.46</v>
      </c>
      <c r="I164" s="7">
        <f t="shared" ca="1" si="96"/>
        <v>32845882.949999999</v>
      </c>
      <c r="J164" s="7">
        <f t="shared" ca="1" si="96"/>
        <v>5369700.25</v>
      </c>
      <c r="K164" s="7">
        <f t="shared" ca="1" si="96"/>
        <v>1412707.44</v>
      </c>
      <c r="L164" s="7">
        <f t="shared" ca="1" si="96"/>
        <v>24946524</v>
      </c>
      <c r="M164" s="7">
        <f t="shared" ca="1" si="96"/>
        <v>9276069.5800000001</v>
      </c>
      <c r="N164" s="7">
        <f t="shared" ca="1" si="96"/>
        <v>185685935.46000001</v>
      </c>
      <c r="O164" s="7">
        <f t="shared" ca="1" si="96"/>
        <v>72593761.25</v>
      </c>
      <c r="P164" s="7">
        <f t="shared" ca="1" si="96"/>
        <v>1588256.95</v>
      </c>
      <c r="Q164" s="7">
        <f t="shared" ca="1" si="96"/>
        <v>171134109.27000001</v>
      </c>
      <c r="R164" s="7">
        <f t="shared" ca="1" si="96"/>
        <v>2080510.09</v>
      </c>
      <c r="S164" s="7">
        <f t="shared" ca="1" si="96"/>
        <v>16247638.09</v>
      </c>
      <c r="T164" s="7">
        <f t="shared" ca="1" si="96"/>
        <v>680032.67</v>
      </c>
      <c r="U164" s="7">
        <f t="shared" ca="1" si="96"/>
        <v>777590.13</v>
      </c>
      <c r="V164" s="7">
        <f t="shared" ca="1" si="96"/>
        <v>1008815.56</v>
      </c>
      <c r="W164" s="7">
        <f t="shared" ca="1" si="96"/>
        <v>192272.2</v>
      </c>
      <c r="X164" s="7">
        <f t="shared" ca="1" si="96"/>
        <v>302532.28000000003</v>
      </c>
      <c r="Y164" s="7">
        <f t="shared" ca="1" si="96"/>
        <v>1890969.77</v>
      </c>
      <c r="Z164" s="7">
        <f t="shared" ca="1" si="96"/>
        <v>666922.79</v>
      </c>
      <c r="AA164" s="7">
        <f t="shared" ca="1" si="96"/>
        <v>144215553.08000001</v>
      </c>
      <c r="AB164" s="7">
        <f t="shared" ca="1" si="96"/>
        <v>271208587.55000001</v>
      </c>
      <c r="AC164" s="7">
        <f t="shared" ca="1" si="96"/>
        <v>9670432</v>
      </c>
      <c r="AD164" s="7">
        <f t="shared" ca="1" si="96"/>
        <v>10263843.880000001</v>
      </c>
      <c r="AE164" s="7">
        <f t="shared" ca="1" si="96"/>
        <v>604688.74</v>
      </c>
      <c r="AF164" s="7">
        <f t="shared" ca="1" si="96"/>
        <v>1033061.75</v>
      </c>
      <c r="AG164" s="7">
        <f t="shared" ca="1" si="96"/>
        <v>4734782.93</v>
      </c>
      <c r="AH164" s="7">
        <f t="shared" ca="1" si="96"/>
        <v>1045984.31</v>
      </c>
      <c r="AI164" s="7">
        <f t="shared" ca="1" si="96"/>
        <v>330500.75</v>
      </c>
      <c r="AJ164" s="7">
        <f t="shared" ca="1" si="96"/>
        <v>979442.45</v>
      </c>
      <c r="AK164" s="7">
        <f t="shared" ca="1" si="96"/>
        <v>1514364.5</v>
      </c>
      <c r="AL164" s="7">
        <f t="shared" ca="1" si="96"/>
        <v>2595295.0099999998</v>
      </c>
      <c r="AM164" s="7">
        <f t="shared" ca="1" si="96"/>
        <v>1394238.72</v>
      </c>
      <c r="AN164" s="7">
        <f t="shared" ca="1" si="96"/>
        <v>4336183.0599999996</v>
      </c>
      <c r="AO164" s="7">
        <f t="shared" ca="1" si="96"/>
        <v>15837800.24</v>
      </c>
      <c r="AP164" s="7">
        <f t="shared" ca="1" si="96"/>
        <v>742016456.49000001</v>
      </c>
      <c r="AQ164" s="7">
        <f t="shared" ca="1" si="96"/>
        <v>1732032.92</v>
      </c>
      <c r="AR164" s="7">
        <f t="shared" ca="1" si="96"/>
        <v>311877355.69</v>
      </c>
      <c r="AS164" s="7">
        <f t="shared" ca="1" si="96"/>
        <v>62611819.140000001</v>
      </c>
      <c r="AT164" s="7">
        <f t="shared" ca="1" si="96"/>
        <v>12409041.130000001</v>
      </c>
      <c r="AU164" s="7">
        <f t="shared" ca="1" si="96"/>
        <v>1937249.93</v>
      </c>
      <c r="AV164" s="7">
        <f t="shared" ca="1" si="96"/>
        <v>1349588.58</v>
      </c>
      <c r="AW164" s="7">
        <f t="shared" ca="1" si="96"/>
        <v>1057514.83</v>
      </c>
      <c r="AX164" s="7">
        <f t="shared" ca="1" si="96"/>
        <v>719065.36</v>
      </c>
      <c r="AY164" s="7">
        <f t="shared" ca="1" si="96"/>
        <v>1768111.62</v>
      </c>
      <c r="AZ164" s="7">
        <f t="shared" ca="1" si="96"/>
        <v>17337725.079999998</v>
      </c>
      <c r="BA164" s="7">
        <f t="shared" ca="1" si="96"/>
        <v>25970819.239999998</v>
      </c>
      <c r="BB164" s="7">
        <f t="shared" ca="1" si="96"/>
        <v>6912041.7000000002</v>
      </c>
      <c r="BC164" s="7">
        <f t="shared" ca="1" si="96"/>
        <v>95201124.590000004</v>
      </c>
      <c r="BD164" s="7">
        <f t="shared" ca="1" si="96"/>
        <v>16130942.439999999</v>
      </c>
      <c r="BE164" s="7">
        <f t="shared" ca="1" si="96"/>
        <v>5689440.1600000001</v>
      </c>
      <c r="BF164" s="7">
        <f t="shared" ca="1" si="96"/>
        <v>83804698.799999997</v>
      </c>
      <c r="BG164" s="7">
        <f t="shared" ca="1" si="96"/>
        <v>1985652.04</v>
      </c>
      <c r="BH164" s="7">
        <f t="shared" ca="1" si="96"/>
        <v>2259579.2000000002</v>
      </c>
      <c r="BI164" s="7">
        <f t="shared" ca="1" si="96"/>
        <v>771554.62</v>
      </c>
      <c r="BJ164" s="7">
        <f t="shared" ca="1" si="96"/>
        <v>27941855.199999999</v>
      </c>
      <c r="BK164" s="7">
        <f t="shared" ca="1" si="96"/>
        <v>52789523.340000004</v>
      </c>
      <c r="BL164" s="7">
        <f t="shared" ca="1" si="96"/>
        <v>243951.21</v>
      </c>
      <c r="BM164" s="7">
        <f t="shared" ca="1" si="96"/>
        <v>1243735.1100000001</v>
      </c>
      <c r="BN164" s="7">
        <f t="shared" ca="1" si="96"/>
        <v>11082040.890000001</v>
      </c>
      <c r="BO164" s="7">
        <f t="shared" ca="1" si="96"/>
        <v>4447847.04</v>
      </c>
      <c r="BP164" s="7">
        <f t="shared" ca="1" si="96"/>
        <v>2821545.07</v>
      </c>
      <c r="BQ164" s="7">
        <f t="shared" ca="1" si="96"/>
        <v>57040887.539999999</v>
      </c>
      <c r="BR164" s="7">
        <f t="shared" ca="1" si="96"/>
        <v>8744928.4399999995</v>
      </c>
      <c r="BS164" s="7">
        <f t="shared" ca="1" si="96"/>
        <v>2815547</v>
      </c>
      <c r="BT164" s="7">
        <f t="shared" ca="1" si="96"/>
        <v>3137615.12</v>
      </c>
      <c r="BU164" s="7">
        <f t="shared" ca="1" si="96"/>
        <v>2478519.9300000002</v>
      </c>
      <c r="BV164" s="7">
        <f t="shared" ca="1" si="96"/>
        <v>14630191.25</v>
      </c>
      <c r="BW164" s="7">
        <f t="shared" ca="1" si="96"/>
        <v>19409588.57</v>
      </c>
      <c r="BX164" s="7">
        <f t="shared" ca="1" si="96"/>
        <v>1236730.72</v>
      </c>
      <c r="BY164" s="7">
        <f t="shared" ca="1" si="96"/>
        <v>3616060.68</v>
      </c>
      <c r="BZ164" s="7">
        <f t="shared" ca="1" si="96"/>
        <v>1175134.96</v>
      </c>
      <c r="CA164" s="7">
        <f t="shared" ca="1" si="96"/>
        <v>2617736.09</v>
      </c>
      <c r="CB164" s="7">
        <f t="shared" ca="1" si="96"/>
        <v>416638613.31999999</v>
      </c>
      <c r="CC164" s="7">
        <f t="shared" ca="1" si="96"/>
        <v>566299.4</v>
      </c>
      <c r="CD164" s="7">
        <f t="shared" ca="1" si="96"/>
        <v>483279.27</v>
      </c>
      <c r="CE164" s="7">
        <f t="shared" ca="1" si="96"/>
        <v>1290584.8899999999</v>
      </c>
      <c r="CF164" s="7">
        <f t="shared" ca="1" si="96"/>
        <v>870142.04</v>
      </c>
      <c r="CG164" s="7">
        <f t="shared" ca="1" si="96"/>
        <v>772601.8</v>
      </c>
      <c r="CH164" s="7">
        <f t="shared" ca="1" si="96"/>
        <v>521640.66</v>
      </c>
      <c r="CI164" s="7">
        <f t="shared" ca="1" si="96"/>
        <v>3481702.32</v>
      </c>
      <c r="CJ164" s="7">
        <f t="shared" ca="1" si="96"/>
        <v>10497211.67</v>
      </c>
      <c r="CK164" s="7">
        <f t="shared" ca="1" si="96"/>
        <v>21248958.359999999</v>
      </c>
      <c r="CL164" s="7">
        <f t="shared" ca="1" si="96"/>
        <v>3452834.82</v>
      </c>
      <c r="CM164" s="7">
        <f t="shared" ca="1" si="96"/>
        <v>1769885.21</v>
      </c>
      <c r="CN164" s="7">
        <f t="shared" ca="1" si="96"/>
        <v>147207651.5</v>
      </c>
      <c r="CO164" s="7">
        <f t="shared" ca="1" si="96"/>
        <v>92221296.480000004</v>
      </c>
      <c r="CP164" s="7">
        <f t="shared" ca="1" si="96"/>
        <v>11494532.390000001</v>
      </c>
      <c r="CQ164" s="7">
        <f t="shared" ca="1" si="96"/>
        <v>2874655.31</v>
      </c>
      <c r="CR164" s="7">
        <f t="shared" ca="1" si="96"/>
        <v>346603.92</v>
      </c>
      <c r="CS164" s="7">
        <f t="shared" ca="1" si="96"/>
        <v>1574481.3</v>
      </c>
      <c r="CT164" s="7">
        <f t="shared" ca="1" si="96"/>
        <v>640595.26</v>
      </c>
      <c r="CU164" s="7">
        <f t="shared" ca="1" si="96"/>
        <v>488135.92</v>
      </c>
      <c r="CV164" s="7">
        <f t="shared" ca="1" si="96"/>
        <v>434541.68</v>
      </c>
      <c r="CW164" s="7">
        <f t="shared" ca="1" si="96"/>
        <v>1165895.18</v>
      </c>
      <c r="CX164" s="7">
        <f t="shared" ca="1" si="96"/>
        <v>2424579.8199999998</v>
      </c>
      <c r="CY164" s="7">
        <f t="shared" ca="1" si="96"/>
        <v>189218.58</v>
      </c>
      <c r="CZ164" s="7">
        <f t="shared" ca="1" si="96"/>
        <v>7372069.5800000001</v>
      </c>
      <c r="DA164" s="7">
        <f t="shared" ca="1" si="96"/>
        <v>1355180.65</v>
      </c>
      <c r="DB164" s="7">
        <f t="shared" ca="1" si="96"/>
        <v>1342257.53</v>
      </c>
      <c r="DC164" s="7">
        <f t="shared" ca="1" si="96"/>
        <v>1268221.76</v>
      </c>
      <c r="DD164" s="7">
        <f t="shared" ca="1" si="96"/>
        <v>844241.19</v>
      </c>
      <c r="DE164" s="7">
        <f t="shared" ca="1" si="96"/>
        <v>1922411.37</v>
      </c>
      <c r="DF164" s="7">
        <f t="shared" ca="1" si="96"/>
        <v>84416144.030000001</v>
      </c>
      <c r="DG164" s="7">
        <f t="shared" ca="1" si="96"/>
        <v>1634265.84</v>
      </c>
      <c r="DH164" s="7">
        <f t="shared" ca="1" si="96"/>
        <v>10342493.49</v>
      </c>
      <c r="DI164" s="7">
        <f t="shared" ca="1" si="96"/>
        <v>13355468.51</v>
      </c>
      <c r="DJ164" s="7">
        <f t="shared" ca="1" si="96"/>
        <v>1953362.57</v>
      </c>
      <c r="DK164" s="7">
        <f t="shared" ca="1" si="96"/>
        <v>1399816.34</v>
      </c>
      <c r="DL164" s="7">
        <f t="shared" ca="1" si="96"/>
        <v>25970127.100000001</v>
      </c>
      <c r="DM164" s="7">
        <f t="shared" ca="1" si="96"/>
        <v>752148.07</v>
      </c>
      <c r="DN164" s="7">
        <f t="shared" ca="1" si="96"/>
        <v>7600080.4699999997</v>
      </c>
      <c r="DO164" s="7">
        <f t="shared" ca="1" si="96"/>
        <v>10668740.42</v>
      </c>
      <c r="DP164" s="7">
        <f t="shared" ca="1" si="96"/>
        <v>983922.03</v>
      </c>
      <c r="DQ164" s="7">
        <f t="shared" ca="1" si="96"/>
        <v>9645874.9100000001</v>
      </c>
      <c r="DR164" s="7">
        <f t="shared" ca="1" si="96"/>
        <v>2673753.23</v>
      </c>
      <c r="DS164" s="7">
        <f t="shared" ca="1" si="96"/>
        <v>1259296.8400000001</v>
      </c>
      <c r="DT164" s="7">
        <f t="shared" ca="1" si="96"/>
        <v>338951.41</v>
      </c>
      <c r="DU164" s="7">
        <f t="shared" ca="1" si="96"/>
        <v>865981.64</v>
      </c>
      <c r="DV164" s="7">
        <f t="shared" ca="1" si="96"/>
        <v>274476.63</v>
      </c>
      <c r="DW164" s="7">
        <f t="shared" ca="1" si="96"/>
        <v>588987.84</v>
      </c>
      <c r="DX164" s="7">
        <f t="shared" ca="1" si="96"/>
        <v>2731791.86</v>
      </c>
      <c r="DY164" s="7">
        <f t="shared" ca="1" si="96"/>
        <v>3938915.69</v>
      </c>
      <c r="DZ164" s="7">
        <f t="shared" ca="1" si="96"/>
        <v>5963994.6600000001</v>
      </c>
      <c r="EA164" s="7">
        <f t="shared" ca="1" si="96"/>
        <v>6767044.4100000001</v>
      </c>
      <c r="EB164" s="7">
        <f t="shared" ca="1" si="96"/>
        <v>2348640.4900000002</v>
      </c>
      <c r="EC164" s="7">
        <f t="shared" ca="1" si="96"/>
        <v>1040020.86</v>
      </c>
      <c r="ED164" s="7">
        <f t="shared" ca="1" si="96"/>
        <v>22975691.149999999</v>
      </c>
      <c r="EE164" s="7">
        <f t="shared" ca="1" si="96"/>
        <v>510968.07</v>
      </c>
      <c r="EF164" s="7">
        <f t="shared" ca="1" si="96"/>
        <v>2622923.2599999998</v>
      </c>
      <c r="EG164" s="7">
        <f t="shared" ca="1" si="96"/>
        <v>844767.48</v>
      </c>
      <c r="EH164" s="7">
        <f t="shared" ca="1" si="96"/>
        <v>406658.66</v>
      </c>
      <c r="EI164" s="7">
        <f t="shared" ca="1" si="96"/>
        <v>39946316.340000004</v>
      </c>
      <c r="EJ164" s="7">
        <f t="shared" ca="1" si="96"/>
        <v>31180728.02</v>
      </c>
      <c r="EK164" s="7">
        <f t="shared" ca="1" si="96"/>
        <v>2804928.78</v>
      </c>
      <c r="EL164" s="7">
        <f t="shared" ca="1" si="96"/>
        <v>1624026.38</v>
      </c>
      <c r="EM164" s="7">
        <f t="shared" ca="1" si="96"/>
        <v>2895360.55</v>
      </c>
      <c r="EN164" s="7">
        <f t="shared" ca="1" si="96"/>
        <v>2363854.16</v>
      </c>
      <c r="EO164" s="7">
        <f t="shared" ca="1" si="96"/>
        <v>1263067.77</v>
      </c>
      <c r="EP164" s="7">
        <f t="shared" ca="1" si="96"/>
        <v>4418734.6100000003</v>
      </c>
      <c r="EQ164" s="7">
        <f t="shared" ca="1" si="96"/>
        <v>10812027.029999999</v>
      </c>
      <c r="ER164" s="7">
        <f t="shared" ca="1" si="96"/>
        <v>3521620.56</v>
      </c>
      <c r="ES164" s="7">
        <f t="shared" ca="1" si="96"/>
        <v>990536.63</v>
      </c>
      <c r="ET164" s="7">
        <f t="shared" ca="1" si="96"/>
        <v>1344826.03</v>
      </c>
      <c r="EU164" s="7">
        <f t="shared" ca="1" si="96"/>
        <v>1262470.6599999999</v>
      </c>
      <c r="EV164" s="7">
        <f t="shared" ca="1" si="96"/>
        <v>1169680.98</v>
      </c>
      <c r="EW164" s="7">
        <f t="shared" ca="1" si="96"/>
        <v>10348237.560000001</v>
      </c>
      <c r="EX164" s="7">
        <f t="shared" ca="1" si="96"/>
        <v>532881.63</v>
      </c>
      <c r="EY164" s="7">
        <f t="shared" ca="1" si="96"/>
        <v>1091770.17</v>
      </c>
      <c r="EZ164" s="7">
        <f t="shared" ca="1" si="96"/>
        <v>872496.27</v>
      </c>
      <c r="FA164" s="7">
        <f t="shared" ca="1" si="96"/>
        <v>40047070.049999997</v>
      </c>
      <c r="FB164" s="7">
        <f t="shared" ca="1" si="96"/>
        <v>3932608.61</v>
      </c>
      <c r="FC164" s="7">
        <f t="shared" ca="1" si="96"/>
        <v>12553968.560000001</v>
      </c>
      <c r="FD164" s="7">
        <f t="shared" ca="1" si="96"/>
        <v>1491995.87</v>
      </c>
      <c r="FE164" s="7">
        <f t="shared" ca="1" si="96"/>
        <v>600121.77</v>
      </c>
      <c r="FF164" s="7">
        <f t="shared" ca="1" si="96"/>
        <v>650288.61</v>
      </c>
      <c r="FG164" s="7">
        <f t="shared" ca="1" si="96"/>
        <v>922833.97</v>
      </c>
      <c r="FH164" s="7">
        <f t="shared" ca="1" si="96"/>
        <v>927049.81</v>
      </c>
      <c r="FI164" s="7">
        <f t="shared" ca="1" si="96"/>
        <v>12998399.960000001</v>
      </c>
      <c r="FJ164" s="7">
        <f t="shared" ca="1" si="96"/>
        <v>17909216.940000001</v>
      </c>
      <c r="FK164" s="7">
        <f t="shared" ca="1" si="96"/>
        <v>23974924.719999999</v>
      </c>
      <c r="FL164" s="7">
        <f t="shared" ca="1" si="96"/>
        <v>50925923.810000002</v>
      </c>
      <c r="FM164" s="7">
        <f t="shared" ca="1" si="96"/>
        <v>30736478.370000001</v>
      </c>
      <c r="FN164" s="7">
        <f t="shared" ca="1" si="96"/>
        <v>64872439.649999999</v>
      </c>
      <c r="FO164" s="7">
        <f t="shared" ca="1" si="96"/>
        <v>13016671.140000001</v>
      </c>
      <c r="FP164" s="7">
        <f t="shared" ca="1" si="96"/>
        <v>12907696.43</v>
      </c>
      <c r="FQ164" s="7">
        <f t="shared" ca="1" si="96"/>
        <v>11916852.42</v>
      </c>
      <c r="FR164" s="7">
        <f t="shared" ca="1" si="96"/>
        <v>3130149.89</v>
      </c>
      <c r="FS164" s="7">
        <f t="shared" ca="1" si="96"/>
        <v>2607869.35</v>
      </c>
      <c r="FT164" s="7">
        <f t="shared" ca="1" si="96"/>
        <v>1409384.44</v>
      </c>
      <c r="FU164" s="7">
        <f t="shared" ca="1" si="96"/>
        <v>3611248.01</v>
      </c>
      <c r="FV164" s="7">
        <f t="shared" ca="1" si="96"/>
        <v>2647491.92</v>
      </c>
      <c r="FW164" s="7">
        <f t="shared" ca="1" si="96"/>
        <v>457482.45</v>
      </c>
      <c r="FX164" s="7">
        <f t="shared" ca="1" si="96"/>
        <v>400056.72</v>
      </c>
      <c r="FY164" s="7"/>
      <c r="FZ164" s="82">
        <f t="shared" ref="FZ164:FZ165" ca="1" si="97">SUM(C164:FX164)</f>
        <v>4294208152.2800016</v>
      </c>
      <c r="GA164" s="62">
        <v>4294227037.2100019</v>
      </c>
      <c r="GB164" s="7">
        <f t="shared" ref="GB164:GB165" ca="1" si="98">FZ164-GA164</f>
        <v>-18884.930000305176</v>
      </c>
      <c r="GC164" s="7"/>
      <c r="GD164" s="7"/>
      <c r="GE164" s="83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</row>
    <row r="165" spans="1:204" ht="15.5" x14ac:dyDescent="0.35">
      <c r="A165" s="12" t="s">
        <v>707</v>
      </c>
      <c r="B165" s="7" t="s">
        <v>708</v>
      </c>
      <c r="C165" s="7">
        <f t="shared" ref="C165:FX165" si="99">C40</f>
        <v>2560686.85</v>
      </c>
      <c r="D165" s="7">
        <f t="shared" si="99"/>
        <v>5893861.0700000003</v>
      </c>
      <c r="E165" s="7">
        <f t="shared" si="99"/>
        <v>1533589.31</v>
      </c>
      <c r="F165" s="7">
        <f t="shared" si="99"/>
        <v>8621939.0800000001</v>
      </c>
      <c r="G165" s="7">
        <f t="shared" si="99"/>
        <v>607002.37</v>
      </c>
      <c r="H165" s="7">
        <f t="shared" si="99"/>
        <v>55490.34</v>
      </c>
      <c r="I165" s="7">
        <f t="shared" si="99"/>
        <v>1650259.9</v>
      </c>
      <c r="J165" s="7">
        <f t="shared" si="99"/>
        <v>547848.93999999994</v>
      </c>
      <c r="K165" s="7">
        <f t="shared" si="99"/>
        <v>149089.71</v>
      </c>
      <c r="L165" s="7">
        <f t="shared" si="99"/>
        <v>1508705.62</v>
      </c>
      <c r="M165" s="7">
        <f t="shared" si="99"/>
        <v>497059.11</v>
      </c>
      <c r="N165" s="7">
        <f t="shared" si="99"/>
        <v>13016108.810000001</v>
      </c>
      <c r="O165" s="7">
        <f t="shared" si="99"/>
        <v>5532329.25</v>
      </c>
      <c r="P165" s="7">
        <f t="shared" si="99"/>
        <v>88257.72</v>
      </c>
      <c r="Q165" s="7">
        <f t="shared" si="99"/>
        <v>9691721</v>
      </c>
      <c r="R165" s="7">
        <f t="shared" si="99"/>
        <v>107971.01</v>
      </c>
      <c r="S165" s="7">
        <f t="shared" si="99"/>
        <v>1090460.56</v>
      </c>
      <c r="T165" s="7">
        <f t="shared" si="99"/>
        <v>8030.7</v>
      </c>
      <c r="U165" s="7">
        <f t="shared" si="99"/>
        <v>72131.58</v>
      </c>
      <c r="V165" s="7">
        <f t="shared" si="99"/>
        <v>88788.87</v>
      </c>
      <c r="W165" s="7">
        <f t="shared" si="99"/>
        <v>18955.97</v>
      </c>
      <c r="X165" s="7">
        <f t="shared" si="99"/>
        <v>26336.28</v>
      </c>
      <c r="Y165" s="7">
        <f t="shared" si="99"/>
        <v>141119.24</v>
      </c>
      <c r="Z165" s="7">
        <f t="shared" si="99"/>
        <v>64405.89</v>
      </c>
      <c r="AA165" s="7">
        <f t="shared" si="99"/>
        <v>7031649.9000000004</v>
      </c>
      <c r="AB165" s="7">
        <f t="shared" si="99"/>
        <v>13084314.060000001</v>
      </c>
      <c r="AC165" s="7">
        <f t="shared" si="99"/>
        <v>755081.04</v>
      </c>
      <c r="AD165" s="7">
        <f t="shared" si="99"/>
        <v>788299.15</v>
      </c>
      <c r="AE165" s="7">
        <f t="shared" si="99"/>
        <v>62608.6</v>
      </c>
      <c r="AF165" s="7">
        <f t="shared" si="99"/>
        <v>99519.48</v>
      </c>
      <c r="AG165" s="7">
        <f t="shared" si="99"/>
        <v>342263</v>
      </c>
      <c r="AH165" s="7">
        <f t="shared" si="99"/>
        <v>167760.49</v>
      </c>
      <c r="AI165" s="7">
        <f t="shared" si="99"/>
        <v>57733.29</v>
      </c>
      <c r="AJ165" s="7">
        <f t="shared" si="99"/>
        <v>143887.04000000001</v>
      </c>
      <c r="AK165" s="7">
        <f t="shared" si="99"/>
        <v>51657.68</v>
      </c>
      <c r="AL165" s="7">
        <f t="shared" si="99"/>
        <v>140572.76</v>
      </c>
      <c r="AM165" s="7">
        <f t="shared" si="99"/>
        <v>112017.04</v>
      </c>
      <c r="AN165" s="7">
        <f t="shared" si="99"/>
        <v>534213.55000000005</v>
      </c>
      <c r="AO165" s="7">
        <f t="shared" si="99"/>
        <v>1789029.78</v>
      </c>
      <c r="AP165" s="7">
        <f t="shared" si="99"/>
        <v>37511674.450000003</v>
      </c>
      <c r="AQ165" s="7">
        <f t="shared" si="99"/>
        <v>117578.77</v>
      </c>
      <c r="AR165" s="7">
        <f t="shared" si="99"/>
        <v>20939020.390000001</v>
      </c>
      <c r="AS165" s="7">
        <f t="shared" si="99"/>
        <v>3102494.63</v>
      </c>
      <c r="AT165" s="7">
        <f t="shared" si="99"/>
        <v>1165025.0900000001</v>
      </c>
      <c r="AU165" s="7">
        <f t="shared" si="99"/>
        <v>199381.71</v>
      </c>
      <c r="AV165" s="7">
        <f t="shared" si="99"/>
        <v>170342.12</v>
      </c>
      <c r="AW165" s="7">
        <f t="shared" si="99"/>
        <v>116296.69</v>
      </c>
      <c r="AX165" s="7">
        <f t="shared" si="99"/>
        <v>84285.96</v>
      </c>
      <c r="AY165" s="7">
        <f t="shared" si="99"/>
        <v>137273.78</v>
      </c>
      <c r="AZ165" s="7">
        <f t="shared" si="99"/>
        <v>1582169.7</v>
      </c>
      <c r="BA165" s="7">
        <f t="shared" si="99"/>
        <v>2390410.06</v>
      </c>
      <c r="BB165" s="7">
        <f t="shared" si="99"/>
        <v>507446.07</v>
      </c>
      <c r="BC165" s="7">
        <f t="shared" si="99"/>
        <v>8608146.8300000001</v>
      </c>
      <c r="BD165" s="7">
        <f t="shared" si="99"/>
        <v>1380661.41</v>
      </c>
      <c r="BE165" s="7">
        <f t="shared" si="99"/>
        <v>465282.08</v>
      </c>
      <c r="BF165" s="7">
        <f t="shared" si="99"/>
        <v>7512114.3899999997</v>
      </c>
      <c r="BG165" s="7">
        <f t="shared" si="99"/>
        <v>128664.05</v>
      </c>
      <c r="BH165" s="7">
        <f t="shared" si="99"/>
        <v>189864.58</v>
      </c>
      <c r="BI165" s="7">
        <f t="shared" si="99"/>
        <v>72393.7</v>
      </c>
      <c r="BJ165" s="7">
        <f t="shared" si="99"/>
        <v>1999682.04</v>
      </c>
      <c r="BK165" s="7">
        <f t="shared" si="99"/>
        <v>3680646.98</v>
      </c>
      <c r="BL165" s="7">
        <f t="shared" si="99"/>
        <v>17783.759999999998</v>
      </c>
      <c r="BM165" s="7">
        <f t="shared" si="99"/>
        <v>98110.03</v>
      </c>
      <c r="BN165" s="7">
        <f t="shared" si="99"/>
        <v>1169134.1200000001</v>
      </c>
      <c r="BO165" s="7">
        <f t="shared" si="99"/>
        <v>384843.3</v>
      </c>
      <c r="BP165" s="7">
        <f t="shared" si="99"/>
        <v>238915.94</v>
      </c>
      <c r="BQ165" s="7">
        <f t="shared" si="99"/>
        <v>2221039.2200000002</v>
      </c>
      <c r="BR165" s="7">
        <f t="shared" si="99"/>
        <v>599679.81000000006</v>
      </c>
      <c r="BS165" s="7">
        <f t="shared" si="99"/>
        <v>319211.21999999997</v>
      </c>
      <c r="BT165" s="7">
        <f t="shared" si="99"/>
        <v>165924.15</v>
      </c>
      <c r="BU165" s="7">
        <f t="shared" si="99"/>
        <v>96214.02</v>
      </c>
      <c r="BV165" s="7">
        <f t="shared" si="99"/>
        <v>775400.17</v>
      </c>
      <c r="BW165" s="7">
        <f t="shared" si="99"/>
        <v>881978.83</v>
      </c>
      <c r="BX165" s="7">
        <f t="shared" si="99"/>
        <v>94147.65</v>
      </c>
      <c r="BY165" s="7">
        <f t="shared" si="99"/>
        <v>328469.07</v>
      </c>
      <c r="BZ165" s="7">
        <f t="shared" si="99"/>
        <v>94435.42</v>
      </c>
      <c r="CA165" s="7">
        <f t="shared" si="99"/>
        <v>369516.28</v>
      </c>
      <c r="CB165" s="7">
        <f t="shared" si="99"/>
        <v>25092860.210000001</v>
      </c>
      <c r="CC165" s="7">
        <f t="shared" si="99"/>
        <v>6719.14</v>
      </c>
      <c r="CD165" s="7">
        <f t="shared" si="99"/>
        <v>92314.27</v>
      </c>
      <c r="CE165" s="7">
        <f t="shared" si="99"/>
        <v>121704.85</v>
      </c>
      <c r="CF165" s="7">
        <f t="shared" si="99"/>
        <v>86249.11</v>
      </c>
      <c r="CG165" s="7">
        <f t="shared" si="99"/>
        <v>62583.839999999997</v>
      </c>
      <c r="CH165" s="7">
        <f t="shared" si="99"/>
        <v>31013.25</v>
      </c>
      <c r="CI165" s="7">
        <f t="shared" si="99"/>
        <v>258674.55</v>
      </c>
      <c r="CJ165" s="7">
        <f t="shared" si="99"/>
        <v>426066.47</v>
      </c>
      <c r="CK165" s="7">
        <f t="shared" si="99"/>
        <v>1750071.31</v>
      </c>
      <c r="CL165" s="7">
        <f t="shared" si="99"/>
        <v>245364.2</v>
      </c>
      <c r="CM165" s="7">
        <f t="shared" si="99"/>
        <v>191892.09</v>
      </c>
      <c r="CN165" s="7">
        <f t="shared" si="99"/>
        <v>8815625.7400000002</v>
      </c>
      <c r="CO165" s="7">
        <f t="shared" si="99"/>
        <v>5549747.4500000002</v>
      </c>
      <c r="CP165" s="7">
        <f t="shared" si="99"/>
        <v>770993.74</v>
      </c>
      <c r="CQ165" s="7">
        <f t="shared" si="99"/>
        <v>416736.65</v>
      </c>
      <c r="CR165" s="7">
        <f t="shared" si="99"/>
        <v>78141.490000000005</v>
      </c>
      <c r="CS165" s="7">
        <f t="shared" si="99"/>
        <v>240994.83</v>
      </c>
      <c r="CT165" s="7">
        <f t="shared" si="99"/>
        <v>91274.86</v>
      </c>
      <c r="CU165" s="7">
        <f t="shared" si="99"/>
        <v>53855.1</v>
      </c>
      <c r="CV165" s="7">
        <f t="shared" si="99"/>
        <v>41708.230000000003</v>
      </c>
      <c r="CW165" s="7">
        <f t="shared" si="99"/>
        <v>176440.45</v>
      </c>
      <c r="CX165" s="7">
        <f t="shared" si="99"/>
        <v>236614.89</v>
      </c>
      <c r="CY165" s="7">
        <f t="shared" si="99"/>
        <v>20968.009999999998</v>
      </c>
      <c r="CZ165" s="7">
        <f t="shared" si="99"/>
        <v>758934.99</v>
      </c>
      <c r="DA165" s="7">
        <f t="shared" si="99"/>
        <v>161197.35</v>
      </c>
      <c r="DB165" s="7">
        <f t="shared" si="99"/>
        <v>124091.36</v>
      </c>
      <c r="DC165" s="7">
        <f t="shared" si="99"/>
        <v>157117.60999999999</v>
      </c>
      <c r="DD165" s="7">
        <f t="shared" si="99"/>
        <v>87319.42</v>
      </c>
      <c r="DE165" s="7">
        <f t="shared" si="99"/>
        <v>230376.64</v>
      </c>
      <c r="DF165" s="7">
        <f t="shared" si="99"/>
        <v>7931372.8899999997</v>
      </c>
      <c r="DG165" s="7">
        <f t="shared" si="99"/>
        <v>142288.07</v>
      </c>
      <c r="DH165" s="7">
        <f t="shared" si="99"/>
        <v>973344.63</v>
      </c>
      <c r="DI165" s="7">
        <f t="shared" si="99"/>
        <v>1314255.48</v>
      </c>
      <c r="DJ165" s="7">
        <f t="shared" si="99"/>
        <v>163354.1</v>
      </c>
      <c r="DK165" s="7">
        <f t="shared" si="99"/>
        <v>90233.65</v>
      </c>
      <c r="DL165" s="7">
        <f t="shared" si="99"/>
        <v>2704099.51</v>
      </c>
      <c r="DM165" s="7">
        <f t="shared" si="99"/>
        <v>80754.929999999993</v>
      </c>
      <c r="DN165" s="7">
        <f t="shared" si="99"/>
        <v>617000.51</v>
      </c>
      <c r="DO165" s="7">
        <f t="shared" si="99"/>
        <v>788407.76</v>
      </c>
      <c r="DP165" s="7">
        <f t="shared" si="99"/>
        <v>62459.3</v>
      </c>
      <c r="DQ165" s="7">
        <f t="shared" si="99"/>
        <v>497654.79</v>
      </c>
      <c r="DR165" s="7">
        <f t="shared" si="99"/>
        <v>371954.19</v>
      </c>
      <c r="DS165" s="7">
        <f t="shared" si="99"/>
        <v>221168.19</v>
      </c>
      <c r="DT165" s="7">
        <f t="shared" si="99"/>
        <v>56709.85</v>
      </c>
      <c r="DU165" s="7">
        <f t="shared" si="99"/>
        <v>128077.61</v>
      </c>
      <c r="DV165" s="7">
        <f t="shared" si="99"/>
        <v>51103.51</v>
      </c>
      <c r="DW165" s="7">
        <f t="shared" si="99"/>
        <v>114371.26</v>
      </c>
      <c r="DX165" s="7">
        <f t="shared" si="99"/>
        <v>148269.19</v>
      </c>
      <c r="DY165" s="7">
        <f t="shared" si="99"/>
        <v>246747.81</v>
      </c>
      <c r="DZ165" s="7">
        <f t="shared" si="99"/>
        <v>425356.04</v>
      </c>
      <c r="EA165" s="7">
        <f t="shared" si="99"/>
        <v>700118.12</v>
      </c>
      <c r="EB165" s="7">
        <f t="shared" si="99"/>
        <v>256195.04</v>
      </c>
      <c r="EC165" s="7">
        <f t="shared" si="99"/>
        <v>113432.63</v>
      </c>
      <c r="ED165" s="7">
        <f t="shared" si="99"/>
        <v>711930.54</v>
      </c>
      <c r="EE165" s="7">
        <f t="shared" si="99"/>
        <v>67348.02</v>
      </c>
      <c r="EF165" s="7">
        <f t="shared" si="99"/>
        <v>336479.58</v>
      </c>
      <c r="EG165" s="7">
        <f t="shared" si="99"/>
        <v>116568.87</v>
      </c>
      <c r="EH165" s="7">
        <f t="shared" si="99"/>
        <v>52622.38</v>
      </c>
      <c r="EI165" s="7">
        <f t="shared" si="99"/>
        <v>3203402.36</v>
      </c>
      <c r="EJ165" s="7">
        <f t="shared" si="99"/>
        <v>2293388.59</v>
      </c>
      <c r="EK165" s="7">
        <f t="shared" si="99"/>
        <v>133472.82999999999</v>
      </c>
      <c r="EL165" s="7">
        <f t="shared" si="99"/>
        <v>87668.64</v>
      </c>
      <c r="EM165" s="7">
        <f t="shared" si="99"/>
        <v>287432.94</v>
      </c>
      <c r="EN165" s="7">
        <f t="shared" si="99"/>
        <v>276609.03000000003</v>
      </c>
      <c r="EO165" s="7">
        <f t="shared" si="99"/>
        <v>115921.81</v>
      </c>
      <c r="EP165" s="7">
        <f t="shared" si="99"/>
        <v>211442.66</v>
      </c>
      <c r="EQ165" s="7">
        <f t="shared" si="99"/>
        <v>943823.96</v>
      </c>
      <c r="ER165" s="7">
        <f t="shared" si="99"/>
        <v>210772.92</v>
      </c>
      <c r="ES165" s="7">
        <f t="shared" si="99"/>
        <v>234274.46</v>
      </c>
      <c r="ET165" s="7">
        <f t="shared" si="99"/>
        <v>130038.67</v>
      </c>
      <c r="EU165" s="7">
        <f t="shared" si="99"/>
        <v>176769.81</v>
      </c>
      <c r="EV165" s="7">
        <f t="shared" si="99"/>
        <v>75842.8</v>
      </c>
      <c r="EW165" s="7">
        <f t="shared" si="99"/>
        <v>319722.75</v>
      </c>
      <c r="EX165" s="7">
        <f t="shared" si="99"/>
        <v>21080.99</v>
      </c>
      <c r="EY165" s="7">
        <f t="shared" si="99"/>
        <v>109249.08</v>
      </c>
      <c r="EZ165" s="7">
        <f t="shared" si="99"/>
        <v>96378.18</v>
      </c>
      <c r="FA165" s="7">
        <f t="shared" si="99"/>
        <v>1752049.95</v>
      </c>
      <c r="FB165" s="7">
        <f t="shared" si="99"/>
        <v>337716.29</v>
      </c>
      <c r="FC165" s="7">
        <f t="shared" si="99"/>
        <v>899627.18</v>
      </c>
      <c r="FD165" s="7">
        <f t="shared" si="99"/>
        <v>161761.99</v>
      </c>
      <c r="FE165" s="7">
        <f t="shared" si="99"/>
        <v>69042.38</v>
      </c>
      <c r="FF165" s="7">
        <f t="shared" si="99"/>
        <v>73860.83</v>
      </c>
      <c r="FG165" s="7">
        <f t="shared" si="99"/>
        <v>87094.12</v>
      </c>
      <c r="FH165" s="7">
        <f t="shared" si="99"/>
        <v>113911.19</v>
      </c>
      <c r="FI165" s="7">
        <f t="shared" si="99"/>
        <v>713196.77</v>
      </c>
      <c r="FJ165" s="7">
        <f t="shared" si="99"/>
        <v>972386.27</v>
      </c>
      <c r="FK165" s="7">
        <f t="shared" si="99"/>
        <v>939801.96</v>
      </c>
      <c r="FL165" s="7">
        <f t="shared" si="99"/>
        <v>2258274.66</v>
      </c>
      <c r="FM165" s="7">
        <f t="shared" si="99"/>
        <v>928178.88</v>
      </c>
      <c r="FN165" s="7">
        <f t="shared" si="99"/>
        <v>3326474.74</v>
      </c>
      <c r="FO165" s="7">
        <f t="shared" si="99"/>
        <v>828285.09</v>
      </c>
      <c r="FP165" s="7">
        <f t="shared" si="99"/>
        <v>721678.08</v>
      </c>
      <c r="FQ165" s="7">
        <f t="shared" si="99"/>
        <v>416551.92</v>
      </c>
      <c r="FR165" s="7">
        <f t="shared" si="99"/>
        <v>279396.44</v>
      </c>
      <c r="FS165" s="7">
        <f t="shared" si="99"/>
        <v>97661.47</v>
      </c>
      <c r="FT165" s="7">
        <f t="shared" si="99"/>
        <v>96720.17</v>
      </c>
      <c r="FU165" s="7">
        <f t="shared" si="99"/>
        <v>339889.24</v>
      </c>
      <c r="FV165" s="7">
        <f t="shared" si="99"/>
        <v>211677.84</v>
      </c>
      <c r="FW165" s="7">
        <f t="shared" si="99"/>
        <v>49670.92</v>
      </c>
      <c r="FX165" s="7">
        <f t="shared" si="99"/>
        <v>39112.400000000001</v>
      </c>
      <c r="FY165" s="7"/>
      <c r="FZ165" s="82">
        <f t="shared" si="97"/>
        <v>269151058.32000005</v>
      </c>
      <c r="GA165" s="62">
        <v>269151058.32000005</v>
      </c>
      <c r="GB165" s="7">
        <f t="shared" si="98"/>
        <v>0</v>
      </c>
      <c r="GC165" s="7"/>
      <c r="GD165" s="7"/>
      <c r="GE165" s="84"/>
      <c r="GF165" s="15"/>
      <c r="GG165" s="7"/>
      <c r="GH165" s="15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</row>
    <row r="166" spans="1:204" ht="15.5" x14ac:dyDescent="0.35">
      <c r="A166" s="60" t="s">
        <v>709</v>
      </c>
      <c r="B166" s="5" t="s">
        <v>710</v>
      </c>
      <c r="C166" s="5">
        <f t="shared" ref="C166:FX166" ca="1" si="100">C164+C165</f>
        <v>36137930.230000004</v>
      </c>
      <c r="D166" s="5">
        <f t="shared" ca="1" si="100"/>
        <v>123681289.87</v>
      </c>
      <c r="E166" s="5">
        <f t="shared" ca="1" si="100"/>
        <v>36142681.840000004</v>
      </c>
      <c r="F166" s="5">
        <f t="shared" ca="1" si="100"/>
        <v>98174275.039999992</v>
      </c>
      <c r="G166" s="5">
        <f t="shared" ca="1" si="100"/>
        <v>11082821.359999999</v>
      </c>
      <c r="H166" s="5">
        <f t="shared" ca="1" si="100"/>
        <v>4054062.8</v>
      </c>
      <c r="I166" s="5">
        <f t="shared" ca="1" si="100"/>
        <v>34496142.850000001</v>
      </c>
      <c r="J166" s="5">
        <f t="shared" ca="1" si="100"/>
        <v>5917549.1899999995</v>
      </c>
      <c r="K166" s="5">
        <f t="shared" ca="1" si="100"/>
        <v>1561797.15</v>
      </c>
      <c r="L166" s="5">
        <f t="shared" ca="1" si="100"/>
        <v>26455229.620000001</v>
      </c>
      <c r="M166" s="5">
        <f t="shared" ca="1" si="100"/>
        <v>9773128.6899999995</v>
      </c>
      <c r="N166" s="5">
        <f t="shared" ca="1" si="100"/>
        <v>198702044.27000001</v>
      </c>
      <c r="O166" s="5">
        <f t="shared" ca="1" si="100"/>
        <v>78126090.5</v>
      </c>
      <c r="P166" s="5">
        <f t="shared" ca="1" si="100"/>
        <v>1676514.67</v>
      </c>
      <c r="Q166" s="5">
        <f t="shared" ca="1" si="100"/>
        <v>180825830.27000001</v>
      </c>
      <c r="R166" s="5">
        <f t="shared" ca="1" si="100"/>
        <v>2188481.1</v>
      </c>
      <c r="S166" s="5">
        <f t="shared" ca="1" si="100"/>
        <v>17338098.649999999</v>
      </c>
      <c r="T166" s="5">
        <f t="shared" ca="1" si="100"/>
        <v>688063.37</v>
      </c>
      <c r="U166" s="5">
        <f t="shared" ca="1" si="100"/>
        <v>849721.71</v>
      </c>
      <c r="V166" s="5">
        <f t="shared" ca="1" si="100"/>
        <v>1097604.4300000002</v>
      </c>
      <c r="W166" s="5">
        <f t="shared" ca="1" si="100"/>
        <v>211228.17</v>
      </c>
      <c r="X166" s="5">
        <f t="shared" ca="1" si="100"/>
        <v>328868.56000000006</v>
      </c>
      <c r="Y166" s="5">
        <f t="shared" ca="1" si="100"/>
        <v>2032089.01</v>
      </c>
      <c r="Z166" s="5">
        <f t="shared" ca="1" si="100"/>
        <v>731328.68</v>
      </c>
      <c r="AA166" s="5">
        <f t="shared" ca="1" si="100"/>
        <v>151247202.98000002</v>
      </c>
      <c r="AB166" s="5">
        <f t="shared" ca="1" si="100"/>
        <v>284292901.61000001</v>
      </c>
      <c r="AC166" s="5">
        <f t="shared" ca="1" si="100"/>
        <v>10425513.039999999</v>
      </c>
      <c r="AD166" s="5">
        <f t="shared" ca="1" si="100"/>
        <v>11052143.030000001</v>
      </c>
      <c r="AE166" s="5">
        <f t="shared" ca="1" si="100"/>
        <v>667297.34</v>
      </c>
      <c r="AF166" s="5">
        <f t="shared" ca="1" si="100"/>
        <v>1132581.23</v>
      </c>
      <c r="AG166" s="5">
        <f t="shared" ca="1" si="100"/>
        <v>5077045.93</v>
      </c>
      <c r="AH166" s="5">
        <f t="shared" ca="1" si="100"/>
        <v>1213744.8</v>
      </c>
      <c r="AI166" s="5">
        <f t="shared" ca="1" si="100"/>
        <v>388234.04</v>
      </c>
      <c r="AJ166" s="5">
        <f t="shared" ca="1" si="100"/>
        <v>1123329.49</v>
      </c>
      <c r="AK166" s="5">
        <f t="shared" ca="1" si="100"/>
        <v>1566022.18</v>
      </c>
      <c r="AL166" s="5">
        <f t="shared" ca="1" si="100"/>
        <v>2735867.7699999996</v>
      </c>
      <c r="AM166" s="5">
        <f t="shared" ca="1" si="100"/>
        <v>1506255.76</v>
      </c>
      <c r="AN166" s="5">
        <f t="shared" ca="1" si="100"/>
        <v>4870396.6099999994</v>
      </c>
      <c r="AO166" s="5">
        <f t="shared" ca="1" si="100"/>
        <v>17626830.02</v>
      </c>
      <c r="AP166" s="5">
        <f t="shared" ca="1" si="100"/>
        <v>779528130.94000006</v>
      </c>
      <c r="AQ166" s="5">
        <f t="shared" ca="1" si="100"/>
        <v>1849611.69</v>
      </c>
      <c r="AR166" s="5">
        <f t="shared" ca="1" si="100"/>
        <v>332816376.07999998</v>
      </c>
      <c r="AS166" s="5">
        <f t="shared" ca="1" si="100"/>
        <v>65714313.770000003</v>
      </c>
      <c r="AT166" s="5">
        <f t="shared" ca="1" si="100"/>
        <v>13574066.220000001</v>
      </c>
      <c r="AU166" s="5">
        <f t="shared" ca="1" si="100"/>
        <v>2136631.64</v>
      </c>
      <c r="AV166" s="5">
        <f t="shared" ca="1" si="100"/>
        <v>1519930.7000000002</v>
      </c>
      <c r="AW166" s="5">
        <f t="shared" ca="1" si="100"/>
        <v>1173811.52</v>
      </c>
      <c r="AX166" s="5">
        <f t="shared" ca="1" si="100"/>
        <v>803351.32</v>
      </c>
      <c r="AY166" s="5">
        <f t="shared" ca="1" si="100"/>
        <v>1905385.4000000001</v>
      </c>
      <c r="AZ166" s="5">
        <f t="shared" ca="1" si="100"/>
        <v>18919894.779999997</v>
      </c>
      <c r="BA166" s="5">
        <f t="shared" ca="1" si="100"/>
        <v>28361229.299999997</v>
      </c>
      <c r="BB166" s="5">
        <f t="shared" ca="1" si="100"/>
        <v>7419487.7700000005</v>
      </c>
      <c r="BC166" s="5">
        <f t="shared" ca="1" si="100"/>
        <v>103809271.42</v>
      </c>
      <c r="BD166" s="5">
        <f t="shared" ca="1" si="100"/>
        <v>17511603.849999998</v>
      </c>
      <c r="BE166" s="5">
        <f t="shared" ca="1" si="100"/>
        <v>6154722.2400000002</v>
      </c>
      <c r="BF166" s="5">
        <f t="shared" ca="1" si="100"/>
        <v>91316813.189999998</v>
      </c>
      <c r="BG166" s="5">
        <f t="shared" ca="1" si="100"/>
        <v>2114316.09</v>
      </c>
      <c r="BH166" s="5">
        <f t="shared" ca="1" si="100"/>
        <v>2449443.7800000003</v>
      </c>
      <c r="BI166" s="5">
        <f t="shared" ca="1" si="100"/>
        <v>843948.32</v>
      </c>
      <c r="BJ166" s="5">
        <f t="shared" ca="1" si="100"/>
        <v>29941537.239999998</v>
      </c>
      <c r="BK166" s="5">
        <f t="shared" ca="1" si="100"/>
        <v>56470170.32</v>
      </c>
      <c r="BL166" s="5">
        <f t="shared" ca="1" si="100"/>
        <v>261734.97</v>
      </c>
      <c r="BM166" s="5">
        <f t="shared" ca="1" si="100"/>
        <v>1341845.1400000001</v>
      </c>
      <c r="BN166" s="5">
        <f t="shared" ca="1" si="100"/>
        <v>12251175.010000002</v>
      </c>
      <c r="BO166" s="5">
        <f t="shared" ca="1" si="100"/>
        <v>4832690.34</v>
      </c>
      <c r="BP166" s="5">
        <f t="shared" ca="1" si="100"/>
        <v>3060461.01</v>
      </c>
      <c r="BQ166" s="5">
        <f t="shared" ca="1" si="100"/>
        <v>59261926.759999998</v>
      </c>
      <c r="BR166" s="5">
        <f t="shared" ca="1" si="100"/>
        <v>9344608.25</v>
      </c>
      <c r="BS166" s="5">
        <f t="shared" ca="1" si="100"/>
        <v>3134758.2199999997</v>
      </c>
      <c r="BT166" s="5">
        <f t="shared" ca="1" si="100"/>
        <v>3303539.27</v>
      </c>
      <c r="BU166" s="5">
        <f t="shared" ca="1" si="100"/>
        <v>2574733.9500000002</v>
      </c>
      <c r="BV166" s="5">
        <f t="shared" ca="1" si="100"/>
        <v>15405591.42</v>
      </c>
      <c r="BW166" s="5">
        <f t="shared" ca="1" si="100"/>
        <v>20291567.399999999</v>
      </c>
      <c r="BX166" s="5">
        <f t="shared" ca="1" si="100"/>
        <v>1330878.3699999999</v>
      </c>
      <c r="BY166" s="5">
        <f t="shared" ca="1" si="100"/>
        <v>3944529.75</v>
      </c>
      <c r="BZ166" s="5">
        <f t="shared" ca="1" si="100"/>
        <v>1269570.3799999999</v>
      </c>
      <c r="CA166" s="5">
        <f t="shared" ca="1" si="100"/>
        <v>2987252.37</v>
      </c>
      <c r="CB166" s="5">
        <f t="shared" ca="1" si="100"/>
        <v>441731473.52999997</v>
      </c>
      <c r="CC166" s="5">
        <f t="shared" ca="1" si="100"/>
        <v>573018.54</v>
      </c>
      <c r="CD166" s="5">
        <f t="shared" ca="1" si="100"/>
        <v>575593.54</v>
      </c>
      <c r="CE166" s="5">
        <f t="shared" ca="1" si="100"/>
        <v>1412289.74</v>
      </c>
      <c r="CF166" s="5">
        <f t="shared" ca="1" si="100"/>
        <v>956391.15</v>
      </c>
      <c r="CG166" s="5">
        <f t="shared" ca="1" si="100"/>
        <v>835185.64</v>
      </c>
      <c r="CH166" s="5">
        <f t="shared" ca="1" si="100"/>
        <v>552653.90999999992</v>
      </c>
      <c r="CI166" s="5">
        <f t="shared" ca="1" si="100"/>
        <v>3740376.8699999996</v>
      </c>
      <c r="CJ166" s="5">
        <f t="shared" ca="1" si="100"/>
        <v>10923278.140000001</v>
      </c>
      <c r="CK166" s="5">
        <f t="shared" ca="1" si="100"/>
        <v>22999029.669999998</v>
      </c>
      <c r="CL166" s="5">
        <f t="shared" ca="1" si="100"/>
        <v>3698199.02</v>
      </c>
      <c r="CM166" s="5">
        <f t="shared" ca="1" si="100"/>
        <v>1961777.3</v>
      </c>
      <c r="CN166" s="5">
        <f t="shared" ca="1" si="100"/>
        <v>156023277.24000001</v>
      </c>
      <c r="CO166" s="5">
        <f t="shared" ca="1" si="100"/>
        <v>97771043.930000007</v>
      </c>
      <c r="CP166" s="5">
        <f t="shared" ca="1" si="100"/>
        <v>12265526.130000001</v>
      </c>
      <c r="CQ166" s="5">
        <f t="shared" ca="1" si="100"/>
        <v>3291391.96</v>
      </c>
      <c r="CR166" s="5">
        <f t="shared" ca="1" si="100"/>
        <v>424745.41</v>
      </c>
      <c r="CS166" s="5">
        <f t="shared" ca="1" si="100"/>
        <v>1815476.1300000001</v>
      </c>
      <c r="CT166" s="5">
        <f t="shared" ca="1" si="100"/>
        <v>731870.12</v>
      </c>
      <c r="CU166" s="5">
        <f t="shared" ca="1" si="100"/>
        <v>541991.02</v>
      </c>
      <c r="CV166" s="5">
        <f t="shared" ca="1" si="100"/>
        <v>476249.91</v>
      </c>
      <c r="CW166" s="5">
        <f t="shared" ca="1" si="100"/>
        <v>1342335.63</v>
      </c>
      <c r="CX166" s="5">
        <f t="shared" ca="1" si="100"/>
        <v>2661194.71</v>
      </c>
      <c r="CY166" s="5">
        <f t="shared" ca="1" si="100"/>
        <v>210186.59</v>
      </c>
      <c r="CZ166" s="5">
        <f t="shared" ca="1" si="100"/>
        <v>8131004.5700000003</v>
      </c>
      <c r="DA166" s="5">
        <f t="shared" ca="1" si="100"/>
        <v>1516378</v>
      </c>
      <c r="DB166" s="5">
        <f t="shared" ca="1" si="100"/>
        <v>1466348.8900000001</v>
      </c>
      <c r="DC166" s="5">
        <f t="shared" ca="1" si="100"/>
        <v>1425339.37</v>
      </c>
      <c r="DD166" s="5">
        <f t="shared" ca="1" si="100"/>
        <v>931560.61</v>
      </c>
      <c r="DE166" s="5">
        <f t="shared" ca="1" si="100"/>
        <v>2152788.0100000002</v>
      </c>
      <c r="DF166" s="5">
        <f t="shared" ca="1" si="100"/>
        <v>92347516.920000002</v>
      </c>
      <c r="DG166" s="5">
        <f t="shared" ca="1" si="100"/>
        <v>1776553.9100000001</v>
      </c>
      <c r="DH166" s="5">
        <f t="shared" ca="1" si="100"/>
        <v>11315838.120000001</v>
      </c>
      <c r="DI166" s="5">
        <f t="shared" ca="1" si="100"/>
        <v>14669723.99</v>
      </c>
      <c r="DJ166" s="5">
        <f t="shared" ca="1" si="100"/>
        <v>2116716.67</v>
      </c>
      <c r="DK166" s="5">
        <f t="shared" ca="1" si="100"/>
        <v>1490049.99</v>
      </c>
      <c r="DL166" s="5">
        <f t="shared" ca="1" si="100"/>
        <v>28674226.609999999</v>
      </c>
      <c r="DM166" s="5">
        <f t="shared" ca="1" si="100"/>
        <v>832903</v>
      </c>
      <c r="DN166" s="5">
        <f t="shared" ca="1" si="100"/>
        <v>8217080.9799999995</v>
      </c>
      <c r="DO166" s="5">
        <f t="shared" ca="1" si="100"/>
        <v>11457148.18</v>
      </c>
      <c r="DP166" s="5">
        <f t="shared" ca="1" si="100"/>
        <v>1046381.3300000001</v>
      </c>
      <c r="DQ166" s="5">
        <f t="shared" ca="1" si="100"/>
        <v>10143529.699999999</v>
      </c>
      <c r="DR166" s="5">
        <f t="shared" ca="1" si="100"/>
        <v>3045707.42</v>
      </c>
      <c r="DS166" s="5">
        <f t="shared" ca="1" si="100"/>
        <v>1480465.03</v>
      </c>
      <c r="DT166" s="5">
        <f t="shared" ca="1" si="100"/>
        <v>395661.25999999995</v>
      </c>
      <c r="DU166" s="5">
        <f t="shared" ca="1" si="100"/>
        <v>994059.25</v>
      </c>
      <c r="DV166" s="5">
        <f t="shared" ca="1" si="100"/>
        <v>325580.14</v>
      </c>
      <c r="DW166" s="5">
        <f t="shared" ca="1" si="100"/>
        <v>703359.1</v>
      </c>
      <c r="DX166" s="5">
        <f t="shared" ca="1" si="100"/>
        <v>2880061.05</v>
      </c>
      <c r="DY166" s="5">
        <f t="shared" ca="1" si="100"/>
        <v>4185663.5</v>
      </c>
      <c r="DZ166" s="5">
        <f t="shared" ca="1" si="100"/>
        <v>6389350.7000000002</v>
      </c>
      <c r="EA166" s="5">
        <f t="shared" ca="1" si="100"/>
        <v>7467162.5300000003</v>
      </c>
      <c r="EB166" s="5">
        <f t="shared" ca="1" si="100"/>
        <v>2604835.5300000003</v>
      </c>
      <c r="EC166" s="5">
        <f t="shared" ca="1" si="100"/>
        <v>1153453.49</v>
      </c>
      <c r="ED166" s="5">
        <f t="shared" ca="1" si="100"/>
        <v>23687621.689999998</v>
      </c>
      <c r="EE166" s="5">
        <f t="shared" ca="1" si="100"/>
        <v>578316.09</v>
      </c>
      <c r="EF166" s="5">
        <f t="shared" ca="1" si="100"/>
        <v>2959402.84</v>
      </c>
      <c r="EG166" s="5">
        <f t="shared" ca="1" si="100"/>
        <v>961336.35</v>
      </c>
      <c r="EH166" s="5">
        <f t="shared" ca="1" si="100"/>
        <v>459281.04</v>
      </c>
      <c r="EI166" s="5">
        <f t="shared" ca="1" si="100"/>
        <v>43149718.700000003</v>
      </c>
      <c r="EJ166" s="5">
        <f t="shared" ca="1" si="100"/>
        <v>33474116.609999999</v>
      </c>
      <c r="EK166" s="5">
        <f t="shared" ca="1" si="100"/>
        <v>2938401.61</v>
      </c>
      <c r="EL166" s="5">
        <f t="shared" ca="1" si="100"/>
        <v>1711695.0199999998</v>
      </c>
      <c r="EM166" s="5">
        <f t="shared" ca="1" si="100"/>
        <v>3182793.4899999998</v>
      </c>
      <c r="EN166" s="5">
        <f t="shared" ca="1" si="100"/>
        <v>2640463.1900000004</v>
      </c>
      <c r="EO166" s="5">
        <f t="shared" ca="1" si="100"/>
        <v>1378989.58</v>
      </c>
      <c r="EP166" s="5">
        <f t="shared" ca="1" si="100"/>
        <v>4630177.2700000005</v>
      </c>
      <c r="EQ166" s="5">
        <f t="shared" ca="1" si="100"/>
        <v>11755850.989999998</v>
      </c>
      <c r="ER166" s="5">
        <f t="shared" ca="1" si="100"/>
        <v>3732393.48</v>
      </c>
      <c r="ES166" s="5">
        <f t="shared" ca="1" si="100"/>
        <v>1224811.0900000001</v>
      </c>
      <c r="ET166" s="5">
        <f t="shared" ca="1" si="100"/>
        <v>1474864.7</v>
      </c>
      <c r="EU166" s="5">
        <f t="shared" ca="1" si="100"/>
        <v>1439240.47</v>
      </c>
      <c r="EV166" s="5">
        <f t="shared" ca="1" si="100"/>
        <v>1245523.78</v>
      </c>
      <c r="EW166" s="5">
        <f t="shared" ca="1" si="100"/>
        <v>10667960.310000001</v>
      </c>
      <c r="EX166" s="5">
        <f t="shared" ca="1" si="100"/>
        <v>553962.62</v>
      </c>
      <c r="EY166" s="5">
        <f t="shared" ca="1" si="100"/>
        <v>1201019.25</v>
      </c>
      <c r="EZ166" s="5">
        <f t="shared" ca="1" si="100"/>
        <v>968874.45</v>
      </c>
      <c r="FA166" s="5">
        <f t="shared" ca="1" si="100"/>
        <v>41799120</v>
      </c>
      <c r="FB166" s="5">
        <f t="shared" ca="1" si="100"/>
        <v>4270324.8999999994</v>
      </c>
      <c r="FC166" s="5">
        <f t="shared" ca="1" si="100"/>
        <v>13453595.74</v>
      </c>
      <c r="FD166" s="5">
        <f t="shared" ca="1" si="100"/>
        <v>1653757.86</v>
      </c>
      <c r="FE166" s="5">
        <f t="shared" ca="1" si="100"/>
        <v>669164.15</v>
      </c>
      <c r="FF166" s="5">
        <f t="shared" ca="1" si="100"/>
        <v>724149.44</v>
      </c>
      <c r="FG166" s="5">
        <f t="shared" ca="1" si="100"/>
        <v>1009928.09</v>
      </c>
      <c r="FH166" s="5">
        <f t="shared" ca="1" si="100"/>
        <v>1040961</v>
      </c>
      <c r="FI166" s="5">
        <f t="shared" ca="1" si="100"/>
        <v>13711596.73</v>
      </c>
      <c r="FJ166" s="5">
        <f t="shared" ca="1" si="100"/>
        <v>18881603.210000001</v>
      </c>
      <c r="FK166" s="5">
        <f t="shared" ca="1" si="100"/>
        <v>24914726.68</v>
      </c>
      <c r="FL166" s="5">
        <f t="shared" ca="1" si="100"/>
        <v>53184198.469999999</v>
      </c>
      <c r="FM166" s="5">
        <f t="shared" ca="1" si="100"/>
        <v>31664657.25</v>
      </c>
      <c r="FN166" s="5">
        <f t="shared" ca="1" si="100"/>
        <v>68198914.390000001</v>
      </c>
      <c r="FO166" s="5">
        <f t="shared" ca="1" si="100"/>
        <v>13844956.23</v>
      </c>
      <c r="FP166" s="5">
        <f t="shared" ca="1" si="100"/>
        <v>13629374.51</v>
      </c>
      <c r="FQ166" s="5">
        <f t="shared" ca="1" si="100"/>
        <v>12333404.34</v>
      </c>
      <c r="FR166" s="5">
        <f t="shared" ca="1" si="100"/>
        <v>3409546.33</v>
      </c>
      <c r="FS166" s="5">
        <f t="shared" ca="1" si="100"/>
        <v>2705530.8200000003</v>
      </c>
      <c r="FT166" s="5">
        <f t="shared" ca="1" si="100"/>
        <v>1506104.6099999999</v>
      </c>
      <c r="FU166" s="5">
        <f t="shared" ca="1" si="100"/>
        <v>3951137.25</v>
      </c>
      <c r="FV166" s="5">
        <f t="shared" ca="1" si="100"/>
        <v>2859169.76</v>
      </c>
      <c r="FW166" s="5">
        <f t="shared" ca="1" si="100"/>
        <v>507153.37</v>
      </c>
      <c r="FX166" s="5">
        <f t="shared" ca="1" si="100"/>
        <v>439169.12</v>
      </c>
      <c r="FY166" s="7"/>
      <c r="FZ166" s="82">
        <f ca="1">SUM(FZ164:FZ165)</f>
        <v>4563359210.6000013</v>
      </c>
      <c r="GA166" s="62">
        <v>4563378095.5299988</v>
      </c>
      <c r="GB166" s="7"/>
      <c r="GC166" s="7"/>
      <c r="GD166" s="7"/>
      <c r="GE166" s="84"/>
      <c r="GF166" s="15"/>
      <c r="GG166" s="7"/>
      <c r="GH166" s="15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</row>
    <row r="167" spans="1:204" ht="15.5" x14ac:dyDescent="0.35">
      <c r="A167" s="60"/>
      <c r="B167" s="5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82"/>
      <c r="GA167" s="62"/>
      <c r="GB167" s="7"/>
      <c r="GC167" s="7"/>
      <c r="GD167" s="7"/>
      <c r="GE167" s="84"/>
      <c r="GF167" s="15"/>
      <c r="GG167" s="7"/>
      <c r="GH167" s="15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</row>
    <row r="168" spans="1:204" ht="15.5" x14ac:dyDescent="0.35">
      <c r="A168" s="60" t="s">
        <v>711</v>
      </c>
      <c r="B168" s="5" t="s">
        <v>712</v>
      </c>
      <c r="C168" s="5">
        <f t="shared" ref="C168:FX168" ca="1" si="101">IF(C162-C164-C165&lt;0,0,C162-C164-C165)</f>
        <v>44515956.4745</v>
      </c>
      <c r="D168" s="5">
        <f t="shared" ca="1" si="101"/>
        <v>326091551.14649999</v>
      </c>
      <c r="E168" s="5">
        <f t="shared" ca="1" si="101"/>
        <v>36569224.207499996</v>
      </c>
      <c r="F168" s="5">
        <f t="shared" ca="1" si="101"/>
        <v>183644483.94650003</v>
      </c>
      <c r="G168" s="5">
        <f t="shared" ca="1" si="101"/>
        <v>11666262.285</v>
      </c>
      <c r="H168" s="5">
        <f t="shared" ca="1" si="101"/>
        <v>9700284.8520000018</v>
      </c>
      <c r="I168" s="5">
        <f t="shared" ca="1" si="101"/>
        <v>65340419.720000006</v>
      </c>
      <c r="J168" s="5">
        <f t="shared" ca="1" si="101"/>
        <v>18946441.853</v>
      </c>
      <c r="K168" s="5">
        <f t="shared" ca="1" si="101"/>
        <v>2813489.0375000001</v>
      </c>
      <c r="L168" s="5">
        <f t="shared" ca="1" si="101"/>
        <v>427.80399999860674</v>
      </c>
      <c r="M168" s="5">
        <f t="shared" ca="1" si="101"/>
        <v>3940901.57</v>
      </c>
      <c r="N168" s="5">
        <f t="shared" ca="1" si="101"/>
        <v>395372209.60099989</v>
      </c>
      <c r="O168" s="5">
        <f t="shared" ca="1" si="101"/>
        <v>66227724.275999993</v>
      </c>
      <c r="P168" s="5">
        <f t="shared" ca="1" si="101"/>
        <v>3669876.1754999994</v>
      </c>
      <c r="Q168" s="5">
        <f t="shared" ca="1" si="101"/>
        <v>320887440.84600008</v>
      </c>
      <c r="R168" s="5">
        <f t="shared" ca="1" si="101"/>
        <v>78597079.999499992</v>
      </c>
      <c r="S168" s="5">
        <f t="shared" ca="1" si="101"/>
        <v>2300219.1639999994</v>
      </c>
      <c r="T168" s="5">
        <f t="shared" ca="1" si="101"/>
        <v>2677980.5255</v>
      </c>
      <c r="U168" s="5">
        <f t="shared" ca="1" si="101"/>
        <v>584617.6399999999</v>
      </c>
      <c r="V168" s="5">
        <f t="shared" ca="1" si="101"/>
        <v>3305674.5439999993</v>
      </c>
      <c r="W168" s="5">
        <f t="shared" ca="1" si="101"/>
        <v>2590303.5199999996</v>
      </c>
      <c r="X168" s="5">
        <f t="shared" ca="1" si="101"/>
        <v>973224.98149999999</v>
      </c>
      <c r="Y168" s="5">
        <f t="shared" ca="1" si="101"/>
        <v>9472172.756000001</v>
      </c>
      <c r="Z168" s="5">
        <f t="shared" ca="1" si="101"/>
        <v>3221770.5469999998</v>
      </c>
      <c r="AA168" s="5">
        <f t="shared" ca="1" si="101"/>
        <v>202397529.71399999</v>
      </c>
      <c r="AB168" s="5">
        <f t="shared" ca="1" si="101"/>
        <v>29224771.077499986</v>
      </c>
      <c r="AC168" s="5">
        <f t="shared" ca="1" si="101"/>
        <v>1013752.4764999999</v>
      </c>
      <c r="AD168" s="5">
        <f t="shared" ca="1" si="101"/>
        <v>5957609.7954999991</v>
      </c>
      <c r="AE168" s="5">
        <f t="shared" ca="1" si="101"/>
        <v>1598119.9424999997</v>
      </c>
      <c r="AF168" s="5">
        <f t="shared" ca="1" si="101"/>
        <v>2324602.2055000002</v>
      </c>
      <c r="AG168" s="5">
        <f t="shared" ca="1" si="101"/>
        <v>3104259.830000001</v>
      </c>
      <c r="AH168" s="5">
        <f t="shared" ca="1" si="101"/>
        <v>10786927.858499998</v>
      </c>
      <c r="AI168" s="5">
        <f t="shared" ca="1" si="101"/>
        <v>5198573.4419999998</v>
      </c>
      <c r="AJ168" s="5">
        <f t="shared" ca="1" si="101"/>
        <v>2638797.6320000002</v>
      </c>
      <c r="AK168" s="5">
        <f t="shared" ca="1" si="101"/>
        <v>1940125.9514999997</v>
      </c>
      <c r="AL168" s="5">
        <f t="shared" ca="1" si="101"/>
        <v>2088486.2865000002</v>
      </c>
      <c r="AM168" s="5">
        <f t="shared" ca="1" si="101"/>
        <v>3827891.8030000003</v>
      </c>
      <c r="AN168" s="5">
        <f t="shared" ca="1" si="101"/>
        <v>26.974500000244007</v>
      </c>
      <c r="AO168" s="5">
        <f t="shared" ca="1" si="101"/>
        <v>33579034.909999996</v>
      </c>
      <c r="AP168" s="5">
        <f t="shared" ca="1" si="101"/>
        <v>249399959.87349993</v>
      </c>
      <c r="AQ168" s="5">
        <f t="shared" ca="1" si="101"/>
        <v>2708123.5130000007</v>
      </c>
      <c r="AR168" s="5">
        <f t="shared" ca="1" si="101"/>
        <v>362681425.56950003</v>
      </c>
      <c r="AS168" s="5">
        <f t="shared" ca="1" si="101"/>
        <v>14667870.98199999</v>
      </c>
      <c r="AT168" s="5">
        <f t="shared" ca="1" si="101"/>
        <v>14611086.367500002</v>
      </c>
      <c r="AU168" s="5">
        <f t="shared" ca="1" si="101"/>
        <v>2578022.3150000004</v>
      </c>
      <c r="AV168" s="5">
        <f t="shared" ca="1" si="101"/>
        <v>3675319.3049999997</v>
      </c>
      <c r="AW168" s="5">
        <f t="shared" ca="1" si="101"/>
        <v>3354979.6874999995</v>
      </c>
      <c r="AX168" s="5">
        <f t="shared" ca="1" si="101"/>
        <v>1267011.6855000001</v>
      </c>
      <c r="AY168" s="5">
        <f t="shared" ca="1" si="101"/>
        <v>4194296.0729999994</v>
      </c>
      <c r="AZ168" s="5">
        <f t="shared" ca="1" si="101"/>
        <v>124801775.03849998</v>
      </c>
      <c r="BA168" s="5">
        <f t="shared" ca="1" si="101"/>
        <v>73384304.696500003</v>
      </c>
      <c r="BB168" s="5">
        <f t="shared" ca="1" si="101"/>
        <v>77276586.705000013</v>
      </c>
      <c r="BC168" s="5">
        <f t="shared" ca="1" si="101"/>
        <v>181176106.62949997</v>
      </c>
      <c r="BD168" s="5">
        <f t="shared" ca="1" si="101"/>
        <v>22876170.237500001</v>
      </c>
      <c r="BE168" s="5">
        <f t="shared" ca="1" si="101"/>
        <v>8297759.1899999995</v>
      </c>
      <c r="BF168" s="5">
        <f t="shared" ca="1" si="101"/>
        <v>191263564.63150001</v>
      </c>
      <c r="BG168" s="5">
        <f t="shared" ca="1" si="101"/>
        <v>10158649.475499999</v>
      </c>
      <c r="BH168" s="5">
        <f t="shared" ca="1" si="101"/>
        <v>5315188.6464999998</v>
      </c>
      <c r="BI168" s="5">
        <f t="shared" ca="1" si="101"/>
        <v>3887249.4309999999</v>
      </c>
      <c r="BJ168" s="5">
        <f t="shared" ca="1" si="101"/>
        <v>39991861.096500002</v>
      </c>
      <c r="BK168" s="5">
        <f t="shared" ca="1" si="101"/>
        <v>336431220.1624999</v>
      </c>
      <c r="BL168" s="5">
        <f t="shared" ca="1" si="101"/>
        <v>1954508.86</v>
      </c>
      <c r="BM168" s="5">
        <f t="shared" ca="1" si="101"/>
        <v>4227693.7795000002</v>
      </c>
      <c r="BN168" s="5">
        <f t="shared" ca="1" si="101"/>
        <v>23406687.687499996</v>
      </c>
      <c r="BO168" s="5">
        <f t="shared" ca="1" si="101"/>
        <v>10323247.175000001</v>
      </c>
      <c r="BP168" s="5">
        <f t="shared" ca="1" si="101"/>
        <v>337491.39000000007</v>
      </c>
      <c r="BQ168" s="5">
        <f t="shared" ca="1" si="101"/>
        <v>14919738.385999998</v>
      </c>
      <c r="BR168" s="5">
        <f t="shared" ca="1" si="101"/>
        <v>43754643.038500004</v>
      </c>
      <c r="BS168" s="5">
        <f t="shared" ca="1" si="101"/>
        <v>11904266.281500001</v>
      </c>
      <c r="BT168" s="5">
        <f t="shared" ca="1" si="101"/>
        <v>2544843.4820000003</v>
      </c>
      <c r="BU168" s="5">
        <f t="shared" ca="1" si="101"/>
        <v>3593070.8865</v>
      </c>
      <c r="BV168" s="5">
        <f t="shared" ca="1" si="101"/>
        <v>713.50449999968987</v>
      </c>
      <c r="BW168" s="5">
        <f t="shared" ca="1" si="101"/>
        <v>4362011.9379999992</v>
      </c>
      <c r="BX168" s="5">
        <f t="shared" ca="1" si="101"/>
        <v>450866.33999999997</v>
      </c>
      <c r="BY168" s="5">
        <f t="shared" ca="1" si="101"/>
        <v>2484963.34</v>
      </c>
      <c r="BZ168" s="5">
        <f t="shared" ca="1" si="101"/>
        <v>2869628.0334999999</v>
      </c>
      <c r="CA168" s="5">
        <f t="shared" ca="1" si="101"/>
        <v>175956.90600000019</v>
      </c>
      <c r="CB168" s="5">
        <f t="shared" ca="1" si="101"/>
        <v>391306469.83650005</v>
      </c>
      <c r="CC168" s="5">
        <f t="shared" ca="1" si="101"/>
        <v>3072232.6135</v>
      </c>
      <c r="CD168" s="5">
        <f t="shared" ca="1" si="101"/>
        <v>2259610.4699999997</v>
      </c>
      <c r="CE168" s="5">
        <f t="shared" ca="1" si="101"/>
        <v>1809895.4825000002</v>
      </c>
      <c r="CF168" s="5">
        <f t="shared" ca="1" si="101"/>
        <v>1511142.1499999997</v>
      </c>
      <c r="CG168" s="5">
        <f t="shared" ca="1" si="101"/>
        <v>2903490.4369999999</v>
      </c>
      <c r="CH168" s="5">
        <f t="shared" ca="1" si="101"/>
        <v>1731454.6440000001</v>
      </c>
      <c r="CI168" s="5">
        <f t="shared" ca="1" si="101"/>
        <v>5152376.7839999991</v>
      </c>
      <c r="CJ168" s="5">
        <f t="shared" ca="1" si="101"/>
        <v>802238.42149999994</v>
      </c>
      <c r="CK168" s="5">
        <f t="shared" ca="1" si="101"/>
        <v>34732033.384999998</v>
      </c>
      <c r="CL168" s="5">
        <f t="shared" ca="1" si="101"/>
        <v>11949646.9245</v>
      </c>
      <c r="CM168" s="5">
        <f t="shared" ca="1" si="101"/>
        <v>7576623.6210000003</v>
      </c>
      <c r="CN168" s="5">
        <f t="shared" ca="1" si="101"/>
        <v>200251665.50999999</v>
      </c>
      <c r="CO168" s="5">
        <f t="shared" ca="1" si="101"/>
        <v>61272201.532499999</v>
      </c>
      <c r="CP168" s="5">
        <f t="shared" ca="1" si="101"/>
        <v>152.79549999930896</v>
      </c>
      <c r="CQ168" s="5">
        <f t="shared" ca="1" si="101"/>
        <v>7135960.0289999992</v>
      </c>
      <c r="CR168" s="5">
        <f t="shared" ca="1" si="101"/>
        <v>3528423.19</v>
      </c>
      <c r="CS168" s="5">
        <f t="shared" ca="1" si="101"/>
        <v>2757701.5</v>
      </c>
      <c r="CT168" s="5">
        <f t="shared" ca="1" si="101"/>
        <v>1879177.8314999999</v>
      </c>
      <c r="CU168" s="5">
        <f t="shared" ca="1" si="101"/>
        <v>5052160.4145</v>
      </c>
      <c r="CV168" s="5">
        <f t="shared" ca="1" si="101"/>
        <v>751364.48350000009</v>
      </c>
      <c r="CW168" s="5">
        <f t="shared" ca="1" si="101"/>
        <v>2511547.5515000001</v>
      </c>
      <c r="CX168" s="5">
        <f t="shared" ca="1" si="101"/>
        <v>3645869.7379999999</v>
      </c>
      <c r="CY168" s="5">
        <f t="shared" ca="1" si="101"/>
        <v>1083806.202</v>
      </c>
      <c r="CZ168" s="5">
        <f t="shared" ca="1" si="101"/>
        <v>13106392.7445</v>
      </c>
      <c r="DA168" s="5">
        <f t="shared" ca="1" si="101"/>
        <v>2271490.9130000002</v>
      </c>
      <c r="DB168" s="5">
        <f t="shared" ca="1" si="101"/>
        <v>3456532.8944999999</v>
      </c>
      <c r="DC168" s="5">
        <f t="shared" ca="1" si="101"/>
        <v>2275574.9890000005</v>
      </c>
      <c r="DD168" s="5">
        <f t="shared" ca="1" si="101"/>
        <v>2675199.159</v>
      </c>
      <c r="DE168" s="5">
        <f t="shared" ca="1" si="101"/>
        <v>2511881.0404999997</v>
      </c>
      <c r="DF168" s="5">
        <f t="shared" ca="1" si="101"/>
        <v>137661635.94550002</v>
      </c>
      <c r="DG168" s="5">
        <f t="shared" ca="1" si="101"/>
        <v>468616.29949999979</v>
      </c>
      <c r="DH168" s="5">
        <f t="shared" ca="1" si="101"/>
        <v>9814081.1895000003</v>
      </c>
      <c r="DI168" s="5">
        <f t="shared" ca="1" si="101"/>
        <v>13872577.578999998</v>
      </c>
      <c r="DJ168" s="5">
        <f t="shared" ca="1" si="101"/>
        <v>6244400.8500000006</v>
      </c>
      <c r="DK168" s="5">
        <f t="shared" ca="1" si="101"/>
        <v>4988218.9945</v>
      </c>
      <c r="DL168" s="5">
        <f t="shared" ca="1" si="101"/>
        <v>39173232.791999996</v>
      </c>
      <c r="DM168" s="5">
        <f t="shared" ca="1" si="101"/>
        <v>3652213.3815000001</v>
      </c>
      <c r="DN168" s="5">
        <f t="shared" ca="1" si="101"/>
        <v>8110473.8444999997</v>
      </c>
      <c r="DO168" s="5">
        <f t="shared" ca="1" si="101"/>
        <v>27881795.708499994</v>
      </c>
      <c r="DP168" s="5">
        <f t="shared" ca="1" si="101"/>
        <v>2856885.7709999997</v>
      </c>
      <c r="DQ168" s="5">
        <f t="shared" ca="1" si="101"/>
        <v>1336137.351999999</v>
      </c>
      <c r="DR168" s="5">
        <f t="shared" ca="1" si="101"/>
        <v>13266177.939999999</v>
      </c>
      <c r="DS168" s="5">
        <f t="shared" ca="1" si="101"/>
        <v>6929630.3099999996</v>
      </c>
      <c r="DT168" s="5">
        <f t="shared" ca="1" si="101"/>
        <v>3354267.4464999996</v>
      </c>
      <c r="DU168" s="5">
        <f t="shared" ca="1" si="101"/>
        <v>4401791.6119999997</v>
      </c>
      <c r="DV168" s="5">
        <f t="shared" ca="1" si="101"/>
        <v>3548497.5075000003</v>
      </c>
      <c r="DW168" s="5">
        <f t="shared" ca="1" si="101"/>
        <v>4083163.2374999998</v>
      </c>
      <c r="DX168" s="5">
        <f t="shared" ca="1" si="101"/>
        <v>935466.25050000008</v>
      </c>
      <c r="DY168" s="5">
        <f t="shared" ca="1" si="101"/>
        <v>960280.21849999949</v>
      </c>
      <c r="DZ168" s="5">
        <f t="shared" ca="1" si="101"/>
        <v>2902986.0049999999</v>
      </c>
      <c r="EA168" s="5">
        <f t="shared" ca="1" si="101"/>
        <v>50.481999999959953</v>
      </c>
      <c r="EB168" s="5">
        <f t="shared" ca="1" si="101"/>
        <v>4587260.4945</v>
      </c>
      <c r="EC168" s="5">
        <f t="shared" ca="1" si="101"/>
        <v>3268475.9314999995</v>
      </c>
      <c r="ED168" s="5">
        <f t="shared" ca="1" si="101"/>
        <v>1622.8700000001118</v>
      </c>
      <c r="EE168" s="5">
        <f t="shared" ca="1" si="101"/>
        <v>3175349.1650000005</v>
      </c>
      <c r="EF168" s="5">
        <f t="shared" ca="1" si="101"/>
        <v>13612337.895500001</v>
      </c>
      <c r="EG168" s="5">
        <f t="shared" ca="1" si="101"/>
        <v>3311251.8714999999</v>
      </c>
      <c r="EH168" s="5">
        <f t="shared" ca="1" si="101"/>
        <v>3726109.7779999999</v>
      </c>
      <c r="EI168" s="5">
        <f t="shared" ca="1" si="101"/>
        <v>120537315.7</v>
      </c>
      <c r="EJ168" s="5">
        <f t="shared" ca="1" si="101"/>
        <v>80111218.819999993</v>
      </c>
      <c r="EK168" s="5">
        <f t="shared" ca="1" si="101"/>
        <v>5660371.5370000005</v>
      </c>
      <c r="EL168" s="5">
        <f t="shared" ca="1" si="101"/>
        <v>4344499.2825000007</v>
      </c>
      <c r="EM168" s="5">
        <f t="shared" ca="1" si="101"/>
        <v>2411433.6355000003</v>
      </c>
      <c r="EN168" s="5">
        <f t="shared" ca="1" si="101"/>
        <v>9537123.6905000005</v>
      </c>
      <c r="EO168" s="5">
        <f t="shared" ca="1" si="101"/>
        <v>3420152.2395000001</v>
      </c>
      <c r="EP168" s="5">
        <f t="shared" ca="1" si="101"/>
        <v>1707065.7214999993</v>
      </c>
      <c r="EQ168" s="5">
        <f t="shared" ca="1" si="101"/>
        <v>19402665.560000002</v>
      </c>
      <c r="ER168" s="5">
        <f t="shared" ca="1" si="101"/>
        <v>1482811.6845</v>
      </c>
      <c r="ES168" s="5">
        <f t="shared" ca="1" si="101"/>
        <v>2178307.304</v>
      </c>
      <c r="ET168" s="5">
        <f t="shared" ca="1" si="101"/>
        <v>2883272.0494999997</v>
      </c>
      <c r="EU168" s="5">
        <f t="shared" ca="1" si="101"/>
        <v>6762347.0944999997</v>
      </c>
      <c r="EV168" s="5">
        <f t="shared" ca="1" si="101"/>
        <v>656856.61300000013</v>
      </c>
      <c r="EW168" s="5">
        <f t="shared" ca="1" si="101"/>
        <v>2702111.25</v>
      </c>
      <c r="EX168" s="5">
        <f t="shared" ca="1" si="101"/>
        <v>3251342.1645</v>
      </c>
      <c r="EY168" s="5">
        <f t="shared" ca="1" si="101"/>
        <v>6889207.1275000004</v>
      </c>
      <c r="EZ168" s="5">
        <f t="shared" ca="1" si="101"/>
        <v>1874846.9009999998</v>
      </c>
      <c r="FA168" s="5">
        <f t="shared" ca="1" si="101"/>
        <v>989770.16500000213</v>
      </c>
      <c r="FB168" s="5">
        <f t="shared" ca="1" si="101"/>
        <v>614479.00350000011</v>
      </c>
      <c r="FC168" s="5">
        <f t="shared" ca="1" si="101"/>
        <v>8516909.9300000016</v>
      </c>
      <c r="FD168" s="5">
        <f t="shared" ca="1" si="101"/>
        <v>4240342.9364999998</v>
      </c>
      <c r="FE168" s="5">
        <f t="shared" ca="1" si="101"/>
        <v>1322213.1600000001</v>
      </c>
      <c r="FF168" s="5">
        <f t="shared" ca="1" si="101"/>
        <v>2998037.8360000001</v>
      </c>
      <c r="FG168" s="5">
        <f t="shared" ca="1" si="101"/>
        <v>1757615.6600000001</v>
      </c>
      <c r="FH168" s="5">
        <f t="shared" ca="1" si="101"/>
        <v>694574.49750000006</v>
      </c>
      <c r="FI168" s="5">
        <f t="shared" ca="1" si="101"/>
        <v>7368483.0720000006</v>
      </c>
      <c r="FJ168" s="5">
        <f t="shared" ca="1" si="101"/>
        <v>4146439.0899999957</v>
      </c>
      <c r="FK168" s="5">
        <f t="shared" ca="1" si="101"/>
        <v>5343586.9500000039</v>
      </c>
      <c r="FL168" s="5">
        <f t="shared" ca="1" si="101"/>
        <v>41126694.662499994</v>
      </c>
      <c r="FM168" s="5">
        <f t="shared" ca="1" si="101"/>
        <v>13359614.073499998</v>
      </c>
      <c r="FN168" s="5">
        <f t="shared" ca="1" si="101"/>
        <v>198171911.366</v>
      </c>
      <c r="FO168" s="5">
        <f t="shared" ca="1" si="101"/>
        <v>1397.7199999986915</v>
      </c>
      <c r="FP168" s="5">
        <f t="shared" ca="1" si="101"/>
        <v>14509545.876999998</v>
      </c>
      <c r="FQ168" s="5">
        <f t="shared" ca="1" si="101"/>
        <v>5.4999999119900167E-3</v>
      </c>
      <c r="FR168" s="5">
        <f t="shared" ca="1" si="101"/>
        <v>0</v>
      </c>
      <c r="FS168" s="5">
        <f t="shared" ca="1" si="101"/>
        <v>719890.2899999998</v>
      </c>
      <c r="FT168" s="5">
        <f t="shared" ca="1" si="101"/>
        <v>5.0000000919681042E-4</v>
      </c>
      <c r="FU168" s="5">
        <f t="shared" ca="1" si="101"/>
        <v>6846144.5574999992</v>
      </c>
      <c r="FV168" s="5">
        <f t="shared" ca="1" si="101"/>
        <v>6462152.868999999</v>
      </c>
      <c r="FW168" s="5">
        <f t="shared" ca="1" si="101"/>
        <v>2783688.53</v>
      </c>
      <c r="FX168" s="5">
        <f t="shared" ca="1" si="101"/>
        <v>1262023.26</v>
      </c>
      <c r="FY168" s="7"/>
      <c r="FZ168" s="82">
        <f t="shared" ref="FZ168:FZ169" ca="1" si="102">SUM(C168:FX168)</f>
        <v>5468246879.6105022</v>
      </c>
      <c r="GA168" s="62">
        <v>5472692652.585</v>
      </c>
      <c r="GB168" s="7">
        <f t="shared" ref="GB168:GB169" ca="1" si="103">FZ168-GA168</f>
        <v>-4445772.9744977951</v>
      </c>
      <c r="GC168" s="85"/>
      <c r="GD168" s="7"/>
      <c r="GE168" s="4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</row>
    <row r="169" spans="1:204" ht="15.5" x14ac:dyDescent="0.35">
      <c r="A169" s="12" t="s">
        <v>713</v>
      </c>
      <c r="B169" s="7" t="s">
        <v>714</v>
      </c>
      <c r="C169" s="7">
        <f t="shared" ref="C169:FX169" ca="1" si="104">ROUND(C158*C41,2)/1000</f>
        <v>0</v>
      </c>
      <c r="D169" s="7">
        <f t="shared" ca="1" si="104"/>
        <v>0</v>
      </c>
      <c r="E169" s="7">
        <f t="shared" ca="1" si="104"/>
        <v>0</v>
      </c>
      <c r="F169" s="7">
        <f t="shared" ca="1" si="104"/>
        <v>0</v>
      </c>
      <c r="G169" s="7">
        <f t="shared" ca="1" si="104"/>
        <v>0</v>
      </c>
      <c r="H169" s="7">
        <f t="shared" ca="1" si="104"/>
        <v>0</v>
      </c>
      <c r="I169" s="7">
        <f t="shared" ca="1" si="104"/>
        <v>0</v>
      </c>
      <c r="J169" s="7">
        <f t="shared" ca="1" si="104"/>
        <v>0</v>
      </c>
      <c r="K169" s="7">
        <f t="shared" ca="1" si="104"/>
        <v>0</v>
      </c>
      <c r="L169" s="7">
        <f t="shared" ca="1" si="104"/>
        <v>8350.7667899999997</v>
      </c>
      <c r="M169" s="7">
        <f t="shared" ca="1" si="104"/>
        <v>0</v>
      </c>
      <c r="N169" s="7">
        <f t="shared" ca="1" si="104"/>
        <v>0</v>
      </c>
      <c r="O169" s="7">
        <f t="shared" ca="1" si="104"/>
        <v>0</v>
      </c>
      <c r="P169" s="7">
        <f t="shared" ca="1" si="104"/>
        <v>0</v>
      </c>
      <c r="Q169" s="7">
        <f t="shared" ca="1" si="104"/>
        <v>0</v>
      </c>
      <c r="R169" s="7">
        <f t="shared" ca="1" si="104"/>
        <v>0</v>
      </c>
      <c r="S169" s="7">
        <f t="shared" ca="1" si="104"/>
        <v>0</v>
      </c>
      <c r="T169" s="7">
        <f t="shared" ca="1" si="104"/>
        <v>0</v>
      </c>
      <c r="U169" s="7">
        <f t="shared" ca="1" si="104"/>
        <v>0</v>
      </c>
      <c r="V169" s="7">
        <f t="shared" ca="1" si="104"/>
        <v>0</v>
      </c>
      <c r="W169" s="7">
        <f t="shared" ca="1" si="104"/>
        <v>0</v>
      </c>
      <c r="X169" s="7">
        <f t="shared" ca="1" si="104"/>
        <v>0</v>
      </c>
      <c r="Y169" s="7">
        <f t="shared" ca="1" si="104"/>
        <v>0</v>
      </c>
      <c r="Z169" s="7">
        <f t="shared" ca="1" si="104"/>
        <v>0</v>
      </c>
      <c r="AA169" s="7">
        <f t="shared" ca="1" si="104"/>
        <v>0</v>
      </c>
      <c r="AB169" s="7">
        <f t="shared" ca="1" si="104"/>
        <v>0</v>
      </c>
      <c r="AC169" s="7">
        <f t="shared" ca="1" si="104"/>
        <v>0</v>
      </c>
      <c r="AD169" s="7">
        <f t="shared" ca="1" si="104"/>
        <v>0</v>
      </c>
      <c r="AE169" s="7">
        <f t="shared" ca="1" si="104"/>
        <v>0</v>
      </c>
      <c r="AF169" s="7">
        <f t="shared" ca="1" si="104"/>
        <v>0</v>
      </c>
      <c r="AG169" s="7">
        <f t="shared" ca="1" si="104"/>
        <v>0</v>
      </c>
      <c r="AH169" s="7">
        <f t="shared" ca="1" si="104"/>
        <v>0</v>
      </c>
      <c r="AI169" s="7">
        <f t="shared" ca="1" si="104"/>
        <v>0</v>
      </c>
      <c r="AJ169" s="7">
        <f t="shared" ca="1" si="104"/>
        <v>0</v>
      </c>
      <c r="AK169" s="7">
        <f t="shared" ca="1" si="104"/>
        <v>0</v>
      </c>
      <c r="AL169" s="7">
        <f t="shared" ca="1" si="104"/>
        <v>0</v>
      </c>
      <c r="AM169" s="7">
        <f t="shared" ca="1" si="104"/>
        <v>0</v>
      </c>
      <c r="AN169" s="7">
        <f t="shared" ca="1" si="104"/>
        <v>166712.92547999998</v>
      </c>
      <c r="AO169" s="7">
        <f t="shared" ca="1" si="104"/>
        <v>0</v>
      </c>
      <c r="AP169" s="7">
        <f t="shared" ca="1" si="104"/>
        <v>0</v>
      </c>
      <c r="AQ169" s="7">
        <f t="shared" ca="1" si="104"/>
        <v>0</v>
      </c>
      <c r="AR169" s="7">
        <f t="shared" ca="1" si="104"/>
        <v>0</v>
      </c>
      <c r="AS169" s="7">
        <f t="shared" ca="1" si="104"/>
        <v>0</v>
      </c>
      <c r="AT169" s="7">
        <f t="shared" ca="1" si="104"/>
        <v>0</v>
      </c>
      <c r="AU169" s="7">
        <f t="shared" ca="1" si="104"/>
        <v>0</v>
      </c>
      <c r="AV169" s="7">
        <f t="shared" ca="1" si="104"/>
        <v>0</v>
      </c>
      <c r="AW169" s="7">
        <f t="shared" ca="1" si="104"/>
        <v>0</v>
      </c>
      <c r="AX169" s="7">
        <f t="shared" ca="1" si="104"/>
        <v>0</v>
      </c>
      <c r="AY169" s="7">
        <f t="shared" ca="1" si="104"/>
        <v>0</v>
      </c>
      <c r="AZ169" s="7">
        <f t="shared" ca="1" si="104"/>
        <v>0</v>
      </c>
      <c r="BA169" s="7">
        <f t="shared" ca="1" si="104"/>
        <v>0</v>
      </c>
      <c r="BB169" s="7">
        <f t="shared" ca="1" si="104"/>
        <v>0</v>
      </c>
      <c r="BC169" s="7">
        <f t="shared" ca="1" si="104"/>
        <v>0</v>
      </c>
      <c r="BD169" s="7">
        <f t="shared" ca="1" si="104"/>
        <v>0</v>
      </c>
      <c r="BE169" s="7">
        <f t="shared" ca="1" si="104"/>
        <v>0</v>
      </c>
      <c r="BF169" s="7">
        <f t="shared" ca="1" si="104"/>
        <v>0</v>
      </c>
      <c r="BG169" s="7">
        <f t="shared" ca="1" si="104"/>
        <v>0</v>
      </c>
      <c r="BH169" s="7">
        <f t="shared" ca="1" si="104"/>
        <v>0</v>
      </c>
      <c r="BI169" s="7">
        <f t="shared" ca="1" si="104"/>
        <v>0</v>
      </c>
      <c r="BJ169" s="7">
        <f t="shared" ca="1" si="104"/>
        <v>0</v>
      </c>
      <c r="BK169" s="7">
        <f t="shared" ca="1" si="104"/>
        <v>0</v>
      </c>
      <c r="BL169" s="7">
        <f t="shared" ca="1" si="104"/>
        <v>0</v>
      </c>
      <c r="BM169" s="7">
        <f t="shared" ca="1" si="104"/>
        <v>0</v>
      </c>
      <c r="BN169" s="7">
        <f t="shared" ca="1" si="104"/>
        <v>0</v>
      </c>
      <c r="BO169" s="7">
        <f t="shared" ca="1" si="104"/>
        <v>0</v>
      </c>
      <c r="BP169" s="7">
        <f t="shared" ca="1" si="104"/>
        <v>0</v>
      </c>
      <c r="BQ169" s="7">
        <f t="shared" ca="1" si="104"/>
        <v>0</v>
      </c>
      <c r="BR169" s="7">
        <f t="shared" ca="1" si="104"/>
        <v>0</v>
      </c>
      <c r="BS169" s="7">
        <f t="shared" ca="1" si="104"/>
        <v>0</v>
      </c>
      <c r="BT169" s="7">
        <f t="shared" ca="1" si="104"/>
        <v>0</v>
      </c>
      <c r="BU169" s="7">
        <f t="shared" ca="1" si="104"/>
        <v>0</v>
      </c>
      <c r="BV169" s="7">
        <f t="shared" si="104"/>
        <v>789246.90526000003</v>
      </c>
      <c r="BW169" s="7">
        <f t="shared" ca="1" si="104"/>
        <v>0</v>
      </c>
      <c r="BX169" s="7">
        <f t="shared" ca="1" si="104"/>
        <v>0</v>
      </c>
      <c r="BY169" s="7">
        <f t="shared" ca="1" si="104"/>
        <v>0</v>
      </c>
      <c r="BZ169" s="7">
        <f t="shared" ca="1" si="104"/>
        <v>0</v>
      </c>
      <c r="CA169" s="7">
        <f t="shared" ca="1" si="104"/>
        <v>0</v>
      </c>
      <c r="CB169" s="7">
        <f t="shared" ca="1" si="104"/>
        <v>0</v>
      </c>
      <c r="CC169" s="7">
        <f t="shared" ca="1" si="104"/>
        <v>0</v>
      </c>
      <c r="CD169" s="7">
        <f t="shared" ca="1" si="104"/>
        <v>0</v>
      </c>
      <c r="CE169" s="7">
        <f t="shared" ca="1" si="104"/>
        <v>0</v>
      </c>
      <c r="CF169" s="7">
        <f t="shared" ca="1" si="104"/>
        <v>0</v>
      </c>
      <c r="CG169" s="7">
        <f t="shared" ca="1" si="104"/>
        <v>0</v>
      </c>
      <c r="CH169" s="7">
        <f t="shared" ca="1" si="104"/>
        <v>0</v>
      </c>
      <c r="CI169" s="7">
        <f t="shared" ca="1" si="104"/>
        <v>0</v>
      </c>
      <c r="CJ169" s="7">
        <f t="shared" ca="1" si="104"/>
        <v>0</v>
      </c>
      <c r="CK169" s="7">
        <f t="shared" ca="1" si="104"/>
        <v>0</v>
      </c>
      <c r="CL169" s="7">
        <f t="shared" ca="1" si="104"/>
        <v>0</v>
      </c>
      <c r="CM169" s="7">
        <f t="shared" ca="1" si="104"/>
        <v>0</v>
      </c>
      <c r="CN169" s="7">
        <f t="shared" ca="1" si="104"/>
        <v>0</v>
      </c>
      <c r="CO169" s="7">
        <f t="shared" ca="1" si="104"/>
        <v>0</v>
      </c>
      <c r="CP169" s="7">
        <f t="shared" si="104"/>
        <v>524834.15711999999</v>
      </c>
      <c r="CQ169" s="7">
        <f t="shared" ca="1" si="104"/>
        <v>0</v>
      </c>
      <c r="CR169" s="7">
        <f t="shared" ca="1" si="104"/>
        <v>0</v>
      </c>
      <c r="CS169" s="7">
        <f t="shared" ca="1" si="104"/>
        <v>0</v>
      </c>
      <c r="CT169" s="7">
        <f t="shared" ca="1" si="104"/>
        <v>0</v>
      </c>
      <c r="CU169" s="7">
        <f t="shared" ca="1" si="104"/>
        <v>0</v>
      </c>
      <c r="CV169" s="7">
        <f t="shared" ca="1" si="104"/>
        <v>0</v>
      </c>
      <c r="CW169" s="7">
        <f t="shared" ca="1" si="104"/>
        <v>0</v>
      </c>
      <c r="CX169" s="7">
        <f t="shared" ca="1" si="104"/>
        <v>0</v>
      </c>
      <c r="CY169" s="7">
        <f t="shared" ca="1" si="104"/>
        <v>0</v>
      </c>
      <c r="CZ169" s="7">
        <f t="shared" ca="1" si="104"/>
        <v>0</v>
      </c>
      <c r="DA169" s="7">
        <f t="shared" ca="1" si="104"/>
        <v>0</v>
      </c>
      <c r="DB169" s="7">
        <f t="shared" ca="1" si="104"/>
        <v>0</v>
      </c>
      <c r="DC169" s="7">
        <f t="shared" ca="1" si="104"/>
        <v>0</v>
      </c>
      <c r="DD169" s="7">
        <f t="shared" ca="1" si="104"/>
        <v>0</v>
      </c>
      <c r="DE169" s="7">
        <f t="shared" ca="1" si="104"/>
        <v>0</v>
      </c>
      <c r="DF169" s="7">
        <f t="shared" ca="1" si="104"/>
        <v>0</v>
      </c>
      <c r="DG169" s="7">
        <f t="shared" ca="1" si="104"/>
        <v>0</v>
      </c>
      <c r="DH169" s="7">
        <f t="shared" ca="1" si="104"/>
        <v>0</v>
      </c>
      <c r="DI169" s="7">
        <f t="shared" ca="1" si="104"/>
        <v>0</v>
      </c>
      <c r="DJ169" s="7">
        <f t="shared" ca="1" si="104"/>
        <v>0</v>
      </c>
      <c r="DK169" s="7">
        <f t="shared" ca="1" si="104"/>
        <v>0</v>
      </c>
      <c r="DL169" s="7">
        <f t="shared" ca="1" si="104"/>
        <v>0</v>
      </c>
      <c r="DM169" s="7">
        <f t="shared" ca="1" si="104"/>
        <v>0</v>
      </c>
      <c r="DN169" s="7">
        <f t="shared" ca="1" si="104"/>
        <v>0</v>
      </c>
      <c r="DO169" s="7">
        <f t="shared" ca="1" si="104"/>
        <v>0</v>
      </c>
      <c r="DP169" s="7">
        <f t="shared" ca="1" si="104"/>
        <v>0</v>
      </c>
      <c r="DQ169" s="7">
        <f t="shared" ca="1" si="104"/>
        <v>0</v>
      </c>
      <c r="DR169" s="7">
        <f t="shared" ca="1" si="104"/>
        <v>0</v>
      </c>
      <c r="DS169" s="7">
        <f t="shared" ca="1" si="104"/>
        <v>0</v>
      </c>
      <c r="DT169" s="7">
        <f t="shared" ca="1" si="104"/>
        <v>0</v>
      </c>
      <c r="DU169" s="7">
        <f t="shared" ca="1" si="104"/>
        <v>0</v>
      </c>
      <c r="DV169" s="7">
        <f t="shared" ca="1" si="104"/>
        <v>0</v>
      </c>
      <c r="DW169" s="7">
        <f t="shared" ca="1" si="104"/>
        <v>0</v>
      </c>
      <c r="DX169" s="7">
        <f t="shared" ca="1" si="104"/>
        <v>0</v>
      </c>
      <c r="DY169" s="7">
        <f t="shared" ca="1" si="104"/>
        <v>0</v>
      </c>
      <c r="DZ169" s="7">
        <f t="shared" ca="1" si="104"/>
        <v>0</v>
      </c>
      <c r="EA169" s="7">
        <f t="shared" ca="1" si="104"/>
        <v>519712.24637999997</v>
      </c>
      <c r="EB169" s="7">
        <f t="shared" ca="1" si="104"/>
        <v>0</v>
      </c>
      <c r="EC169" s="7">
        <f t="shared" ca="1" si="104"/>
        <v>0</v>
      </c>
      <c r="ED169" s="7">
        <f t="shared" si="104"/>
        <v>786565.46244000003</v>
      </c>
      <c r="EE169" s="7">
        <f t="shared" ca="1" si="104"/>
        <v>0</v>
      </c>
      <c r="EF169" s="7">
        <f t="shared" ca="1" si="104"/>
        <v>0</v>
      </c>
      <c r="EG169" s="7">
        <f t="shared" ca="1" si="104"/>
        <v>0</v>
      </c>
      <c r="EH169" s="7">
        <f t="shared" ca="1" si="104"/>
        <v>0</v>
      </c>
      <c r="EI169" s="7">
        <f t="shared" ca="1" si="104"/>
        <v>0</v>
      </c>
      <c r="EJ169" s="7">
        <f t="shared" ca="1" si="104"/>
        <v>0</v>
      </c>
      <c r="EK169" s="7">
        <f t="shared" ca="1" si="104"/>
        <v>0</v>
      </c>
      <c r="EL169" s="7">
        <f t="shared" ca="1" si="104"/>
        <v>0</v>
      </c>
      <c r="EM169" s="7">
        <f t="shared" ca="1" si="104"/>
        <v>0</v>
      </c>
      <c r="EN169" s="7">
        <f t="shared" ca="1" si="104"/>
        <v>0</v>
      </c>
      <c r="EO169" s="7">
        <f t="shared" ca="1" si="104"/>
        <v>0</v>
      </c>
      <c r="EP169" s="7">
        <f t="shared" ca="1" si="104"/>
        <v>0</v>
      </c>
      <c r="EQ169" s="7">
        <f t="shared" ca="1" si="104"/>
        <v>0</v>
      </c>
      <c r="ER169" s="7">
        <f t="shared" ca="1" si="104"/>
        <v>0</v>
      </c>
      <c r="ES169" s="7">
        <f t="shared" ca="1" si="104"/>
        <v>0</v>
      </c>
      <c r="ET169" s="7">
        <f t="shared" ca="1" si="104"/>
        <v>0</v>
      </c>
      <c r="EU169" s="7">
        <f t="shared" ca="1" si="104"/>
        <v>0</v>
      </c>
      <c r="EV169" s="7">
        <f t="shared" ca="1" si="104"/>
        <v>0</v>
      </c>
      <c r="EW169" s="7">
        <f t="shared" ca="1" si="104"/>
        <v>0</v>
      </c>
      <c r="EX169" s="7">
        <f t="shared" ca="1" si="104"/>
        <v>0</v>
      </c>
      <c r="EY169" s="7">
        <f t="shared" ca="1" si="104"/>
        <v>0</v>
      </c>
      <c r="EZ169" s="7">
        <f t="shared" ca="1" si="104"/>
        <v>0</v>
      </c>
      <c r="FA169" s="7">
        <f t="shared" ca="1" si="104"/>
        <v>0</v>
      </c>
      <c r="FB169" s="7">
        <f t="shared" ca="1" si="104"/>
        <v>0</v>
      </c>
      <c r="FC169" s="7">
        <f t="shared" ca="1" si="104"/>
        <v>0</v>
      </c>
      <c r="FD169" s="7">
        <f t="shared" ca="1" si="104"/>
        <v>0</v>
      </c>
      <c r="FE169" s="7">
        <f t="shared" ca="1" si="104"/>
        <v>0</v>
      </c>
      <c r="FF169" s="7">
        <f t="shared" ca="1" si="104"/>
        <v>0</v>
      </c>
      <c r="FG169" s="7">
        <f t="shared" ca="1" si="104"/>
        <v>0</v>
      </c>
      <c r="FH169" s="7">
        <f t="shared" ca="1" si="104"/>
        <v>0</v>
      </c>
      <c r="FI169" s="7">
        <f t="shared" ca="1" si="104"/>
        <v>0</v>
      </c>
      <c r="FJ169" s="7">
        <f t="shared" ca="1" si="104"/>
        <v>0</v>
      </c>
      <c r="FK169" s="7">
        <f t="shared" ca="1" si="104"/>
        <v>0</v>
      </c>
      <c r="FL169" s="7">
        <f t="shared" ca="1" si="104"/>
        <v>0</v>
      </c>
      <c r="FM169" s="7">
        <f t="shared" ca="1" si="104"/>
        <v>0</v>
      </c>
      <c r="FN169" s="7">
        <f t="shared" ca="1" si="104"/>
        <v>0</v>
      </c>
      <c r="FO169" s="7">
        <f t="shared" ca="1" si="104"/>
        <v>644014.57921</v>
      </c>
      <c r="FP169" s="7">
        <f t="shared" ca="1" si="104"/>
        <v>0</v>
      </c>
      <c r="FQ169" s="7">
        <f t="shared" ca="1" si="104"/>
        <v>616192.17400999996</v>
      </c>
      <c r="FR169" s="7">
        <f t="shared" si="104"/>
        <v>104886.07442</v>
      </c>
      <c r="FS169" s="7">
        <f t="shared" ca="1" si="104"/>
        <v>0</v>
      </c>
      <c r="FT169" s="7">
        <f t="shared" si="104"/>
        <v>72687.441040000005</v>
      </c>
      <c r="FU169" s="7">
        <f t="shared" ca="1" si="104"/>
        <v>0</v>
      </c>
      <c r="FV169" s="7">
        <f t="shared" ca="1" si="104"/>
        <v>0</v>
      </c>
      <c r="FW169" s="7">
        <f t="shared" ca="1" si="104"/>
        <v>0</v>
      </c>
      <c r="FX169" s="7">
        <f t="shared" ca="1" si="104"/>
        <v>0</v>
      </c>
      <c r="FY169" s="7"/>
      <c r="FZ169" s="82">
        <f t="shared" ca="1" si="102"/>
        <v>4233202.7321500005</v>
      </c>
      <c r="GA169" s="62">
        <v>4224851.9653606713</v>
      </c>
      <c r="GB169" s="7">
        <f t="shared" ca="1" si="103"/>
        <v>8350.7667893292382</v>
      </c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</row>
    <row r="170" spans="1:204" ht="15.5" x14ac:dyDescent="0.35">
      <c r="A170" s="60" t="s">
        <v>715</v>
      </c>
      <c r="B170" s="5" t="s">
        <v>716</v>
      </c>
      <c r="C170" s="5">
        <f t="shared" ref="C170:FX170" ca="1" si="105">ROUND(C162/C79,2)</f>
        <v>12331.46</v>
      </c>
      <c r="D170" s="5">
        <f t="shared" ca="1" si="105"/>
        <v>11727.8</v>
      </c>
      <c r="E170" s="5">
        <f t="shared" ca="1" si="105"/>
        <v>12910.95</v>
      </c>
      <c r="F170" s="5">
        <f t="shared" ca="1" si="105"/>
        <v>11532.18</v>
      </c>
      <c r="G170" s="5">
        <f t="shared" ca="1" si="105"/>
        <v>12330.13</v>
      </c>
      <c r="H170" s="5">
        <f t="shared" ca="1" si="105"/>
        <v>12543.86</v>
      </c>
      <c r="I170" s="5">
        <f t="shared" ca="1" si="105"/>
        <v>12559.64</v>
      </c>
      <c r="J170" s="5">
        <f t="shared" ca="1" si="105"/>
        <v>12184.65</v>
      </c>
      <c r="K170" s="5">
        <f t="shared" ca="1" si="105"/>
        <v>17382.939999999999</v>
      </c>
      <c r="L170" s="5">
        <f t="shared" ca="1" si="105"/>
        <v>12394.31</v>
      </c>
      <c r="M170" s="5">
        <f t="shared" ca="1" si="105"/>
        <v>14856.49</v>
      </c>
      <c r="N170" s="5">
        <f t="shared" ca="1" si="105"/>
        <v>11796.57</v>
      </c>
      <c r="O170" s="5">
        <f t="shared" ca="1" si="105"/>
        <v>11296.35</v>
      </c>
      <c r="P170" s="5">
        <f t="shared" ca="1" si="105"/>
        <v>16956.52</v>
      </c>
      <c r="Q170" s="5">
        <f t="shared" ca="1" si="105"/>
        <v>12694.66</v>
      </c>
      <c r="R170" s="5">
        <f t="shared" ca="1" si="105"/>
        <v>11376.97</v>
      </c>
      <c r="S170" s="5">
        <f t="shared" ca="1" si="105"/>
        <v>12370.59</v>
      </c>
      <c r="T170" s="5">
        <f t="shared" ca="1" si="105"/>
        <v>20894.13</v>
      </c>
      <c r="U170" s="5">
        <f t="shared" ca="1" si="105"/>
        <v>23905.66</v>
      </c>
      <c r="V170" s="5">
        <f t="shared" ca="1" si="105"/>
        <v>17173.47</v>
      </c>
      <c r="W170" s="5">
        <f t="shared" ca="1" si="105"/>
        <v>46692.19</v>
      </c>
      <c r="X170" s="5">
        <f t="shared" ca="1" si="105"/>
        <v>21701.56</v>
      </c>
      <c r="Y170" s="5">
        <f t="shared" ca="1" si="105"/>
        <v>12856.8</v>
      </c>
      <c r="Z170" s="5">
        <f t="shared" ca="1" si="105"/>
        <v>17105.580000000002</v>
      </c>
      <c r="AA170" s="5">
        <f t="shared" ca="1" si="105"/>
        <v>11446.81</v>
      </c>
      <c r="AB170" s="5">
        <f t="shared" ca="1" si="105"/>
        <v>11559.45</v>
      </c>
      <c r="AC170" s="5">
        <f t="shared" ca="1" si="105"/>
        <v>12811.36</v>
      </c>
      <c r="AD170" s="5">
        <f t="shared" ca="1" si="105"/>
        <v>11799.22</v>
      </c>
      <c r="AE170" s="5">
        <f t="shared" ca="1" si="105"/>
        <v>23354.82</v>
      </c>
      <c r="AF170" s="5">
        <f t="shared" ca="1" si="105"/>
        <v>20851.53</v>
      </c>
      <c r="AG170" s="5">
        <f t="shared" ca="1" si="105"/>
        <v>13787.17</v>
      </c>
      <c r="AH170" s="5">
        <f t="shared" ca="1" si="105"/>
        <v>12693.75</v>
      </c>
      <c r="AI170" s="5">
        <f t="shared" ca="1" si="105"/>
        <v>14586.96</v>
      </c>
      <c r="AJ170" s="5">
        <f t="shared" ca="1" si="105"/>
        <v>20727.97</v>
      </c>
      <c r="AK170" s="5">
        <f t="shared" ca="1" si="105"/>
        <v>21536.54</v>
      </c>
      <c r="AL170" s="5">
        <f t="shared" ca="1" si="105"/>
        <v>16722.2</v>
      </c>
      <c r="AM170" s="5">
        <f t="shared" ca="1" si="105"/>
        <v>15688.67</v>
      </c>
      <c r="AN170" s="5">
        <f t="shared" ca="1" si="105"/>
        <v>16651.02</v>
      </c>
      <c r="AO170" s="5">
        <f t="shared" ca="1" si="105"/>
        <v>11838.96</v>
      </c>
      <c r="AP170" s="5">
        <f t="shared" ca="1" si="105"/>
        <v>12140.23</v>
      </c>
      <c r="AQ170" s="5">
        <f t="shared" ca="1" si="105"/>
        <v>18158.310000000001</v>
      </c>
      <c r="AR170" s="5">
        <f t="shared" ca="1" si="105"/>
        <v>11259.49</v>
      </c>
      <c r="AS170" s="5">
        <f t="shared" ca="1" si="105"/>
        <v>12483.06</v>
      </c>
      <c r="AT170" s="5">
        <f t="shared" ca="1" si="105"/>
        <v>11926.69</v>
      </c>
      <c r="AU170" s="5">
        <f t="shared" ca="1" si="105"/>
        <v>17397.25</v>
      </c>
      <c r="AV170" s="5">
        <f t="shared" ca="1" si="105"/>
        <v>17011.3</v>
      </c>
      <c r="AW170" s="5">
        <f t="shared" ca="1" si="105"/>
        <v>17621.759999999998</v>
      </c>
      <c r="AX170" s="5">
        <f t="shared" ca="1" si="105"/>
        <v>25560.04</v>
      </c>
      <c r="AY170" s="5">
        <f t="shared" ca="1" si="105"/>
        <v>15173.34</v>
      </c>
      <c r="AZ170" s="5">
        <f t="shared" ca="1" si="105"/>
        <v>11872.04</v>
      </c>
      <c r="BA170" s="5">
        <f t="shared" ca="1" si="105"/>
        <v>11162.43</v>
      </c>
      <c r="BB170" s="5">
        <f t="shared" ca="1" si="105"/>
        <v>11312.12</v>
      </c>
      <c r="BC170" s="5">
        <f t="shared" ca="1" si="105"/>
        <v>11543.2</v>
      </c>
      <c r="BD170" s="5">
        <f t="shared" ca="1" si="105"/>
        <v>11103.17</v>
      </c>
      <c r="BE170" s="5">
        <f t="shared" ca="1" si="105"/>
        <v>12305.22</v>
      </c>
      <c r="BF170" s="5">
        <f t="shared" ca="1" si="105"/>
        <v>11032.13</v>
      </c>
      <c r="BG170" s="5">
        <f t="shared" ca="1" si="105"/>
        <v>13331.49</v>
      </c>
      <c r="BH170" s="5">
        <f t="shared" ca="1" si="105"/>
        <v>13322.98</v>
      </c>
      <c r="BI170" s="5">
        <f t="shared" ca="1" si="105"/>
        <v>18387.87</v>
      </c>
      <c r="BJ170" s="5">
        <f t="shared" ca="1" si="105"/>
        <v>11074.35</v>
      </c>
      <c r="BK170" s="5">
        <f t="shared" ca="1" si="105"/>
        <v>11178.9</v>
      </c>
      <c r="BL170" s="5">
        <f t="shared" ca="1" si="105"/>
        <v>30568.880000000001</v>
      </c>
      <c r="BM170" s="5">
        <f t="shared" ca="1" si="105"/>
        <v>15501.08</v>
      </c>
      <c r="BN170" s="5">
        <f t="shared" ca="1" si="105"/>
        <v>11472.56</v>
      </c>
      <c r="BO170" s="5">
        <f t="shared" ca="1" si="105"/>
        <v>12266.05</v>
      </c>
      <c r="BP170" s="5">
        <f t="shared" ca="1" si="105"/>
        <v>22354.95</v>
      </c>
      <c r="BQ170" s="5">
        <f t="shared" ca="1" si="105"/>
        <v>12632.9</v>
      </c>
      <c r="BR170" s="5">
        <f t="shared" ca="1" si="105"/>
        <v>11830.33</v>
      </c>
      <c r="BS170" s="5">
        <f t="shared" ca="1" si="105"/>
        <v>12985.95</v>
      </c>
      <c r="BT170" s="5">
        <f t="shared" ca="1" si="105"/>
        <v>16133.47</v>
      </c>
      <c r="BU170" s="5">
        <f t="shared" ca="1" si="105"/>
        <v>15710.15</v>
      </c>
      <c r="BV170" s="5">
        <f t="shared" ca="1" si="105"/>
        <v>12371.56</v>
      </c>
      <c r="BW170" s="5">
        <f t="shared" ca="1" si="105"/>
        <v>12219.87</v>
      </c>
      <c r="BX170" s="5">
        <f t="shared" ca="1" si="105"/>
        <v>27037.1</v>
      </c>
      <c r="BY170" s="5">
        <f t="shared" ca="1" si="105"/>
        <v>15239.38</v>
      </c>
      <c r="BZ170" s="5">
        <f t="shared" ca="1" si="105"/>
        <v>18154.38</v>
      </c>
      <c r="CA170" s="5">
        <f t="shared" ca="1" si="105"/>
        <v>21890.720000000001</v>
      </c>
      <c r="CB170" s="5">
        <f t="shared" ca="1" si="105"/>
        <v>11391.33</v>
      </c>
      <c r="CC170" s="5">
        <f t="shared" ca="1" si="105"/>
        <v>19256.48</v>
      </c>
      <c r="CD170" s="5">
        <f t="shared" ca="1" si="105"/>
        <v>47253.4</v>
      </c>
      <c r="CE170" s="5">
        <f t="shared" ca="1" si="105"/>
        <v>20354.93</v>
      </c>
      <c r="CF170" s="5">
        <f t="shared" ca="1" si="105"/>
        <v>23433.360000000001</v>
      </c>
      <c r="CG170" s="5">
        <f t="shared" ca="1" si="105"/>
        <v>18920.43</v>
      </c>
      <c r="CH170" s="5">
        <f t="shared" ca="1" si="105"/>
        <v>24017.97</v>
      </c>
      <c r="CI170" s="5">
        <f t="shared" ca="1" si="105"/>
        <v>12927.39</v>
      </c>
      <c r="CJ170" s="5">
        <f t="shared" ca="1" si="105"/>
        <v>13590.07</v>
      </c>
      <c r="CK170" s="5">
        <f t="shared" ca="1" si="105"/>
        <v>11831.11</v>
      </c>
      <c r="CL170" s="5">
        <f t="shared" ca="1" si="105"/>
        <v>12856.66</v>
      </c>
      <c r="CM170" s="5">
        <f t="shared" ca="1" si="105"/>
        <v>13894.25</v>
      </c>
      <c r="CN170" s="5">
        <f t="shared" ca="1" si="105"/>
        <v>11322.25</v>
      </c>
      <c r="CO170" s="5">
        <f t="shared" ca="1" si="105"/>
        <v>11131.25</v>
      </c>
      <c r="CP170" s="5">
        <f t="shared" ca="1" si="105"/>
        <v>13371.5</v>
      </c>
      <c r="CQ170" s="5">
        <f t="shared" ca="1" si="105"/>
        <v>13598.53</v>
      </c>
      <c r="CR170" s="5">
        <f t="shared" ca="1" si="105"/>
        <v>18318.669999999998</v>
      </c>
      <c r="CS170" s="5">
        <f t="shared" ca="1" si="105"/>
        <v>16426.64</v>
      </c>
      <c r="CT170" s="5">
        <f t="shared" ca="1" si="105"/>
        <v>23004.83</v>
      </c>
      <c r="CU170" s="5">
        <f t="shared" ca="1" si="105"/>
        <v>11978.91</v>
      </c>
      <c r="CV170" s="5">
        <f t="shared" ca="1" si="105"/>
        <v>20460.240000000002</v>
      </c>
      <c r="CW170" s="5">
        <f t="shared" ca="1" si="105"/>
        <v>19395.490000000002</v>
      </c>
      <c r="CX170" s="5">
        <f t="shared" ca="1" si="105"/>
        <v>13669.41</v>
      </c>
      <c r="CY170" s="5">
        <f t="shared" ca="1" si="105"/>
        <v>21566.55</v>
      </c>
      <c r="CZ170" s="5">
        <f t="shared" ca="1" si="105"/>
        <v>11887.71</v>
      </c>
      <c r="DA170" s="5">
        <f t="shared" ca="1" si="105"/>
        <v>18613.61</v>
      </c>
      <c r="DB170" s="5">
        <f t="shared" ca="1" si="105"/>
        <v>15588.61</v>
      </c>
      <c r="DC170" s="5">
        <f t="shared" ca="1" si="105"/>
        <v>19175.72</v>
      </c>
      <c r="DD170" s="5">
        <f t="shared" ca="1" si="105"/>
        <v>20669.11</v>
      </c>
      <c r="DE170" s="5">
        <f t="shared" ca="1" si="105"/>
        <v>16378.75</v>
      </c>
      <c r="DF170" s="5">
        <f t="shared" ca="1" si="105"/>
        <v>11179.49</v>
      </c>
      <c r="DG170" s="5">
        <f t="shared" ca="1" si="105"/>
        <v>24012.52</v>
      </c>
      <c r="DH170" s="5">
        <f t="shared" ca="1" si="105"/>
        <v>11934.44</v>
      </c>
      <c r="DI170" s="5">
        <f t="shared" ca="1" si="105"/>
        <v>11802.14</v>
      </c>
      <c r="DJ170" s="5">
        <f t="shared" ca="1" si="105"/>
        <v>13615.24</v>
      </c>
      <c r="DK170" s="5">
        <f t="shared" ca="1" si="105"/>
        <v>13533.05</v>
      </c>
      <c r="DL170" s="5">
        <f t="shared" ca="1" si="105"/>
        <v>11953.39</v>
      </c>
      <c r="DM170" s="5">
        <f t="shared" ca="1" si="105"/>
        <v>19085.599999999999</v>
      </c>
      <c r="DN170" s="5">
        <f t="shared" ca="1" si="105"/>
        <v>12598.42</v>
      </c>
      <c r="DO170" s="5">
        <f t="shared" ca="1" si="105"/>
        <v>11957.13</v>
      </c>
      <c r="DP170" s="5">
        <f t="shared" ca="1" si="105"/>
        <v>19604.560000000001</v>
      </c>
      <c r="DQ170" s="5">
        <f t="shared" ca="1" si="105"/>
        <v>12927.55</v>
      </c>
      <c r="DR170" s="5">
        <f t="shared" ca="1" si="105"/>
        <v>12494.74</v>
      </c>
      <c r="DS170" s="5">
        <f t="shared" ca="1" si="105"/>
        <v>14500.16</v>
      </c>
      <c r="DT170" s="5">
        <f t="shared" ca="1" si="105"/>
        <v>21246.05</v>
      </c>
      <c r="DU170" s="5">
        <f t="shared" ca="1" si="105"/>
        <v>15518.7</v>
      </c>
      <c r="DV170" s="5">
        <f t="shared" ca="1" si="105"/>
        <v>18824.48</v>
      </c>
      <c r="DW170" s="5">
        <f t="shared" ca="1" si="105"/>
        <v>16094.56</v>
      </c>
      <c r="DX170" s="5">
        <f t="shared" ca="1" si="105"/>
        <v>22711.47</v>
      </c>
      <c r="DY170" s="5">
        <f t="shared" ca="1" si="105"/>
        <v>17556.96</v>
      </c>
      <c r="DZ170" s="5">
        <f t="shared" ca="1" si="105"/>
        <v>14030.4</v>
      </c>
      <c r="EA170" s="5">
        <f t="shared" ca="1" si="105"/>
        <v>14171.97</v>
      </c>
      <c r="EB170" s="5">
        <f t="shared" ca="1" si="105"/>
        <v>13764.78</v>
      </c>
      <c r="EC170" s="5">
        <f t="shared" ca="1" si="105"/>
        <v>15871.96</v>
      </c>
      <c r="ED170" s="5">
        <f t="shared" ca="1" si="105"/>
        <v>15293.25</v>
      </c>
      <c r="EE170" s="5">
        <f t="shared" ca="1" si="105"/>
        <v>19591.150000000001</v>
      </c>
      <c r="EF170" s="5">
        <f t="shared" ca="1" si="105"/>
        <v>12499.43</v>
      </c>
      <c r="EG170" s="5">
        <f t="shared" ca="1" si="105"/>
        <v>16854.39</v>
      </c>
      <c r="EH170" s="5">
        <f t="shared" ca="1" si="105"/>
        <v>16917.509999999998</v>
      </c>
      <c r="EI170" s="5">
        <f t="shared" ca="1" si="105"/>
        <v>11903.3</v>
      </c>
      <c r="EJ170" s="5">
        <f t="shared" ca="1" si="105"/>
        <v>11182.85</v>
      </c>
      <c r="EK170" s="5">
        <f t="shared" ca="1" si="105"/>
        <v>12918.83</v>
      </c>
      <c r="EL170" s="5">
        <f t="shared" ca="1" si="105"/>
        <v>13243.37</v>
      </c>
      <c r="EM170" s="5">
        <f t="shared" ca="1" si="105"/>
        <v>15074.72</v>
      </c>
      <c r="EN170" s="5">
        <f t="shared" ca="1" si="105"/>
        <v>13071.69</v>
      </c>
      <c r="EO170" s="5">
        <f t="shared" ca="1" si="105"/>
        <v>16023.85</v>
      </c>
      <c r="EP170" s="5">
        <f t="shared" ca="1" si="105"/>
        <v>14789.37</v>
      </c>
      <c r="EQ170" s="5">
        <f t="shared" ca="1" si="105"/>
        <v>11998.81</v>
      </c>
      <c r="ER170" s="5">
        <f t="shared" ca="1" si="105"/>
        <v>16844.98</v>
      </c>
      <c r="ES170" s="5">
        <f t="shared" ca="1" si="105"/>
        <v>20878.03</v>
      </c>
      <c r="ET170" s="5">
        <f t="shared" ca="1" si="105"/>
        <v>22066.52</v>
      </c>
      <c r="EU170" s="5">
        <f t="shared" ca="1" si="105"/>
        <v>14300.94</v>
      </c>
      <c r="EV170" s="5">
        <f t="shared" ca="1" si="105"/>
        <v>26312.32</v>
      </c>
      <c r="EW170" s="5">
        <f t="shared" ca="1" si="105"/>
        <v>16621.169999999998</v>
      </c>
      <c r="EX170" s="5">
        <f t="shared" ca="1" si="105"/>
        <v>21932.59</v>
      </c>
      <c r="EY170" s="5">
        <f t="shared" ca="1" si="105"/>
        <v>12342.07</v>
      </c>
      <c r="EZ170" s="5">
        <f t="shared" ca="1" si="105"/>
        <v>21993.200000000001</v>
      </c>
      <c r="FA170" s="5">
        <f t="shared" ca="1" si="105"/>
        <v>12695.12</v>
      </c>
      <c r="FB170" s="5">
        <f t="shared" ca="1" si="105"/>
        <v>17692.150000000001</v>
      </c>
      <c r="FC170" s="5">
        <f t="shared" ca="1" si="105"/>
        <v>12372.87</v>
      </c>
      <c r="FD170" s="5">
        <f t="shared" ca="1" si="105"/>
        <v>14661.94</v>
      </c>
      <c r="FE170" s="5">
        <f t="shared" ca="1" si="105"/>
        <v>25761.67</v>
      </c>
      <c r="FF170" s="5">
        <f t="shared" ca="1" si="105"/>
        <v>20564.57</v>
      </c>
      <c r="FG170" s="5">
        <f t="shared" ca="1" si="105"/>
        <v>23101.37</v>
      </c>
      <c r="FH170" s="5">
        <f t="shared" ca="1" si="105"/>
        <v>24793.360000000001</v>
      </c>
      <c r="FI170" s="5">
        <f t="shared" ca="1" si="105"/>
        <v>12533.49</v>
      </c>
      <c r="FJ170" s="5">
        <f t="shared" ca="1" si="105"/>
        <v>11419.81</v>
      </c>
      <c r="FK170" s="5">
        <f t="shared" ca="1" si="105"/>
        <v>11969.74</v>
      </c>
      <c r="FL170" s="5">
        <f t="shared" ca="1" si="105"/>
        <v>11045.37</v>
      </c>
      <c r="FM170" s="5">
        <f t="shared" ca="1" si="105"/>
        <v>11308.37</v>
      </c>
      <c r="FN170" s="5">
        <f t="shared" ca="1" si="105"/>
        <v>11731.66</v>
      </c>
      <c r="FO170" s="5">
        <f t="shared" ca="1" si="105"/>
        <v>12371.65</v>
      </c>
      <c r="FP170" s="5">
        <f t="shared" ca="1" si="105"/>
        <v>12017.48</v>
      </c>
      <c r="FQ170" s="5">
        <f t="shared" ca="1" si="105"/>
        <v>12553.08</v>
      </c>
      <c r="FR170" s="5">
        <f t="shared" ca="1" si="105"/>
        <v>20613.939999999999</v>
      </c>
      <c r="FS170" s="5">
        <f t="shared" ca="1" si="105"/>
        <v>20810.580000000002</v>
      </c>
      <c r="FT170" s="5">
        <f t="shared" ca="1" si="105"/>
        <v>25101.74</v>
      </c>
      <c r="FU170" s="5">
        <f t="shared" ca="1" si="105"/>
        <v>13766.78</v>
      </c>
      <c r="FV170" s="5">
        <f t="shared" ca="1" si="105"/>
        <v>13450.68</v>
      </c>
      <c r="FW170" s="5">
        <f t="shared" ca="1" si="105"/>
        <v>22964.7</v>
      </c>
      <c r="FX170" s="5">
        <f t="shared" ca="1" si="105"/>
        <v>26375.08</v>
      </c>
      <c r="FY170" s="7"/>
      <c r="FZ170" s="7">
        <f>ROUND(GA162/FZ79,2)</f>
        <v>11863.76</v>
      </c>
      <c r="GA170" s="86" t="s">
        <v>717</v>
      </c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</row>
    <row r="171" spans="1:204" ht="15.5" x14ac:dyDescent="0.35">
      <c r="A171" s="7"/>
      <c r="B171" s="7" t="s">
        <v>718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0</v>
      </c>
      <c r="EY171" s="7">
        <v>0</v>
      </c>
      <c r="EZ171" s="7">
        <v>0</v>
      </c>
      <c r="FA171" s="7">
        <v>0</v>
      </c>
      <c r="FB171" s="7">
        <v>0</v>
      </c>
      <c r="FC171" s="7">
        <v>0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  <c r="FK171" s="7">
        <v>0</v>
      </c>
      <c r="FL171" s="7">
        <v>0</v>
      </c>
      <c r="FM171" s="7">
        <v>0</v>
      </c>
      <c r="FN171" s="7">
        <v>0</v>
      </c>
      <c r="FO171" s="7">
        <v>0</v>
      </c>
      <c r="FP171" s="7">
        <v>0</v>
      </c>
      <c r="FQ171" s="7">
        <v>5.3544999994337559</v>
      </c>
      <c r="FR171" s="7">
        <v>116.73300000000745</v>
      </c>
      <c r="FS171" s="7">
        <v>0</v>
      </c>
      <c r="FT171" s="7">
        <v>192.77949999994598</v>
      </c>
      <c r="FU171" s="7">
        <v>0</v>
      </c>
      <c r="FV171" s="7">
        <v>0</v>
      </c>
      <c r="FW171" s="7">
        <v>0</v>
      </c>
      <c r="FX171" s="7">
        <v>0</v>
      </c>
      <c r="FY171" s="7">
        <f>SUM(C171:FX171)</f>
        <v>314.86699999938719</v>
      </c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</row>
    <row r="172" spans="1:204" ht="15.5" x14ac:dyDescent="0.35">
      <c r="A172" s="12"/>
      <c r="B172" s="7"/>
      <c r="C172" s="7">
        <f t="shared" ref="C172:FX172" ca="1" si="106">(C164+C165+C168)-C162</f>
        <v>0</v>
      </c>
      <c r="D172" s="7">
        <f t="shared" ca="1" si="106"/>
        <v>0</v>
      </c>
      <c r="E172" s="7">
        <f t="shared" ca="1" si="106"/>
        <v>0</v>
      </c>
      <c r="F172" s="7">
        <f t="shared" ca="1" si="106"/>
        <v>0</v>
      </c>
      <c r="G172" s="7">
        <f t="shared" ca="1" si="106"/>
        <v>0</v>
      </c>
      <c r="H172" s="7">
        <f t="shared" ca="1" si="106"/>
        <v>0</v>
      </c>
      <c r="I172" s="7">
        <f t="shared" ca="1" si="106"/>
        <v>0</v>
      </c>
      <c r="J172" s="7">
        <f t="shared" ca="1" si="106"/>
        <v>0</v>
      </c>
      <c r="K172" s="7">
        <f t="shared" ca="1" si="106"/>
        <v>0</v>
      </c>
      <c r="L172" s="7">
        <f t="shared" ca="1" si="106"/>
        <v>0</v>
      </c>
      <c r="M172" s="7">
        <f t="shared" ca="1" si="106"/>
        <v>0</v>
      </c>
      <c r="N172" s="7">
        <f t="shared" ca="1" si="106"/>
        <v>0</v>
      </c>
      <c r="O172" s="7">
        <f t="shared" ca="1" si="106"/>
        <v>0</v>
      </c>
      <c r="P172" s="7">
        <f t="shared" ca="1" si="106"/>
        <v>0</v>
      </c>
      <c r="Q172" s="7">
        <f t="shared" ca="1" si="106"/>
        <v>0</v>
      </c>
      <c r="R172" s="7">
        <f t="shared" ca="1" si="106"/>
        <v>0</v>
      </c>
      <c r="S172" s="7">
        <f t="shared" ca="1" si="106"/>
        <v>0</v>
      </c>
      <c r="T172" s="7">
        <f t="shared" ca="1" si="106"/>
        <v>0</v>
      </c>
      <c r="U172" s="7">
        <f t="shared" ca="1" si="106"/>
        <v>0</v>
      </c>
      <c r="V172" s="7">
        <f t="shared" ca="1" si="106"/>
        <v>0</v>
      </c>
      <c r="W172" s="7">
        <f t="shared" ca="1" si="106"/>
        <v>0</v>
      </c>
      <c r="X172" s="7">
        <f t="shared" ca="1" si="106"/>
        <v>0</v>
      </c>
      <c r="Y172" s="7">
        <f t="shared" ca="1" si="106"/>
        <v>0</v>
      </c>
      <c r="Z172" s="7">
        <f t="shared" ca="1" si="106"/>
        <v>0</v>
      </c>
      <c r="AA172" s="7">
        <f t="shared" ca="1" si="106"/>
        <v>0</v>
      </c>
      <c r="AB172" s="7">
        <f t="shared" ca="1" si="106"/>
        <v>0</v>
      </c>
      <c r="AC172" s="7">
        <f t="shared" ca="1" si="106"/>
        <v>0</v>
      </c>
      <c r="AD172" s="7">
        <f t="shared" ca="1" si="106"/>
        <v>0</v>
      </c>
      <c r="AE172" s="7">
        <f t="shared" ca="1" si="106"/>
        <v>0</v>
      </c>
      <c r="AF172" s="7">
        <f t="shared" ca="1" si="106"/>
        <v>0</v>
      </c>
      <c r="AG172" s="7">
        <f t="shared" ca="1" si="106"/>
        <v>0</v>
      </c>
      <c r="AH172" s="7">
        <f t="shared" ca="1" si="106"/>
        <v>0</v>
      </c>
      <c r="AI172" s="7">
        <f t="shared" ca="1" si="106"/>
        <v>0</v>
      </c>
      <c r="AJ172" s="7">
        <f t="shared" ca="1" si="106"/>
        <v>0</v>
      </c>
      <c r="AK172" s="7">
        <f t="shared" ca="1" si="106"/>
        <v>0</v>
      </c>
      <c r="AL172" s="7">
        <f t="shared" ca="1" si="106"/>
        <v>0</v>
      </c>
      <c r="AM172" s="7">
        <f t="shared" ca="1" si="106"/>
        <v>0</v>
      </c>
      <c r="AN172" s="7">
        <f t="shared" ca="1" si="106"/>
        <v>0</v>
      </c>
      <c r="AO172" s="7">
        <f t="shared" ca="1" si="106"/>
        <v>0</v>
      </c>
      <c r="AP172" s="7">
        <f t="shared" ca="1" si="106"/>
        <v>0</v>
      </c>
      <c r="AQ172" s="7">
        <f t="shared" ca="1" si="106"/>
        <v>0</v>
      </c>
      <c r="AR172" s="7">
        <f t="shared" ca="1" si="106"/>
        <v>0</v>
      </c>
      <c r="AS172" s="7">
        <f t="shared" ca="1" si="106"/>
        <v>0</v>
      </c>
      <c r="AT172" s="7">
        <f t="shared" ca="1" si="106"/>
        <v>0</v>
      </c>
      <c r="AU172" s="7">
        <f t="shared" ca="1" si="106"/>
        <v>0</v>
      </c>
      <c r="AV172" s="7">
        <f t="shared" ca="1" si="106"/>
        <v>0</v>
      </c>
      <c r="AW172" s="7">
        <f t="shared" ca="1" si="106"/>
        <v>0</v>
      </c>
      <c r="AX172" s="7">
        <f t="shared" ca="1" si="106"/>
        <v>0</v>
      </c>
      <c r="AY172" s="7">
        <f t="shared" ca="1" si="106"/>
        <v>0</v>
      </c>
      <c r="AZ172" s="7">
        <f t="shared" ca="1" si="106"/>
        <v>0</v>
      </c>
      <c r="BA172" s="7">
        <f t="shared" ca="1" si="106"/>
        <v>0</v>
      </c>
      <c r="BB172" s="7">
        <f t="shared" ca="1" si="106"/>
        <v>0</v>
      </c>
      <c r="BC172" s="7">
        <f t="shared" ca="1" si="106"/>
        <v>0</v>
      </c>
      <c r="BD172" s="7">
        <f t="shared" ca="1" si="106"/>
        <v>0</v>
      </c>
      <c r="BE172" s="7">
        <f t="shared" ca="1" si="106"/>
        <v>0</v>
      </c>
      <c r="BF172" s="7">
        <f t="shared" ca="1" si="106"/>
        <v>0</v>
      </c>
      <c r="BG172" s="7">
        <f t="shared" ca="1" si="106"/>
        <v>0</v>
      </c>
      <c r="BH172" s="7">
        <f t="shared" ca="1" si="106"/>
        <v>0</v>
      </c>
      <c r="BI172" s="7">
        <f t="shared" ca="1" si="106"/>
        <v>0</v>
      </c>
      <c r="BJ172" s="7">
        <f t="shared" ca="1" si="106"/>
        <v>0</v>
      </c>
      <c r="BK172" s="7">
        <f t="shared" ca="1" si="106"/>
        <v>0</v>
      </c>
      <c r="BL172" s="7">
        <f t="shared" ca="1" si="106"/>
        <v>0</v>
      </c>
      <c r="BM172" s="7">
        <f t="shared" ca="1" si="106"/>
        <v>0</v>
      </c>
      <c r="BN172" s="7">
        <f t="shared" ca="1" si="106"/>
        <v>0</v>
      </c>
      <c r="BO172" s="7">
        <f t="shared" ca="1" si="106"/>
        <v>0</v>
      </c>
      <c r="BP172" s="7">
        <f t="shared" ca="1" si="106"/>
        <v>0</v>
      </c>
      <c r="BQ172" s="7">
        <f t="shared" ca="1" si="106"/>
        <v>0</v>
      </c>
      <c r="BR172" s="7">
        <f t="shared" ca="1" si="106"/>
        <v>0</v>
      </c>
      <c r="BS172" s="7">
        <f t="shared" ca="1" si="106"/>
        <v>0</v>
      </c>
      <c r="BT172" s="7">
        <f t="shared" ca="1" si="106"/>
        <v>0</v>
      </c>
      <c r="BU172" s="7">
        <f t="shared" ca="1" si="106"/>
        <v>0</v>
      </c>
      <c r="BV172" s="7">
        <f t="shared" ca="1" si="106"/>
        <v>0</v>
      </c>
      <c r="BW172" s="7">
        <f t="shared" ca="1" si="106"/>
        <v>0</v>
      </c>
      <c r="BX172" s="7">
        <f t="shared" ca="1" si="106"/>
        <v>0</v>
      </c>
      <c r="BY172" s="7">
        <f t="shared" ca="1" si="106"/>
        <v>0</v>
      </c>
      <c r="BZ172" s="7">
        <f t="shared" ca="1" si="106"/>
        <v>0</v>
      </c>
      <c r="CA172" s="7">
        <f t="shared" ca="1" si="106"/>
        <v>0</v>
      </c>
      <c r="CB172" s="7">
        <f t="shared" ca="1" si="106"/>
        <v>0</v>
      </c>
      <c r="CC172" s="7">
        <f t="shared" ca="1" si="106"/>
        <v>0</v>
      </c>
      <c r="CD172" s="7">
        <f t="shared" ca="1" si="106"/>
        <v>0</v>
      </c>
      <c r="CE172" s="7">
        <f t="shared" ca="1" si="106"/>
        <v>0</v>
      </c>
      <c r="CF172" s="7">
        <f t="shared" ca="1" si="106"/>
        <v>0</v>
      </c>
      <c r="CG172" s="7">
        <f t="shared" ca="1" si="106"/>
        <v>0</v>
      </c>
      <c r="CH172" s="7">
        <f t="shared" ca="1" si="106"/>
        <v>0</v>
      </c>
      <c r="CI172" s="7">
        <f t="shared" ca="1" si="106"/>
        <v>0</v>
      </c>
      <c r="CJ172" s="7">
        <f t="shared" ca="1" si="106"/>
        <v>0</v>
      </c>
      <c r="CK172" s="7">
        <f t="shared" ca="1" si="106"/>
        <v>0</v>
      </c>
      <c r="CL172" s="7">
        <f t="shared" ca="1" si="106"/>
        <v>0</v>
      </c>
      <c r="CM172" s="7">
        <f t="shared" ca="1" si="106"/>
        <v>0</v>
      </c>
      <c r="CN172" s="7">
        <f t="shared" ca="1" si="106"/>
        <v>0</v>
      </c>
      <c r="CO172" s="7">
        <f t="shared" ca="1" si="106"/>
        <v>0</v>
      </c>
      <c r="CP172" s="7">
        <f t="shared" ca="1" si="106"/>
        <v>0</v>
      </c>
      <c r="CQ172" s="7">
        <f t="shared" ca="1" si="106"/>
        <v>0</v>
      </c>
      <c r="CR172" s="7">
        <f t="shared" ca="1" si="106"/>
        <v>0</v>
      </c>
      <c r="CS172" s="7">
        <f t="shared" ca="1" si="106"/>
        <v>0</v>
      </c>
      <c r="CT172" s="7">
        <f t="shared" ca="1" si="106"/>
        <v>0</v>
      </c>
      <c r="CU172" s="7">
        <f t="shared" ca="1" si="106"/>
        <v>0</v>
      </c>
      <c r="CV172" s="7">
        <f t="shared" ca="1" si="106"/>
        <v>0</v>
      </c>
      <c r="CW172" s="7">
        <f t="shared" ca="1" si="106"/>
        <v>0</v>
      </c>
      <c r="CX172" s="7">
        <f t="shared" ca="1" si="106"/>
        <v>0</v>
      </c>
      <c r="CY172" s="7">
        <f t="shared" ca="1" si="106"/>
        <v>0</v>
      </c>
      <c r="CZ172" s="7">
        <f t="shared" ca="1" si="106"/>
        <v>0</v>
      </c>
      <c r="DA172" s="7">
        <f t="shared" ca="1" si="106"/>
        <v>0</v>
      </c>
      <c r="DB172" s="7">
        <f t="shared" ca="1" si="106"/>
        <v>0</v>
      </c>
      <c r="DC172" s="7">
        <f t="shared" ca="1" si="106"/>
        <v>0</v>
      </c>
      <c r="DD172" s="7">
        <f t="shared" ca="1" si="106"/>
        <v>0</v>
      </c>
      <c r="DE172" s="7">
        <f t="shared" ca="1" si="106"/>
        <v>0</v>
      </c>
      <c r="DF172" s="7">
        <f t="shared" ca="1" si="106"/>
        <v>0</v>
      </c>
      <c r="DG172" s="7">
        <f t="shared" ca="1" si="106"/>
        <v>0</v>
      </c>
      <c r="DH172" s="7">
        <f t="shared" ca="1" si="106"/>
        <v>0</v>
      </c>
      <c r="DI172" s="7">
        <f t="shared" ca="1" si="106"/>
        <v>0</v>
      </c>
      <c r="DJ172" s="7">
        <f t="shared" ca="1" si="106"/>
        <v>0</v>
      </c>
      <c r="DK172" s="7">
        <f t="shared" ca="1" si="106"/>
        <v>0</v>
      </c>
      <c r="DL172" s="7">
        <f t="shared" ca="1" si="106"/>
        <v>0</v>
      </c>
      <c r="DM172" s="7">
        <f t="shared" ca="1" si="106"/>
        <v>0</v>
      </c>
      <c r="DN172" s="7">
        <f t="shared" ca="1" si="106"/>
        <v>0</v>
      </c>
      <c r="DO172" s="7">
        <f t="shared" ca="1" si="106"/>
        <v>0</v>
      </c>
      <c r="DP172" s="7">
        <f t="shared" ca="1" si="106"/>
        <v>0</v>
      </c>
      <c r="DQ172" s="7">
        <f t="shared" ca="1" si="106"/>
        <v>0</v>
      </c>
      <c r="DR172" s="7">
        <f t="shared" ca="1" si="106"/>
        <v>0</v>
      </c>
      <c r="DS172" s="7">
        <f t="shared" ca="1" si="106"/>
        <v>0</v>
      </c>
      <c r="DT172" s="7">
        <f t="shared" ca="1" si="106"/>
        <v>0</v>
      </c>
      <c r="DU172" s="7">
        <f t="shared" ca="1" si="106"/>
        <v>0</v>
      </c>
      <c r="DV172" s="7">
        <f t="shared" ca="1" si="106"/>
        <v>0</v>
      </c>
      <c r="DW172" s="7">
        <f t="shared" ca="1" si="106"/>
        <v>0</v>
      </c>
      <c r="DX172" s="7">
        <f t="shared" ca="1" si="106"/>
        <v>0</v>
      </c>
      <c r="DY172" s="7">
        <f t="shared" ca="1" si="106"/>
        <v>0</v>
      </c>
      <c r="DZ172" s="7">
        <f t="shared" ca="1" si="106"/>
        <v>0</v>
      </c>
      <c r="EA172" s="7">
        <f t="shared" ca="1" si="106"/>
        <v>0</v>
      </c>
      <c r="EB172" s="7">
        <f t="shared" ca="1" si="106"/>
        <v>0</v>
      </c>
      <c r="EC172" s="7">
        <f t="shared" ca="1" si="106"/>
        <v>0</v>
      </c>
      <c r="ED172" s="7">
        <f t="shared" ca="1" si="106"/>
        <v>0</v>
      </c>
      <c r="EE172" s="7">
        <f t="shared" ca="1" si="106"/>
        <v>0</v>
      </c>
      <c r="EF172" s="7">
        <f t="shared" ca="1" si="106"/>
        <v>0</v>
      </c>
      <c r="EG172" s="7">
        <f t="shared" ca="1" si="106"/>
        <v>0</v>
      </c>
      <c r="EH172" s="7">
        <f t="shared" ca="1" si="106"/>
        <v>0</v>
      </c>
      <c r="EI172" s="7">
        <f t="shared" ca="1" si="106"/>
        <v>0</v>
      </c>
      <c r="EJ172" s="7">
        <f t="shared" ca="1" si="106"/>
        <v>0</v>
      </c>
      <c r="EK172" s="7">
        <f t="shared" ca="1" si="106"/>
        <v>0</v>
      </c>
      <c r="EL172" s="7">
        <f t="shared" ca="1" si="106"/>
        <v>0</v>
      </c>
      <c r="EM172" s="7">
        <f t="shared" ca="1" si="106"/>
        <v>0</v>
      </c>
      <c r="EN172" s="7">
        <f t="shared" ca="1" si="106"/>
        <v>0</v>
      </c>
      <c r="EO172" s="7">
        <f t="shared" ca="1" si="106"/>
        <v>0</v>
      </c>
      <c r="EP172" s="7">
        <f t="shared" ca="1" si="106"/>
        <v>0</v>
      </c>
      <c r="EQ172" s="7">
        <f t="shared" ca="1" si="106"/>
        <v>0</v>
      </c>
      <c r="ER172" s="7">
        <f t="shared" ca="1" si="106"/>
        <v>0</v>
      </c>
      <c r="ES172" s="7">
        <f t="shared" ca="1" si="106"/>
        <v>0</v>
      </c>
      <c r="ET172" s="7">
        <f t="shared" ca="1" si="106"/>
        <v>0</v>
      </c>
      <c r="EU172" s="7">
        <f t="shared" ca="1" si="106"/>
        <v>0</v>
      </c>
      <c r="EV172" s="7">
        <f t="shared" ca="1" si="106"/>
        <v>0</v>
      </c>
      <c r="EW172" s="7">
        <f t="shared" ca="1" si="106"/>
        <v>0</v>
      </c>
      <c r="EX172" s="7">
        <f t="shared" ca="1" si="106"/>
        <v>0</v>
      </c>
      <c r="EY172" s="7">
        <f t="shared" ca="1" si="106"/>
        <v>0</v>
      </c>
      <c r="EZ172" s="7">
        <f t="shared" ca="1" si="106"/>
        <v>0</v>
      </c>
      <c r="FA172" s="7">
        <f t="shared" ca="1" si="106"/>
        <v>0</v>
      </c>
      <c r="FB172" s="7">
        <f t="shared" ca="1" si="106"/>
        <v>0</v>
      </c>
      <c r="FC172" s="7">
        <f t="shared" ca="1" si="106"/>
        <v>0</v>
      </c>
      <c r="FD172" s="7">
        <f t="shared" ca="1" si="106"/>
        <v>0</v>
      </c>
      <c r="FE172" s="7">
        <f t="shared" ca="1" si="106"/>
        <v>0</v>
      </c>
      <c r="FF172" s="7">
        <f t="shared" ca="1" si="106"/>
        <v>0</v>
      </c>
      <c r="FG172" s="7">
        <f t="shared" ca="1" si="106"/>
        <v>0</v>
      </c>
      <c r="FH172" s="7">
        <f t="shared" ca="1" si="106"/>
        <v>0</v>
      </c>
      <c r="FI172" s="7">
        <f t="shared" ca="1" si="106"/>
        <v>0</v>
      </c>
      <c r="FJ172" s="7">
        <f t="shared" ca="1" si="106"/>
        <v>0</v>
      </c>
      <c r="FK172" s="7">
        <f t="shared" ca="1" si="106"/>
        <v>0</v>
      </c>
      <c r="FL172" s="7">
        <f t="shared" ca="1" si="106"/>
        <v>0</v>
      </c>
      <c r="FM172" s="7">
        <f t="shared" ca="1" si="106"/>
        <v>0</v>
      </c>
      <c r="FN172" s="7">
        <f t="shared" ca="1" si="106"/>
        <v>0</v>
      </c>
      <c r="FO172" s="7">
        <f t="shared" ca="1" si="106"/>
        <v>0</v>
      </c>
      <c r="FP172" s="7">
        <f t="shared" ca="1" si="106"/>
        <v>0</v>
      </c>
      <c r="FQ172" s="7">
        <f t="shared" ca="1" si="106"/>
        <v>0</v>
      </c>
      <c r="FR172" s="7">
        <f t="shared" ca="1" si="106"/>
        <v>3.0000000260770321E-3</v>
      </c>
      <c r="FS172" s="7">
        <f t="shared" ca="1" si="106"/>
        <v>0</v>
      </c>
      <c r="FT172" s="7">
        <f t="shared" ca="1" si="106"/>
        <v>0</v>
      </c>
      <c r="FU172" s="7">
        <f t="shared" ca="1" si="106"/>
        <v>0</v>
      </c>
      <c r="FV172" s="7">
        <f t="shared" ca="1" si="106"/>
        <v>0</v>
      </c>
      <c r="FW172" s="7">
        <f t="shared" ca="1" si="106"/>
        <v>0</v>
      </c>
      <c r="FX172" s="7">
        <f t="shared" ca="1" si="106"/>
        <v>0</v>
      </c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</row>
    <row r="173" spans="1:204" ht="15.5" x14ac:dyDescent="0.35">
      <c r="A173" s="7"/>
      <c r="B173" s="5" t="s">
        <v>719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</row>
    <row r="174" spans="1:204" ht="15.5" x14ac:dyDescent="0.35">
      <c r="A174" s="12" t="s">
        <v>720</v>
      </c>
      <c r="B174" s="7" t="s">
        <v>721</v>
      </c>
      <c r="C174" s="39">
        <f t="shared" ref="C174:FX174" ca="1" si="107">ROUND((C162-(C109*C175)-((C106+C114)*C175))/C72,2)</f>
        <v>12376.69</v>
      </c>
      <c r="D174" s="39">
        <f t="shared" ca="1" si="107"/>
        <v>11747.82</v>
      </c>
      <c r="E174" s="39">
        <f t="shared" ca="1" si="107"/>
        <v>12915.71</v>
      </c>
      <c r="F174" s="39">
        <f t="shared" ca="1" si="107"/>
        <v>11627.23</v>
      </c>
      <c r="G174" s="39">
        <f t="shared" ca="1" si="107"/>
        <v>12331.13</v>
      </c>
      <c r="H174" s="39">
        <f t="shared" ca="1" si="107"/>
        <v>12545.75</v>
      </c>
      <c r="I174" s="39">
        <f t="shared" ca="1" si="107"/>
        <v>12561.99</v>
      </c>
      <c r="J174" s="39">
        <f t="shared" ca="1" si="107"/>
        <v>12184.65</v>
      </c>
      <c r="K174" s="39">
        <f t="shared" ca="1" si="107"/>
        <v>17382.939999999999</v>
      </c>
      <c r="L174" s="39">
        <f t="shared" ca="1" si="107"/>
        <v>12415.16</v>
      </c>
      <c r="M174" s="39">
        <f t="shared" ca="1" si="107"/>
        <v>14923.89</v>
      </c>
      <c r="N174" s="39">
        <f t="shared" ca="1" si="107"/>
        <v>11800.51</v>
      </c>
      <c r="O174" s="39">
        <f t="shared" ca="1" si="107"/>
        <v>11301.4</v>
      </c>
      <c r="P174" s="39">
        <f t="shared" ca="1" si="107"/>
        <v>16956.52</v>
      </c>
      <c r="Q174" s="39">
        <f t="shared" ca="1" si="107"/>
        <v>12705.19</v>
      </c>
      <c r="R174" s="39">
        <f t="shared" ca="1" si="107"/>
        <v>23699.55</v>
      </c>
      <c r="S174" s="39">
        <f t="shared" ca="1" si="107"/>
        <v>12387.42</v>
      </c>
      <c r="T174" s="39">
        <f t="shared" ca="1" si="107"/>
        <v>20894.13</v>
      </c>
      <c r="U174" s="39">
        <f t="shared" ca="1" si="107"/>
        <v>23905.66</v>
      </c>
      <c r="V174" s="39">
        <f t="shared" ca="1" si="107"/>
        <v>17173.47</v>
      </c>
      <c r="W174" s="39">
        <f t="shared" ca="1" si="107"/>
        <v>47305.96</v>
      </c>
      <c r="X174" s="39">
        <f t="shared" ca="1" si="107"/>
        <v>21701.56</v>
      </c>
      <c r="Y174" s="39">
        <f t="shared" ca="1" si="107"/>
        <v>15528.08</v>
      </c>
      <c r="Z174" s="39">
        <f t="shared" ca="1" si="107"/>
        <v>17105.580000000002</v>
      </c>
      <c r="AA174" s="39">
        <f t="shared" ca="1" si="107"/>
        <v>11458.89</v>
      </c>
      <c r="AB174" s="39">
        <f t="shared" ca="1" si="107"/>
        <v>11569.97</v>
      </c>
      <c r="AC174" s="39">
        <f t="shared" ca="1" si="107"/>
        <v>12811.36</v>
      </c>
      <c r="AD174" s="39">
        <f t="shared" ca="1" si="107"/>
        <v>11805.19</v>
      </c>
      <c r="AE174" s="39">
        <f t="shared" ca="1" si="107"/>
        <v>23354.82</v>
      </c>
      <c r="AF174" s="39">
        <f t="shared" ca="1" si="107"/>
        <v>20851.53</v>
      </c>
      <c r="AG174" s="39">
        <f t="shared" ca="1" si="107"/>
        <v>13787.17</v>
      </c>
      <c r="AH174" s="39">
        <f t="shared" ca="1" si="107"/>
        <v>12693.75</v>
      </c>
      <c r="AI174" s="39">
        <f t="shared" ca="1" si="107"/>
        <v>14586.96</v>
      </c>
      <c r="AJ174" s="39">
        <f t="shared" ca="1" si="107"/>
        <v>20727.97</v>
      </c>
      <c r="AK174" s="39">
        <f t="shared" ca="1" si="107"/>
        <v>21536.54</v>
      </c>
      <c r="AL174" s="39">
        <f t="shared" ca="1" si="107"/>
        <v>16722.2</v>
      </c>
      <c r="AM174" s="39">
        <f t="shared" ca="1" si="107"/>
        <v>15688.67</v>
      </c>
      <c r="AN174" s="39">
        <f t="shared" ca="1" si="107"/>
        <v>16672.189999999999</v>
      </c>
      <c r="AO174" s="39">
        <f t="shared" ca="1" si="107"/>
        <v>11966.27</v>
      </c>
      <c r="AP174" s="39">
        <f t="shared" ca="1" si="107"/>
        <v>12155.06</v>
      </c>
      <c r="AQ174" s="39">
        <f t="shared" ca="1" si="107"/>
        <v>18137.43</v>
      </c>
      <c r="AR174" s="39">
        <f t="shared" ca="1" si="107"/>
        <v>11278.1</v>
      </c>
      <c r="AS174" s="39">
        <f t="shared" ca="1" si="107"/>
        <v>12488.36</v>
      </c>
      <c r="AT174" s="39">
        <f t="shared" ca="1" si="107"/>
        <v>11924.09</v>
      </c>
      <c r="AU174" s="39">
        <f t="shared" ca="1" si="107"/>
        <v>17397.25</v>
      </c>
      <c r="AV174" s="39">
        <f t="shared" ca="1" si="107"/>
        <v>17011.3</v>
      </c>
      <c r="AW174" s="39">
        <f t="shared" ca="1" si="107"/>
        <v>17677.77</v>
      </c>
      <c r="AX174" s="39">
        <f t="shared" ca="1" si="107"/>
        <v>25560.04</v>
      </c>
      <c r="AY174" s="39">
        <f t="shared" ca="1" si="107"/>
        <v>15173.34</v>
      </c>
      <c r="AZ174" s="39">
        <f t="shared" ca="1" si="107"/>
        <v>11883.51</v>
      </c>
      <c r="BA174" s="39">
        <f t="shared" ca="1" si="107"/>
        <v>11180.92</v>
      </c>
      <c r="BB174" s="39">
        <f t="shared" ca="1" si="107"/>
        <v>11313.23</v>
      </c>
      <c r="BC174" s="39">
        <f t="shared" ca="1" si="107"/>
        <v>11564.45</v>
      </c>
      <c r="BD174" s="39">
        <f t="shared" ca="1" si="107"/>
        <v>11103.85</v>
      </c>
      <c r="BE174" s="39">
        <f t="shared" ca="1" si="107"/>
        <v>12305.22</v>
      </c>
      <c r="BF174" s="39">
        <f t="shared" ca="1" si="107"/>
        <v>11059.94</v>
      </c>
      <c r="BG174" s="39">
        <f t="shared" ca="1" si="107"/>
        <v>13331.49</v>
      </c>
      <c r="BH174" s="39">
        <f t="shared" ca="1" si="107"/>
        <v>13532.48</v>
      </c>
      <c r="BI174" s="39">
        <f t="shared" ca="1" si="107"/>
        <v>18387.87</v>
      </c>
      <c r="BJ174" s="39">
        <f t="shared" ca="1" si="107"/>
        <v>11076</v>
      </c>
      <c r="BK174" s="39">
        <f t="shared" ca="1" si="107"/>
        <v>11602.26</v>
      </c>
      <c r="BL174" s="39">
        <f t="shared" ca="1" si="107"/>
        <v>31209.84</v>
      </c>
      <c r="BM174" s="39">
        <f t="shared" ca="1" si="107"/>
        <v>15773.65</v>
      </c>
      <c r="BN174" s="39">
        <f t="shared" ca="1" si="107"/>
        <v>11477.04</v>
      </c>
      <c r="BO174" s="39">
        <f t="shared" ca="1" si="107"/>
        <v>12270.4</v>
      </c>
      <c r="BP174" s="39">
        <f t="shared" ca="1" si="107"/>
        <v>22354.95</v>
      </c>
      <c r="BQ174" s="39">
        <f t="shared" ca="1" si="107"/>
        <v>12632.93</v>
      </c>
      <c r="BR174" s="39">
        <f t="shared" ca="1" si="107"/>
        <v>11830.33</v>
      </c>
      <c r="BS174" s="39">
        <f t="shared" ca="1" si="107"/>
        <v>12985.95</v>
      </c>
      <c r="BT174" s="39">
        <f t="shared" ca="1" si="107"/>
        <v>16133.47</v>
      </c>
      <c r="BU174" s="39">
        <f t="shared" ca="1" si="107"/>
        <v>15710.15</v>
      </c>
      <c r="BV174" s="39">
        <f t="shared" ca="1" si="107"/>
        <v>12371.56</v>
      </c>
      <c r="BW174" s="39">
        <f t="shared" ca="1" si="107"/>
        <v>12219.87</v>
      </c>
      <c r="BX174" s="39">
        <f t="shared" ca="1" si="107"/>
        <v>27037.1</v>
      </c>
      <c r="BY174" s="39">
        <f t="shared" ca="1" si="107"/>
        <v>15164.86</v>
      </c>
      <c r="BZ174" s="39">
        <f t="shared" ca="1" si="107"/>
        <v>18154.38</v>
      </c>
      <c r="CA174" s="39">
        <f t="shared" ca="1" si="107"/>
        <v>21890.720000000001</v>
      </c>
      <c r="CB174" s="39">
        <f t="shared" ca="1" si="107"/>
        <v>11404.62</v>
      </c>
      <c r="CC174" s="39">
        <f t="shared" ca="1" si="107"/>
        <v>19256.48</v>
      </c>
      <c r="CD174" s="39">
        <f t="shared" ca="1" si="107"/>
        <v>47253.4</v>
      </c>
      <c r="CE174" s="39">
        <f t="shared" ca="1" si="107"/>
        <v>20354.93</v>
      </c>
      <c r="CF174" s="39">
        <f t="shared" ca="1" si="107"/>
        <v>23433.360000000001</v>
      </c>
      <c r="CG174" s="39">
        <f t="shared" ca="1" si="107"/>
        <v>18920.43</v>
      </c>
      <c r="CH174" s="39">
        <f t="shared" ca="1" si="107"/>
        <v>24017.97</v>
      </c>
      <c r="CI174" s="39">
        <f t="shared" ca="1" si="107"/>
        <v>12927.39</v>
      </c>
      <c r="CJ174" s="39">
        <f t="shared" ca="1" si="107"/>
        <v>13577.93</v>
      </c>
      <c r="CK174" s="39">
        <f t="shared" ca="1" si="107"/>
        <v>11837.64</v>
      </c>
      <c r="CL174" s="39">
        <f t="shared" ca="1" si="107"/>
        <v>12875.36</v>
      </c>
      <c r="CM174" s="39">
        <f t="shared" ca="1" si="107"/>
        <v>13904.22</v>
      </c>
      <c r="CN174" s="39">
        <f t="shared" ca="1" si="107"/>
        <v>11345.89</v>
      </c>
      <c r="CO174" s="39">
        <f t="shared" ca="1" si="107"/>
        <v>11133</v>
      </c>
      <c r="CP174" s="39">
        <f t="shared" ca="1" si="107"/>
        <v>13387.35</v>
      </c>
      <c r="CQ174" s="39">
        <f t="shared" ca="1" si="107"/>
        <v>13598.53</v>
      </c>
      <c r="CR174" s="39">
        <f t="shared" ca="1" si="107"/>
        <v>18318.669999999998</v>
      </c>
      <c r="CS174" s="39">
        <f t="shared" ca="1" si="107"/>
        <v>16426.64</v>
      </c>
      <c r="CT174" s="39">
        <f t="shared" ca="1" si="107"/>
        <v>23004.83</v>
      </c>
      <c r="CU174" s="39">
        <f t="shared" ca="1" si="107"/>
        <v>20624.8</v>
      </c>
      <c r="CV174" s="39">
        <f t="shared" ca="1" si="107"/>
        <v>20460.240000000002</v>
      </c>
      <c r="CW174" s="39">
        <f t="shared" ca="1" si="107"/>
        <v>19395.490000000002</v>
      </c>
      <c r="CX174" s="39">
        <f t="shared" ca="1" si="107"/>
        <v>13669.41</v>
      </c>
      <c r="CY174" s="39">
        <f t="shared" ca="1" si="107"/>
        <v>21566.55</v>
      </c>
      <c r="CZ174" s="39">
        <f t="shared" ca="1" si="107"/>
        <v>11887.71</v>
      </c>
      <c r="DA174" s="39">
        <f t="shared" ca="1" si="107"/>
        <v>18613.61</v>
      </c>
      <c r="DB174" s="39">
        <f t="shared" ca="1" si="107"/>
        <v>15588.61</v>
      </c>
      <c r="DC174" s="39">
        <f t="shared" ca="1" si="107"/>
        <v>19175.72</v>
      </c>
      <c r="DD174" s="39">
        <f t="shared" ca="1" si="107"/>
        <v>20669.11</v>
      </c>
      <c r="DE174" s="39">
        <f t="shared" ca="1" si="107"/>
        <v>16378.75</v>
      </c>
      <c r="DF174" s="39">
        <f t="shared" ca="1" si="107"/>
        <v>11178.97</v>
      </c>
      <c r="DG174" s="39">
        <f t="shared" ca="1" si="107"/>
        <v>24012.52</v>
      </c>
      <c r="DH174" s="39">
        <f t="shared" ca="1" si="107"/>
        <v>11934.44</v>
      </c>
      <c r="DI174" s="39">
        <f t="shared" ca="1" si="107"/>
        <v>11804.33</v>
      </c>
      <c r="DJ174" s="39">
        <f t="shared" ca="1" si="107"/>
        <v>13620.35</v>
      </c>
      <c r="DK174" s="39">
        <f t="shared" ca="1" si="107"/>
        <v>13539.44</v>
      </c>
      <c r="DL174" s="39">
        <f t="shared" ca="1" si="107"/>
        <v>11953.39</v>
      </c>
      <c r="DM174" s="39">
        <f t="shared" ca="1" si="107"/>
        <v>19085.599999999999</v>
      </c>
      <c r="DN174" s="39">
        <f t="shared" ca="1" si="107"/>
        <v>12600.88</v>
      </c>
      <c r="DO174" s="39">
        <f t="shared" ca="1" si="107"/>
        <v>11953.94</v>
      </c>
      <c r="DP174" s="39">
        <f t="shared" ca="1" si="107"/>
        <v>19604.560000000001</v>
      </c>
      <c r="DQ174" s="39">
        <f t="shared" ca="1" si="107"/>
        <v>12930.31</v>
      </c>
      <c r="DR174" s="39">
        <f t="shared" ca="1" si="107"/>
        <v>12494.74</v>
      </c>
      <c r="DS174" s="39">
        <f t="shared" ca="1" si="107"/>
        <v>14500.16</v>
      </c>
      <c r="DT174" s="39">
        <f t="shared" ca="1" si="107"/>
        <v>21246.05</v>
      </c>
      <c r="DU174" s="39">
        <f t="shared" ca="1" si="107"/>
        <v>15518.7</v>
      </c>
      <c r="DV174" s="39">
        <f t="shared" ca="1" si="107"/>
        <v>18824.48</v>
      </c>
      <c r="DW174" s="39">
        <f t="shared" ca="1" si="107"/>
        <v>16094.56</v>
      </c>
      <c r="DX174" s="39">
        <f t="shared" ca="1" si="107"/>
        <v>22711.47</v>
      </c>
      <c r="DY174" s="39">
        <f t="shared" ca="1" si="107"/>
        <v>17556.96</v>
      </c>
      <c r="DZ174" s="39">
        <f t="shared" ca="1" si="107"/>
        <v>14035.77</v>
      </c>
      <c r="EA174" s="39">
        <f t="shared" ca="1" si="107"/>
        <v>14171.97</v>
      </c>
      <c r="EB174" s="39">
        <f t="shared" ca="1" si="107"/>
        <v>13764.78</v>
      </c>
      <c r="EC174" s="39">
        <f t="shared" ca="1" si="107"/>
        <v>15871.96</v>
      </c>
      <c r="ED174" s="39">
        <f t="shared" ca="1" si="107"/>
        <v>15293.25</v>
      </c>
      <c r="EE174" s="39">
        <f t="shared" ca="1" si="107"/>
        <v>19591.150000000001</v>
      </c>
      <c r="EF174" s="39">
        <f t="shared" ca="1" si="107"/>
        <v>12502.48</v>
      </c>
      <c r="EG174" s="39">
        <f t="shared" ca="1" si="107"/>
        <v>16854.39</v>
      </c>
      <c r="EH174" s="39">
        <f t="shared" ca="1" si="107"/>
        <v>16917.509999999998</v>
      </c>
      <c r="EI174" s="39">
        <f t="shared" ca="1" si="107"/>
        <v>11905.08</v>
      </c>
      <c r="EJ174" s="39">
        <f t="shared" ca="1" si="107"/>
        <v>11198.48</v>
      </c>
      <c r="EK174" s="39">
        <f t="shared" ca="1" si="107"/>
        <v>12918.83</v>
      </c>
      <c r="EL174" s="39">
        <f t="shared" ca="1" si="107"/>
        <v>13243.37</v>
      </c>
      <c r="EM174" s="39">
        <f t="shared" ca="1" si="107"/>
        <v>15074.72</v>
      </c>
      <c r="EN174" s="39">
        <f t="shared" ca="1" si="107"/>
        <v>13197.1</v>
      </c>
      <c r="EO174" s="39">
        <f t="shared" ca="1" si="107"/>
        <v>16023.85</v>
      </c>
      <c r="EP174" s="39">
        <f t="shared" ca="1" si="107"/>
        <v>14789.37</v>
      </c>
      <c r="EQ174" s="39">
        <f t="shared" ca="1" si="107"/>
        <v>11999.98</v>
      </c>
      <c r="ER174" s="39">
        <f t="shared" ca="1" si="107"/>
        <v>16886.36</v>
      </c>
      <c r="ES174" s="39">
        <f t="shared" ca="1" si="107"/>
        <v>20878.03</v>
      </c>
      <c r="ET174" s="39">
        <f t="shared" ca="1" si="107"/>
        <v>22066.52</v>
      </c>
      <c r="EU174" s="39">
        <f t="shared" ca="1" si="107"/>
        <v>14300.94</v>
      </c>
      <c r="EV174" s="39">
        <f t="shared" ca="1" si="107"/>
        <v>26312.32</v>
      </c>
      <c r="EW174" s="39">
        <f t="shared" ca="1" si="107"/>
        <v>16621.169999999998</v>
      </c>
      <c r="EX174" s="39">
        <f t="shared" ca="1" si="107"/>
        <v>21932.59</v>
      </c>
      <c r="EY174" s="39">
        <f t="shared" ca="1" si="107"/>
        <v>16419.59</v>
      </c>
      <c r="EZ174" s="39">
        <f t="shared" ca="1" si="107"/>
        <v>21993.200000000001</v>
      </c>
      <c r="FA174" s="39">
        <f t="shared" ca="1" si="107"/>
        <v>12703.03</v>
      </c>
      <c r="FB174" s="39">
        <f t="shared" ca="1" si="107"/>
        <v>17692.150000000001</v>
      </c>
      <c r="FC174" s="39">
        <f t="shared" ca="1" si="107"/>
        <v>12377.14</v>
      </c>
      <c r="FD174" s="39">
        <f t="shared" ca="1" si="107"/>
        <v>14661.94</v>
      </c>
      <c r="FE174" s="39">
        <f t="shared" ca="1" si="107"/>
        <v>25761.67</v>
      </c>
      <c r="FF174" s="39">
        <f t="shared" ca="1" si="107"/>
        <v>20564.57</v>
      </c>
      <c r="FG174" s="39">
        <f t="shared" ca="1" si="107"/>
        <v>23101.37</v>
      </c>
      <c r="FH174" s="39">
        <f t="shared" ca="1" si="107"/>
        <v>24793.360000000001</v>
      </c>
      <c r="FI174" s="39">
        <f t="shared" ca="1" si="107"/>
        <v>12533.49</v>
      </c>
      <c r="FJ174" s="39">
        <f t="shared" ca="1" si="107"/>
        <v>11419.81</v>
      </c>
      <c r="FK174" s="39">
        <f t="shared" ca="1" si="107"/>
        <v>11969.74</v>
      </c>
      <c r="FL174" s="39">
        <f t="shared" ca="1" si="107"/>
        <v>11045.37</v>
      </c>
      <c r="FM174" s="39">
        <f t="shared" ca="1" si="107"/>
        <v>11308.37</v>
      </c>
      <c r="FN174" s="39">
        <f t="shared" ca="1" si="107"/>
        <v>11747.46</v>
      </c>
      <c r="FO174" s="39">
        <f t="shared" ca="1" si="107"/>
        <v>12375.04</v>
      </c>
      <c r="FP174" s="39">
        <f t="shared" ca="1" si="107"/>
        <v>12017.48</v>
      </c>
      <c r="FQ174" s="39">
        <f t="shared" ca="1" si="107"/>
        <v>12553.08</v>
      </c>
      <c r="FR174" s="39">
        <f t="shared" ca="1" si="107"/>
        <v>20613.939999999999</v>
      </c>
      <c r="FS174" s="39">
        <f t="shared" ca="1" si="107"/>
        <v>20810.580000000002</v>
      </c>
      <c r="FT174" s="39">
        <f t="shared" ca="1" si="107"/>
        <v>25101.74</v>
      </c>
      <c r="FU174" s="39">
        <f t="shared" ca="1" si="107"/>
        <v>13766.78</v>
      </c>
      <c r="FV174" s="39">
        <f t="shared" ca="1" si="107"/>
        <v>13454.97</v>
      </c>
      <c r="FW174" s="39">
        <f t="shared" ca="1" si="107"/>
        <v>23141.41</v>
      </c>
      <c r="FX174" s="39">
        <f t="shared" ca="1" si="107"/>
        <v>26375.08</v>
      </c>
      <c r="FY174" s="7"/>
      <c r="FZ174" s="4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</row>
    <row r="175" spans="1:204" ht="15.5" x14ac:dyDescent="0.35">
      <c r="A175" s="12" t="s">
        <v>722</v>
      </c>
      <c r="B175" s="7" t="s">
        <v>723</v>
      </c>
      <c r="C175" s="39">
        <f t="shared" ref="C175:FX175" si="108">$B$3</f>
        <v>10480</v>
      </c>
      <c r="D175" s="39">
        <f t="shared" si="108"/>
        <v>10480</v>
      </c>
      <c r="E175" s="39">
        <f t="shared" si="108"/>
        <v>10480</v>
      </c>
      <c r="F175" s="39">
        <f t="shared" si="108"/>
        <v>10480</v>
      </c>
      <c r="G175" s="39">
        <f t="shared" si="108"/>
        <v>10480</v>
      </c>
      <c r="H175" s="39">
        <f t="shared" si="108"/>
        <v>10480</v>
      </c>
      <c r="I175" s="39">
        <f t="shared" si="108"/>
        <v>10480</v>
      </c>
      <c r="J175" s="39">
        <f t="shared" si="108"/>
        <v>10480</v>
      </c>
      <c r="K175" s="39">
        <f t="shared" si="108"/>
        <v>10480</v>
      </c>
      <c r="L175" s="39">
        <f t="shared" si="108"/>
        <v>10480</v>
      </c>
      <c r="M175" s="39">
        <f t="shared" si="108"/>
        <v>10480</v>
      </c>
      <c r="N175" s="39">
        <f t="shared" si="108"/>
        <v>10480</v>
      </c>
      <c r="O175" s="39">
        <f t="shared" si="108"/>
        <v>10480</v>
      </c>
      <c r="P175" s="39">
        <f t="shared" si="108"/>
        <v>10480</v>
      </c>
      <c r="Q175" s="39">
        <f t="shared" si="108"/>
        <v>10480</v>
      </c>
      <c r="R175" s="39">
        <f t="shared" si="108"/>
        <v>10480</v>
      </c>
      <c r="S175" s="39">
        <f t="shared" si="108"/>
        <v>10480</v>
      </c>
      <c r="T175" s="39">
        <f t="shared" si="108"/>
        <v>10480</v>
      </c>
      <c r="U175" s="39">
        <f t="shared" si="108"/>
        <v>10480</v>
      </c>
      <c r="V175" s="39">
        <f t="shared" si="108"/>
        <v>10480</v>
      </c>
      <c r="W175" s="39">
        <f t="shared" si="108"/>
        <v>10480</v>
      </c>
      <c r="X175" s="39">
        <f t="shared" si="108"/>
        <v>10480</v>
      </c>
      <c r="Y175" s="39">
        <f t="shared" si="108"/>
        <v>10480</v>
      </c>
      <c r="Z175" s="39">
        <f t="shared" si="108"/>
        <v>10480</v>
      </c>
      <c r="AA175" s="39">
        <f t="shared" si="108"/>
        <v>10480</v>
      </c>
      <c r="AB175" s="39">
        <f t="shared" si="108"/>
        <v>10480</v>
      </c>
      <c r="AC175" s="39">
        <f t="shared" si="108"/>
        <v>10480</v>
      </c>
      <c r="AD175" s="39">
        <f t="shared" si="108"/>
        <v>10480</v>
      </c>
      <c r="AE175" s="39">
        <f t="shared" si="108"/>
        <v>10480</v>
      </c>
      <c r="AF175" s="39">
        <f t="shared" si="108"/>
        <v>10480</v>
      </c>
      <c r="AG175" s="39">
        <f t="shared" si="108"/>
        <v>10480</v>
      </c>
      <c r="AH175" s="39">
        <f t="shared" si="108"/>
        <v>10480</v>
      </c>
      <c r="AI175" s="39">
        <f t="shared" si="108"/>
        <v>10480</v>
      </c>
      <c r="AJ175" s="39">
        <f t="shared" si="108"/>
        <v>10480</v>
      </c>
      <c r="AK175" s="39">
        <f t="shared" si="108"/>
        <v>10480</v>
      </c>
      <c r="AL175" s="39">
        <f t="shared" si="108"/>
        <v>10480</v>
      </c>
      <c r="AM175" s="39">
        <f t="shared" si="108"/>
        <v>10480</v>
      </c>
      <c r="AN175" s="39">
        <f t="shared" si="108"/>
        <v>10480</v>
      </c>
      <c r="AO175" s="39">
        <f t="shared" si="108"/>
        <v>10480</v>
      </c>
      <c r="AP175" s="39">
        <f t="shared" si="108"/>
        <v>10480</v>
      </c>
      <c r="AQ175" s="39">
        <f t="shared" si="108"/>
        <v>10480</v>
      </c>
      <c r="AR175" s="39">
        <f t="shared" si="108"/>
        <v>10480</v>
      </c>
      <c r="AS175" s="39">
        <f t="shared" si="108"/>
        <v>10480</v>
      </c>
      <c r="AT175" s="39">
        <f t="shared" si="108"/>
        <v>10480</v>
      </c>
      <c r="AU175" s="39">
        <f t="shared" si="108"/>
        <v>10480</v>
      </c>
      <c r="AV175" s="39">
        <f t="shared" si="108"/>
        <v>10480</v>
      </c>
      <c r="AW175" s="39">
        <f t="shared" si="108"/>
        <v>10480</v>
      </c>
      <c r="AX175" s="39">
        <f t="shared" si="108"/>
        <v>10480</v>
      </c>
      <c r="AY175" s="39">
        <f t="shared" si="108"/>
        <v>10480</v>
      </c>
      <c r="AZ175" s="39">
        <f t="shared" si="108"/>
        <v>10480</v>
      </c>
      <c r="BA175" s="39">
        <f t="shared" si="108"/>
        <v>10480</v>
      </c>
      <c r="BB175" s="39">
        <f t="shared" si="108"/>
        <v>10480</v>
      </c>
      <c r="BC175" s="39">
        <f t="shared" si="108"/>
        <v>10480</v>
      </c>
      <c r="BD175" s="39">
        <f t="shared" si="108"/>
        <v>10480</v>
      </c>
      <c r="BE175" s="39">
        <f t="shared" si="108"/>
        <v>10480</v>
      </c>
      <c r="BF175" s="39">
        <f t="shared" si="108"/>
        <v>10480</v>
      </c>
      <c r="BG175" s="39">
        <f t="shared" si="108"/>
        <v>10480</v>
      </c>
      <c r="BH175" s="39">
        <f t="shared" si="108"/>
        <v>10480</v>
      </c>
      <c r="BI175" s="39">
        <f t="shared" si="108"/>
        <v>10480</v>
      </c>
      <c r="BJ175" s="39">
        <f t="shared" si="108"/>
        <v>10480</v>
      </c>
      <c r="BK175" s="39">
        <f t="shared" si="108"/>
        <v>10480</v>
      </c>
      <c r="BL175" s="39">
        <f t="shared" si="108"/>
        <v>10480</v>
      </c>
      <c r="BM175" s="39">
        <f t="shared" si="108"/>
        <v>10480</v>
      </c>
      <c r="BN175" s="39">
        <f t="shared" si="108"/>
        <v>10480</v>
      </c>
      <c r="BO175" s="39">
        <f t="shared" si="108"/>
        <v>10480</v>
      </c>
      <c r="BP175" s="39">
        <f t="shared" si="108"/>
        <v>10480</v>
      </c>
      <c r="BQ175" s="39">
        <f t="shared" si="108"/>
        <v>10480</v>
      </c>
      <c r="BR175" s="39">
        <f t="shared" si="108"/>
        <v>10480</v>
      </c>
      <c r="BS175" s="39">
        <f t="shared" si="108"/>
        <v>10480</v>
      </c>
      <c r="BT175" s="39">
        <f t="shared" si="108"/>
        <v>10480</v>
      </c>
      <c r="BU175" s="39">
        <f t="shared" si="108"/>
        <v>10480</v>
      </c>
      <c r="BV175" s="39">
        <f t="shared" si="108"/>
        <v>10480</v>
      </c>
      <c r="BW175" s="39">
        <f t="shared" si="108"/>
        <v>10480</v>
      </c>
      <c r="BX175" s="39">
        <f t="shared" si="108"/>
        <v>10480</v>
      </c>
      <c r="BY175" s="39">
        <f t="shared" si="108"/>
        <v>10480</v>
      </c>
      <c r="BZ175" s="39">
        <f t="shared" si="108"/>
        <v>10480</v>
      </c>
      <c r="CA175" s="39">
        <f t="shared" si="108"/>
        <v>10480</v>
      </c>
      <c r="CB175" s="39">
        <f t="shared" si="108"/>
        <v>10480</v>
      </c>
      <c r="CC175" s="39">
        <f t="shared" si="108"/>
        <v>10480</v>
      </c>
      <c r="CD175" s="39">
        <f t="shared" si="108"/>
        <v>10480</v>
      </c>
      <c r="CE175" s="39">
        <f t="shared" si="108"/>
        <v>10480</v>
      </c>
      <c r="CF175" s="39">
        <f t="shared" si="108"/>
        <v>10480</v>
      </c>
      <c r="CG175" s="39">
        <f t="shared" si="108"/>
        <v>10480</v>
      </c>
      <c r="CH175" s="39">
        <f t="shared" si="108"/>
        <v>10480</v>
      </c>
      <c r="CI175" s="39">
        <f t="shared" si="108"/>
        <v>10480</v>
      </c>
      <c r="CJ175" s="39">
        <f t="shared" si="108"/>
        <v>10480</v>
      </c>
      <c r="CK175" s="39">
        <f t="shared" si="108"/>
        <v>10480</v>
      </c>
      <c r="CL175" s="39">
        <f t="shared" si="108"/>
        <v>10480</v>
      </c>
      <c r="CM175" s="39">
        <f t="shared" si="108"/>
        <v>10480</v>
      </c>
      <c r="CN175" s="39">
        <f t="shared" si="108"/>
        <v>10480</v>
      </c>
      <c r="CO175" s="39">
        <f t="shared" si="108"/>
        <v>10480</v>
      </c>
      <c r="CP175" s="39">
        <f t="shared" si="108"/>
        <v>10480</v>
      </c>
      <c r="CQ175" s="39">
        <f t="shared" si="108"/>
        <v>10480</v>
      </c>
      <c r="CR175" s="39">
        <f t="shared" si="108"/>
        <v>10480</v>
      </c>
      <c r="CS175" s="39">
        <f t="shared" si="108"/>
        <v>10480</v>
      </c>
      <c r="CT175" s="39">
        <f t="shared" si="108"/>
        <v>10480</v>
      </c>
      <c r="CU175" s="39">
        <f t="shared" si="108"/>
        <v>10480</v>
      </c>
      <c r="CV175" s="39">
        <f t="shared" si="108"/>
        <v>10480</v>
      </c>
      <c r="CW175" s="39">
        <f t="shared" si="108"/>
        <v>10480</v>
      </c>
      <c r="CX175" s="39">
        <f t="shared" si="108"/>
        <v>10480</v>
      </c>
      <c r="CY175" s="39">
        <f t="shared" si="108"/>
        <v>10480</v>
      </c>
      <c r="CZ175" s="39">
        <f t="shared" si="108"/>
        <v>10480</v>
      </c>
      <c r="DA175" s="39">
        <f t="shared" si="108"/>
        <v>10480</v>
      </c>
      <c r="DB175" s="39">
        <f t="shared" si="108"/>
        <v>10480</v>
      </c>
      <c r="DC175" s="39">
        <f t="shared" si="108"/>
        <v>10480</v>
      </c>
      <c r="DD175" s="39">
        <f t="shared" si="108"/>
        <v>10480</v>
      </c>
      <c r="DE175" s="39">
        <f t="shared" si="108"/>
        <v>10480</v>
      </c>
      <c r="DF175" s="39">
        <f t="shared" si="108"/>
        <v>10480</v>
      </c>
      <c r="DG175" s="39">
        <f t="shared" si="108"/>
        <v>10480</v>
      </c>
      <c r="DH175" s="39">
        <f t="shared" si="108"/>
        <v>10480</v>
      </c>
      <c r="DI175" s="39">
        <f t="shared" si="108"/>
        <v>10480</v>
      </c>
      <c r="DJ175" s="39">
        <f t="shared" si="108"/>
        <v>10480</v>
      </c>
      <c r="DK175" s="39">
        <f t="shared" si="108"/>
        <v>10480</v>
      </c>
      <c r="DL175" s="39">
        <f t="shared" si="108"/>
        <v>10480</v>
      </c>
      <c r="DM175" s="39">
        <f t="shared" si="108"/>
        <v>10480</v>
      </c>
      <c r="DN175" s="39">
        <f t="shared" si="108"/>
        <v>10480</v>
      </c>
      <c r="DO175" s="39">
        <f t="shared" si="108"/>
        <v>10480</v>
      </c>
      <c r="DP175" s="39">
        <f t="shared" si="108"/>
        <v>10480</v>
      </c>
      <c r="DQ175" s="39">
        <f t="shared" si="108"/>
        <v>10480</v>
      </c>
      <c r="DR175" s="39">
        <f t="shared" si="108"/>
        <v>10480</v>
      </c>
      <c r="DS175" s="39">
        <f t="shared" si="108"/>
        <v>10480</v>
      </c>
      <c r="DT175" s="39">
        <f t="shared" si="108"/>
        <v>10480</v>
      </c>
      <c r="DU175" s="39">
        <f t="shared" si="108"/>
        <v>10480</v>
      </c>
      <c r="DV175" s="39">
        <f t="shared" si="108"/>
        <v>10480</v>
      </c>
      <c r="DW175" s="39">
        <f t="shared" si="108"/>
        <v>10480</v>
      </c>
      <c r="DX175" s="39">
        <f t="shared" si="108"/>
        <v>10480</v>
      </c>
      <c r="DY175" s="39">
        <f t="shared" si="108"/>
        <v>10480</v>
      </c>
      <c r="DZ175" s="39">
        <f t="shared" si="108"/>
        <v>10480</v>
      </c>
      <c r="EA175" s="39">
        <f t="shared" si="108"/>
        <v>10480</v>
      </c>
      <c r="EB175" s="39">
        <f t="shared" si="108"/>
        <v>10480</v>
      </c>
      <c r="EC175" s="39">
        <f t="shared" si="108"/>
        <v>10480</v>
      </c>
      <c r="ED175" s="39">
        <f t="shared" si="108"/>
        <v>10480</v>
      </c>
      <c r="EE175" s="39">
        <f t="shared" si="108"/>
        <v>10480</v>
      </c>
      <c r="EF175" s="39">
        <f t="shared" si="108"/>
        <v>10480</v>
      </c>
      <c r="EG175" s="39">
        <f t="shared" si="108"/>
        <v>10480</v>
      </c>
      <c r="EH175" s="39">
        <f t="shared" si="108"/>
        <v>10480</v>
      </c>
      <c r="EI175" s="39">
        <f t="shared" si="108"/>
        <v>10480</v>
      </c>
      <c r="EJ175" s="39">
        <f t="shared" si="108"/>
        <v>10480</v>
      </c>
      <c r="EK175" s="39">
        <f t="shared" si="108"/>
        <v>10480</v>
      </c>
      <c r="EL175" s="39">
        <f t="shared" si="108"/>
        <v>10480</v>
      </c>
      <c r="EM175" s="39">
        <f t="shared" si="108"/>
        <v>10480</v>
      </c>
      <c r="EN175" s="39">
        <f t="shared" si="108"/>
        <v>10480</v>
      </c>
      <c r="EO175" s="39">
        <f t="shared" si="108"/>
        <v>10480</v>
      </c>
      <c r="EP175" s="39">
        <f t="shared" si="108"/>
        <v>10480</v>
      </c>
      <c r="EQ175" s="39">
        <f t="shared" si="108"/>
        <v>10480</v>
      </c>
      <c r="ER175" s="39">
        <f t="shared" si="108"/>
        <v>10480</v>
      </c>
      <c r="ES175" s="39">
        <f t="shared" si="108"/>
        <v>10480</v>
      </c>
      <c r="ET175" s="39">
        <f t="shared" si="108"/>
        <v>10480</v>
      </c>
      <c r="EU175" s="39">
        <f t="shared" si="108"/>
        <v>10480</v>
      </c>
      <c r="EV175" s="39">
        <f t="shared" si="108"/>
        <v>10480</v>
      </c>
      <c r="EW175" s="39">
        <f t="shared" si="108"/>
        <v>10480</v>
      </c>
      <c r="EX175" s="39">
        <f t="shared" si="108"/>
        <v>10480</v>
      </c>
      <c r="EY175" s="39">
        <f t="shared" si="108"/>
        <v>10480</v>
      </c>
      <c r="EZ175" s="39">
        <f t="shared" si="108"/>
        <v>10480</v>
      </c>
      <c r="FA175" s="39">
        <f t="shared" si="108"/>
        <v>10480</v>
      </c>
      <c r="FB175" s="39">
        <f t="shared" si="108"/>
        <v>10480</v>
      </c>
      <c r="FC175" s="39">
        <f t="shared" si="108"/>
        <v>10480</v>
      </c>
      <c r="FD175" s="39">
        <f t="shared" si="108"/>
        <v>10480</v>
      </c>
      <c r="FE175" s="39">
        <f t="shared" si="108"/>
        <v>10480</v>
      </c>
      <c r="FF175" s="39">
        <f t="shared" si="108"/>
        <v>10480</v>
      </c>
      <c r="FG175" s="39">
        <f t="shared" si="108"/>
        <v>10480</v>
      </c>
      <c r="FH175" s="39">
        <f t="shared" si="108"/>
        <v>10480</v>
      </c>
      <c r="FI175" s="39">
        <f t="shared" si="108"/>
        <v>10480</v>
      </c>
      <c r="FJ175" s="39">
        <f t="shared" si="108"/>
        <v>10480</v>
      </c>
      <c r="FK175" s="39">
        <f t="shared" si="108"/>
        <v>10480</v>
      </c>
      <c r="FL175" s="39">
        <f t="shared" si="108"/>
        <v>10480</v>
      </c>
      <c r="FM175" s="39">
        <f t="shared" si="108"/>
        <v>10480</v>
      </c>
      <c r="FN175" s="39">
        <f t="shared" si="108"/>
        <v>10480</v>
      </c>
      <c r="FO175" s="39">
        <f t="shared" si="108"/>
        <v>10480</v>
      </c>
      <c r="FP175" s="39">
        <f t="shared" si="108"/>
        <v>10480</v>
      </c>
      <c r="FQ175" s="39">
        <f t="shared" si="108"/>
        <v>10480</v>
      </c>
      <c r="FR175" s="39">
        <f t="shared" si="108"/>
        <v>10480</v>
      </c>
      <c r="FS175" s="39">
        <f t="shared" si="108"/>
        <v>10480</v>
      </c>
      <c r="FT175" s="39">
        <f t="shared" si="108"/>
        <v>10480</v>
      </c>
      <c r="FU175" s="39">
        <f t="shared" si="108"/>
        <v>10480</v>
      </c>
      <c r="FV175" s="39">
        <f t="shared" si="108"/>
        <v>10480</v>
      </c>
      <c r="FW175" s="39">
        <f t="shared" si="108"/>
        <v>10480</v>
      </c>
      <c r="FX175" s="39">
        <f t="shared" si="108"/>
        <v>10480</v>
      </c>
      <c r="FY175" s="7"/>
      <c r="FZ175" s="4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</row>
    <row r="176" spans="1:204" ht="15.5" x14ac:dyDescent="0.35">
      <c r="A176" s="12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4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</row>
    <row r="177" spans="1:204" ht="15.5" x14ac:dyDescent="0.35">
      <c r="A177" s="12" t="s">
        <v>724</v>
      </c>
      <c r="B177" s="7" t="s">
        <v>725</v>
      </c>
      <c r="C177" s="7">
        <f ca="1">IFERROR(__xludf.DUMMYFUNCTION("((C174*(C70+C71)+(C175*(C74+C76+C78)))*-1)"),0)</f>
        <v>0</v>
      </c>
      <c r="D177" s="7">
        <f ca="1">IFERROR(__xludf.DUMMYFUNCTION("((D174*(D70+D71)+(D175*(D74+D76+D78)))*-1)"),-54749750.0179999)</f>
        <v>-54749750.017999902</v>
      </c>
      <c r="E177" s="7">
        <f ca="1">IFERROR(__xludf.DUMMYFUNCTION("((E174*(E70+E71)+(E175*(E74+E76+E78)))*-1)"),-8559241.017)</f>
        <v>-8559241.0170000009</v>
      </c>
      <c r="F177" s="7">
        <f ca="1">IFERROR(__xludf.DUMMYFUNCTION("((F174*(F70+F71)+(F175*(F74+F76+F78)))*-1)"),-10805184.839)</f>
        <v>-10805184.839</v>
      </c>
      <c r="G177" s="7">
        <f ca="1">IFERROR(__xludf.DUMMYFUNCTION("((G174*(G70+G71)+(G175*(G74+G76+G78)))*-1)"),0)</f>
        <v>0</v>
      </c>
      <c r="H177" s="7">
        <f ca="1">IFERROR(__xludf.DUMMYFUNCTION("((H174*(H70+H71)+(H175*(H74+H76+H78)))*-1)"),0)</f>
        <v>0</v>
      </c>
      <c r="I177" s="7">
        <f ca="1">IFERROR(__xludf.DUMMYFUNCTION("((I174*(I70+I71)+(I175*(I74+I76+I78)))*-1)"),-9396368.52)</f>
        <v>-9396368.5199999996</v>
      </c>
      <c r="J177" s="7">
        <f ca="1">IFERROR(__xludf.DUMMYFUNCTION("((J174*(J70+J71)+(J175*(J74+J76+J78)))*-1)"),0)</f>
        <v>0</v>
      </c>
      <c r="K177" s="7">
        <f ca="1">IFERROR(__xludf.DUMMYFUNCTION("((K174*(K70+K71)+(K175*(K74+K76+K78)))*-1)"),0)</f>
        <v>0</v>
      </c>
      <c r="L177" s="7">
        <f ca="1">IFERROR(__xludf.DUMMYFUNCTION("((L174*(L70+L71)+(L175*(L74+L76+L78)))*-1)"),0)</f>
        <v>0</v>
      </c>
      <c r="M177" s="7">
        <f ca="1">IFERROR(__xludf.DUMMYFUNCTION("((M174*(M70+M71)+(M175*(M74+M76+M78)))*-1)"),0)</f>
        <v>0</v>
      </c>
      <c r="N177" s="7">
        <f ca="1">IFERROR(__xludf.DUMMYFUNCTION("((N174*(N70+N71)+(N175*(N74+N76+N78)))*-1)"),-1062045.9)</f>
        <v>-1062045.8999999999</v>
      </c>
      <c r="O177" s="7">
        <f ca="1">IFERROR(__xludf.DUMMYFUNCTION("((O174*(O70+O71)+(O175*(O74+O76+O78)))*-1)"),0)</f>
        <v>0</v>
      </c>
      <c r="P177" s="7">
        <f ca="1">IFERROR(__xludf.DUMMYFUNCTION("((P174*(P70+P71)+(P175*(P74+P76+P78)))*-1)"),0)</f>
        <v>0</v>
      </c>
      <c r="Q177" s="7">
        <f ca="1">IFERROR(__xludf.DUMMYFUNCTION("((Q174*(Q70+Q71)+(Q175*(Q74+Q76+Q78)))*-1)"),-24774165.829)</f>
        <v>-24774165.829</v>
      </c>
      <c r="R177" s="7">
        <f ca="1">IFERROR(__xludf.DUMMYFUNCTION("((R174*(R70+R71)+(R175*(R74+R76+R78)))*-1)"),0)</f>
        <v>0</v>
      </c>
      <c r="S177" s="7">
        <f ca="1">IFERROR(__xludf.DUMMYFUNCTION("((S174*(S70+S71)+(S175*(S74+S76+S78)))*-1)"),0)</f>
        <v>0</v>
      </c>
      <c r="T177" s="7">
        <f ca="1">IFERROR(__xludf.DUMMYFUNCTION("((T174*(T70+T71)+(T175*(T74+T76+T78)))*-1)"),0)</f>
        <v>0</v>
      </c>
      <c r="U177" s="7">
        <f ca="1">IFERROR(__xludf.DUMMYFUNCTION("((U174*(U70+U71)+(U175*(U74+U76+U78)))*-1)"),0)</f>
        <v>0</v>
      </c>
      <c r="V177" s="7">
        <f ca="1">IFERROR(__xludf.DUMMYFUNCTION("((V174*(V70+V71)+(V175*(V74+V76+V78)))*-1)"),0)</f>
        <v>0</v>
      </c>
      <c r="W177" s="7">
        <f ca="1">IFERROR(__xludf.DUMMYFUNCTION("((W174*(W70+W71)+(W175*(W74+W76+W78)))*-1)"),0)</f>
        <v>0</v>
      </c>
      <c r="X177" s="7">
        <f ca="1">IFERROR(__xludf.DUMMYFUNCTION("((X174*(X70+X71)+(X175*(X74+X76+X78)))*-1)"),0)</f>
        <v>0</v>
      </c>
      <c r="Y177" s="7">
        <f ca="1">IFERROR(__xludf.DUMMYFUNCTION("((Y174*(Y70+Y71)+(Y175*(Y74+Y76+Y78)))*-1)"),0)</f>
        <v>0</v>
      </c>
      <c r="Z177" s="7">
        <f ca="1">IFERROR(__xludf.DUMMYFUNCTION("((Z174*(Z70+Z71)+(Z175*(Z74+Z76+Z78)))*-1)"),0)</f>
        <v>0</v>
      </c>
      <c r="AA177" s="7">
        <f ca="1">IFERROR(__xludf.DUMMYFUNCTION("((AA174*(AA70+AA71)+(AA175*(AA74+AA76+AA78)))*-1)"),0)</f>
        <v>0</v>
      </c>
      <c r="AB177" s="7">
        <f ca="1">IFERROR(__xludf.DUMMYFUNCTION("((AB174*(AB70+AB71)+(AB175*(AB74+AB76+AB78)))*-1)"),0)</f>
        <v>0</v>
      </c>
      <c r="AC177" s="7">
        <f ca="1">IFERROR(__xludf.DUMMYFUNCTION("((AC174*(AC70+AC71)+(AC175*(AC74+AC76+AC78)))*-1)"),0)</f>
        <v>0</v>
      </c>
      <c r="AD177" s="7">
        <f ca="1">IFERROR(__xludf.DUMMYFUNCTION("((AD174*(AD70+AD71)+(AD175*(AD74+AD76+AD78)))*-1)"),-1817999.26)</f>
        <v>-1817999.26</v>
      </c>
      <c r="AE177" s="7">
        <f ca="1">IFERROR(__xludf.DUMMYFUNCTION("((AE174*(AE70+AE71)+(AE175*(AE74+AE76+AE78)))*-1)"),0)</f>
        <v>0</v>
      </c>
      <c r="AF177" s="7">
        <f ca="1">IFERROR(__xludf.DUMMYFUNCTION("((AF174*(AF70+AF71)+(AF175*(AF74+AF76+AF78)))*-1)"),0)</f>
        <v>0</v>
      </c>
      <c r="AG177" s="7">
        <f ca="1">IFERROR(__xludf.DUMMYFUNCTION("((AG174*(AG70+AG71)+(AG175*(AG74+AG76+AG78)))*-1)"),0)</f>
        <v>0</v>
      </c>
      <c r="AH177" s="7">
        <f ca="1">IFERROR(__xludf.DUMMYFUNCTION("((AH174*(AH70+AH71)+(AH175*(AH74+AH76+AH78)))*-1)"),0)</f>
        <v>0</v>
      </c>
      <c r="AI177" s="7">
        <f ca="1">IFERROR(__xludf.DUMMYFUNCTION("((AI174*(AI70+AI71)+(AI175*(AI74+AI76+AI78)))*-1)"),0)</f>
        <v>0</v>
      </c>
      <c r="AJ177" s="7">
        <f ca="1">IFERROR(__xludf.DUMMYFUNCTION("((AJ174*(AJ70+AJ71)+(AJ175*(AJ74+AJ76+AJ78)))*-1)"),0)</f>
        <v>0</v>
      </c>
      <c r="AK177" s="7">
        <f ca="1">IFERROR(__xludf.DUMMYFUNCTION("((AK174*(AK70+AK71)+(AK175*(AK74+AK76+AK78)))*-1)"),0)</f>
        <v>0</v>
      </c>
      <c r="AL177" s="7">
        <f ca="1">IFERROR(__xludf.DUMMYFUNCTION("((AL174*(AL70+AL71)+(AL175*(AL74+AL76+AL78)))*-1)"),0)</f>
        <v>0</v>
      </c>
      <c r="AM177" s="7">
        <f ca="1">IFERROR(__xludf.DUMMYFUNCTION("((AM174*(AM70+AM71)+(AM175*(AM74+AM76+AM78)))*-1)"),0)</f>
        <v>0</v>
      </c>
      <c r="AN177" s="7">
        <f ca="1">IFERROR(__xludf.DUMMYFUNCTION("((AN174*(AN70+AN71)+(AN175*(AN74+AN76+AN78)))*-1)"),0)</f>
        <v>0</v>
      </c>
      <c r="AO177" s="7">
        <f ca="1">IFERROR(__xludf.DUMMYFUNCTION("((AO174*(AO70+AO71)+(AO175*(AO74+AO76+AO78)))*-1)"),0)</f>
        <v>0</v>
      </c>
      <c r="AP177" s="7">
        <f ca="1">IFERROR(__xludf.DUMMYFUNCTION("((AP174*(AP70+AP71)+(AP175*(AP74+AP76+AP78)))*-1)"),0)</f>
        <v>0</v>
      </c>
      <c r="AQ177" s="7">
        <f ca="1">IFERROR(__xludf.DUMMYFUNCTION("((AQ174*(AQ70+AQ71)+(AQ175*(AQ74+AQ76+AQ78)))*-1)"),0)</f>
        <v>0</v>
      </c>
      <c r="AR177" s="7">
        <f ca="1">IFERROR(__xludf.DUMMYFUNCTION("((AR174*(AR70+AR71)+(AR175*(AR74+AR76+AR78)))*-1)"),-22638530.13)</f>
        <v>-22638530.129999999</v>
      </c>
      <c r="AS177" s="7">
        <f ca="1">IFERROR(__xludf.DUMMYFUNCTION("((AS174*(AS70+AS71)+(AS175*(AS74+AS76+AS78)))*-1)"),-3750254.508)</f>
        <v>-3750254.5079999999</v>
      </c>
      <c r="AT177" s="7">
        <f ca="1">IFERROR(__xludf.DUMMYFUNCTION("((AT174*(AT70+AT71)+(AT175*(AT74+AT76+AT78)))*-1)"),0)</f>
        <v>0</v>
      </c>
      <c r="AU177" s="7">
        <f ca="1">IFERROR(__xludf.DUMMYFUNCTION("((AU174*(AU70+AU71)+(AU175*(AU74+AU76+AU78)))*-1)"),0)</f>
        <v>0</v>
      </c>
      <c r="AV177" s="7">
        <f ca="1">IFERROR(__xludf.DUMMYFUNCTION("((AV174*(AV70+AV71)+(AV175*(AV74+AV76+AV78)))*-1)"),0)</f>
        <v>0</v>
      </c>
      <c r="AW177" s="7">
        <f ca="1">IFERROR(__xludf.DUMMYFUNCTION("((AW174*(AW70+AW71)+(AW175*(AW74+AW76+AW78)))*-1)"),0)</f>
        <v>0</v>
      </c>
      <c r="AX177" s="7">
        <f ca="1">IFERROR(__xludf.DUMMYFUNCTION("((AX174*(AX70+AX71)+(AX175*(AX74+AX76+AX78)))*-1)"),0)</f>
        <v>0</v>
      </c>
      <c r="AY177" s="7">
        <f ca="1">IFERROR(__xludf.DUMMYFUNCTION("((AY174*(AY70+AY71)+(AY175*(AY74+AY76+AY78)))*-1)"),0)</f>
        <v>0</v>
      </c>
      <c r="AZ177" s="7">
        <f ca="1">IFERROR(__xludf.DUMMYFUNCTION("((AZ174*(AZ70+AZ71)+(AZ175*(AZ74+AZ76+AZ78)))*-1)"),0)</f>
        <v>0</v>
      </c>
      <c r="BA177" s="7">
        <f ca="1">IFERROR(__xludf.DUMMYFUNCTION("((BA174*(BA70+BA71)+(BA175*(BA74+BA76+BA78)))*-1)"),0)</f>
        <v>0</v>
      </c>
      <c r="BB177" s="7">
        <f ca="1">IFERROR(__xludf.DUMMYFUNCTION("((BB174*(BB70+BB71)+(BB175*(BB74+BB76+BB78)))*-1)"),0)</f>
        <v>0</v>
      </c>
      <c r="BC177" s="7">
        <f ca="1">IFERROR(__xludf.DUMMYFUNCTION("((BC174*(BC70+BC71)+(BC175*(BC74+BC76+BC78)))*-1)"),-34159072.41)</f>
        <v>-34159072.409999996</v>
      </c>
      <c r="BD177" s="7">
        <f ca="1">IFERROR(__xludf.DUMMYFUNCTION("((BD174*(BD70+BD71)+(BD175*(BD74+BD76+BD78)))*-1)"),0)</f>
        <v>0</v>
      </c>
      <c r="BE177" s="7">
        <f ca="1">IFERROR(__xludf.DUMMYFUNCTION("((BE174*(BE70+BE71)+(BE175*(BE74+BE76+BE78)))*-1)"),0)</f>
        <v>0</v>
      </c>
      <c r="BF177" s="7">
        <f ca="1">IFERROR(__xludf.DUMMYFUNCTION("((BF174*(BF70+BF71)+(BF175*(BF74+BF76+BF78)))*-1)"),0)</f>
        <v>0</v>
      </c>
      <c r="BG177" s="7">
        <f ca="1">IFERROR(__xludf.DUMMYFUNCTION("((BG174*(BG70+BG71)+(BG175*(BG74+BG76+BG78)))*-1)"),0)</f>
        <v>0</v>
      </c>
      <c r="BH177" s="7">
        <f ca="1">IFERROR(__xludf.DUMMYFUNCTION("((BH174*(BH70+BH71)+(BH175*(BH74+BH76+BH78)))*-1)"),0)</f>
        <v>0</v>
      </c>
      <c r="BI177" s="7">
        <f ca="1">IFERROR(__xludf.DUMMYFUNCTION("((BI174*(BI70+BI71)+(BI175*(BI74+BI76+BI78)))*-1)"),0)</f>
        <v>0</v>
      </c>
      <c r="BJ177" s="7">
        <f ca="1">IFERROR(__xludf.DUMMYFUNCTION("((BJ174*(BJ70+BJ71)+(BJ175*(BJ74+BJ76+BJ78)))*-1)"),0)</f>
        <v>0</v>
      </c>
      <c r="BK177" s="7">
        <f ca="1">IFERROR(__xludf.DUMMYFUNCTION("((BK174*(BK70+BK71)+(BK175*(BK74+BK76+BK78)))*-1)"),0)</f>
        <v>0</v>
      </c>
      <c r="BL177" s="7">
        <f ca="1">IFERROR(__xludf.DUMMYFUNCTION("((BL174*(BL70+BL71)+(BL175*(BL74+BL76+BL78)))*-1)"),0)</f>
        <v>0</v>
      </c>
      <c r="BM177" s="7">
        <f ca="1">IFERROR(__xludf.DUMMYFUNCTION("((BM174*(BM70+BM71)+(BM175*(BM74+BM76+BM78)))*-1)"),0)</f>
        <v>0</v>
      </c>
      <c r="BN177" s="7">
        <f ca="1">IFERROR(__xludf.DUMMYFUNCTION("((BN174*(BN70+BN71)+(BN175*(BN74+BN76+BN78)))*-1)"),0)</f>
        <v>0</v>
      </c>
      <c r="BO177" s="7">
        <f ca="1">IFERROR(__xludf.DUMMYFUNCTION("((BO174*(BO70+BO71)+(BO175*(BO74+BO76+BO78)))*-1)"),0)</f>
        <v>0</v>
      </c>
      <c r="BP177" s="7">
        <f ca="1">IFERROR(__xludf.DUMMYFUNCTION("((BP174*(BP70+BP71)+(BP175*(BP74+BP76+BP78)))*-1)"),0)</f>
        <v>0</v>
      </c>
      <c r="BQ177" s="7">
        <f ca="1">IFERROR(__xludf.DUMMYFUNCTION("((BQ174*(BQ70+BQ71)+(BQ175*(BQ74+BQ76+BQ78)))*-1)"),-3000320.875)</f>
        <v>-3000320.875</v>
      </c>
      <c r="BR177" s="7">
        <f ca="1">IFERROR(__xludf.DUMMYFUNCTION("((BR174*(BR70+BR71)+(BR175*(BR74+BR76+BR78)))*-1)"),0)</f>
        <v>0</v>
      </c>
      <c r="BS177" s="7">
        <f ca="1">IFERROR(__xludf.DUMMYFUNCTION("((BS174*(BS70+BS71)+(BS175*(BS74+BS76+BS78)))*-1)"),0)</f>
        <v>0</v>
      </c>
      <c r="BT177" s="7">
        <f ca="1">IFERROR(__xludf.DUMMYFUNCTION("((BT174*(BT70+BT71)+(BT175*(BT74+BT76+BT78)))*-1)"),0)</f>
        <v>0</v>
      </c>
      <c r="BU177" s="7">
        <f ca="1">IFERROR(__xludf.DUMMYFUNCTION("((BU174*(BU70+BU71)+(BU175*(BU74+BU76+BU78)))*-1)"),0)</f>
        <v>0</v>
      </c>
      <c r="BV177" s="7">
        <f ca="1">IFERROR(__xludf.DUMMYFUNCTION("((BV174*(BV70+BV71)+(BV175*(BV74+BV76+BV78)))*-1)"),0)</f>
        <v>0</v>
      </c>
      <c r="BW177" s="7">
        <f ca="1">IFERROR(__xludf.DUMMYFUNCTION("((BW174*(BW70+BW71)+(BW175*(BW74+BW76+BW78)))*-1)"),0)</f>
        <v>0</v>
      </c>
      <c r="BX177" s="7">
        <f ca="1">IFERROR(__xludf.DUMMYFUNCTION("((BX174*(BX70+BX71)+(BX175*(BX74+BX76+BX78)))*-1)"),0)</f>
        <v>0</v>
      </c>
      <c r="BY177" s="7">
        <f ca="1">IFERROR(__xludf.DUMMYFUNCTION("((BY174*(BY70+BY71)+(BY175*(BY74+BY76+BY78)))*-1)"),0)</f>
        <v>0</v>
      </c>
      <c r="BZ177" s="7">
        <f ca="1">IFERROR(__xludf.DUMMYFUNCTION("((BZ174*(BZ70+BZ71)+(BZ175*(BZ74+BZ76+BZ78)))*-1)"),0)</f>
        <v>0</v>
      </c>
      <c r="CA177" s="7">
        <f ca="1">IFERROR(__xludf.DUMMYFUNCTION("((CA174*(CA70+CA71)+(CA175*(CA74+CA76+CA78)))*-1)"),0)</f>
        <v>0</v>
      </c>
      <c r="CB177" s="7">
        <f ca="1">IFERROR(__xludf.DUMMYFUNCTION("((CB174*(CB70+CB71)+(CB175*(CB74+CB76+CB78)))*-1)"),-9520576.776)</f>
        <v>-9520576.7760000005</v>
      </c>
      <c r="CC177" s="7">
        <f ca="1">IFERROR(__xludf.DUMMYFUNCTION("((CC174*(CC70+CC71)+(CC175*(CC74+CC76+CC78)))*-1)"),0)</f>
        <v>0</v>
      </c>
      <c r="CD177" s="7">
        <f ca="1">IFERROR(__xludf.DUMMYFUNCTION("((CD174*(CD70+CD71)+(CD175*(CD74+CD76+CD78)))*-1)"),0)</f>
        <v>0</v>
      </c>
      <c r="CE177" s="7">
        <f ca="1">IFERROR(__xludf.DUMMYFUNCTION("((CE174*(CE70+CE71)+(CE175*(CE74+CE76+CE78)))*-1)"),0)</f>
        <v>0</v>
      </c>
      <c r="CF177" s="7">
        <f ca="1">IFERROR(__xludf.DUMMYFUNCTION("((CF174*(CF70+CF71)+(CF175*(CF74+CF76+CF78)))*-1)"),0)</f>
        <v>0</v>
      </c>
      <c r="CG177" s="7">
        <f ca="1">IFERROR(__xludf.DUMMYFUNCTION("((CG174*(CG70+CG71)+(CG175*(CG74+CG76+CG78)))*-1)"),0)</f>
        <v>0</v>
      </c>
      <c r="CH177" s="7">
        <f ca="1">IFERROR(__xludf.DUMMYFUNCTION("((CH174*(CH70+CH71)+(CH175*(CH74+CH76+CH78)))*-1)"),0)</f>
        <v>0</v>
      </c>
      <c r="CI177" s="7">
        <f ca="1">IFERROR(__xludf.DUMMYFUNCTION("((CI174*(CI70+CI71)+(CI175*(CI74+CI76+CI78)))*-1)"),0)</f>
        <v>0</v>
      </c>
      <c r="CJ177" s="7">
        <f ca="1">IFERROR(__xludf.DUMMYFUNCTION("((CJ174*(CJ70+CJ71)+(CJ175*(CJ74+CJ76+CJ78)))*-1)"),0)</f>
        <v>0</v>
      </c>
      <c r="CK177" s="7">
        <f ca="1">IFERROR(__xludf.DUMMYFUNCTION("((CK174*(CK70+CK71)+(CK175*(CK74+CK76+CK78)))*-1)"),-6891874.008)</f>
        <v>-6891874.0080000004</v>
      </c>
      <c r="CL177" s="7">
        <f ca="1">IFERROR(__xludf.DUMMYFUNCTION("((CL174*(CL70+CL71)+(CL175*(CL74+CL76+CL78)))*-1)"),0)</f>
        <v>0</v>
      </c>
      <c r="CM177" s="7">
        <f ca="1">IFERROR(__xludf.DUMMYFUNCTION("((CM174*(CM70+CM71)+(CM175*(CM74+CM76+CM78)))*-1)"),0)</f>
        <v>0</v>
      </c>
      <c r="CN177" s="7">
        <f ca="1">IFERROR(__xludf.DUMMYFUNCTION("((CN174*(CN70+CN71)+(CN175*(CN74+CN76+CN78)))*-1)"),-30500730.1459999)</f>
        <v>-30500730.145999901</v>
      </c>
      <c r="CO177" s="7">
        <f ca="1">IFERROR(__xludf.DUMMYFUNCTION("((CO174*(CO70+CO71)+(CO175*(CO74+CO76+CO78)))*-1)"),0)</f>
        <v>0</v>
      </c>
      <c r="CP177" s="7">
        <f ca="1">IFERROR(__xludf.DUMMYFUNCTION("((CP174*(CP70+CP71)+(CP175*(CP74+CP76+CP78)))*-1)"),0)</f>
        <v>0</v>
      </c>
      <c r="CQ177" s="7">
        <f ca="1">IFERROR(__xludf.DUMMYFUNCTION("((CQ174*(CQ70+CQ71)+(CQ175*(CQ74+CQ76+CQ78)))*-1)"),0)</f>
        <v>0</v>
      </c>
      <c r="CR177" s="7">
        <f ca="1">IFERROR(__xludf.DUMMYFUNCTION("((CR174*(CR70+CR71)+(CR175*(CR74+CR76+CR78)))*-1)"),0)</f>
        <v>0</v>
      </c>
      <c r="CS177" s="7">
        <f ca="1">IFERROR(__xludf.DUMMYFUNCTION("((CS174*(CS70+CS71)+(CS175*(CS74+CS76+CS78)))*-1)"),0)</f>
        <v>0</v>
      </c>
      <c r="CT177" s="7">
        <f ca="1">IFERROR(__xludf.DUMMYFUNCTION("((CT174*(CT70+CT71)+(CT175*(CT74+CT76+CT78)))*-1)"),0)</f>
        <v>0</v>
      </c>
      <c r="CU177" s="7">
        <f ca="1">IFERROR(__xludf.DUMMYFUNCTION("((CU174*(CU70+CU71)+(CU175*(CU74+CU76+CU78)))*-1)"),0)</f>
        <v>0</v>
      </c>
      <c r="CV177" s="7">
        <f ca="1">IFERROR(__xludf.DUMMYFUNCTION("((CV174*(CV70+CV71)+(CV175*(CV74+CV76+CV78)))*-1)"),0)</f>
        <v>0</v>
      </c>
      <c r="CW177" s="7">
        <f ca="1">IFERROR(__xludf.DUMMYFUNCTION("((CW174*(CW70+CW71)+(CW175*(CW74+CW76+CW78)))*-1)"),0)</f>
        <v>0</v>
      </c>
      <c r="CX177" s="7">
        <f ca="1">IFERROR(__xludf.DUMMYFUNCTION("((CX174*(CX70+CX71)+(CX175*(CX74+CX76+CX78)))*-1)"),0)</f>
        <v>0</v>
      </c>
      <c r="CY177" s="7">
        <f ca="1">IFERROR(__xludf.DUMMYFUNCTION("((CY174*(CY70+CY71)+(CY175*(CY74+CY76+CY78)))*-1)"),0)</f>
        <v>0</v>
      </c>
      <c r="CZ177" s="7">
        <f ca="1">IFERROR(__xludf.DUMMYFUNCTION("((CZ174*(CZ70+CZ71)+(CZ175*(CZ74+CZ76+CZ78)))*-1)"),0)</f>
        <v>0</v>
      </c>
      <c r="DA177" s="7">
        <f ca="1">IFERROR(__xludf.DUMMYFUNCTION("((DA174*(DA70+DA71)+(DA175*(DA74+DA76+DA78)))*-1)"),0)</f>
        <v>0</v>
      </c>
      <c r="DB177" s="7">
        <f ca="1">IFERROR(__xludf.DUMMYFUNCTION("((DB174*(DB70+DB71)+(DB175*(DB74+DB76+DB78)))*-1)"),0)</f>
        <v>0</v>
      </c>
      <c r="DC177" s="7">
        <f ca="1">IFERROR(__xludf.DUMMYFUNCTION("((DC174*(DC70+DC71)+(DC175*(DC74+DC76+DC78)))*-1)"),0)</f>
        <v>0</v>
      </c>
      <c r="DD177" s="7">
        <f ca="1">IFERROR(__xludf.DUMMYFUNCTION("((DD174*(DD70+DD71)+(DD175*(DD74+DD76+DD78)))*-1)"),0)</f>
        <v>0</v>
      </c>
      <c r="DE177" s="7">
        <f ca="1">IFERROR(__xludf.DUMMYFUNCTION("((DE174*(DE70+DE71)+(DE175*(DE74+DE76+DE78)))*-1)"),0)</f>
        <v>0</v>
      </c>
      <c r="DF177" s="7">
        <f ca="1">IFERROR(__xludf.DUMMYFUNCTION("((DF174*(DF70+DF71)+(DF175*(DF74+DF76+DF78)))*-1)"),-15447100.746)</f>
        <v>-15447100.745999999</v>
      </c>
      <c r="DG177" s="7">
        <f ca="1">IFERROR(__xludf.DUMMYFUNCTION("((DG174*(DG70+DG71)+(DG175*(DG74+DG76+DG78)))*-1)"),0)</f>
        <v>0</v>
      </c>
      <c r="DH177" s="7">
        <f ca="1">IFERROR(__xludf.DUMMYFUNCTION("((DH174*(DH70+DH71)+(DH175*(DH74+DH76+DH78)))*-1)"),0)</f>
        <v>0</v>
      </c>
      <c r="DI177" s="7">
        <f ca="1">IFERROR(__xludf.DUMMYFUNCTION("((DI174*(DI70+DI71)+(DI175*(DI74+DI76+DI78)))*-1)"),-894768.213999999)</f>
        <v>-894768.21399999899</v>
      </c>
      <c r="DJ177" s="7">
        <f ca="1">IFERROR(__xludf.DUMMYFUNCTION("((DJ174*(DJ70+DJ71)+(DJ175*(DJ74+DJ76+DJ78)))*-1)"),0)</f>
        <v>0</v>
      </c>
      <c r="DK177" s="7">
        <f ca="1">IFERROR(__xludf.DUMMYFUNCTION("((DK174*(DK70+DK71)+(DK175*(DK74+DK76+DK78)))*-1)"),0)</f>
        <v>0</v>
      </c>
      <c r="DL177" s="7">
        <f ca="1">IFERROR(__xludf.DUMMYFUNCTION("((DL174*(DL70+DL71)+(DL175*(DL74+DL76+DL78)))*-1)"),0)</f>
        <v>0</v>
      </c>
      <c r="DM177" s="7">
        <f ca="1">IFERROR(__xludf.DUMMYFUNCTION("((DM174*(DM70+DM71)+(DM175*(DM74+DM76+DM78)))*-1)"),0)</f>
        <v>0</v>
      </c>
      <c r="DN177" s="7">
        <f ca="1">IFERROR(__xludf.DUMMYFUNCTION("((DN174*(DN70+DN71)+(DN175*(DN74+DN76+DN78)))*-1)"),0)</f>
        <v>0</v>
      </c>
      <c r="DO177" s="7">
        <f ca="1">IFERROR(__xludf.DUMMYFUNCTION("((DO174*(DO70+DO71)+(DO175*(DO74+DO76+DO78)))*-1)"),0)</f>
        <v>0</v>
      </c>
      <c r="DP177" s="7">
        <f ca="1">IFERROR(__xludf.DUMMYFUNCTION("((DP174*(DP70+DP71)+(DP175*(DP74+DP76+DP78)))*-1)"),0)</f>
        <v>0</v>
      </c>
      <c r="DQ177" s="7">
        <f ca="1">IFERROR(__xludf.DUMMYFUNCTION("((DQ174*(DQ70+DQ71)+(DQ175*(DQ74+DQ76+DQ78)))*-1)"),0)</f>
        <v>0</v>
      </c>
      <c r="DR177" s="7">
        <f ca="1">IFERROR(__xludf.DUMMYFUNCTION("((DR174*(DR70+DR71)+(DR175*(DR74+DR76+DR78)))*-1)"),0)</f>
        <v>0</v>
      </c>
      <c r="DS177" s="7">
        <f ca="1">IFERROR(__xludf.DUMMYFUNCTION("((DS174*(DS70+DS71)+(DS175*(DS74+DS76+DS78)))*-1)"),0)</f>
        <v>0</v>
      </c>
      <c r="DT177" s="7">
        <f ca="1">IFERROR(__xludf.DUMMYFUNCTION("((DT174*(DT70+DT71)+(DT175*(DT74+DT76+DT78)))*-1)"),0)</f>
        <v>0</v>
      </c>
      <c r="DU177" s="7">
        <f ca="1">IFERROR(__xludf.DUMMYFUNCTION("((DU174*(DU70+DU71)+(DU175*(DU74+DU76+DU78)))*-1)"),0)</f>
        <v>0</v>
      </c>
      <c r="DV177" s="7">
        <f ca="1">IFERROR(__xludf.DUMMYFUNCTION("((DV174*(DV70+DV71)+(DV175*(DV74+DV76+DV78)))*-1)"),0)</f>
        <v>0</v>
      </c>
      <c r="DW177" s="7">
        <f ca="1">IFERROR(__xludf.DUMMYFUNCTION("((DW174*(DW70+DW71)+(DW175*(DW74+DW76+DW78)))*-1)"),0)</f>
        <v>0</v>
      </c>
      <c r="DX177" s="7">
        <f ca="1">IFERROR(__xludf.DUMMYFUNCTION("((DX174*(DX70+DX71)+(DX175*(DX74+DX76+DX78)))*-1)"),0)</f>
        <v>0</v>
      </c>
      <c r="DY177" s="7">
        <f ca="1">IFERROR(__xludf.DUMMYFUNCTION("((DY174*(DY70+DY71)+(DY175*(DY74+DY76+DY78)))*-1)"),0)</f>
        <v>0</v>
      </c>
      <c r="DZ177" s="7">
        <f ca="1">IFERROR(__xludf.DUMMYFUNCTION("((DZ174*(DZ70+DZ71)+(DZ175*(DZ74+DZ76+DZ78)))*-1)"),0)</f>
        <v>0</v>
      </c>
      <c r="EA177" s="7">
        <f ca="1">IFERROR(__xludf.DUMMYFUNCTION("((EA174*(EA70+EA71)+(EA175*(EA74+EA76+EA78)))*-1)"),-283439.399999999)</f>
        <v>-283439.39999999898</v>
      </c>
      <c r="EB177" s="7">
        <f ca="1">IFERROR(__xludf.DUMMYFUNCTION("((EB174*(EB70+EB71)+(EB175*(EB74+EB76+EB78)))*-1)"),0)</f>
        <v>0</v>
      </c>
      <c r="EC177" s="7">
        <f ca="1">IFERROR(__xludf.DUMMYFUNCTION("((EC174*(EC70+EC71)+(EC175*(EC74+EC76+EC78)))*-1)"),0)</f>
        <v>0</v>
      </c>
      <c r="ED177" s="7">
        <f ca="1">IFERROR(__xludf.DUMMYFUNCTION("((ED174*(ED70+ED71)+(ED175*(ED74+ED76+ED78)))*-1)"),0)</f>
        <v>0</v>
      </c>
      <c r="EE177" s="7">
        <f ca="1">IFERROR(__xludf.DUMMYFUNCTION("((EE174*(EE70+EE71)+(EE175*(EE74+EE76+EE78)))*-1)"),0)</f>
        <v>0</v>
      </c>
      <c r="EF177" s="7">
        <f ca="1">IFERROR(__xludf.DUMMYFUNCTION("((EF174*(EF70+EF71)+(EF175*(EF74+EF76+EF78)))*-1)"),0)</f>
        <v>0</v>
      </c>
      <c r="EG177" s="7">
        <f ca="1">IFERROR(__xludf.DUMMYFUNCTION("((EG174*(EG70+EG71)+(EG175*(EG74+EG76+EG78)))*-1)"),0)</f>
        <v>0</v>
      </c>
      <c r="EH177" s="7">
        <f ca="1">IFERROR(__xludf.DUMMYFUNCTION("((EH174*(EH70+EH71)+(EH175*(EH74+EH76+EH78)))*-1)"),0)</f>
        <v>0</v>
      </c>
      <c r="EI177" s="7">
        <f ca="1">IFERROR(__xludf.DUMMYFUNCTION("((EI174*(EI70+EI71)+(EI175*(EI74+EI76+EI78)))*-1)"),0)</f>
        <v>0</v>
      </c>
      <c r="EJ177" s="7">
        <f ca="1">IFERROR(__xludf.DUMMYFUNCTION("((EJ174*(EJ70+EJ71)+(EJ175*(EJ74+EJ76+EJ78)))*-1)"),0)</f>
        <v>0</v>
      </c>
      <c r="EK177" s="7">
        <f ca="1">IFERROR(__xludf.DUMMYFUNCTION("((EK174*(EK70+EK71)+(EK175*(EK74+EK76+EK78)))*-1)"),0)</f>
        <v>0</v>
      </c>
      <c r="EL177" s="7">
        <f ca="1">IFERROR(__xludf.DUMMYFUNCTION("((EL174*(EL70+EL71)+(EL175*(EL74+EL76+EL78)))*-1)"),0)</f>
        <v>0</v>
      </c>
      <c r="EM177" s="7">
        <f ca="1">IFERROR(__xludf.DUMMYFUNCTION("((EM174*(EM70+EM71)+(EM175*(EM74+EM76+EM78)))*-1)"),0)</f>
        <v>0</v>
      </c>
      <c r="EN177" s="7">
        <f ca="1">IFERROR(__xludf.DUMMYFUNCTION("((EN174*(EN70+EN71)+(EN175*(EN74+EN76+EN78)))*-1)"),0)</f>
        <v>0</v>
      </c>
      <c r="EO177" s="7">
        <f ca="1">IFERROR(__xludf.DUMMYFUNCTION("((EO174*(EO70+EO71)+(EO175*(EO74+EO76+EO78)))*-1)"),0)</f>
        <v>0</v>
      </c>
      <c r="EP177" s="7">
        <f ca="1">IFERROR(__xludf.DUMMYFUNCTION("((EP174*(EP70+EP71)+(EP175*(EP74+EP76+EP78)))*-1)"),0)</f>
        <v>0</v>
      </c>
      <c r="EQ177" s="7">
        <f ca="1">IFERROR(__xludf.DUMMYFUNCTION("((EQ174*(EQ70+EQ71)+(EQ175*(EQ74+EQ76+EQ78)))*-1)"),-1235997.94)</f>
        <v>-1235997.94</v>
      </c>
      <c r="ER177" s="7">
        <f ca="1">IFERROR(__xludf.DUMMYFUNCTION("((ER174*(ER70+ER71)+(ER175*(ER74+ER76+ER78)))*-1)"),0)</f>
        <v>0</v>
      </c>
      <c r="ES177" s="7">
        <f ca="1">IFERROR(__xludf.DUMMYFUNCTION("((ES174*(ES70+ES71)+(ES175*(ES74+ES76+ES78)))*-1)"),0)</f>
        <v>0</v>
      </c>
      <c r="ET177" s="7">
        <f ca="1">IFERROR(__xludf.DUMMYFUNCTION("((ET174*(ET70+ET71)+(ET175*(ET74+ET76+ET78)))*-1)"),0)</f>
        <v>0</v>
      </c>
      <c r="EU177" s="7">
        <f ca="1">IFERROR(__xludf.DUMMYFUNCTION("((EU174*(EU70+EU71)+(EU175*(EU74+EU76+EU78)))*-1)"),0)</f>
        <v>0</v>
      </c>
      <c r="EV177" s="7">
        <f ca="1">IFERROR(__xludf.DUMMYFUNCTION("((EV174*(EV70+EV71)+(EV175*(EV74+EV76+EV78)))*-1)"),0)</f>
        <v>0</v>
      </c>
      <c r="EW177" s="7">
        <f ca="1">IFERROR(__xludf.DUMMYFUNCTION("((EW174*(EW70+EW71)+(EW175*(EW74+EW76+EW78)))*-1)"),0)</f>
        <v>0</v>
      </c>
      <c r="EX177" s="7">
        <f ca="1">IFERROR(__xludf.DUMMYFUNCTION("((EX174*(EX70+EX71)+(EX175*(EX74+EX76+EX78)))*-1)"),0)</f>
        <v>0</v>
      </c>
      <c r="EY177" s="7">
        <f ca="1">IFERROR(__xludf.DUMMYFUNCTION("((EY174*(EY70+EY71)+(EY175*(EY74+EY76+EY78)))*-1)"),0)</f>
        <v>0</v>
      </c>
      <c r="EZ177" s="7">
        <f ca="1">IFERROR(__xludf.DUMMYFUNCTION("((EZ174*(EZ70+EZ71)+(EZ175*(EZ74+EZ76+EZ78)))*-1)"),0)</f>
        <v>0</v>
      </c>
      <c r="FA177" s="7">
        <f ca="1">IFERROR(__xludf.DUMMYFUNCTION("((FA174*(FA70+FA71)+(FA175*(FA74+FA76+FA78)))*-1)"),0)</f>
        <v>0</v>
      </c>
      <c r="FB177" s="7">
        <f ca="1">IFERROR(__xludf.DUMMYFUNCTION("((FB174*(FB70+FB71)+(FB175*(FB74+FB76+FB78)))*-1)"),0)</f>
        <v>0</v>
      </c>
      <c r="FC177" s="7">
        <f ca="1">IFERROR(__xludf.DUMMYFUNCTION("((FC174*(FC70+FC71)+(FC175*(FC74+FC76+FC78)))*-1)"),0)</f>
        <v>0</v>
      </c>
      <c r="FD177" s="7">
        <f ca="1">IFERROR(__xludf.DUMMYFUNCTION("((FD174*(FD70+FD71)+(FD175*(FD74+FD76+FD78)))*-1)"),0)</f>
        <v>0</v>
      </c>
      <c r="FE177" s="7">
        <f ca="1">IFERROR(__xludf.DUMMYFUNCTION("((FE174*(FE70+FE71)+(FE175*(FE74+FE76+FE78)))*-1)"),0)</f>
        <v>0</v>
      </c>
      <c r="FF177" s="7">
        <f ca="1">IFERROR(__xludf.DUMMYFUNCTION("((FF174*(FF70+FF71)+(FF175*(FF74+FF76+FF78)))*-1)"),0)</f>
        <v>0</v>
      </c>
      <c r="FG177" s="7">
        <f ca="1">IFERROR(__xludf.DUMMYFUNCTION("((FG174*(FG70+FG71)+(FG175*(FG74+FG76+FG78)))*-1)"),0)</f>
        <v>0</v>
      </c>
      <c r="FH177" s="7">
        <f ca="1">IFERROR(__xludf.DUMMYFUNCTION("((FH174*(FH70+FH71)+(FH175*(FH74+FH76+FH78)))*-1)"),0)</f>
        <v>0</v>
      </c>
      <c r="FI177" s="7">
        <f ca="1">IFERROR(__xludf.DUMMYFUNCTION("((FI174*(FI70+FI71)+(FI175*(FI74+FI76+FI78)))*-1)"),0)</f>
        <v>0</v>
      </c>
      <c r="FJ177" s="7">
        <f ca="1">IFERROR(__xludf.DUMMYFUNCTION("((FJ174*(FJ70+FJ71)+(FJ175*(FJ74+FJ76+FJ78)))*-1)"),0)</f>
        <v>0</v>
      </c>
      <c r="FK177" s="7">
        <f ca="1">IFERROR(__xludf.DUMMYFUNCTION("((FK174*(FK70+FK71)+(FK175*(FK74+FK76+FK78)))*-1)"),0)</f>
        <v>0</v>
      </c>
      <c r="FL177" s="7">
        <f ca="1">IFERROR(__xludf.DUMMYFUNCTION("((FL174*(FL70+FL71)+(FL175*(FL74+FL76+FL78)))*-1)"),0)</f>
        <v>0</v>
      </c>
      <c r="FM177" s="7">
        <f ca="1">IFERROR(__xludf.DUMMYFUNCTION("((FM174*(FM70+FM71)+(FM175*(FM74+FM76+FM78)))*-1)"),0)</f>
        <v>0</v>
      </c>
      <c r="FN177" s="7">
        <f ca="1">IFERROR(__xludf.DUMMYFUNCTION("((FN174*(FN70+FN71)+(FN175*(FN74+FN76+FN78)))*-1)"),0)</f>
        <v>0</v>
      </c>
      <c r="FO177" s="7">
        <f ca="1">IFERROR(__xludf.DUMMYFUNCTION("((FO174*(FO70+FO71)+(FO175*(FO74+FO76+FO78)))*-1)"),0)</f>
        <v>0</v>
      </c>
      <c r="FP177" s="7">
        <f ca="1">IFERROR(__xludf.DUMMYFUNCTION("((FP174*(FP70+FP71)+(FP175*(FP74+FP76+FP78)))*-1)"),0)</f>
        <v>0</v>
      </c>
      <c r="FQ177" s="7">
        <f ca="1">IFERROR(__xludf.DUMMYFUNCTION("((FQ174*(FQ70+FQ71)+(FQ175*(FQ74+FQ76+FQ78)))*-1)"),0)</f>
        <v>0</v>
      </c>
      <c r="FR177" s="7">
        <f ca="1">IFERROR(__xludf.DUMMYFUNCTION("((FR174*(FR70+FR71)+(FR175*(FR74+FR76+FR78)))*-1)"),0)</f>
        <v>0</v>
      </c>
      <c r="FS177" s="7">
        <f ca="1">IFERROR(__xludf.DUMMYFUNCTION("((FS174*(FS70+FS71)+(FS175*(FS74+FS76+FS78)))*-1)"),0)</f>
        <v>0</v>
      </c>
      <c r="FT177" s="7">
        <f ca="1">IFERROR(__xludf.DUMMYFUNCTION("((FT174*(FT70+FT71)+(FT175*(FT74+FT76+FT78)))*-1)"),0)</f>
        <v>0</v>
      </c>
      <c r="FU177" s="7">
        <f ca="1">IFERROR(__xludf.DUMMYFUNCTION("((FU174*(FU70+FU71)+(FU175*(FU74+FU76+FU78)))*-1)"),0)</f>
        <v>0</v>
      </c>
      <c r="FV177" s="7">
        <f ca="1">IFERROR(__xludf.DUMMYFUNCTION("((FV174*(FV70+FV71)+(FV175*(FV74+FV76+FV78)))*-1)"),0)</f>
        <v>0</v>
      </c>
      <c r="FW177" s="7">
        <f ca="1">IFERROR(__xludf.DUMMYFUNCTION("((FW174*(FW70+FW71)+(FW175*(FW74+FW76+FW78)))*-1)"),0)</f>
        <v>0</v>
      </c>
      <c r="FX177" s="7">
        <f ca="1">IFERROR(__xludf.DUMMYFUNCTION("((FX174*(FX70+FX71)+(FX175*(FX74+FX76+FX78)))*-1)"),0)</f>
        <v>0</v>
      </c>
      <c r="FY177" s="7">
        <f ca="1">SUM(C177:FX177)</f>
        <v>-239487420.53599977</v>
      </c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</row>
    <row r="178" spans="1:204" ht="15.5" x14ac:dyDescent="0.35">
      <c r="A178" s="1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</row>
    <row r="179" spans="1:204" ht="15.5" x14ac:dyDescent="0.35">
      <c r="A179" s="12" t="s">
        <v>726</v>
      </c>
      <c r="B179" s="7" t="s">
        <v>727</v>
      </c>
      <c r="C179" s="7">
        <f t="shared" ref="C179:FX179" ca="1" si="109">C162+C177</f>
        <v>80653886.704500005</v>
      </c>
      <c r="D179" s="7">
        <f t="shared" ca="1" si="109"/>
        <v>395023090.99850011</v>
      </c>
      <c r="E179" s="7">
        <f t="shared" ca="1" si="109"/>
        <v>64152665.030499995</v>
      </c>
      <c r="F179" s="7">
        <f t="shared" ca="1" si="109"/>
        <v>271013574.14750004</v>
      </c>
      <c r="G179" s="7">
        <f t="shared" ca="1" si="109"/>
        <v>22749083.645</v>
      </c>
      <c r="H179" s="7">
        <f t="shared" ca="1" si="109"/>
        <v>13754347.652000001</v>
      </c>
      <c r="I179" s="7">
        <f t="shared" ca="1" si="109"/>
        <v>90440194.050000012</v>
      </c>
      <c r="J179" s="7">
        <f t="shared" ca="1" si="109"/>
        <v>24863991.043000001</v>
      </c>
      <c r="K179" s="7">
        <f t="shared" ca="1" si="109"/>
        <v>4375286.1875</v>
      </c>
      <c r="L179" s="7">
        <f t="shared" ca="1" si="109"/>
        <v>26455657.423999999</v>
      </c>
      <c r="M179" s="7">
        <f t="shared" ca="1" si="109"/>
        <v>13714030.26</v>
      </c>
      <c r="N179" s="7">
        <f t="shared" ca="1" si="109"/>
        <v>593012207.97099996</v>
      </c>
      <c r="O179" s="7">
        <f t="shared" ca="1" si="109"/>
        <v>144353814.77599999</v>
      </c>
      <c r="P179" s="7">
        <f t="shared" ca="1" si="109"/>
        <v>5346390.8454999998</v>
      </c>
      <c r="Q179" s="7">
        <f t="shared" ca="1" si="109"/>
        <v>476939105.28700006</v>
      </c>
      <c r="R179" s="7">
        <f t="shared" ca="1" si="109"/>
        <v>80785561.0995</v>
      </c>
      <c r="S179" s="7">
        <f t="shared" ca="1" si="109"/>
        <v>19638317.813999999</v>
      </c>
      <c r="T179" s="7">
        <f t="shared" ca="1" si="109"/>
        <v>3366043.8955000001</v>
      </c>
      <c r="U179" s="7">
        <f t="shared" ca="1" si="109"/>
        <v>1434339.3499999999</v>
      </c>
      <c r="V179" s="7">
        <f t="shared" ca="1" si="109"/>
        <v>4403278.9739999995</v>
      </c>
      <c r="W179" s="7">
        <f t="shared" ca="1" si="109"/>
        <v>2801531.69</v>
      </c>
      <c r="X179" s="7">
        <f t="shared" ca="1" si="109"/>
        <v>1302093.5415000001</v>
      </c>
      <c r="Y179" s="7">
        <f t="shared" ca="1" si="109"/>
        <v>11504261.766000001</v>
      </c>
      <c r="Z179" s="7">
        <f t="shared" ca="1" si="109"/>
        <v>3953099.227</v>
      </c>
      <c r="AA179" s="7">
        <f t="shared" ca="1" si="109"/>
        <v>353644732.69400001</v>
      </c>
      <c r="AB179" s="7">
        <f t="shared" ca="1" si="109"/>
        <v>313517672.6875</v>
      </c>
      <c r="AC179" s="7">
        <f t="shared" ca="1" si="109"/>
        <v>11439265.5165</v>
      </c>
      <c r="AD179" s="7">
        <f t="shared" ca="1" si="109"/>
        <v>15191753.5655</v>
      </c>
      <c r="AE179" s="7">
        <f t="shared" ca="1" si="109"/>
        <v>2265417.2824999997</v>
      </c>
      <c r="AF179" s="7">
        <f t="shared" ca="1" si="109"/>
        <v>3457183.4355000001</v>
      </c>
      <c r="AG179" s="7">
        <f t="shared" ca="1" si="109"/>
        <v>8181305.7600000007</v>
      </c>
      <c r="AH179" s="7">
        <f t="shared" ca="1" si="109"/>
        <v>12000672.658499999</v>
      </c>
      <c r="AI179" s="7">
        <f t="shared" ca="1" si="109"/>
        <v>5586807.4819999998</v>
      </c>
      <c r="AJ179" s="7">
        <f t="shared" ca="1" si="109"/>
        <v>3762127.122</v>
      </c>
      <c r="AK179" s="7">
        <f t="shared" ca="1" si="109"/>
        <v>3506148.1314999997</v>
      </c>
      <c r="AL179" s="7">
        <f t="shared" ca="1" si="109"/>
        <v>4824354.0564999999</v>
      </c>
      <c r="AM179" s="7">
        <f t="shared" ca="1" si="109"/>
        <v>5334147.5630000001</v>
      </c>
      <c r="AN179" s="7">
        <f t="shared" ca="1" si="109"/>
        <v>4870423.5844999999</v>
      </c>
      <c r="AO179" s="7">
        <f t="shared" ca="1" si="109"/>
        <v>51205864.93</v>
      </c>
      <c r="AP179" s="7">
        <f t="shared" ca="1" si="109"/>
        <v>1028928090.8134999</v>
      </c>
      <c r="AQ179" s="7">
        <f t="shared" ca="1" si="109"/>
        <v>4557735.2030000007</v>
      </c>
      <c r="AR179" s="7">
        <f t="shared" ca="1" si="109"/>
        <v>672859271.51950002</v>
      </c>
      <c r="AS179" s="7">
        <f t="shared" ca="1" si="109"/>
        <v>76631930.243999988</v>
      </c>
      <c r="AT179" s="7">
        <f t="shared" ca="1" si="109"/>
        <v>28185152.587500002</v>
      </c>
      <c r="AU179" s="7">
        <f t="shared" ca="1" si="109"/>
        <v>4714653.9550000001</v>
      </c>
      <c r="AV179" s="7">
        <f t="shared" ca="1" si="109"/>
        <v>5195250.0049999999</v>
      </c>
      <c r="AW179" s="7">
        <f t="shared" ca="1" si="109"/>
        <v>4528791.2074999996</v>
      </c>
      <c r="AX179" s="7">
        <f t="shared" ca="1" si="109"/>
        <v>2070363.0055</v>
      </c>
      <c r="AY179" s="7">
        <f t="shared" ca="1" si="109"/>
        <v>6099681.4729999993</v>
      </c>
      <c r="AZ179" s="7">
        <f t="shared" ca="1" si="109"/>
        <v>143721669.81849998</v>
      </c>
      <c r="BA179" s="7">
        <f t="shared" ca="1" si="109"/>
        <v>101745533.9965</v>
      </c>
      <c r="BB179" s="7">
        <f t="shared" ca="1" si="109"/>
        <v>84696074.475000009</v>
      </c>
      <c r="BC179" s="7">
        <f t="shared" ca="1" si="109"/>
        <v>250826305.63949999</v>
      </c>
      <c r="BD179" s="7">
        <f t="shared" ca="1" si="109"/>
        <v>40387774.087499999</v>
      </c>
      <c r="BE179" s="7">
        <f t="shared" ca="1" si="109"/>
        <v>14452481.43</v>
      </c>
      <c r="BF179" s="7">
        <f t="shared" ca="1" si="109"/>
        <v>282580377.8215</v>
      </c>
      <c r="BG179" s="7">
        <f t="shared" ca="1" si="109"/>
        <v>12272965.565499999</v>
      </c>
      <c r="BH179" s="7">
        <f t="shared" ca="1" si="109"/>
        <v>7764632.4265000001</v>
      </c>
      <c r="BI179" s="7">
        <f t="shared" ca="1" si="109"/>
        <v>4731197.7510000002</v>
      </c>
      <c r="BJ179" s="7">
        <f t="shared" ca="1" si="109"/>
        <v>69933398.336500004</v>
      </c>
      <c r="BK179" s="7">
        <f t="shared" ca="1" si="109"/>
        <v>392901390.48249996</v>
      </c>
      <c r="BL179" s="7">
        <f t="shared" ca="1" si="109"/>
        <v>2216243.83</v>
      </c>
      <c r="BM179" s="7">
        <f t="shared" ca="1" si="109"/>
        <v>5569538.9195000008</v>
      </c>
      <c r="BN179" s="7">
        <f t="shared" ca="1" si="109"/>
        <v>35657862.697499998</v>
      </c>
      <c r="BO179" s="7">
        <f t="shared" ca="1" si="109"/>
        <v>15155937.515000001</v>
      </c>
      <c r="BP179" s="7">
        <f t="shared" ca="1" si="109"/>
        <v>3397952.4</v>
      </c>
      <c r="BQ179" s="7">
        <f t="shared" ca="1" si="109"/>
        <v>71181344.270999998</v>
      </c>
      <c r="BR179" s="7">
        <f t="shared" ca="1" si="109"/>
        <v>53099251.288500004</v>
      </c>
      <c r="BS179" s="7">
        <f t="shared" ca="1" si="109"/>
        <v>15039024.501500001</v>
      </c>
      <c r="BT179" s="7">
        <f t="shared" ca="1" si="109"/>
        <v>5848382.7520000003</v>
      </c>
      <c r="BU179" s="7">
        <f t="shared" ca="1" si="109"/>
        <v>6167804.8365000002</v>
      </c>
      <c r="BV179" s="7">
        <f t="shared" ca="1" si="109"/>
        <v>15406304.9245</v>
      </c>
      <c r="BW179" s="7">
        <f t="shared" ca="1" si="109"/>
        <v>24653579.338</v>
      </c>
      <c r="BX179" s="7">
        <f t="shared" ca="1" si="109"/>
        <v>1781744.71</v>
      </c>
      <c r="BY179" s="7">
        <f t="shared" ca="1" si="109"/>
        <v>6429493.0899999999</v>
      </c>
      <c r="BZ179" s="7">
        <f t="shared" ca="1" si="109"/>
        <v>4139198.4134999998</v>
      </c>
      <c r="CA179" s="7">
        <f t="shared" ca="1" si="109"/>
        <v>3163209.2760000001</v>
      </c>
      <c r="CB179" s="7">
        <f t="shared" ca="1" si="109"/>
        <v>823517366.5905</v>
      </c>
      <c r="CC179" s="7">
        <f t="shared" ca="1" si="109"/>
        <v>3645251.1535</v>
      </c>
      <c r="CD179" s="7">
        <f t="shared" ca="1" si="109"/>
        <v>2835204.01</v>
      </c>
      <c r="CE179" s="7">
        <f t="shared" ca="1" si="109"/>
        <v>3222185.2225000001</v>
      </c>
      <c r="CF179" s="7">
        <f t="shared" ca="1" si="109"/>
        <v>2467533.2999999998</v>
      </c>
      <c r="CG179" s="7">
        <f t="shared" ca="1" si="109"/>
        <v>3738676.077</v>
      </c>
      <c r="CH179" s="7">
        <f t="shared" ca="1" si="109"/>
        <v>2284108.554</v>
      </c>
      <c r="CI179" s="7">
        <f t="shared" ca="1" si="109"/>
        <v>8892753.6539999992</v>
      </c>
      <c r="CJ179" s="7">
        <f t="shared" ca="1" si="109"/>
        <v>11725516.5615</v>
      </c>
      <c r="CK179" s="7">
        <f t="shared" ca="1" si="109"/>
        <v>50839189.046999998</v>
      </c>
      <c r="CL179" s="7">
        <f t="shared" ca="1" si="109"/>
        <v>15647845.944499999</v>
      </c>
      <c r="CM179" s="7">
        <f t="shared" ca="1" si="109"/>
        <v>9538400.9210000001</v>
      </c>
      <c r="CN179" s="7">
        <f t="shared" ca="1" si="109"/>
        <v>325774212.60400009</v>
      </c>
      <c r="CO179" s="7">
        <f t="shared" ca="1" si="109"/>
        <v>159043245.46250001</v>
      </c>
      <c r="CP179" s="7">
        <f t="shared" ca="1" si="109"/>
        <v>12265678.9255</v>
      </c>
      <c r="CQ179" s="7">
        <f t="shared" ca="1" si="109"/>
        <v>10427351.989</v>
      </c>
      <c r="CR179" s="7">
        <f t="shared" ca="1" si="109"/>
        <v>3953168.6</v>
      </c>
      <c r="CS179" s="7">
        <f t="shared" ca="1" si="109"/>
        <v>4573177.63</v>
      </c>
      <c r="CT179" s="7">
        <f t="shared" ca="1" si="109"/>
        <v>2611047.9515</v>
      </c>
      <c r="CU179" s="7">
        <f t="shared" ca="1" si="109"/>
        <v>5594151.4344999995</v>
      </c>
      <c r="CV179" s="7">
        <f t="shared" ca="1" si="109"/>
        <v>1227614.3935</v>
      </c>
      <c r="CW179" s="7">
        <f t="shared" ca="1" si="109"/>
        <v>3853883.1814999999</v>
      </c>
      <c r="CX179" s="7">
        <f t="shared" ca="1" si="109"/>
        <v>6307064.4479999999</v>
      </c>
      <c r="CY179" s="7">
        <f t="shared" ca="1" si="109"/>
        <v>1293992.7920000001</v>
      </c>
      <c r="CZ179" s="7">
        <f t="shared" ca="1" si="109"/>
        <v>21237397.3145</v>
      </c>
      <c r="DA179" s="7">
        <f t="shared" ca="1" si="109"/>
        <v>3787868.9130000002</v>
      </c>
      <c r="DB179" s="7">
        <f t="shared" ca="1" si="109"/>
        <v>4922881.7845000001</v>
      </c>
      <c r="DC179" s="7">
        <f t="shared" ca="1" si="109"/>
        <v>3700914.3590000002</v>
      </c>
      <c r="DD179" s="7">
        <f t="shared" ca="1" si="109"/>
        <v>3606759.7689999999</v>
      </c>
      <c r="DE179" s="7">
        <f t="shared" ca="1" si="109"/>
        <v>4664669.0504999999</v>
      </c>
      <c r="DF179" s="7">
        <f t="shared" ca="1" si="109"/>
        <v>214562052.11950001</v>
      </c>
      <c r="DG179" s="7">
        <f t="shared" ca="1" si="109"/>
        <v>2245170.2094999999</v>
      </c>
      <c r="DH179" s="7">
        <f t="shared" ca="1" si="109"/>
        <v>21129919.309500001</v>
      </c>
      <c r="DI179" s="7">
        <f t="shared" ca="1" si="109"/>
        <v>27647533.355</v>
      </c>
      <c r="DJ179" s="7">
        <f t="shared" ca="1" si="109"/>
        <v>8361117.5200000005</v>
      </c>
      <c r="DK179" s="7">
        <f t="shared" ca="1" si="109"/>
        <v>6478268.9845000003</v>
      </c>
      <c r="DL179" s="7">
        <f t="shared" ca="1" si="109"/>
        <v>67847459.401999995</v>
      </c>
      <c r="DM179" s="7">
        <f t="shared" ca="1" si="109"/>
        <v>4485116.3815000001</v>
      </c>
      <c r="DN179" s="7">
        <f t="shared" ca="1" si="109"/>
        <v>16327554.8245</v>
      </c>
      <c r="DO179" s="7">
        <f t="shared" ca="1" si="109"/>
        <v>39338943.888499998</v>
      </c>
      <c r="DP179" s="7">
        <f t="shared" ca="1" si="109"/>
        <v>3903267.1009999998</v>
      </c>
      <c r="DQ179" s="7">
        <f t="shared" ca="1" si="109"/>
        <v>11479667.051999999</v>
      </c>
      <c r="DR179" s="7">
        <f t="shared" ca="1" si="109"/>
        <v>16311885.359999999</v>
      </c>
      <c r="DS179" s="7">
        <f t="shared" ca="1" si="109"/>
        <v>8410095.3399999999</v>
      </c>
      <c r="DT179" s="7">
        <f t="shared" ca="1" si="109"/>
        <v>3749928.7064999999</v>
      </c>
      <c r="DU179" s="7">
        <f t="shared" ca="1" si="109"/>
        <v>5395850.8619999997</v>
      </c>
      <c r="DV179" s="7">
        <f t="shared" ca="1" si="109"/>
        <v>3874077.6475</v>
      </c>
      <c r="DW179" s="7">
        <f t="shared" ca="1" si="109"/>
        <v>4786522.3374999994</v>
      </c>
      <c r="DX179" s="7">
        <f t="shared" ca="1" si="109"/>
        <v>3815527.3004999999</v>
      </c>
      <c r="DY179" s="7">
        <f t="shared" ca="1" si="109"/>
        <v>5145943.7184999995</v>
      </c>
      <c r="DZ179" s="7">
        <f t="shared" ca="1" si="109"/>
        <v>9292336.7050000001</v>
      </c>
      <c r="EA179" s="7">
        <f t="shared" ca="1" si="109"/>
        <v>7183773.6120000016</v>
      </c>
      <c r="EB179" s="7">
        <f t="shared" ca="1" si="109"/>
        <v>7192096.0245000003</v>
      </c>
      <c r="EC179" s="7">
        <f t="shared" ca="1" si="109"/>
        <v>4421929.4214999992</v>
      </c>
      <c r="ED179" s="7">
        <f t="shared" ca="1" si="109"/>
        <v>23689244.559999999</v>
      </c>
      <c r="EE179" s="7">
        <f t="shared" ca="1" si="109"/>
        <v>3753665.2550000004</v>
      </c>
      <c r="EF179" s="7">
        <f t="shared" ca="1" si="109"/>
        <v>16571740.7355</v>
      </c>
      <c r="EG179" s="7">
        <f t="shared" ca="1" si="109"/>
        <v>4272588.2215</v>
      </c>
      <c r="EH179" s="7">
        <f t="shared" ca="1" si="109"/>
        <v>4185390.818</v>
      </c>
      <c r="EI179" s="7">
        <f t="shared" ca="1" si="109"/>
        <v>163687034.40000001</v>
      </c>
      <c r="EJ179" s="7">
        <f t="shared" ca="1" si="109"/>
        <v>113585335.42999999</v>
      </c>
      <c r="EK179" s="7">
        <f t="shared" ca="1" si="109"/>
        <v>8598773.1469999999</v>
      </c>
      <c r="EL179" s="7">
        <f t="shared" ca="1" si="109"/>
        <v>6056194.3025000002</v>
      </c>
      <c r="EM179" s="7">
        <f t="shared" ca="1" si="109"/>
        <v>5594227.1255000001</v>
      </c>
      <c r="EN179" s="7">
        <f t="shared" ca="1" si="109"/>
        <v>12177586.8805</v>
      </c>
      <c r="EO179" s="7">
        <f t="shared" ca="1" si="109"/>
        <v>4799141.8195000002</v>
      </c>
      <c r="EP179" s="7">
        <f t="shared" ca="1" si="109"/>
        <v>6337242.9914999995</v>
      </c>
      <c r="EQ179" s="7">
        <f t="shared" ca="1" si="109"/>
        <v>29922518.609999999</v>
      </c>
      <c r="ER179" s="7">
        <f t="shared" ca="1" si="109"/>
        <v>5215205.1645</v>
      </c>
      <c r="ES179" s="7">
        <f t="shared" ca="1" si="109"/>
        <v>3403118.3939999999</v>
      </c>
      <c r="ET179" s="7">
        <f t="shared" ca="1" si="109"/>
        <v>4358136.7494999999</v>
      </c>
      <c r="EU179" s="7">
        <f t="shared" ca="1" si="109"/>
        <v>8201587.5644999994</v>
      </c>
      <c r="EV179" s="7">
        <f t="shared" ca="1" si="109"/>
        <v>1902380.3930000002</v>
      </c>
      <c r="EW179" s="7">
        <f t="shared" ca="1" si="109"/>
        <v>13370071.560000001</v>
      </c>
      <c r="EX179" s="7">
        <f t="shared" ca="1" si="109"/>
        <v>3805304.7845000001</v>
      </c>
      <c r="EY179" s="7">
        <f t="shared" ca="1" si="109"/>
        <v>8090226.3775000004</v>
      </c>
      <c r="EZ179" s="7">
        <f t="shared" ca="1" si="109"/>
        <v>2843721.3509999998</v>
      </c>
      <c r="FA179" s="7">
        <f t="shared" ca="1" si="109"/>
        <v>42788890.164999999</v>
      </c>
      <c r="FB179" s="7">
        <f t="shared" ca="1" si="109"/>
        <v>4884803.9035</v>
      </c>
      <c r="FC179" s="7">
        <f t="shared" ca="1" si="109"/>
        <v>21970505.670000002</v>
      </c>
      <c r="FD179" s="7">
        <f t="shared" ca="1" si="109"/>
        <v>5894100.7965000002</v>
      </c>
      <c r="FE179" s="7">
        <f t="shared" ca="1" si="109"/>
        <v>1991377.31</v>
      </c>
      <c r="FF179" s="7">
        <f t="shared" ca="1" si="109"/>
        <v>3722187.2760000001</v>
      </c>
      <c r="FG179" s="7">
        <f t="shared" ca="1" si="109"/>
        <v>2767543.75</v>
      </c>
      <c r="FH179" s="7">
        <f t="shared" ca="1" si="109"/>
        <v>1735535.4975000001</v>
      </c>
      <c r="FI179" s="7">
        <f t="shared" ca="1" si="109"/>
        <v>21080079.802000001</v>
      </c>
      <c r="FJ179" s="7">
        <f t="shared" ca="1" si="109"/>
        <v>23028042.299999997</v>
      </c>
      <c r="FK179" s="7">
        <f t="shared" ca="1" si="109"/>
        <v>30258313.630000003</v>
      </c>
      <c r="FL179" s="7">
        <f t="shared" ca="1" si="109"/>
        <v>94310893.132499993</v>
      </c>
      <c r="FM179" s="7">
        <f t="shared" ca="1" si="109"/>
        <v>45024271.3235</v>
      </c>
      <c r="FN179" s="7">
        <f t="shared" ca="1" si="109"/>
        <v>266370825.75600001</v>
      </c>
      <c r="FO179" s="7">
        <f t="shared" ca="1" si="109"/>
        <v>13846353.949999999</v>
      </c>
      <c r="FP179" s="7">
        <f t="shared" ca="1" si="109"/>
        <v>28138920.386999998</v>
      </c>
      <c r="FQ179" s="7">
        <f t="shared" ca="1" si="109"/>
        <v>12333404.3455</v>
      </c>
      <c r="FR179" s="7">
        <f t="shared" ca="1" si="109"/>
        <v>3409546.327</v>
      </c>
      <c r="FS179" s="7">
        <f t="shared" ca="1" si="109"/>
        <v>3425421.11</v>
      </c>
      <c r="FT179" s="7">
        <f t="shared" ca="1" si="109"/>
        <v>1506104.6105</v>
      </c>
      <c r="FU179" s="7">
        <f t="shared" ca="1" si="109"/>
        <v>10797281.807499999</v>
      </c>
      <c r="FV179" s="7">
        <f t="shared" ca="1" si="109"/>
        <v>9321322.6289999988</v>
      </c>
      <c r="FW179" s="7">
        <f t="shared" ca="1" si="109"/>
        <v>3290841.9</v>
      </c>
      <c r="FX179" s="7">
        <f t="shared" ca="1" si="109"/>
        <v>1701192.38</v>
      </c>
      <c r="FY179" s="7">
        <f ca="1">IFERROR(__xludf.DUMMYFUNCTION("-(FY162+FY177)"),239487420.535999)</f>
        <v>239487420.535999</v>
      </c>
      <c r="FZ179" s="7">
        <f t="shared" ref="FZ179:FZ182" ca="1" si="110">SUM(C179:FY179)</f>
        <v>10031606090.207497</v>
      </c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</row>
    <row r="180" spans="1:204" ht="15.5" x14ac:dyDescent="0.35">
      <c r="A180" s="12" t="s">
        <v>728</v>
      </c>
      <c r="B180" s="7" t="s">
        <v>729</v>
      </c>
      <c r="C180" s="7">
        <f t="shared" ref="C180:FX180" ca="1" si="111">C164</f>
        <v>33577243.380000003</v>
      </c>
      <c r="D180" s="7">
        <f t="shared" ca="1" si="111"/>
        <v>117787428.8</v>
      </c>
      <c r="E180" s="7">
        <f t="shared" ca="1" si="111"/>
        <v>34609092.530000001</v>
      </c>
      <c r="F180" s="7">
        <f t="shared" ca="1" si="111"/>
        <v>89552335.959999993</v>
      </c>
      <c r="G180" s="7">
        <f t="shared" ca="1" si="111"/>
        <v>10475818.99</v>
      </c>
      <c r="H180" s="7">
        <f t="shared" ca="1" si="111"/>
        <v>3998572.46</v>
      </c>
      <c r="I180" s="7">
        <f t="shared" ca="1" si="111"/>
        <v>32845882.949999999</v>
      </c>
      <c r="J180" s="7">
        <f t="shared" ca="1" si="111"/>
        <v>5369700.25</v>
      </c>
      <c r="K180" s="7">
        <f t="shared" ca="1" si="111"/>
        <v>1412707.44</v>
      </c>
      <c r="L180" s="7">
        <f t="shared" ca="1" si="111"/>
        <v>24946524</v>
      </c>
      <c r="M180" s="7">
        <f t="shared" ca="1" si="111"/>
        <v>9276069.5800000001</v>
      </c>
      <c r="N180" s="7">
        <f t="shared" ca="1" si="111"/>
        <v>185685935.46000001</v>
      </c>
      <c r="O180" s="7">
        <f t="shared" ca="1" si="111"/>
        <v>72593761.25</v>
      </c>
      <c r="P180" s="7">
        <f t="shared" ca="1" si="111"/>
        <v>1588256.95</v>
      </c>
      <c r="Q180" s="7">
        <f t="shared" ca="1" si="111"/>
        <v>171134109.27000001</v>
      </c>
      <c r="R180" s="7">
        <f t="shared" ca="1" si="111"/>
        <v>2080510.09</v>
      </c>
      <c r="S180" s="7">
        <f t="shared" ca="1" si="111"/>
        <v>16247638.09</v>
      </c>
      <c r="T180" s="7">
        <f t="shared" ca="1" si="111"/>
        <v>680032.67</v>
      </c>
      <c r="U180" s="7">
        <f t="shared" ca="1" si="111"/>
        <v>777590.13</v>
      </c>
      <c r="V180" s="7">
        <f t="shared" ca="1" si="111"/>
        <v>1008815.56</v>
      </c>
      <c r="W180" s="7">
        <f t="shared" ca="1" si="111"/>
        <v>192272.2</v>
      </c>
      <c r="X180" s="7">
        <f t="shared" ca="1" si="111"/>
        <v>302532.28000000003</v>
      </c>
      <c r="Y180" s="7">
        <f t="shared" ca="1" si="111"/>
        <v>1890969.77</v>
      </c>
      <c r="Z180" s="7">
        <f t="shared" ca="1" si="111"/>
        <v>666922.79</v>
      </c>
      <c r="AA180" s="7">
        <f t="shared" ca="1" si="111"/>
        <v>144215553.08000001</v>
      </c>
      <c r="AB180" s="7">
        <f t="shared" ca="1" si="111"/>
        <v>271208587.55000001</v>
      </c>
      <c r="AC180" s="7">
        <f t="shared" ca="1" si="111"/>
        <v>9670432</v>
      </c>
      <c r="AD180" s="7">
        <f t="shared" ca="1" si="111"/>
        <v>10263843.880000001</v>
      </c>
      <c r="AE180" s="7">
        <f t="shared" ca="1" si="111"/>
        <v>604688.74</v>
      </c>
      <c r="AF180" s="7">
        <f t="shared" ca="1" si="111"/>
        <v>1033061.75</v>
      </c>
      <c r="AG180" s="7">
        <f t="shared" ca="1" si="111"/>
        <v>4734782.93</v>
      </c>
      <c r="AH180" s="7">
        <f t="shared" ca="1" si="111"/>
        <v>1045984.31</v>
      </c>
      <c r="AI180" s="7">
        <f t="shared" ca="1" si="111"/>
        <v>330500.75</v>
      </c>
      <c r="AJ180" s="7">
        <f t="shared" ca="1" si="111"/>
        <v>979442.45</v>
      </c>
      <c r="AK180" s="7">
        <f t="shared" ca="1" si="111"/>
        <v>1514364.5</v>
      </c>
      <c r="AL180" s="7">
        <f t="shared" ca="1" si="111"/>
        <v>2595295.0099999998</v>
      </c>
      <c r="AM180" s="7">
        <f t="shared" ca="1" si="111"/>
        <v>1394238.72</v>
      </c>
      <c r="AN180" s="7">
        <f t="shared" ca="1" si="111"/>
        <v>4336183.0599999996</v>
      </c>
      <c r="AO180" s="7">
        <f t="shared" ca="1" si="111"/>
        <v>15837800.24</v>
      </c>
      <c r="AP180" s="7">
        <f t="shared" ca="1" si="111"/>
        <v>742016456.49000001</v>
      </c>
      <c r="AQ180" s="7">
        <f t="shared" ca="1" si="111"/>
        <v>1732032.92</v>
      </c>
      <c r="AR180" s="7">
        <f t="shared" ca="1" si="111"/>
        <v>311877355.69</v>
      </c>
      <c r="AS180" s="7">
        <f t="shared" ca="1" si="111"/>
        <v>62611819.140000001</v>
      </c>
      <c r="AT180" s="7">
        <f t="shared" ca="1" si="111"/>
        <v>12409041.130000001</v>
      </c>
      <c r="AU180" s="7">
        <f t="shared" ca="1" si="111"/>
        <v>1937249.93</v>
      </c>
      <c r="AV180" s="7">
        <f t="shared" ca="1" si="111"/>
        <v>1349588.58</v>
      </c>
      <c r="AW180" s="7">
        <f t="shared" ca="1" si="111"/>
        <v>1057514.83</v>
      </c>
      <c r="AX180" s="7">
        <f t="shared" ca="1" si="111"/>
        <v>719065.36</v>
      </c>
      <c r="AY180" s="7">
        <f t="shared" ca="1" si="111"/>
        <v>1768111.62</v>
      </c>
      <c r="AZ180" s="7">
        <f t="shared" ca="1" si="111"/>
        <v>17337725.079999998</v>
      </c>
      <c r="BA180" s="7">
        <f t="shared" ca="1" si="111"/>
        <v>25970819.239999998</v>
      </c>
      <c r="BB180" s="7">
        <f t="shared" ca="1" si="111"/>
        <v>6912041.7000000002</v>
      </c>
      <c r="BC180" s="7">
        <f t="shared" ca="1" si="111"/>
        <v>95201124.590000004</v>
      </c>
      <c r="BD180" s="7">
        <f t="shared" ca="1" si="111"/>
        <v>16130942.439999999</v>
      </c>
      <c r="BE180" s="7">
        <f t="shared" ca="1" si="111"/>
        <v>5689440.1600000001</v>
      </c>
      <c r="BF180" s="7">
        <f t="shared" ca="1" si="111"/>
        <v>83804698.799999997</v>
      </c>
      <c r="BG180" s="7">
        <f t="shared" ca="1" si="111"/>
        <v>1985652.04</v>
      </c>
      <c r="BH180" s="7">
        <f t="shared" ca="1" si="111"/>
        <v>2259579.2000000002</v>
      </c>
      <c r="BI180" s="7">
        <f t="shared" ca="1" si="111"/>
        <v>771554.62</v>
      </c>
      <c r="BJ180" s="7">
        <f t="shared" ca="1" si="111"/>
        <v>27941855.199999999</v>
      </c>
      <c r="BK180" s="7">
        <f t="shared" ca="1" si="111"/>
        <v>52789523.340000004</v>
      </c>
      <c r="BL180" s="7">
        <f t="shared" ca="1" si="111"/>
        <v>243951.21</v>
      </c>
      <c r="BM180" s="7">
        <f t="shared" ca="1" si="111"/>
        <v>1243735.1100000001</v>
      </c>
      <c r="BN180" s="7">
        <f t="shared" ca="1" si="111"/>
        <v>11082040.890000001</v>
      </c>
      <c r="BO180" s="7">
        <f t="shared" ca="1" si="111"/>
        <v>4447847.04</v>
      </c>
      <c r="BP180" s="7">
        <f t="shared" ca="1" si="111"/>
        <v>2821545.07</v>
      </c>
      <c r="BQ180" s="7">
        <f t="shared" ca="1" si="111"/>
        <v>57040887.539999999</v>
      </c>
      <c r="BR180" s="7">
        <f t="shared" ca="1" si="111"/>
        <v>8744928.4399999995</v>
      </c>
      <c r="BS180" s="7">
        <f t="shared" ca="1" si="111"/>
        <v>2815547</v>
      </c>
      <c r="BT180" s="7">
        <f t="shared" ca="1" si="111"/>
        <v>3137615.12</v>
      </c>
      <c r="BU180" s="7">
        <f t="shared" ca="1" si="111"/>
        <v>2478519.9300000002</v>
      </c>
      <c r="BV180" s="7">
        <f t="shared" ca="1" si="111"/>
        <v>14630191.25</v>
      </c>
      <c r="BW180" s="7">
        <f t="shared" ca="1" si="111"/>
        <v>19409588.57</v>
      </c>
      <c r="BX180" s="7">
        <f t="shared" ca="1" si="111"/>
        <v>1236730.72</v>
      </c>
      <c r="BY180" s="7">
        <f t="shared" ca="1" si="111"/>
        <v>3616060.68</v>
      </c>
      <c r="BZ180" s="7">
        <f t="shared" ca="1" si="111"/>
        <v>1175134.96</v>
      </c>
      <c r="CA180" s="7">
        <f t="shared" ca="1" si="111"/>
        <v>2617736.09</v>
      </c>
      <c r="CB180" s="7">
        <f t="shared" ca="1" si="111"/>
        <v>416638613.31999999</v>
      </c>
      <c r="CC180" s="7">
        <f t="shared" ca="1" si="111"/>
        <v>566299.4</v>
      </c>
      <c r="CD180" s="7">
        <f t="shared" ca="1" si="111"/>
        <v>483279.27</v>
      </c>
      <c r="CE180" s="7">
        <f t="shared" ca="1" si="111"/>
        <v>1290584.8899999999</v>
      </c>
      <c r="CF180" s="7">
        <f t="shared" ca="1" si="111"/>
        <v>870142.04</v>
      </c>
      <c r="CG180" s="7">
        <f t="shared" ca="1" si="111"/>
        <v>772601.8</v>
      </c>
      <c r="CH180" s="7">
        <f t="shared" ca="1" si="111"/>
        <v>521640.66</v>
      </c>
      <c r="CI180" s="7">
        <f t="shared" ca="1" si="111"/>
        <v>3481702.32</v>
      </c>
      <c r="CJ180" s="7">
        <f t="shared" ca="1" si="111"/>
        <v>10497211.67</v>
      </c>
      <c r="CK180" s="7">
        <f t="shared" ca="1" si="111"/>
        <v>21248958.359999999</v>
      </c>
      <c r="CL180" s="7">
        <f t="shared" ca="1" si="111"/>
        <v>3452834.82</v>
      </c>
      <c r="CM180" s="7">
        <f t="shared" ca="1" si="111"/>
        <v>1769885.21</v>
      </c>
      <c r="CN180" s="7">
        <f t="shared" ca="1" si="111"/>
        <v>147207651.5</v>
      </c>
      <c r="CO180" s="7">
        <f t="shared" ca="1" si="111"/>
        <v>92221296.480000004</v>
      </c>
      <c r="CP180" s="7">
        <f t="shared" ca="1" si="111"/>
        <v>11494532.390000001</v>
      </c>
      <c r="CQ180" s="7">
        <f t="shared" ca="1" si="111"/>
        <v>2874655.31</v>
      </c>
      <c r="CR180" s="7">
        <f t="shared" ca="1" si="111"/>
        <v>346603.92</v>
      </c>
      <c r="CS180" s="7">
        <f t="shared" ca="1" si="111"/>
        <v>1574481.3</v>
      </c>
      <c r="CT180" s="7">
        <f t="shared" ca="1" si="111"/>
        <v>640595.26</v>
      </c>
      <c r="CU180" s="7">
        <f t="shared" ca="1" si="111"/>
        <v>488135.92</v>
      </c>
      <c r="CV180" s="7">
        <f t="shared" ca="1" si="111"/>
        <v>434541.68</v>
      </c>
      <c r="CW180" s="7">
        <f t="shared" ca="1" si="111"/>
        <v>1165895.18</v>
      </c>
      <c r="CX180" s="7">
        <f t="shared" ca="1" si="111"/>
        <v>2424579.8199999998</v>
      </c>
      <c r="CY180" s="7">
        <f t="shared" ca="1" si="111"/>
        <v>189218.58</v>
      </c>
      <c r="CZ180" s="7">
        <f t="shared" ca="1" si="111"/>
        <v>7372069.5800000001</v>
      </c>
      <c r="DA180" s="7">
        <f t="shared" ca="1" si="111"/>
        <v>1355180.65</v>
      </c>
      <c r="DB180" s="7">
        <f t="shared" ca="1" si="111"/>
        <v>1342257.53</v>
      </c>
      <c r="DC180" s="7">
        <f t="shared" ca="1" si="111"/>
        <v>1268221.76</v>
      </c>
      <c r="DD180" s="7">
        <f t="shared" ca="1" si="111"/>
        <v>844241.19</v>
      </c>
      <c r="DE180" s="7">
        <f t="shared" ca="1" si="111"/>
        <v>1922411.37</v>
      </c>
      <c r="DF180" s="7">
        <f t="shared" ca="1" si="111"/>
        <v>84416144.030000001</v>
      </c>
      <c r="DG180" s="7">
        <f t="shared" ca="1" si="111"/>
        <v>1634265.84</v>
      </c>
      <c r="DH180" s="7">
        <f t="shared" ca="1" si="111"/>
        <v>10342493.49</v>
      </c>
      <c r="DI180" s="7">
        <f t="shared" ca="1" si="111"/>
        <v>13355468.51</v>
      </c>
      <c r="DJ180" s="7">
        <f t="shared" ca="1" si="111"/>
        <v>1953362.57</v>
      </c>
      <c r="DK180" s="7">
        <f t="shared" ca="1" si="111"/>
        <v>1399816.34</v>
      </c>
      <c r="DL180" s="7">
        <f t="shared" ca="1" si="111"/>
        <v>25970127.100000001</v>
      </c>
      <c r="DM180" s="7">
        <f t="shared" ca="1" si="111"/>
        <v>752148.07</v>
      </c>
      <c r="DN180" s="7">
        <f t="shared" ca="1" si="111"/>
        <v>7600080.4699999997</v>
      </c>
      <c r="DO180" s="7">
        <f t="shared" ca="1" si="111"/>
        <v>10668740.42</v>
      </c>
      <c r="DP180" s="7">
        <f t="shared" ca="1" si="111"/>
        <v>983922.03</v>
      </c>
      <c r="DQ180" s="7">
        <f t="shared" ca="1" si="111"/>
        <v>9645874.9100000001</v>
      </c>
      <c r="DR180" s="7">
        <f t="shared" ca="1" si="111"/>
        <v>2673753.23</v>
      </c>
      <c r="DS180" s="7">
        <f t="shared" ca="1" si="111"/>
        <v>1259296.8400000001</v>
      </c>
      <c r="DT180" s="7">
        <f t="shared" ca="1" si="111"/>
        <v>338951.41</v>
      </c>
      <c r="DU180" s="7">
        <f t="shared" ca="1" si="111"/>
        <v>865981.64</v>
      </c>
      <c r="DV180" s="7">
        <f t="shared" ca="1" si="111"/>
        <v>274476.63</v>
      </c>
      <c r="DW180" s="7">
        <f t="shared" ca="1" si="111"/>
        <v>588987.84</v>
      </c>
      <c r="DX180" s="7">
        <f t="shared" ca="1" si="111"/>
        <v>2731791.86</v>
      </c>
      <c r="DY180" s="7">
        <f t="shared" ca="1" si="111"/>
        <v>3938915.69</v>
      </c>
      <c r="DZ180" s="7">
        <f t="shared" ca="1" si="111"/>
        <v>5963994.6600000001</v>
      </c>
      <c r="EA180" s="7">
        <f t="shared" ca="1" si="111"/>
        <v>6767044.4100000001</v>
      </c>
      <c r="EB180" s="7">
        <f t="shared" ca="1" si="111"/>
        <v>2348640.4900000002</v>
      </c>
      <c r="EC180" s="7">
        <f t="shared" ca="1" si="111"/>
        <v>1040020.86</v>
      </c>
      <c r="ED180" s="7">
        <f t="shared" ca="1" si="111"/>
        <v>22975691.149999999</v>
      </c>
      <c r="EE180" s="7">
        <f t="shared" ca="1" si="111"/>
        <v>510968.07</v>
      </c>
      <c r="EF180" s="7">
        <f t="shared" ca="1" si="111"/>
        <v>2622923.2599999998</v>
      </c>
      <c r="EG180" s="7">
        <f t="shared" ca="1" si="111"/>
        <v>844767.48</v>
      </c>
      <c r="EH180" s="7">
        <f t="shared" ca="1" si="111"/>
        <v>406658.66</v>
      </c>
      <c r="EI180" s="7">
        <f t="shared" ca="1" si="111"/>
        <v>39946316.340000004</v>
      </c>
      <c r="EJ180" s="7">
        <f t="shared" ca="1" si="111"/>
        <v>31180728.02</v>
      </c>
      <c r="EK180" s="7">
        <f t="shared" ca="1" si="111"/>
        <v>2804928.78</v>
      </c>
      <c r="EL180" s="7">
        <f t="shared" ca="1" si="111"/>
        <v>1624026.38</v>
      </c>
      <c r="EM180" s="7">
        <f t="shared" ca="1" si="111"/>
        <v>2895360.55</v>
      </c>
      <c r="EN180" s="7">
        <f t="shared" ca="1" si="111"/>
        <v>2363854.16</v>
      </c>
      <c r="EO180" s="7">
        <f t="shared" ca="1" si="111"/>
        <v>1263067.77</v>
      </c>
      <c r="EP180" s="7">
        <f t="shared" ca="1" si="111"/>
        <v>4418734.6100000003</v>
      </c>
      <c r="EQ180" s="7">
        <f t="shared" ca="1" si="111"/>
        <v>10812027.029999999</v>
      </c>
      <c r="ER180" s="7">
        <f t="shared" ca="1" si="111"/>
        <v>3521620.56</v>
      </c>
      <c r="ES180" s="7">
        <f t="shared" ca="1" si="111"/>
        <v>990536.63</v>
      </c>
      <c r="ET180" s="7">
        <f t="shared" ca="1" si="111"/>
        <v>1344826.03</v>
      </c>
      <c r="EU180" s="7">
        <f t="shared" ca="1" si="111"/>
        <v>1262470.6599999999</v>
      </c>
      <c r="EV180" s="7">
        <f t="shared" ca="1" si="111"/>
        <v>1169680.98</v>
      </c>
      <c r="EW180" s="7">
        <f t="shared" ca="1" si="111"/>
        <v>10348237.560000001</v>
      </c>
      <c r="EX180" s="7">
        <f t="shared" ca="1" si="111"/>
        <v>532881.63</v>
      </c>
      <c r="EY180" s="7">
        <f t="shared" ca="1" si="111"/>
        <v>1091770.17</v>
      </c>
      <c r="EZ180" s="7">
        <f t="shared" ca="1" si="111"/>
        <v>872496.27</v>
      </c>
      <c r="FA180" s="7">
        <f t="shared" ca="1" si="111"/>
        <v>40047070.049999997</v>
      </c>
      <c r="FB180" s="7">
        <f t="shared" ca="1" si="111"/>
        <v>3932608.61</v>
      </c>
      <c r="FC180" s="7">
        <f t="shared" ca="1" si="111"/>
        <v>12553968.560000001</v>
      </c>
      <c r="FD180" s="7">
        <f t="shared" ca="1" si="111"/>
        <v>1491995.87</v>
      </c>
      <c r="FE180" s="7">
        <f t="shared" ca="1" si="111"/>
        <v>600121.77</v>
      </c>
      <c r="FF180" s="7">
        <f t="shared" ca="1" si="111"/>
        <v>650288.61</v>
      </c>
      <c r="FG180" s="7">
        <f t="shared" ca="1" si="111"/>
        <v>922833.97</v>
      </c>
      <c r="FH180" s="7">
        <f t="shared" ca="1" si="111"/>
        <v>927049.81</v>
      </c>
      <c r="FI180" s="7">
        <f t="shared" ca="1" si="111"/>
        <v>12998399.960000001</v>
      </c>
      <c r="FJ180" s="7">
        <f t="shared" ca="1" si="111"/>
        <v>17909216.940000001</v>
      </c>
      <c r="FK180" s="7">
        <f t="shared" ca="1" si="111"/>
        <v>23974924.719999999</v>
      </c>
      <c r="FL180" s="7">
        <f t="shared" ca="1" si="111"/>
        <v>50925923.810000002</v>
      </c>
      <c r="FM180" s="7">
        <f t="shared" ca="1" si="111"/>
        <v>30736478.370000001</v>
      </c>
      <c r="FN180" s="7">
        <f t="shared" ca="1" si="111"/>
        <v>64872439.649999999</v>
      </c>
      <c r="FO180" s="7">
        <f t="shared" ca="1" si="111"/>
        <v>13016671.140000001</v>
      </c>
      <c r="FP180" s="7">
        <f t="shared" ca="1" si="111"/>
        <v>12907696.43</v>
      </c>
      <c r="FQ180" s="7">
        <f t="shared" ca="1" si="111"/>
        <v>11916852.42</v>
      </c>
      <c r="FR180" s="7">
        <f t="shared" ca="1" si="111"/>
        <v>3130149.89</v>
      </c>
      <c r="FS180" s="7">
        <f t="shared" ca="1" si="111"/>
        <v>2607869.35</v>
      </c>
      <c r="FT180" s="7">
        <f t="shared" ca="1" si="111"/>
        <v>1409384.44</v>
      </c>
      <c r="FU180" s="7">
        <f t="shared" ca="1" si="111"/>
        <v>3611248.01</v>
      </c>
      <c r="FV180" s="7">
        <f t="shared" ca="1" si="111"/>
        <v>2647491.92</v>
      </c>
      <c r="FW180" s="7">
        <f t="shared" ca="1" si="111"/>
        <v>457482.45</v>
      </c>
      <c r="FX180" s="7">
        <f t="shared" ca="1" si="111"/>
        <v>400056.72</v>
      </c>
      <c r="FY180" s="7">
        <v>0</v>
      </c>
      <c r="FZ180" s="7">
        <f t="shared" ca="1" si="110"/>
        <v>4294208152.2800016</v>
      </c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</row>
    <row r="181" spans="1:204" ht="15.5" x14ac:dyDescent="0.35">
      <c r="A181" s="12" t="s">
        <v>730</v>
      </c>
      <c r="B181" s="7" t="s">
        <v>731</v>
      </c>
      <c r="C181" s="7">
        <f t="shared" ref="C181:FX181" si="112">C165</f>
        <v>2560686.85</v>
      </c>
      <c r="D181" s="7">
        <f t="shared" si="112"/>
        <v>5893861.0700000003</v>
      </c>
      <c r="E181" s="7">
        <f t="shared" si="112"/>
        <v>1533589.31</v>
      </c>
      <c r="F181" s="7">
        <f t="shared" si="112"/>
        <v>8621939.0800000001</v>
      </c>
      <c r="G181" s="7">
        <f t="shared" si="112"/>
        <v>607002.37</v>
      </c>
      <c r="H181" s="7">
        <f t="shared" si="112"/>
        <v>55490.34</v>
      </c>
      <c r="I181" s="7">
        <f t="shared" si="112"/>
        <v>1650259.9</v>
      </c>
      <c r="J181" s="7">
        <f t="shared" si="112"/>
        <v>547848.93999999994</v>
      </c>
      <c r="K181" s="7">
        <f t="shared" si="112"/>
        <v>149089.71</v>
      </c>
      <c r="L181" s="7">
        <f t="shared" si="112"/>
        <v>1508705.62</v>
      </c>
      <c r="M181" s="7">
        <f t="shared" si="112"/>
        <v>497059.11</v>
      </c>
      <c r="N181" s="7">
        <f t="shared" si="112"/>
        <v>13016108.810000001</v>
      </c>
      <c r="O181" s="7">
        <f t="shared" si="112"/>
        <v>5532329.25</v>
      </c>
      <c r="P181" s="7">
        <f t="shared" si="112"/>
        <v>88257.72</v>
      </c>
      <c r="Q181" s="7">
        <f t="shared" si="112"/>
        <v>9691721</v>
      </c>
      <c r="R181" s="7">
        <f t="shared" si="112"/>
        <v>107971.01</v>
      </c>
      <c r="S181" s="7">
        <f t="shared" si="112"/>
        <v>1090460.56</v>
      </c>
      <c r="T181" s="7">
        <f t="shared" si="112"/>
        <v>8030.7</v>
      </c>
      <c r="U181" s="7">
        <f t="shared" si="112"/>
        <v>72131.58</v>
      </c>
      <c r="V181" s="7">
        <f t="shared" si="112"/>
        <v>88788.87</v>
      </c>
      <c r="W181" s="7">
        <f t="shared" si="112"/>
        <v>18955.97</v>
      </c>
      <c r="X181" s="7">
        <f t="shared" si="112"/>
        <v>26336.28</v>
      </c>
      <c r="Y181" s="7">
        <f t="shared" si="112"/>
        <v>141119.24</v>
      </c>
      <c r="Z181" s="7">
        <f t="shared" si="112"/>
        <v>64405.89</v>
      </c>
      <c r="AA181" s="7">
        <f t="shared" si="112"/>
        <v>7031649.9000000004</v>
      </c>
      <c r="AB181" s="7">
        <f t="shared" si="112"/>
        <v>13084314.060000001</v>
      </c>
      <c r="AC181" s="7">
        <f t="shared" si="112"/>
        <v>755081.04</v>
      </c>
      <c r="AD181" s="7">
        <f t="shared" si="112"/>
        <v>788299.15</v>
      </c>
      <c r="AE181" s="7">
        <f t="shared" si="112"/>
        <v>62608.6</v>
      </c>
      <c r="AF181" s="7">
        <f t="shared" si="112"/>
        <v>99519.48</v>
      </c>
      <c r="AG181" s="7">
        <f t="shared" si="112"/>
        <v>342263</v>
      </c>
      <c r="AH181" s="7">
        <f t="shared" si="112"/>
        <v>167760.49</v>
      </c>
      <c r="AI181" s="7">
        <f t="shared" si="112"/>
        <v>57733.29</v>
      </c>
      <c r="AJ181" s="7">
        <f t="shared" si="112"/>
        <v>143887.04000000001</v>
      </c>
      <c r="AK181" s="7">
        <f t="shared" si="112"/>
        <v>51657.68</v>
      </c>
      <c r="AL181" s="7">
        <f t="shared" si="112"/>
        <v>140572.76</v>
      </c>
      <c r="AM181" s="7">
        <f t="shared" si="112"/>
        <v>112017.04</v>
      </c>
      <c r="AN181" s="7">
        <f t="shared" si="112"/>
        <v>534213.55000000005</v>
      </c>
      <c r="AO181" s="7">
        <f t="shared" si="112"/>
        <v>1789029.78</v>
      </c>
      <c r="AP181" s="7">
        <f t="shared" si="112"/>
        <v>37511674.450000003</v>
      </c>
      <c r="AQ181" s="7">
        <f t="shared" si="112"/>
        <v>117578.77</v>
      </c>
      <c r="AR181" s="7">
        <f t="shared" si="112"/>
        <v>20939020.390000001</v>
      </c>
      <c r="AS181" s="7">
        <f t="shared" si="112"/>
        <v>3102494.63</v>
      </c>
      <c r="AT181" s="7">
        <f t="shared" si="112"/>
        <v>1165025.0900000001</v>
      </c>
      <c r="AU181" s="7">
        <f t="shared" si="112"/>
        <v>199381.71</v>
      </c>
      <c r="AV181" s="7">
        <f t="shared" si="112"/>
        <v>170342.12</v>
      </c>
      <c r="AW181" s="7">
        <f t="shared" si="112"/>
        <v>116296.69</v>
      </c>
      <c r="AX181" s="7">
        <f t="shared" si="112"/>
        <v>84285.96</v>
      </c>
      <c r="AY181" s="7">
        <f t="shared" si="112"/>
        <v>137273.78</v>
      </c>
      <c r="AZ181" s="7">
        <f t="shared" si="112"/>
        <v>1582169.7</v>
      </c>
      <c r="BA181" s="7">
        <f t="shared" si="112"/>
        <v>2390410.06</v>
      </c>
      <c r="BB181" s="7">
        <f t="shared" si="112"/>
        <v>507446.07</v>
      </c>
      <c r="BC181" s="7">
        <f t="shared" si="112"/>
        <v>8608146.8300000001</v>
      </c>
      <c r="BD181" s="7">
        <f t="shared" si="112"/>
        <v>1380661.41</v>
      </c>
      <c r="BE181" s="7">
        <f t="shared" si="112"/>
        <v>465282.08</v>
      </c>
      <c r="BF181" s="7">
        <f t="shared" si="112"/>
        <v>7512114.3899999997</v>
      </c>
      <c r="BG181" s="7">
        <f t="shared" si="112"/>
        <v>128664.05</v>
      </c>
      <c r="BH181" s="7">
        <f t="shared" si="112"/>
        <v>189864.58</v>
      </c>
      <c r="BI181" s="7">
        <f t="shared" si="112"/>
        <v>72393.7</v>
      </c>
      <c r="BJ181" s="7">
        <f t="shared" si="112"/>
        <v>1999682.04</v>
      </c>
      <c r="BK181" s="7">
        <f t="shared" si="112"/>
        <v>3680646.98</v>
      </c>
      <c r="BL181" s="7">
        <f t="shared" si="112"/>
        <v>17783.759999999998</v>
      </c>
      <c r="BM181" s="7">
        <f t="shared" si="112"/>
        <v>98110.03</v>
      </c>
      <c r="BN181" s="7">
        <f t="shared" si="112"/>
        <v>1169134.1200000001</v>
      </c>
      <c r="BO181" s="7">
        <f t="shared" si="112"/>
        <v>384843.3</v>
      </c>
      <c r="BP181" s="7">
        <f t="shared" si="112"/>
        <v>238915.94</v>
      </c>
      <c r="BQ181" s="7">
        <f t="shared" si="112"/>
        <v>2221039.2200000002</v>
      </c>
      <c r="BR181" s="7">
        <f t="shared" si="112"/>
        <v>599679.81000000006</v>
      </c>
      <c r="BS181" s="7">
        <f t="shared" si="112"/>
        <v>319211.21999999997</v>
      </c>
      <c r="BT181" s="7">
        <f t="shared" si="112"/>
        <v>165924.15</v>
      </c>
      <c r="BU181" s="7">
        <f t="shared" si="112"/>
        <v>96214.02</v>
      </c>
      <c r="BV181" s="7">
        <f t="shared" si="112"/>
        <v>775400.17</v>
      </c>
      <c r="BW181" s="7">
        <f t="shared" si="112"/>
        <v>881978.83</v>
      </c>
      <c r="BX181" s="7">
        <f t="shared" si="112"/>
        <v>94147.65</v>
      </c>
      <c r="BY181" s="7">
        <f t="shared" si="112"/>
        <v>328469.07</v>
      </c>
      <c r="BZ181" s="7">
        <f t="shared" si="112"/>
        <v>94435.42</v>
      </c>
      <c r="CA181" s="7">
        <f t="shared" si="112"/>
        <v>369516.28</v>
      </c>
      <c r="CB181" s="7">
        <f t="shared" si="112"/>
        <v>25092860.210000001</v>
      </c>
      <c r="CC181" s="7">
        <f t="shared" si="112"/>
        <v>6719.14</v>
      </c>
      <c r="CD181" s="7">
        <f t="shared" si="112"/>
        <v>92314.27</v>
      </c>
      <c r="CE181" s="7">
        <f t="shared" si="112"/>
        <v>121704.85</v>
      </c>
      <c r="CF181" s="7">
        <f t="shared" si="112"/>
        <v>86249.11</v>
      </c>
      <c r="CG181" s="7">
        <f t="shared" si="112"/>
        <v>62583.839999999997</v>
      </c>
      <c r="CH181" s="7">
        <f t="shared" si="112"/>
        <v>31013.25</v>
      </c>
      <c r="CI181" s="7">
        <f t="shared" si="112"/>
        <v>258674.55</v>
      </c>
      <c r="CJ181" s="7">
        <f t="shared" si="112"/>
        <v>426066.47</v>
      </c>
      <c r="CK181" s="7">
        <f t="shared" si="112"/>
        <v>1750071.31</v>
      </c>
      <c r="CL181" s="7">
        <f t="shared" si="112"/>
        <v>245364.2</v>
      </c>
      <c r="CM181" s="7">
        <f t="shared" si="112"/>
        <v>191892.09</v>
      </c>
      <c r="CN181" s="7">
        <f t="shared" si="112"/>
        <v>8815625.7400000002</v>
      </c>
      <c r="CO181" s="7">
        <f t="shared" si="112"/>
        <v>5549747.4500000002</v>
      </c>
      <c r="CP181" s="7">
        <f t="shared" si="112"/>
        <v>770993.74</v>
      </c>
      <c r="CQ181" s="7">
        <f t="shared" si="112"/>
        <v>416736.65</v>
      </c>
      <c r="CR181" s="7">
        <f t="shared" si="112"/>
        <v>78141.490000000005</v>
      </c>
      <c r="CS181" s="7">
        <f t="shared" si="112"/>
        <v>240994.83</v>
      </c>
      <c r="CT181" s="7">
        <f t="shared" si="112"/>
        <v>91274.86</v>
      </c>
      <c r="CU181" s="7">
        <f t="shared" si="112"/>
        <v>53855.1</v>
      </c>
      <c r="CV181" s="7">
        <f t="shared" si="112"/>
        <v>41708.230000000003</v>
      </c>
      <c r="CW181" s="7">
        <f t="shared" si="112"/>
        <v>176440.45</v>
      </c>
      <c r="CX181" s="7">
        <f t="shared" si="112"/>
        <v>236614.89</v>
      </c>
      <c r="CY181" s="7">
        <f t="shared" si="112"/>
        <v>20968.009999999998</v>
      </c>
      <c r="CZ181" s="7">
        <f t="shared" si="112"/>
        <v>758934.99</v>
      </c>
      <c r="DA181" s="7">
        <f t="shared" si="112"/>
        <v>161197.35</v>
      </c>
      <c r="DB181" s="7">
        <f t="shared" si="112"/>
        <v>124091.36</v>
      </c>
      <c r="DC181" s="7">
        <f t="shared" si="112"/>
        <v>157117.60999999999</v>
      </c>
      <c r="DD181" s="7">
        <f t="shared" si="112"/>
        <v>87319.42</v>
      </c>
      <c r="DE181" s="7">
        <f t="shared" si="112"/>
        <v>230376.64</v>
      </c>
      <c r="DF181" s="7">
        <f t="shared" si="112"/>
        <v>7931372.8899999997</v>
      </c>
      <c r="DG181" s="7">
        <f t="shared" si="112"/>
        <v>142288.07</v>
      </c>
      <c r="DH181" s="7">
        <f t="shared" si="112"/>
        <v>973344.63</v>
      </c>
      <c r="DI181" s="7">
        <f t="shared" si="112"/>
        <v>1314255.48</v>
      </c>
      <c r="DJ181" s="7">
        <f t="shared" si="112"/>
        <v>163354.1</v>
      </c>
      <c r="DK181" s="7">
        <f t="shared" si="112"/>
        <v>90233.65</v>
      </c>
      <c r="DL181" s="7">
        <f t="shared" si="112"/>
        <v>2704099.51</v>
      </c>
      <c r="DM181" s="7">
        <f t="shared" si="112"/>
        <v>80754.929999999993</v>
      </c>
      <c r="DN181" s="7">
        <f t="shared" si="112"/>
        <v>617000.51</v>
      </c>
      <c r="DO181" s="7">
        <f t="shared" si="112"/>
        <v>788407.76</v>
      </c>
      <c r="DP181" s="7">
        <f t="shared" si="112"/>
        <v>62459.3</v>
      </c>
      <c r="DQ181" s="7">
        <f t="shared" si="112"/>
        <v>497654.79</v>
      </c>
      <c r="DR181" s="7">
        <f t="shared" si="112"/>
        <v>371954.19</v>
      </c>
      <c r="DS181" s="7">
        <f t="shared" si="112"/>
        <v>221168.19</v>
      </c>
      <c r="DT181" s="7">
        <f t="shared" si="112"/>
        <v>56709.85</v>
      </c>
      <c r="DU181" s="7">
        <f t="shared" si="112"/>
        <v>128077.61</v>
      </c>
      <c r="DV181" s="7">
        <f t="shared" si="112"/>
        <v>51103.51</v>
      </c>
      <c r="DW181" s="7">
        <f t="shared" si="112"/>
        <v>114371.26</v>
      </c>
      <c r="DX181" s="7">
        <f t="shared" si="112"/>
        <v>148269.19</v>
      </c>
      <c r="DY181" s="7">
        <f t="shared" si="112"/>
        <v>246747.81</v>
      </c>
      <c r="DZ181" s="7">
        <f t="shared" si="112"/>
        <v>425356.04</v>
      </c>
      <c r="EA181" s="7">
        <f t="shared" si="112"/>
        <v>700118.12</v>
      </c>
      <c r="EB181" s="7">
        <f t="shared" si="112"/>
        <v>256195.04</v>
      </c>
      <c r="EC181" s="7">
        <f t="shared" si="112"/>
        <v>113432.63</v>
      </c>
      <c r="ED181" s="7">
        <f t="shared" si="112"/>
        <v>711930.54</v>
      </c>
      <c r="EE181" s="7">
        <f t="shared" si="112"/>
        <v>67348.02</v>
      </c>
      <c r="EF181" s="7">
        <f t="shared" si="112"/>
        <v>336479.58</v>
      </c>
      <c r="EG181" s="7">
        <f t="shared" si="112"/>
        <v>116568.87</v>
      </c>
      <c r="EH181" s="7">
        <f t="shared" si="112"/>
        <v>52622.38</v>
      </c>
      <c r="EI181" s="7">
        <f t="shared" si="112"/>
        <v>3203402.36</v>
      </c>
      <c r="EJ181" s="7">
        <f t="shared" si="112"/>
        <v>2293388.59</v>
      </c>
      <c r="EK181" s="7">
        <f t="shared" si="112"/>
        <v>133472.82999999999</v>
      </c>
      <c r="EL181" s="7">
        <f t="shared" si="112"/>
        <v>87668.64</v>
      </c>
      <c r="EM181" s="7">
        <f t="shared" si="112"/>
        <v>287432.94</v>
      </c>
      <c r="EN181" s="7">
        <f t="shared" si="112"/>
        <v>276609.03000000003</v>
      </c>
      <c r="EO181" s="7">
        <f t="shared" si="112"/>
        <v>115921.81</v>
      </c>
      <c r="EP181" s="7">
        <f t="shared" si="112"/>
        <v>211442.66</v>
      </c>
      <c r="EQ181" s="7">
        <f t="shared" si="112"/>
        <v>943823.96</v>
      </c>
      <c r="ER181" s="7">
        <f t="shared" si="112"/>
        <v>210772.92</v>
      </c>
      <c r="ES181" s="7">
        <f t="shared" si="112"/>
        <v>234274.46</v>
      </c>
      <c r="ET181" s="7">
        <f t="shared" si="112"/>
        <v>130038.67</v>
      </c>
      <c r="EU181" s="7">
        <f t="shared" si="112"/>
        <v>176769.81</v>
      </c>
      <c r="EV181" s="7">
        <f t="shared" si="112"/>
        <v>75842.8</v>
      </c>
      <c r="EW181" s="7">
        <f t="shared" si="112"/>
        <v>319722.75</v>
      </c>
      <c r="EX181" s="7">
        <f t="shared" si="112"/>
        <v>21080.99</v>
      </c>
      <c r="EY181" s="7">
        <f t="shared" si="112"/>
        <v>109249.08</v>
      </c>
      <c r="EZ181" s="7">
        <f t="shared" si="112"/>
        <v>96378.18</v>
      </c>
      <c r="FA181" s="7">
        <f t="shared" si="112"/>
        <v>1752049.95</v>
      </c>
      <c r="FB181" s="7">
        <f t="shared" si="112"/>
        <v>337716.29</v>
      </c>
      <c r="FC181" s="7">
        <f t="shared" si="112"/>
        <v>899627.18</v>
      </c>
      <c r="FD181" s="7">
        <f t="shared" si="112"/>
        <v>161761.99</v>
      </c>
      <c r="FE181" s="7">
        <f t="shared" si="112"/>
        <v>69042.38</v>
      </c>
      <c r="FF181" s="7">
        <f t="shared" si="112"/>
        <v>73860.83</v>
      </c>
      <c r="FG181" s="7">
        <f t="shared" si="112"/>
        <v>87094.12</v>
      </c>
      <c r="FH181" s="7">
        <f t="shared" si="112"/>
        <v>113911.19</v>
      </c>
      <c r="FI181" s="7">
        <f t="shared" si="112"/>
        <v>713196.77</v>
      </c>
      <c r="FJ181" s="7">
        <f t="shared" si="112"/>
        <v>972386.27</v>
      </c>
      <c r="FK181" s="7">
        <f t="shared" si="112"/>
        <v>939801.96</v>
      </c>
      <c r="FL181" s="7">
        <f t="shared" si="112"/>
        <v>2258274.66</v>
      </c>
      <c r="FM181" s="7">
        <f t="shared" si="112"/>
        <v>928178.88</v>
      </c>
      <c r="FN181" s="7">
        <f t="shared" si="112"/>
        <v>3326474.74</v>
      </c>
      <c r="FO181" s="7">
        <f t="shared" si="112"/>
        <v>828285.09</v>
      </c>
      <c r="FP181" s="7">
        <f t="shared" si="112"/>
        <v>721678.08</v>
      </c>
      <c r="FQ181" s="7">
        <f t="shared" si="112"/>
        <v>416551.92</v>
      </c>
      <c r="FR181" s="7">
        <f t="shared" si="112"/>
        <v>279396.44</v>
      </c>
      <c r="FS181" s="7">
        <f t="shared" si="112"/>
        <v>97661.47</v>
      </c>
      <c r="FT181" s="7">
        <f t="shared" si="112"/>
        <v>96720.17</v>
      </c>
      <c r="FU181" s="7">
        <f t="shared" si="112"/>
        <v>339889.24</v>
      </c>
      <c r="FV181" s="7">
        <f t="shared" si="112"/>
        <v>211677.84</v>
      </c>
      <c r="FW181" s="7">
        <f t="shared" si="112"/>
        <v>49670.92</v>
      </c>
      <c r="FX181" s="7">
        <f t="shared" si="112"/>
        <v>39112.400000000001</v>
      </c>
      <c r="FY181" s="7">
        <v>0</v>
      </c>
      <c r="FZ181" s="7">
        <f t="shared" si="110"/>
        <v>269151058.32000005</v>
      </c>
      <c r="GB181" s="7"/>
      <c r="GC181" s="7"/>
      <c r="GD181" s="7"/>
      <c r="GE181" s="15"/>
      <c r="GF181" s="15"/>
      <c r="GG181" s="15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</row>
    <row r="182" spans="1:204" ht="15.5" x14ac:dyDescent="0.35">
      <c r="A182" s="12" t="s">
        <v>732</v>
      </c>
      <c r="B182" s="7" t="s">
        <v>733</v>
      </c>
      <c r="C182" s="7">
        <f t="shared" ref="C182:FY182" ca="1" si="113">C179-C180-C181</f>
        <v>44515956.4745</v>
      </c>
      <c r="D182" s="7">
        <f t="shared" ca="1" si="113"/>
        <v>271341801.1285001</v>
      </c>
      <c r="E182" s="7">
        <f t="shared" ca="1" si="113"/>
        <v>28009983.190499995</v>
      </c>
      <c r="F182" s="7">
        <f t="shared" ca="1" si="113"/>
        <v>172839299.10750005</v>
      </c>
      <c r="G182" s="7">
        <f t="shared" ca="1" si="113"/>
        <v>11666262.285</v>
      </c>
      <c r="H182" s="7">
        <f t="shared" ca="1" si="113"/>
        <v>9700284.8520000018</v>
      </c>
      <c r="I182" s="7">
        <f t="shared" ca="1" si="113"/>
        <v>55944051.20000001</v>
      </c>
      <c r="J182" s="7">
        <f t="shared" ca="1" si="113"/>
        <v>18946441.853</v>
      </c>
      <c r="K182" s="7">
        <f t="shared" ca="1" si="113"/>
        <v>2813489.0375000001</v>
      </c>
      <c r="L182" s="7">
        <f t="shared" ca="1" si="113"/>
        <v>427.80399999860674</v>
      </c>
      <c r="M182" s="7">
        <f t="shared" ca="1" si="113"/>
        <v>3940901.57</v>
      </c>
      <c r="N182" s="7">
        <f t="shared" ca="1" si="113"/>
        <v>394310163.70099992</v>
      </c>
      <c r="O182" s="7">
        <f t="shared" ca="1" si="113"/>
        <v>66227724.275999993</v>
      </c>
      <c r="P182" s="7">
        <f t="shared" ca="1" si="113"/>
        <v>3669876.1754999994</v>
      </c>
      <c r="Q182" s="7">
        <f t="shared" ca="1" si="113"/>
        <v>296113275.01700008</v>
      </c>
      <c r="R182" s="7">
        <f t="shared" ca="1" si="113"/>
        <v>78597079.999499992</v>
      </c>
      <c r="S182" s="7">
        <f t="shared" ca="1" si="113"/>
        <v>2300219.1639999994</v>
      </c>
      <c r="T182" s="7">
        <f t="shared" ca="1" si="113"/>
        <v>2677980.5255</v>
      </c>
      <c r="U182" s="7">
        <f t="shared" ca="1" si="113"/>
        <v>584617.6399999999</v>
      </c>
      <c r="V182" s="7">
        <f t="shared" ca="1" si="113"/>
        <v>3305674.5439999993</v>
      </c>
      <c r="W182" s="7">
        <f t="shared" ca="1" si="113"/>
        <v>2590303.5199999996</v>
      </c>
      <c r="X182" s="7">
        <f t="shared" ca="1" si="113"/>
        <v>973224.98149999999</v>
      </c>
      <c r="Y182" s="7">
        <f t="shared" ca="1" si="113"/>
        <v>9472172.756000001</v>
      </c>
      <c r="Z182" s="7">
        <f t="shared" ca="1" si="113"/>
        <v>3221770.5469999998</v>
      </c>
      <c r="AA182" s="7">
        <f t="shared" ca="1" si="113"/>
        <v>202397529.71399999</v>
      </c>
      <c r="AB182" s="7">
        <f t="shared" ca="1" si="113"/>
        <v>29224771.077499986</v>
      </c>
      <c r="AC182" s="7">
        <f t="shared" ca="1" si="113"/>
        <v>1013752.4764999999</v>
      </c>
      <c r="AD182" s="7">
        <f t="shared" ca="1" si="113"/>
        <v>4139610.5354999998</v>
      </c>
      <c r="AE182" s="7">
        <f t="shared" ca="1" si="113"/>
        <v>1598119.9424999997</v>
      </c>
      <c r="AF182" s="7">
        <f t="shared" ca="1" si="113"/>
        <v>2324602.2055000002</v>
      </c>
      <c r="AG182" s="7">
        <f t="shared" ca="1" si="113"/>
        <v>3104259.830000001</v>
      </c>
      <c r="AH182" s="7">
        <f t="shared" ca="1" si="113"/>
        <v>10786927.858499998</v>
      </c>
      <c r="AI182" s="7">
        <f t="shared" ca="1" si="113"/>
        <v>5198573.4419999998</v>
      </c>
      <c r="AJ182" s="7">
        <f t="shared" ca="1" si="113"/>
        <v>2638797.6320000002</v>
      </c>
      <c r="AK182" s="7">
        <f t="shared" ca="1" si="113"/>
        <v>1940125.9514999997</v>
      </c>
      <c r="AL182" s="7">
        <f t="shared" ca="1" si="113"/>
        <v>2088486.2865000002</v>
      </c>
      <c r="AM182" s="7">
        <f t="shared" ca="1" si="113"/>
        <v>3827891.8030000003</v>
      </c>
      <c r="AN182" s="7">
        <f t="shared" ca="1" si="113"/>
        <v>26.974500000244007</v>
      </c>
      <c r="AO182" s="7">
        <f t="shared" ca="1" si="113"/>
        <v>33579034.909999996</v>
      </c>
      <c r="AP182" s="7">
        <f t="shared" ca="1" si="113"/>
        <v>249399959.87349993</v>
      </c>
      <c r="AQ182" s="7">
        <f t="shared" ca="1" si="113"/>
        <v>2708123.5130000007</v>
      </c>
      <c r="AR182" s="7">
        <f t="shared" ca="1" si="113"/>
        <v>340042895.43950003</v>
      </c>
      <c r="AS182" s="7">
        <f t="shared" ca="1" si="113"/>
        <v>10917616.473999988</v>
      </c>
      <c r="AT182" s="7">
        <f t="shared" ca="1" si="113"/>
        <v>14611086.367500002</v>
      </c>
      <c r="AU182" s="7">
        <f t="shared" ca="1" si="113"/>
        <v>2578022.3150000004</v>
      </c>
      <c r="AV182" s="7">
        <f t="shared" ca="1" si="113"/>
        <v>3675319.3049999997</v>
      </c>
      <c r="AW182" s="7">
        <f t="shared" ca="1" si="113"/>
        <v>3354979.6874999995</v>
      </c>
      <c r="AX182" s="7">
        <f t="shared" ca="1" si="113"/>
        <v>1267011.6855000001</v>
      </c>
      <c r="AY182" s="7">
        <f t="shared" ca="1" si="113"/>
        <v>4194296.0729999994</v>
      </c>
      <c r="AZ182" s="7">
        <f t="shared" ca="1" si="113"/>
        <v>124801775.03849998</v>
      </c>
      <c r="BA182" s="7">
        <f t="shared" ca="1" si="113"/>
        <v>73384304.696500003</v>
      </c>
      <c r="BB182" s="7">
        <f t="shared" ca="1" si="113"/>
        <v>77276586.705000013</v>
      </c>
      <c r="BC182" s="7">
        <f t="shared" ca="1" si="113"/>
        <v>147017034.21949998</v>
      </c>
      <c r="BD182" s="7">
        <f t="shared" ca="1" si="113"/>
        <v>22876170.237500001</v>
      </c>
      <c r="BE182" s="7">
        <f t="shared" ca="1" si="113"/>
        <v>8297759.1899999995</v>
      </c>
      <c r="BF182" s="7">
        <f t="shared" ca="1" si="113"/>
        <v>191263564.63150001</v>
      </c>
      <c r="BG182" s="7">
        <f t="shared" ca="1" si="113"/>
        <v>10158649.475499999</v>
      </c>
      <c r="BH182" s="7">
        <f t="shared" ca="1" si="113"/>
        <v>5315188.6464999998</v>
      </c>
      <c r="BI182" s="7">
        <f t="shared" ca="1" si="113"/>
        <v>3887249.4309999999</v>
      </c>
      <c r="BJ182" s="7">
        <f t="shared" ca="1" si="113"/>
        <v>39991861.096500002</v>
      </c>
      <c r="BK182" s="7">
        <f t="shared" ca="1" si="113"/>
        <v>336431220.1624999</v>
      </c>
      <c r="BL182" s="7">
        <f t="shared" ca="1" si="113"/>
        <v>1954508.86</v>
      </c>
      <c r="BM182" s="7">
        <f t="shared" ca="1" si="113"/>
        <v>4227693.7795000002</v>
      </c>
      <c r="BN182" s="7">
        <f t="shared" ca="1" si="113"/>
        <v>23406687.687499996</v>
      </c>
      <c r="BO182" s="7">
        <f t="shared" ca="1" si="113"/>
        <v>10323247.175000001</v>
      </c>
      <c r="BP182" s="7">
        <f t="shared" ca="1" si="113"/>
        <v>337491.39000000007</v>
      </c>
      <c r="BQ182" s="7">
        <f t="shared" ca="1" si="113"/>
        <v>11919417.510999998</v>
      </c>
      <c r="BR182" s="7">
        <f t="shared" ca="1" si="113"/>
        <v>43754643.038500004</v>
      </c>
      <c r="BS182" s="7">
        <f t="shared" ca="1" si="113"/>
        <v>11904266.281500001</v>
      </c>
      <c r="BT182" s="7">
        <f t="shared" ca="1" si="113"/>
        <v>2544843.4820000003</v>
      </c>
      <c r="BU182" s="7">
        <f t="shared" ca="1" si="113"/>
        <v>3593070.8865</v>
      </c>
      <c r="BV182" s="7">
        <f t="shared" ca="1" si="113"/>
        <v>713.50449999968987</v>
      </c>
      <c r="BW182" s="7">
        <f t="shared" ca="1" si="113"/>
        <v>4362011.9379999992</v>
      </c>
      <c r="BX182" s="7">
        <f t="shared" ca="1" si="113"/>
        <v>450866.33999999997</v>
      </c>
      <c r="BY182" s="7">
        <f t="shared" ca="1" si="113"/>
        <v>2484963.34</v>
      </c>
      <c r="BZ182" s="7">
        <f t="shared" ca="1" si="113"/>
        <v>2869628.0334999999</v>
      </c>
      <c r="CA182" s="7">
        <f t="shared" ca="1" si="113"/>
        <v>175956.90600000019</v>
      </c>
      <c r="CB182" s="7">
        <f t="shared" ca="1" si="113"/>
        <v>381785893.06050003</v>
      </c>
      <c r="CC182" s="7">
        <f t="shared" ca="1" si="113"/>
        <v>3072232.6135</v>
      </c>
      <c r="CD182" s="7">
        <f t="shared" ca="1" si="113"/>
        <v>2259610.4699999997</v>
      </c>
      <c r="CE182" s="7">
        <f t="shared" ca="1" si="113"/>
        <v>1809895.4825000002</v>
      </c>
      <c r="CF182" s="7">
        <f t="shared" ca="1" si="113"/>
        <v>1511142.1499999997</v>
      </c>
      <c r="CG182" s="7">
        <f t="shared" ca="1" si="113"/>
        <v>2903490.4369999999</v>
      </c>
      <c r="CH182" s="7">
        <f t="shared" ca="1" si="113"/>
        <v>1731454.6440000001</v>
      </c>
      <c r="CI182" s="7">
        <f t="shared" ca="1" si="113"/>
        <v>5152376.7839999991</v>
      </c>
      <c r="CJ182" s="7">
        <f t="shared" ca="1" si="113"/>
        <v>802238.42149999994</v>
      </c>
      <c r="CK182" s="7">
        <f t="shared" ca="1" si="113"/>
        <v>27840159.377</v>
      </c>
      <c r="CL182" s="7">
        <f t="shared" ca="1" si="113"/>
        <v>11949646.9245</v>
      </c>
      <c r="CM182" s="7">
        <f t="shared" ca="1" si="113"/>
        <v>7576623.6210000003</v>
      </c>
      <c r="CN182" s="7">
        <f t="shared" ca="1" si="113"/>
        <v>169750935.36400008</v>
      </c>
      <c r="CO182" s="7">
        <f t="shared" ca="1" si="113"/>
        <v>61272201.532499999</v>
      </c>
      <c r="CP182" s="7">
        <f t="shared" ca="1" si="113"/>
        <v>152.79549999930896</v>
      </c>
      <c r="CQ182" s="7">
        <f t="shared" ca="1" si="113"/>
        <v>7135960.0289999992</v>
      </c>
      <c r="CR182" s="7">
        <f t="shared" ca="1" si="113"/>
        <v>3528423.19</v>
      </c>
      <c r="CS182" s="7">
        <f t="shared" ca="1" si="113"/>
        <v>2757701.5</v>
      </c>
      <c r="CT182" s="7">
        <f t="shared" ca="1" si="113"/>
        <v>1879177.8314999999</v>
      </c>
      <c r="CU182" s="7">
        <f t="shared" ca="1" si="113"/>
        <v>5052160.4145</v>
      </c>
      <c r="CV182" s="7">
        <f t="shared" ca="1" si="113"/>
        <v>751364.48350000009</v>
      </c>
      <c r="CW182" s="7">
        <f t="shared" ca="1" si="113"/>
        <v>2511547.5515000001</v>
      </c>
      <c r="CX182" s="7">
        <f t="shared" ca="1" si="113"/>
        <v>3645869.7379999999</v>
      </c>
      <c r="CY182" s="7">
        <f t="shared" ca="1" si="113"/>
        <v>1083806.202</v>
      </c>
      <c r="CZ182" s="7">
        <f t="shared" ca="1" si="113"/>
        <v>13106392.7445</v>
      </c>
      <c r="DA182" s="7">
        <f t="shared" ca="1" si="113"/>
        <v>2271490.9130000002</v>
      </c>
      <c r="DB182" s="7">
        <f t="shared" ca="1" si="113"/>
        <v>3456532.8944999999</v>
      </c>
      <c r="DC182" s="7">
        <f t="shared" ca="1" si="113"/>
        <v>2275574.9890000005</v>
      </c>
      <c r="DD182" s="7">
        <f t="shared" ca="1" si="113"/>
        <v>2675199.159</v>
      </c>
      <c r="DE182" s="7">
        <f t="shared" ca="1" si="113"/>
        <v>2511881.0404999997</v>
      </c>
      <c r="DF182" s="7">
        <f t="shared" ca="1" si="113"/>
        <v>122214535.19950001</v>
      </c>
      <c r="DG182" s="7">
        <f t="shared" ca="1" si="113"/>
        <v>468616.29949999979</v>
      </c>
      <c r="DH182" s="7">
        <f t="shared" ca="1" si="113"/>
        <v>9814081.1895000003</v>
      </c>
      <c r="DI182" s="7">
        <f t="shared" ca="1" si="113"/>
        <v>12977809.365</v>
      </c>
      <c r="DJ182" s="7">
        <f t="shared" ca="1" si="113"/>
        <v>6244400.8500000006</v>
      </c>
      <c r="DK182" s="7">
        <f t="shared" ca="1" si="113"/>
        <v>4988218.9945</v>
      </c>
      <c r="DL182" s="7">
        <f t="shared" ca="1" si="113"/>
        <v>39173232.791999996</v>
      </c>
      <c r="DM182" s="7">
        <f t="shared" ca="1" si="113"/>
        <v>3652213.3815000001</v>
      </c>
      <c r="DN182" s="7">
        <f t="shared" ca="1" si="113"/>
        <v>8110473.8444999997</v>
      </c>
      <c r="DO182" s="7">
        <f t="shared" ca="1" si="113"/>
        <v>27881795.708499994</v>
      </c>
      <c r="DP182" s="7">
        <f t="shared" ca="1" si="113"/>
        <v>2856885.7709999997</v>
      </c>
      <c r="DQ182" s="7">
        <f t="shared" ca="1" si="113"/>
        <v>1336137.351999999</v>
      </c>
      <c r="DR182" s="7">
        <f t="shared" ca="1" si="113"/>
        <v>13266177.939999999</v>
      </c>
      <c r="DS182" s="7">
        <f t="shared" ca="1" si="113"/>
        <v>6929630.3099999996</v>
      </c>
      <c r="DT182" s="7">
        <f t="shared" ca="1" si="113"/>
        <v>3354267.4464999996</v>
      </c>
      <c r="DU182" s="7">
        <f t="shared" ca="1" si="113"/>
        <v>4401791.6119999997</v>
      </c>
      <c r="DV182" s="7">
        <f t="shared" ca="1" si="113"/>
        <v>3548497.5075000003</v>
      </c>
      <c r="DW182" s="7">
        <f t="shared" ca="1" si="113"/>
        <v>4083163.2374999998</v>
      </c>
      <c r="DX182" s="7">
        <f t="shared" ca="1" si="113"/>
        <v>935466.25050000008</v>
      </c>
      <c r="DY182" s="7">
        <f t="shared" ca="1" si="113"/>
        <v>960280.21849999949</v>
      </c>
      <c r="DZ182" s="7">
        <f t="shared" ca="1" si="113"/>
        <v>2902986.0049999999</v>
      </c>
      <c r="EA182" s="7">
        <f t="shared" ca="1" si="113"/>
        <v>-283388.91799999855</v>
      </c>
      <c r="EB182" s="7">
        <f t="shared" ca="1" si="113"/>
        <v>4587260.4945</v>
      </c>
      <c r="EC182" s="7">
        <f t="shared" ca="1" si="113"/>
        <v>3268475.9314999995</v>
      </c>
      <c r="ED182" s="7">
        <f t="shared" ca="1" si="113"/>
        <v>1622.8700000001118</v>
      </c>
      <c r="EE182" s="7">
        <f t="shared" ca="1" si="113"/>
        <v>3175349.1650000005</v>
      </c>
      <c r="EF182" s="7">
        <f t="shared" ca="1" si="113"/>
        <v>13612337.895500001</v>
      </c>
      <c r="EG182" s="7">
        <f t="shared" ca="1" si="113"/>
        <v>3311251.8714999999</v>
      </c>
      <c r="EH182" s="7">
        <f t="shared" ca="1" si="113"/>
        <v>3726109.7779999999</v>
      </c>
      <c r="EI182" s="7">
        <f t="shared" ca="1" si="113"/>
        <v>120537315.7</v>
      </c>
      <c r="EJ182" s="7">
        <f t="shared" ca="1" si="113"/>
        <v>80111218.819999993</v>
      </c>
      <c r="EK182" s="7">
        <f t="shared" ca="1" si="113"/>
        <v>5660371.5370000005</v>
      </c>
      <c r="EL182" s="7">
        <f t="shared" ca="1" si="113"/>
        <v>4344499.2825000007</v>
      </c>
      <c r="EM182" s="7">
        <f t="shared" ca="1" si="113"/>
        <v>2411433.6355000003</v>
      </c>
      <c r="EN182" s="7">
        <f t="shared" ca="1" si="113"/>
        <v>9537123.6905000005</v>
      </c>
      <c r="EO182" s="7">
        <f t="shared" ca="1" si="113"/>
        <v>3420152.2395000001</v>
      </c>
      <c r="EP182" s="7">
        <f t="shared" ca="1" si="113"/>
        <v>1707065.7214999993</v>
      </c>
      <c r="EQ182" s="7">
        <f t="shared" ca="1" si="113"/>
        <v>18166667.619999997</v>
      </c>
      <c r="ER182" s="7">
        <f t="shared" ca="1" si="113"/>
        <v>1482811.6845</v>
      </c>
      <c r="ES182" s="7">
        <f t="shared" ca="1" si="113"/>
        <v>2178307.304</v>
      </c>
      <c r="ET182" s="7">
        <f t="shared" ca="1" si="113"/>
        <v>2883272.0494999997</v>
      </c>
      <c r="EU182" s="7">
        <f t="shared" ca="1" si="113"/>
        <v>6762347.0944999997</v>
      </c>
      <c r="EV182" s="7">
        <f t="shared" ca="1" si="113"/>
        <v>656856.61300000013</v>
      </c>
      <c r="EW182" s="7">
        <f t="shared" ca="1" si="113"/>
        <v>2702111.25</v>
      </c>
      <c r="EX182" s="7">
        <f t="shared" ca="1" si="113"/>
        <v>3251342.1645</v>
      </c>
      <c r="EY182" s="7">
        <f t="shared" ca="1" si="113"/>
        <v>6889207.1275000004</v>
      </c>
      <c r="EZ182" s="7">
        <f t="shared" ca="1" si="113"/>
        <v>1874846.9009999998</v>
      </c>
      <c r="FA182" s="7">
        <f t="shared" ca="1" si="113"/>
        <v>989770.16500000213</v>
      </c>
      <c r="FB182" s="7">
        <f t="shared" ca="1" si="113"/>
        <v>614479.00350000011</v>
      </c>
      <c r="FC182" s="7">
        <f t="shared" ca="1" si="113"/>
        <v>8516909.9300000016</v>
      </c>
      <c r="FD182" s="7">
        <f t="shared" ca="1" si="113"/>
        <v>4240342.9364999998</v>
      </c>
      <c r="FE182" s="7">
        <f t="shared" ca="1" si="113"/>
        <v>1322213.1600000001</v>
      </c>
      <c r="FF182" s="7">
        <f t="shared" ca="1" si="113"/>
        <v>2998037.8360000001</v>
      </c>
      <c r="FG182" s="7">
        <f t="shared" ca="1" si="113"/>
        <v>1757615.6600000001</v>
      </c>
      <c r="FH182" s="7">
        <f t="shared" ca="1" si="113"/>
        <v>694574.49750000006</v>
      </c>
      <c r="FI182" s="7">
        <f t="shared" ca="1" si="113"/>
        <v>7368483.0720000006</v>
      </c>
      <c r="FJ182" s="7">
        <f t="shared" ca="1" si="113"/>
        <v>4146439.0899999957</v>
      </c>
      <c r="FK182" s="7">
        <f t="shared" ca="1" si="113"/>
        <v>5343586.9500000039</v>
      </c>
      <c r="FL182" s="7">
        <f t="shared" ca="1" si="113"/>
        <v>41126694.662499994</v>
      </c>
      <c r="FM182" s="7">
        <f t="shared" ca="1" si="113"/>
        <v>13359614.073499998</v>
      </c>
      <c r="FN182" s="7">
        <f t="shared" ca="1" si="113"/>
        <v>198171911.366</v>
      </c>
      <c r="FO182" s="7">
        <f t="shared" ca="1" si="113"/>
        <v>1397.7199999986915</v>
      </c>
      <c r="FP182" s="7">
        <f t="shared" ca="1" si="113"/>
        <v>14509545.876999998</v>
      </c>
      <c r="FQ182" s="7">
        <f t="shared" ca="1" si="113"/>
        <v>5.4999999119900167E-3</v>
      </c>
      <c r="FR182" s="7">
        <f t="shared" ca="1" si="113"/>
        <v>-3.000000084284693E-3</v>
      </c>
      <c r="FS182" s="7">
        <f t="shared" ca="1" si="113"/>
        <v>719890.2899999998</v>
      </c>
      <c r="FT182" s="7">
        <f t="shared" ca="1" si="113"/>
        <v>5.0000000919681042E-4</v>
      </c>
      <c r="FU182" s="7">
        <f t="shared" ca="1" si="113"/>
        <v>6846144.5574999992</v>
      </c>
      <c r="FV182" s="7">
        <f t="shared" ca="1" si="113"/>
        <v>6462152.868999999</v>
      </c>
      <c r="FW182" s="7">
        <f t="shared" ca="1" si="113"/>
        <v>2783688.53</v>
      </c>
      <c r="FX182" s="7">
        <f t="shared" ca="1" si="113"/>
        <v>1262023.26</v>
      </c>
      <c r="FY182" s="7">
        <f t="shared" ca="1" si="113"/>
        <v>239487420.535999</v>
      </c>
      <c r="FZ182" s="7">
        <f t="shared" ca="1" si="110"/>
        <v>5468246879.6075001</v>
      </c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</row>
    <row r="183" spans="1:204" ht="15.5" x14ac:dyDescent="0.35">
      <c r="A183" s="7"/>
      <c r="B183" s="7" t="s">
        <v>734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</row>
    <row r="184" spans="1:204" ht="15.5" x14ac:dyDescent="0.35">
      <c r="A184" s="7"/>
      <c r="B184" s="7" t="s">
        <v>735</v>
      </c>
      <c r="C184" s="7">
        <f t="shared" ref="C184:FY184" ca="1" si="114">C169</f>
        <v>0</v>
      </c>
      <c r="D184" s="7">
        <f t="shared" ca="1" si="114"/>
        <v>0</v>
      </c>
      <c r="E184" s="7">
        <f t="shared" ca="1" si="114"/>
        <v>0</v>
      </c>
      <c r="F184" s="7">
        <f t="shared" ca="1" si="114"/>
        <v>0</v>
      </c>
      <c r="G184" s="7">
        <f t="shared" ca="1" si="114"/>
        <v>0</v>
      </c>
      <c r="H184" s="7">
        <f t="shared" ca="1" si="114"/>
        <v>0</v>
      </c>
      <c r="I184" s="7">
        <f t="shared" ca="1" si="114"/>
        <v>0</v>
      </c>
      <c r="J184" s="7">
        <f t="shared" ca="1" si="114"/>
        <v>0</v>
      </c>
      <c r="K184" s="7">
        <f t="shared" ca="1" si="114"/>
        <v>0</v>
      </c>
      <c r="L184" s="7">
        <f t="shared" ca="1" si="114"/>
        <v>8350.7667899999997</v>
      </c>
      <c r="M184" s="7">
        <f t="shared" ca="1" si="114"/>
        <v>0</v>
      </c>
      <c r="N184" s="7">
        <f t="shared" ca="1" si="114"/>
        <v>0</v>
      </c>
      <c r="O184" s="7">
        <f t="shared" ca="1" si="114"/>
        <v>0</v>
      </c>
      <c r="P184" s="7">
        <f t="shared" ca="1" si="114"/>
        <v>0</v>
      </c>
      <c r="Q184" s="7">
        <f t="shared" ca="1" si="114"/>
        <v>0</v>
      </c>
      <c r="R184" s="7">
        <f t="shared" ca="1" si="114"/>
        <v>0</v>
      </c>
      <c r="S184" s="7">
        <f t="shared" ca="1" si="114"/>
        <v>0</v>
      </c>
      <c r="T184" s="7">
        <f t="shared" ca="1" si="114"/>
        <v>0</v>
      </c>
      <c r="U184" s="7">
        <f t="shared" ca="1" si="114"/>
        <v>0</v>
      </c>
      <c r="V184" s="7">
        <f t="shared" ca="1" si="114"/>
        <v>0</v>
      </c>
      <c r="W184" s="7">
        <f t="shared" ca="1" si="114"/>
        <v>0</v>
      </c>
      <c r="X184" s="7">
        <f t="shared" ca="1" si="114"/>
        <v>0</v>
      </c>
      <c r="Y184" s="7">
        <f t="shared" ca="1" si="114"/>
        <v>0</v>
      </c>
      <c r="Z184" s="7">
        <f t="shared" ca="1" si="114"/>
        <v>0</v>
      </c>
      <c r="AA184" s="7">
        <f t="shared" ca="1" si="114"/>
        <v>0</v>
      </c>
      <c r="AB184" s="7">
        <f t="shared" ca="1" si="114"/>
        <v>0</v>
      </c>
      <c r="AC184" s="7">
        <f t="shared" ca="1" si="114"/>
        <v>0</v>
      </c>
      <c r="AD184" s="7">
        <f t="shared" ca="1" si="114"/>
        <v>0</v>
      </c>
      <c r="AE184" s="7">
        <f t="shared" ca="1" si="114"/>
        <v>0</v>
      </c>
      <c r="AF184" s="7">
        <f t="shared" ca="1" si="114"/>
        <v>0</v>
      </c>
      <c r="AG184" s="7">
        <f t="shared" ca="1" si="114"/>
        <v>0</v>
      </c>
      <c r="AH184" s="7">
        <f t="shared" ca="1" si="114"/>
        <v>0</v>
      </c>
      <c r="AI184" s="7">
        <f t="shared" ca="1" si="114"/>
        <v>0</v>
      </c>
      <c r="AJ184" s="7">
        <f t="shared" ca="1" si="114"/>
        <v>0</v>
      </c>
      <c r="AK184" s="7">
        <f t="shared" ca="1" si="114"/>
        <v>0</v>
      </c>
      <c r="AL184" s="7">
        <f t="shared" ca="1" si="114"/>
        <v>0</v>
      </c>
      <c r="AM184" s="7">
        <f t="shared" ca="1" si="114"/>
        <v>0</v>
      </c>
      <c r="AN184" s="7">
        <f t="shared" ca="1" si="114"/>
        <v>166712.92547999998</v>
      </c>
      <c r="AO184" s="7">
        <f t="shared" ca="1" si="114"/>
        <v>0</v>
      </c>
      <c r="AP184" s="7">
        <f t="shared" ca="1" si="114"/>
        <v>0</v>
      </c>
      <c r="AQ184" s="7">
        <f t="shared" ca="1" si="114"/>
        <v>0</v>
      </c>
      <c r="AR184" s="7">
        <f t="shared" ca="1" si="114"/>
        <v>0</v>
      </c>
      <c r="AS184" s="7">
        <f t="shared" ca="1" si="114"/>
        <v>0</v>
      </c>
      <c r="AT184" s="7">
        <f t="shared" ca="1" si="114"/>
        <v>0</v>
      </c>
      <c r="AU184" s="7">
        <f t="shared" ca="1" si="114"/>
        <v>0</v>
      </c>
      <c r="AV184" s="7">
        <f t="shared" ca="1" si="114"/>
        <v>0</v>
      </c>
      <c r="AW184" s="7">
        <f t="shared" ca="1" si="114"/>
        <v>0</v>
      </c>
      <c r="AX184" s="7">
        <f t="shared" ca="1" si="114"/>
        <v>0</v>
      </c>
      <c r="AY184" s="7">
        <f t="shared" ca="1" si="114"/>
        <v>0</v>
      </c>
      <c r="AZ184" s="7">
        <f t="shared" ca="1" si="114"/>
        <v>0</v>
      </c>
      <c r="BA184" s="7">
        <f t="shared" ca="1" si="114"/>
        <v>0</v>
      </c>
      <c r="BB184" s="7">
        <f t="shared" ca="1" si="114"/>
        <v>0</v>
      </c>
      <c r="BC184" s="7">
        <f t="shared" ca="1" si="114"/>
        <v>0</v>
      </c>
      <c r="BD184" s="7">
        <f t="shared" ca="1" si="114"/>
        <v>0</v>
      </c>
      <c r="BE184" s="7">
        <f t="shared" ca="1" si="114"/>
        <v>0</v>
      </c>
      <c r="BF184" s="7">
        <f t="shared" ca="1" si="114"/>
        <v>0</v>
      </c>
      <c r="BG184" s="7">
        <f t="shared" ca="1" si="114"/>
        <v>0</v>
      </c>
      <c r="BH184" s="7">
        <f t="shared" ca="1" si="114"/>
        <v>0</v>
      </c>
      <c r="BI184" s="7">
        <f t="shared" ca="1" si="114"/>
        <v>0</v>
      </c>
      <c r="BJ184" s="7">
        <f t="shared" ca="1" si="114"/>
        <v>0</v>
      </c>
      <c r="BK184" s="7">
        <f t="shared" ca="1" si="114"/>
        <v>0</v>
      </c>
      <c r="BL184" s="7">
        <f t="shared" ca="1" si="114"/>
        <v>0</v>
      </c>
      <c r="BM184" s="7">
        <f t="shared" ca="1" si="114"/>
        <v>0</v>
      </c>
      <c r="BN184" s="7">
        <f t="shared" ca="1" si="114"/>
        <v>0</v>
      </c>
      <c r="BO184" s="7">
        <f t="shared" ca="1" si="114"/>
        <v>0</v>
      </c>
      <c r="BP184" s="7">
        <f t="shared" ca="1" si="114"/>
        <v>0</v>
      </c>
      <c r="BQ184" s="7">
        <f t="shared" ca="1" si="114"/>
        <v>0</v>
      </c>
      <c r="BR184" s="7">
        <f t="shared" ca="1" si="114"/>
        <v>0</v>
      </c>
      <c r="BS184" s="7">
        <f t="shared" ca="1" si="114"/>
        <v>0</v>
      </c>
      <c r="BT184" s="7">
        <f t="shared" ca="1" si="114"/>
        <v>0</v>
      </c>
      <c r="BU184" s="7">
        <f t="shared" ca="1" si="114"/>
        <v>0</v>
      </c>
      <c r="BV184" s="7">
        <f t="shared" si="114"/>
        <v>789246.90526000003</v>
      </c>
      <c r="BW184" s="7">
        <f t="shared" ca="1" si="114"/>
        <v>0</v>
      </c>
      <c r="BX184" s="7">
        <f t="shared" ca="1" si="114"/>
        <v>0</v>
      </c>
      <c r="BY184" s="7">
        <f t="shared" ca="1" si="114"/>
        <v>0</v>
      </c>
      <c r="BZ184" s="7">
        <f t="shared" ca="1" si="114"/>
        <v>0</v>
      </c>
      <c r="CA184" s="7">
        <f t="shared" ca="1" si="114"/>
        <v>0</v>
      </c>
      <c r="CB184" s="7">
        <f t="shared" ca="1" si="114"/>
        <v>0</v>
      </c>
      <c r="CC184" s="7">
        <f t="shared" ca="1" si="114"/>
        <v>0</v>
      </c>
      <c r="CD184" s="7">
        <f t="shared" ca="1" si="114"/>
        <v>0</v>
      </c>
      <c r="CE184" s="7">
        <f t="shared" ca="1" si="114"/>
        <v>0</v>
      </c>
      <c r="CF184" s="7">
        <f t="shared" ca="1" si="114"/>
        <v>0</v>
      </c>
      <c r="CG184" s="7">
        <f t="shared" ca="1" si="114"/>
        <v>0</v>
      </c>
      <c r="CH184" s="7">
        <f t="shared" ca="1" si="114"/>
        <v>0</v>
      </c>
      <c r="CI184" s="7">
        <f t="shared" ca="1" si="114"/>
        <v>0</v>
      </c>
      <c r="CJ184" s="7">
        <f t="shared" ca="1" si="114"/>
        <v>0</v>
      </c>
      <c r="CK184" s="7">
        <f t="shared" ca="1" si="114"/>
        <v>0</v>
      </c>
      <c r="CL184" s="7">
        <f t="shared" ca="1" si="114"/>
        <v>0</v>
      </c>
      <c r="CM184" s="7">
        <f t="shared" ca="1" si="114"/>
        <v>0</v>
      </c>
      <c r="CN184" s="7">
        <f t="shared" ca="1" si="114"/>
        <v>0</v>
      </c>
      <c r="CO184" s="7">
        <f t="shared" ca="1" si="114"/>
        <v>0</v>
      </c>
      <c r="CP184" s="7">
        <f t="shared" si="114"/>
        <v>524834.15711999999</v>
      </c>
      <c r="CQ184" s="7">
        <f t="shared" ca="1" si="114"/>
        <v>0</v>
      </c>
      <c r="CR184" s="7">
        <f t="shared" ca="1" si="114"/>
        <v>0</v>
      </c>
      <c r="CS184" s="7">
        <f t="shared" ca="1" si="114"/>
        <v>0</v>
      </c>
      <c r="CT184" s="7">
        <f t="shared" ca="1" si="114"/>
        <v>0</v>
      </c>
      <c r="CU184" s="7">
        <f t="shared" ca="1" si="114"/>
        <v>0</v>
      </c>
      <c r="CV184" s="7">
        <f t="shared" ca="1" si="114"/>
        <v>0</v>
      </c>
      <c r="CW184" s="7">
        <f t="shared" ca="1" si="114"/>
        <v>0</v>
      </c>
      <c r="CX184" s="7">
        <f t="shared" ca="1" si="114"/>
        <v>0</v>
      </c>
      <c r="CY184" s="7">
        <f t="shared" ca="1" si="114"/>
        <v>0</v>
      </c>
      <c r="CZ184" s="7">
        <f t="shared" ca="1" si="114"/>
        <v>0</v>
      </c>
      <c r="DA184" s="7">
        <f t="shared" ca="1" si="114"/>
        <v>0</v>
      </c>
      <c r="DB184" s="7">
        <f t="shared" ca="1" si="114"/>
        <v>0</v>
      </c>
      <c r="DC184" s="7">
        <f t="shared" ca="1" si="114"/>
        <v>0</v>
      </c>
      <c r="DD184" s="7">
        <f t="shared" ca="1" si="114"/>
        <v>0</v>
      </c>
      <c r="DE184" s="7">
        <f t="shared" ca="1" si="114"/>
        <v>0</v>
      </c>
      <c r="DF184" s="7">
        <f t="shared" ca="1" si="114"/>
        <v>0</v>
      </c>
      <c r="DG184" s="7">
        <f t="shared" ca="1" si="114"/>
        <v>0</v>
      </c>
      <c r="DH184" s="7">
        <f t="shared" ca="1" si="114"/>
        <v>0</v>
      </c>
      <c r="DI184" s="7">
        <f t="shared" ca="1" si="114"/>
        <v>0</v>
      </c>
      <c r="DJ184" s="7">
        <f t="shared" ca="1" si="114"/>
        <v>0</v>
      </c>
      <c r="DK184" s="7">
        <f t="shared" ca="1" si="114"/>
        <v>0</v>
      </c>
      <c r="DL184" s="7">
        <f t="shared" ca="1" si="114"/>
        <v>0</v>
      </c>
      <c r="DM184" s="7">
        <f t="shared" ca="1" si="114"/>
        <v>0</v>
      </c>
      <c r="DN184" s="7">
        <f t="shared" ca="1" si="114"/>
        <v>0</v>
      </c>
      <c r="DO184" s="7">
        <f t="shared" ca="1" si="114"/>
        <v>0</v>
      </c>
      <c r="DP184" s="7">
        <f t="shared" ca="1" si="114"/>
        <v>0</v>
      </c>
      <c r="DQ184" s="7">
        <f t="shared" ca="1" si="114"/>
        <v>0</v>
      </c>
      <c r="DR184" s="7">
        <f t="shared" ca="1" si="114"/>
        <v>0</v>
      </c>
      <c r="DS184" s="7">
        <f t="shared" ca="1" si="114"/>
        <v>0</v>
      </c>
      <c r="DT184" s="7">
        <f t="shared" ca="1" si="114"/>
        <v>0</v>
      </c>
      <c r="DU184" s="7">
        <f t="shared" ca="1" si="114"/>
        <v>0</v>
      </c>
      <c r="DV184" s="7">
        <f t="shared" ca="1" si="114"/>
        <v>0</v>
      </c>
      <c r="DW184" s="7">
        <f t="shared" ca="1" si="114"/>
        <v>0</v>
      </c>
      <c r="DX184" s="7">
        <f t="shared" ca="1" si="114"/>
        <v>0</v>
      </c>
      <c r="DY184" s="7">
        <f t="shared" ca="1" si="114"/>
        <v>0</v>
      </c>
      <c r="DZ184" s="7">
        <f t="shared" ca="1" si="114"/>
        <v>0</v>
      </c>
      <c r="EA184" s="7">
        <f t="shared" ca="1" si="114"/>
        <v>519712.24637999997</v>
      </c>
      <c r="EB184" s="7">
        <f t="shared" ca="1" si="114"/>
        <v>0</v>
      </c>
      <c r="EC184" s="7">
        <f t="shared" ca="1" si="114"/>
        <v>0</v>
      </c>
      <c r="ED184" s="7">
        <f t="shared" si="114"/>
        <v>786565.46244000003</v>
      </c>
      <c r="EE184" s="7">
        <f t="shared" ca="1" si="114"/>
        <v>0</v>
      </c>
      <c r="EF184" s="7">
        <f t="shared" ca="1" si="114"/>
        <v>0</v>
      </c>
      <c r="EG184" s="7">
        <f t="shared" ca="1" si="114"/>
        <v>0</v>
      </c>
      <c r="EH184" s="7">
        <f t="shared" ca="1" si="114"/>
        <v>0</v>
      </c>
      <c r="EI184" s="7">
        <f t="shared" ca="1" si="114"/>
        <v>0</v>
      </c>
      <c r="EJ184" s="7">
        <f t="shared" ca="1" si="114"/>
        <v>0</v>
      </c>
      <c r="EK184" s="7">
        <f t="shared" ca="1" si="114"/>
        <v>0</v>
      </c>
      <c r="EL184" s="7">
        <f t="shared" ca="1" si="114"/>
        <v>0</v>
      </c>
      <c r="EM184" s="7">
        <f t="shared" ca="1" si="114"/>
        <v>0</v>
      </c>
      <c r="EN184" s="7">
        <f t="shared" ca="1" si="114"/>
        <v>0</v>
      </c>
      <c r="EO184" s="7">
        <f t="shared" ca="1" si="114"/>
        <v>0</v>
      </c>
      <c r="EP184" s="7">
        <f t="shared" ca="1" si="114"/>
        <v>0</v>
      </c>
      <c r="EQ184" s="7">
        <f t="shared" ca="1" si="114"/>
        <v>0</v>
      </c>
      <c r="ER184" s="7">
        <f t="shared" ca="1" si="114"/>
        <v>0</v>
      </c>
      <c r="ES184" s="7">
        <f t="shared" ca="1" si="114"/>
        <v>0</v>
      </c>
      <c r="ET184" s="7">
        <f t="shared" ca="1" si="114"/>
        <v>0</v>
      </c>
      <c r="EU184" s="7">
        <f t="shared" ca="1" si="114"/>
        <v>0</v>
      </c>
      <c r="EV184" s="7">
        <f t="shared" ca="1" si="114"/>
        <v>0</v>
      </c>
      <c r="EW184" s="7">
        <f t="shared" ca="1" si="114"/>
        <v>0</v>
      </c>
      <c r="EX184" s="7">
        <f t="shared" ca="1" si="114"/>
        <v>0</v>
      </c>
      <c r="EY184" s="7">
        <f t="shared" ca="1" si="114"/>
        <v>0</v>
      </c>
      <c r="EZ184" s="7">
        <f t="shared" ca="1" si="114"/>
        <v>0</v>
      </c>
      <c r="FA184" s="7">
        <f t="shared" ca="1" si="114"/>
        <v>0</v>
      </c>
      <c r="FB184" s="7">
        <f t="shared" ca="1" si="114"/>
        <v>0</v>
      </c>
      <c r="FC184" s="7">
        <f t="shared" ca="1" si="114"/>
        <v>0</v>
      </c>
      <c r="FD184" s="7">
        <f t="shared" ca="1" si="114"/>
        <v>0</v>
      </c>
      <c r="FE184" s="7">
        <f t="shared" ca="1" si="114"/>
        <v>0</v>
      </c>
      <c r="FF184" s="7">
        <f t="shared" ca="1" si="114"/>
        <v>0</v>
      </c>
      <c r="FG184" s="7">
        <f t="shared" ca="1" si="114"/>
        <v>0</v>
      </c>
      <c r="FH184" s="7">
        <f t="shared" ca="1" si="114"/>
        <v>0</v>
      </c>
      <c r="FI184" s="7">
        <f t="shared" ca="1" si="114"/>
        <v>0</v>
      </c>
      <c r="FJ184" s="7">
        <f t="shared" ca="1" si="114"/>
        <v>0</v>
      </c>
      <c r="FK184" s="7">
        <f t="shared" ca="1" si="114"/>
        <v>0</v>
      </c>
      <c r="FL184" s="7">
        <f t="shared" ca="1" si="114"/>
        <v>0</v>
      </c>
      <c r="FM184" s="7">
        <f t="shared" ca="1" si="114"/>
        <v>0</v>
      </c>
      <c r="FN184" s="7">
        <f t="shared" ca="1" si="114"/>
        <v>0</v>
      </c>
      <c r="FO184" s="7">
        <f t="shared" ca="1" si="114"/>
        <v>644014.57921</v>
      </c>
      <c r="FP184" s="7">
        <f t="shared" ca="1" si="114"/>
        <v>0</v>
      </c>
      <c r="FQ184" s="7">
        <f t="shared" ca="1" si="114"/>
        <v>616192.17400999996</v>
      </c>
      <c r="FR184" s="7">
        <f t="shared" si="114"/>
        <v>104886.07442</v>
      </c>
      <c r="FS184" s="7">
        <f t="shared" ca="1" si="114"/>
        <v>0</v>
      </c>
      <c r="FT184" s="7">
        <f t="shared" si="114"/>
        <v>72687.441040000005</v>
      </c>
      <c r="FU184" s="7">
        <f t="shared" ca="1" si="114"/>
        <v>0</v>
      </c>
      <c r="FV184" s="7">
        <f t="shared" ca="1" si="114"/>
        <v>0</v>
      </c>
      <c r="FW184" s="7">
        <f t="shared" ca="1" si="114"/>
        <v>0</v>
      </c>
      <c r="FX184" s="7">
        <f t="shared" ca="1" si="114"/>
        <v>0</v>
      </c>
      <c r="FY184" s="7">
        <f t="shared" si="114"/>
        <v>0</v>
      </c>
      <c r="FZ184" s="7">
        <f ca="1">SUM(C184:FY184)</f>
        <v>4233202.7321500005</v>
      </c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</row>
    <row r="185" spans="1:204" ht="15.5" x14ac:dyDescent="0.3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>
        <f ca="1">FT180+FT181</f>
        <v>1506104.6099999999</v>
      </c>
      <c r="FU185" s="7"/>
      <c r="FV185" s="7"/>
      <c r="FW185" s="7"/>
      <c r="FX185" s="7"/>
      <c r="FY185" s="7"/>
      <c r="FZ185" s="7"/>
      <c r="GB185" s="7"/>
      <c r="GC185" s="7"/>
      <c r="GD185" s="7"/>
      <c r="GE185" s="7"/>
      <c r="GF185" s="7"/>
      <c r="GG185" s="38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</row>
  </sheetData>
  <sheetProtection algorithmName="SHA-512" hashValue="lFIy2Whjq9kLAdHfwNZT1Gjf2Qs+BiDYqU2HIHyRHNlBIe8Z3NvblQ0ON1dTmZblb3a+2bkKyr+fQHMaCB0JAw==" saltValue="64BxP3tfZ+Caq8POOyRLCA==" spinCount="100000" sheet="1" objects="1" scenarios="1"/>
  <conditionalFormatting sqref="C17:FX18">
    <cfRule type="cellIs" dxfId="27" priority="1" operator="lessThanOrEqual">
      <formula>16</formula>
    </cfRule>
  </conditionalFormatting>
  <conditionalFormatting sqref="C28:FX29">
    <cfRule type="cellIs" dxfId="26" priority="2" operator="lessThanOrEqual">
      <formula>16</formula>
    </cfRule>
  </conditionalFormatting>
  <conditionalFormatting sqref="C89:FX90">
    <cfRule type="cellIs" dxfId="25" priority="3" operator="lessThanOrEqual">
      <formula>16</formula>
    </cfRule>
  </conditionalFormatting>
  <conditionalFormatting sqref="C93:FX94">
    <cfRule type="cellIs" dxfId="24" priority="4" operator="lessThanOrEqual">
      <formula>16</formula>
    </cfRule>
  </conditionalFormatting>
  <conditionalFormatting sqref="C98:FX98">
    <cfRule type="expression" dxfId="23" priority="5">
      <formula>C94&lt;17</formula>
    </cfRule>
  </conditionalFormatting>
  <conditionalFormatting sqref="C101:FX101">
    <cfRule type="cellIs" dxfId="22" priority="6" operator="lessThanOrEqual">
      <formula>16</formula>
    </cfRule>
  </conditionalFormatting>
  <conditionalFormatting sqref="C103:FX103">
    <cfRule type="expression" dxfId="21" priority="7">
      <formula>(C103/C102)&lt;17</formula>
    </cfRule>
  </conditionalFormatting>
  <conditionalFormatting sqref="C119:FX119">
    <cfRule type="cellIs" dxfId="20" priority="8" operator="lessThanOrEqual">
      <formula>16</formula>
    </cfRule>
  </conditionalFormatting>
  <conditionalFormatting sqref="C121:FX121">
    <cfRule type="expression" dxfId="19" priority="9">
      <formula>C119&lt;17</formula>
    </cfRule>
  </conditionalFormatting>
  <pageMargins left="0.7" right="0.7" top="0.75" bottom="0.75" header="0" footer="0"/>
  <pageSetup fitToHeight="0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3E5A1"/>
    <pageSetUpPr fitToPage="1"/>
  </sheetPr>
  <dimension ref="A1:GY441"/>
  <sheetViews>
    <sheetView workbookViewId="0">
      <pane xSplit="2" ySplit="7" topLeftCell="C95" activePane="bottomRight" state="frozen"/>
      <selection activeCell="C110" sqref="C110"/>
      <selection pane="topRight" activeCell="C110" sqref="C110"/>
      <selection pane="bottomLeft" activeCell="C110" sqref="C110"/>
      <selection pane="bottomRight" activeCell="C124" sqref="C124"/>
    </sheetView>
  </sheetViews>
  <sheetFormatPr defaultColWidth="12.6328125" defaultRowHeight="15.75" customHeight="1" x14ac:dyDescent="0.25"/>
  <cols>
    <col min="1" max="1" width="17.6328125" customWidth="1"/>
    <col min="2" max="2" width="96.90625" customWidth="1"/>
    <col min="3" max="3" width="21.26953125" customWidth="1"/>
    <col min="4" max="181" width="24.7265625" customWidth="1"/>
    <col min="182" max="182" width="27.26953125" customWidth="1"/>
    <col min="183" max="183" width="29.7265625" customWidth="1"/>
    <col min="184" max="185" width="27.26953125" customWidth="1"/>
    <col min="186" max="186" width="27.6328125" customWidth="1"/>
    <col min="187" max="207" width="24.7265625" customWidth="1"/>
  </cols>
  <sheetData>
    <row r="1" spans="1:207" ht="15" customHeight="1" x14ac:dyDescent="0.35">
      <c r="A1" s="87" t="s">
        <v>736</v>
      </c>
      <c r="B1" s="88">
        <f>'New Formula with HB25-1320'!B1</f>
        <v>2.3E-2</v>
      </c>
      <c r="C1" s="8" t="s">
        <v>737</v>
      </c>
      <c r="D1" s="48">
        <f>ROUND(470.75*(1+B1),2)</f>
        <v>481.58</v>
      </c>
      <c r="E1" s="10"/>
      <c r="F1" s="10"/>
      <c r="G1" s="10"/>
      <c r="H1" s="10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 t="s">
        <v>738</v>
      </c>
      <c r="GA1" s="12"/>
      <c r="GB1" s="12"/>
      <c r="GC1" s="12"/>
      <c r="GD1" s="7"/>
      <c r="GE1" s="7" t="s">
        <v>739</v>
      </c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</row>
    <row r="2" spans="1:207" ht="15" customHeight="1" x14ac:dyDescent="0.35">
      <c r="A2" s="89" t="s">
        <v>740</v>
      </c>
      <c r="B2" s="7">
        <v>8496.3799999999992</v>
      </c>
      <c r="C2" s="8" t="s">
        <v>741</v>
      </c>
      <c r="D2" s="48">
        <f>ROUND(177.8*(1+B1),2)</f>
        <v>181.89</v>
      </c>
      <c r="E2" s="10"/>
      <c r="F2" s="10"/>
      <c r="G2" s="10"/>
      <c r="H2" s="10"/>
      <c r="I2" s="11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</row>
    <row r="3" spans="1:207" ht="15" customHeight="1" x14ac:dyDescent="0.35">
      <c r="A3" s="89" t="s">
        <v>742</v>
      </c>
      <c r="B3" s="7">
        <v>10244</v>
      </c>
      <c r="C3" s="90"/>
      <c r="D3" s="10"/>
      <c r="E3" s="10"/>
      <c r="F3" s="10"/>
      <c r="G3" s="10"/>
      <c r="H3" s="10"/>
      <c r="I3" s="1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</row>
    <row r="4" spans="1:207" ht="15" customHeight="1" x14ac:dyDescent="0.35">
      <c r="A4" s="87" t="s">
        <v>743</v>
      </c>
      <c r="B4" s="48">
        <f>ROUND(B2*(1+B1),2)</f>
        <v>8691.7999999999993</v>
      </c>
      <c r="C4" s="10"/>
      <c r="D4" s="10"/>
      <c r="E4" s="10"/>
      <c r="F4" s="10"/>
      <c r="G4" s="10"/>
      <c r="H4" s="10"/>
      <c r="I4" s="1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</row>
    <row r="5" spans="1:207" ht="15" customHeight="1" x14ac:dyDescent="0.35">
      <c r="A5" s="87" t="s">
        <v>744</v>
      </c>
      <c r="B5" s="48">
        <f>ROUND(B3*(1+B1),0)</f>
        <v>10480</v>
      </c>
      <c r="C5" s="13" t="s">
        <v>23</v>
      </c>
      <c r="D5" s="13" t="s">
        <v>24</v>
      </c>
      <c r="E5" s="13" t="s">
        <v>25</v>
      </c>
      <c r="F5" s="13" t="s">
        <v>26</v>
      </c>
      <c r="G5" s="13" t="s">
        <v>27</v>
      </c>
      <c r="H5" s="13" t="s">
        <v>28</v>
      </c>
      <c r="I5" s="12" t="s">
        <v>29</v>
      </c>
      <c r="J5" s="12" t="s">
        <v>30</v>
      </c>
      <c r="K5" s="12" t="s">
        <v>31</v>
      </c>
      <c r="L5" s="12" t="s">
        <v>32</v>
      </c>
      <c r="M5" s="12" t="s">
        <v>33</v>
      </c>
      <c r="N5" s="12" t="s">
        <v>34</v>
      </c>
      <c r="O5" s="12" t="s">
        <v>35</v>
      </c>
      <c r="P5" s="12" t="s">
        <v>36</v>
      </c>
      <c r="Q5" s="12" t="s">
        <v>37</v>
      </c>
      <c r="R5" s="12" t="s">
        <v>38</v>
      </c>
      <c r="S5" s="12" t="s">
        <v>39</v>
      </c>
      <c r="T5" s="12" t="s">
        <v>40</v>
      </c>
      <c r="U5" s="12" t="s">
        <v>41</v>
      </c>
      <c r="V5" s="12" t="s">
        <v>42</v>
      </c>
      <c r="W5" s="12" t="s">
        <v>43</v>
      </c>
      <c r="X5" s="12" t="s">
        <v>44</v>
      </c>
      <c r="Y5" s="12" t="s">
        <v>45</v>
      </c>
      <c r="Z5" s="12" t="s">
        <v>46</v>
      </c>
      <c r="AA5" s="12" t="s">
        <v>47</v>
      </c>
      <c r="AB5" s="12" t="s">
        <v>48</v>
      </c>
      <c r="AC5" s="12" t="s">
        <v>49</v>
      </c>
      <c r="AD5" s="12" t="s">
        <v>50</v>
      </c>
      <c r="AE5" s="12" t="s">
        <v>51</v>
      </c>
      <c r="AF5" s="12" t="s">
        <v>52</v>
      </c>
      <c r="AG5" s="12" t="s">
        <v>53</v>
      </c>
      <c r="AH5" s="12" t="s">
        <v>54</v>
      </c>
      <c r="AI5" s="12" t="s">
        <v>55</v>
      </c>
      <c r="AJ5" s="12" t="s">
        <v>56</v>
      </c>
      <c r="AK5" s="12" t="s">
        <v>57</v>
      </c>
      <c r="AL5" s="12" t="s">
        <v>58</v>
      </c>
      <c r="AM5" s="12" t="s">
        <v>59</v>
      </c>
      <c r="AN5" s="12" t="s">
        <v>60</v>
      </c>
      <c r="AO5" s="12" t="s">
        <v>61</v>
      </c>
      <c r="AP5" s="12" t="s">
        <v>1</v>
      </c>
      <c r="AQ5" s="12" t="s">
        <v>62</v>
      </c>
      <c r="AR5" s="12" t="s">
        <v>63</v>
      </c>
      <c r="AS5" s="12" t="s">
        <v>64</v>
      </c>
      <c r="AT5" s="12" t="s">
        <v>65</v>
      </c>
      <c r="AU5" s="12" t="s">
        <v>66</v>
      </c>
      <c r="AV5" s="12" t="s">
        <v>67</v>
      </c>
      <c r="AW5" s="12" t="s">
        <v>68</v>
      </c>
      <c r="AX5" s="12" t="s">
        <v>69</v>
      </c>
      <c r="AY5" s="12" t="s">
        <v>70</v>
      </c>
      <c r="AZ5" s="12" t="s">
        <v>71</v>
      </c>
      <c r="BA5" s="12" t="s">
        <v>72</v>
      </c>
      <c r="BB5" s="12" t="s">
        <v>73</v>
      </c>
      <c r="BC5" s="12" t="s">
        <v>74</v>
      </c>
      <c r="BD5" s="12" t="s">
        <v>75</v>
      </c>
      <c r="BE5" s="12" t="s">
        <v>76</v>
      </c>
      <c r="BF5" s="12" t="s">
        <v>77</v>
      </c>
      <c r="BG5" s="12" t="s">
        <v>78</v>
      </c>
      <c r="BH5" s="12" t="s">
        <v>79</v>
      </c>
      <c r="BI5" s="12" t="s">
        <v>80</v>
      </c>
      <c r="BJ5" s="12" t="s">
        <v>81</v>
      </c>
      <c r="BK5" s="12" t="s">
        <v>82</v>
      </c>
      <c r="BL5" s="12" t="s">
        <v>83</v>
      </c>
      <c r="BM5" s="12" t="s">
        <v>84</v>
      </c>
      <c r="BN5" s="12" t="s">
        <v>85</v>
      </c>
      <c r="BO5" s="12" t="s">
        <v>86</v>
      </c>
      <c r="BP5" s="12" t="s">
        <v>87</v>
      </c>
      <c r="BQ5" s="12" t="s">
        <v>88</v>
      </c>
      <c r="BR5" s="12" t="s">
        <v>89</v>
      </c>
      <c r="BS5" s="12" t="s">
        <v>90</v>
      </c>
      <c r="BT5" s="12" t="s">
        <v>91</v>
      </c>
      <c r="BU5" s="12" t="s">
        <v>92</v>
      </c>
      <c r="BV5" s="12" t="s">
        <v>93</v>
      </c>
      <c r="BW5" s="12" t="s">
        <v>94</v>
      </c>
      <c r="BX5" s="12" t="s">
        <v>95</v>
      </c>
      <c r="BY5" s="12" t="s">
        <v>96</v>
      </c>
      <c r="BZ5" s="12" t="s">
        <v>97</v>
      </c>
      <c r="CA5" s="12" t="s">
        <v>98</v>
      </c>
      <c r="CB5" s="12" t="s">
        <v>99</v>
      </c>
      <c r="CC5" s="12" t="s">
        <v>100</v>
      </c>
      <c r="CD5" s="12" t="s">
        <v>101</v>
      </c>
      <c r="CE5" s="12" t="s">
        <v>102</v>
      </c>
      <c r="CF5" s="12" t="s">
        <v>103</v>
      </c>
      <c r="CG5" s="12" t="s">
        <v>104</v>
      </c>
      <c r="CH5" s="12" t="s">
        <v>105</v>
      </c>
      <c r="CI5" s="12" t="s">
        <v>106</v>
      </c>
      <c r="CJ5" s="12" t="s">
        <v>107</v>
      </c>
      <c r="CK5" s="12" t="s">
        <v>108</v>
      </c>
      <c r="CL5" s="12" t="s">
        <v>109</v>
      </c>
      <c r="CM5" s="12" t="s">
        <v>110</v>
      </c>
      <c r="CN5" s="12" t="s">
        <v>111</v>
      </c>
      <c r="CO5" s="12" t="s">
        <v>112</v>
      </c>
      <c r="CP5" s="12" t="s">
        <v>113</v>
      </c>
      <c r="CQ5" s="12" t="s">
        <v>114</v>
      </c>
      <c r="CR5" s="12" t="s">
        <v>115</v>
      </c>
      <c r="CS5" s="12" t="s">
        <v>116</v>
      </c>
      <c r="CT5" s="12" t="s">
        <v>117</v>
      </c>
      <c r="CU5" s="12" t="s">
        <v>118</v>
      </c>
      <c r="CV5" s="12" t="s">
        <v>119</v>
      </c>
      <c r="CW5" s="12" t="s">
        <v>120</v>
      </c>
      <c r="CX5" s="12" t="s">
        <v>121</v>
      </c>
      <c r="CY5" s="12" t="s">
        <v>122</v>
      </c>
      <c r="CZ5" s="12" t="s">
        <v>123</v>
      </c>
      <c r="DA5" s="12" t="s">
        <v>124</v>
      </c>
      <c r="DB5" s="12" t="s">
        <v>125</v>
      </c>
      <c r="DC5" s="12" t="s">
        <v>126</v>
      </c>
      <c r="DD5" s="12" t="s">
        <v>127</v>
      </c>
      <c r="DE5" s="12" t="s">
        <v>128</v>
      </c>
      <c r="DF5" s="12" t="s">
        <v>129</v>
      </c>
      <c r="DG5" s="12" t="s">
        <v>130</v>
      </c>
      <c r="DH5" s="12" t="s">
        <v>131</v>
      </c>
      <c r="DI5" s="12" t="s">
        <v>132</v>
      </c>
      <c r="DJ5" s="12" t="s">
        <v>133</v>
      </c>
      <c r="DK5" s="12" t="s">
        <v>134</v>
      </c>
      <c r="DL5" s="12" t="s">
        <v>135</v>
      </c>
      <c r="DM5" s="12" t="s">
        <v>136</v>
      </c>
      <c r="DN5" s="12" t="s">
        <v>137</v>
      </c>
      <c r="DO5" s="12" t="s">
        <v>138</v>
      </c>
      <c r="DP5" s="12" t="s">
        <v>139</v>
      </c>
      <c r="DQ5" s="12" t="s">
        <v>140</v>
      </c>
      <c r="DR5" s="12" t="s">
        <v>141</v>
      </c>
      <c r="DS5" s="12" t="s">
        <v>142</v>
      </c>
      <c r="DT5" s="12" t="s">
        <v>143</v>
      </c>
      <c r="DU5" s="12" t="s">
        <v>144</v>
      </c>
      <c r="DV5" s="12" t="s">
        <v>145</v>
      </c>
      <c r="DW5" s="12" t="s">
        <v>146</v>
      </c>
      <c r="DX5" s="12" t="s">
        <v>147</v>
      </c>
      <c r="DY5" s="12" t="s">
        <v>148</v>
      </c>
      <c r="DZ5" s="12" t="s">
        <v>149</v>
      </c>
      <c r="EA5" s="12" t="s">
        <v>150</v>
      </c>
      <c r="EB5" s="12" t="s">
        <v>151</v>
      </c>
      <c r="EC5" s="12" t="s">
        <v>152</v>
      </c>
      <c r="ED5" s="12" t="s">
        <v>153</v>
      </c>
      <c r="EE5" s="12" t="s">
        <v>154</v>
      </c>
      <c r="EF5" s="12" t="s">
        <v>155</v>
      </c>
      <c r="EG5" s="12" t="s">
        <v>156</v>
      </c>
      <c r="EH5" s="12" t="s">
        <v>157</v>
      </c>
      <c r="EI5" s="12" t="s">
        <v>158</v>
      </c>
      <c r="EJ5" s="12" t="s">
        <v>159</v>
      </c>
      <c r="EK5" s="12" t="s">
        <v>160</v>
      </c>
      <c r="EL5" s="12" t="s">
        <v>161</v>
      </c>
      <c r="EM5" s="12" t="s">
        <v>162</v>
      </c>
      <c r="EN5" s="12" t="s">
        <v>163</v>
      </c>
      <c r="EO5" s="12" t="s">
        <v>164</v>
      </c>
      <c r="EP5" s="12" t="s">
        <v>165</v>
      </c>
      <c r="EQ5" s="12" t="s">
        <v>166</v>
      </c>
      <c r="ER5" s="12" t="s">
        <v>167</v>
      </c>
      <c r="ES5" s="12" t="s">
        <v>168</v>
      </c>
      <c r="ET5" s="12" t="s">
        <v>169</v>
      </c>
      <c r="EU5" s="12" t="s">
        <v>170</v>
      </c>
      <c r="EV5" s="12" t="s">
        <v>171</v>
      </c>
      <c r="EW5" s="12" t="s">
        <v>172</v>
      </c>
      <c r="EX5" s="12" t="s">
        <v>173</v>
      </c>
      <c r="EY5" s="12" t="s">
        <v>174</v>
      </c>
      <c r="EZ5" s="12" t="s">
        <v>175</v>
      </c>
      <c r="FA5" s="12" t="s">
        <v>176</v>
      </c>
      <c r="FB5" s="12" t="s">
        <v>177</v>
      </c>
      <c r="FC5" s="12" t="s">
        <v>178</v>
      </c>
      <c r="FD5" s="12" t="s">
        <v>179</v>
      </c>
      <c r="FE5" s="12" t="s">
        <v>180</v>
      </c>
      <c r="FF5" s="12" t="s">
        <v>181</v>
      </c>
      <c r="FG5" s="12" t="s">
        <v>182</v>
      </c>
      <c r="FH5" s="12" t="s">
        <v>183</v>
      </c>
      <c r="FI5" s="12" t="s">
        <v>184</v>
      </c>
      <c r="FJ5" s="12" t="s">
        <v>185</v>
      </c>
      <c r="FK5" s="12" t="s">
        <v>186</v>
      </c>
      <c r="FL5" s="12" t="s">
        <v>187</v>
      </c>
      <c r="FM5" s="12" t="s">
        <v>188</v>
      </c>
      <c r="FN5" s="12" t="s">
        <v>189</v>
      </c>
      <c r="FO5" s="12" t="s">
        <v>190</v>
      </c>
      <c r="FP5" s="12" t="s">
        <v>191</v>
      </c>
      <c r="FQ5" s="12" t="s">
        <v>192</v>
      </c>
      <c r="FR5" s="12" t="s">
        <v>193</v>
      </c>
      <c r="FS5" s="12" t="s">
        <v>194</v>
      </c>
      <c r="FT5" s="12" t="s">
        <v>195</v>
      </c>
      <c r="FU5" s="12" t="s">
        <v>196</v>
      </c>
      <c r="FV5" s="12" t="s">
        <v>197</v>
      </c>
      <c r="FW5" s="12" t="s">
        <v>198</v>
      </c>
      <c r="FX5" s="12" t="s">
        <v>199</v>
      </c>
      <c r="FY5" s="12" t="s">
        <v>200</v>
      </c>
      <c r="FZ5" s="12"/>
      <c r="GA5" s="12"/>
      <c r="GB5" s="12"/>
      <c r="GC5" s="12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</row>
    <row r="6" spans="1:207" ht="15" customHeight="1" x14ac:dyDescent="0.35">
      <c r="A6" s="8"/>
      <c r="B6" s="7"/>
      <c r="C6" s="12" t="s">
        <v>202</v>
      </c>
      <c r="D6" s="12" t="s">
        <v>202</v>
      </c>
      <c r="E6" s="12" t="s">
        <v>202</v>
      </c>
      <c r="F6" s="12" t="s">
        <v>202</v>
      </c>
      <c r="G6" s="12" t="s">
        <v>202</v>
      </c>
      <c r="H6" s="12" t="s">
        <v>202</v>
      </c>
      <c r="I6" s="12" t="s">
        <v>202</v>
      </c>
      <c r="J6" s="12" t="s">
        <v>203</v>
      </c>
      <c r="K6" s="12" t="s">
        <v>203</v>
      </c>
      <c r="L6" s="12" t="s">
        <v>204</v>
      </c>
      <c r="M6" s="12" t="s">
        <v>204</v>
      </c>
      <c r="N6" s="12" t="s">
        <v>204</v>
      </c>
      <c r="O6" s="12" t="s">
        <v>204</v>
      </c>
      <c r="P6" s="12" t="s">
        <v>204</v>
      </c>
      <c r="Q6" s="12" t="s">
        <v>204</v>
      </c>
      <c r="R6" s="12" t="s">
        <v>204</v>
      </c>
      <c r="S6" s="12" t="s">
        <v>205</v>
      </c>
      <c r="T6" s="12" t="s">
        <v>206</v>
      </c>
      <c r="U6" s="12" t="s">
        <v>206</v>
      </c>
      <c r="V6" s="12" t="s">
        <v>206</v>
      </c>
      <c r="W6" s="12" t="s">
        <v>206</v>
      </c>
      <c r="X6" s="12" t="s">
        <v>206</v>
      </c>
      <c r="Y6" s="12" t="s">
        <v>207</v>
      </c>
      <c r="Z6" s="12" t="s">
        <v>207</v>
      </c>
      <c r="AA6" s="12" t="s">
        <v>208</v>
      </c>
      <c r="AB6" s="12" t="s">
        <v>208</v>
      </c>
      <c r="AC6" s="12" t="s">
        <v>209</v>
      </c>
      <c r="AD6" s="12" t="s">
        <v>209</v>
      </c>
      <c r="AE6" s="12" t="s">
        <v>210</v>
      </c>
      <c r="AF6" s="12" t="s">
        <v>210</v>
      </c>
      <c r="AG6" s="12" t="s">
        <v>211</v>
      </c>
      <c r="AH6" s="12" t="s">
        <v>212</v>
      </c>
      <c r="AI6" s="12" t="s">
        <v>212</v>
      </c>
      <c r="AJ6" s="12" t="s">
        <v>212</v>
      </c>
      <c r="AK6" s="12" t="s">
        <v>213</v>
      </c>
      <c r="AL6" s="12" t="s">
        <v>213</v>
      </c>
      <c r="AM6" s="12" t="s">
        <v>214</v>
      </c>
      <c r="AN6" s="12" t="s">
        <v>215</v>
      </c>
      <c r="AO6" s="12" t="s">
        <v>216</v>
      </c>
      <c r="AP6" s="12" t="s">
        <v>217</v>
      </c>
      <c r="AQ6" s="12" t="s">
        <v>218</v>
      </c>
      <c r="AR6" s="12" t="s">
        <v>219</v>
      </c>
      <c r="AS6" s="12" t="s">
        <v>220</v>
      </c>
      <c r="AT6" s="12" t="s">
        <v>221</v>
      </c>
      <c r="AU6" s="12" t="s">
        <v>221</v>
      </c>
      <c r="AV6" s="12" t="s">
        <v>221</v>
      </c>
      <c r="AW6" s="12" t="s">
        <v>221</v>
      </c>
      <c r="AX6" s="12" t="s">
        <v>221</v>
      </c>
      <c r="AY6" s="12" t="s">
        <v>222</v>
      </c>
      <c r="AZ6" s="12" t="s">
        <v>222</v>
      </c>
      <c r="BA6" s="12" t="s">
        <v>222</v>
      </c>
      <c r="BB6" s="12" t="s">
        <v>222</v>
      </c>
      <c r="BC6" s="12" t="s">
        <v>222</v>
      </c>
      <c r="BD6" s="12" t="s">
        <v>222</v>
      </c>
      <c r="BE6" s="12" t="s">
        <v>222</v>
      </c>
      <c r="BF6" s="12" t="s">
        <v>222</v>
      </c>
      <c r="BG6" s="12" t="s">
        <v>222</v>
      </c>
      <c r="BH6" s="12" t="s">
        <v>222</v>
      </c>
      <c r="BI6" s="12" t="s">
        <v>222</v>
      </c>
      <c r="BJ6" s="12" t="s">
        <v>222</v>
      </c>
      <c r="BK6" s="12" t="s">
        <v>222</v>
      </c>
      <c r="BL6" s="12" t="s">
        <v>222</v>
      </c>
      <c r="BM6" s="12" t="s">
        <v>222</v>
      </c>
      <c r="BN6" s="12" t="s">
        <v>223</v>
      </c>
      <c r="BO6" s="12" t="s">
        <v>223</v>
      </c>
      <c r="BP6" s="12" t="s">
        <v>223</v>
      </c>
      <c r="BQ6" s="12" t="s">
        <v>224</v>
      </c>
      <c r="BR6" s="12" t="s">
        <v>224</v>
      </c>
      <c r="BS6" s="12" t="s">
        <v>224</v>
      </c>
      <c r="BT6" s="12" t="s">
        <v>225</v>
      </c>
      <c r="BU6" s="12" t="s">
        <v>226</v>
      </c>
      <c r="BV6" s="12" t="s">
        <v>226</v>
      </c>
      <c r="BW6" s="12" t="s">
        <v>227</v>
      </c>
      <c r="BX6" s="12" t="s">
        <v>228</v>
      </c>
      <c r="BY6" s="12" t="s">
        <v>229</v>
      </c>
      <c r="BZ6" s="12" t="s">
        <v>229</v>
      </c>
      <c r="CA6" s="12" t="s">
        <v>230</v>
      </c>
      <c r="CB6" s="12" t="s">
        <v>231</v>
      </c>
      <c r="CC6" s="12" t="s">
        <v>232</v>
      </c>
      <c r="CD6" s="12" t="s">
        <v>232</v>
      </c>
      <c r="CE6" s="12" t="s">
        <v>233</v>
      </c>
      <c r="CF6" s="12" t="s">
        <v>233</v>
      </c>
      <c r="CG6" s="12" t="s">
        <v>233</v>
      </c>
      <c r="CH6" s="12" t="s">
        <v>233</v>
      </c>
      <c r="CI6" s="12" t="s">
        <v>233</v>
      </c>
      <c r="CJ6" s="12" t="s">
        <v>234</v>
      </c>
      <c r="CK6" s="12" t="s">
        <v>235</v>
      </c>
      <c r="CL6" s="12" t="s">
        <v>235</v>
      </c>
      <c r="CM6" s="12" t="s">
        <v>235</v>
      </c>
      <c r="CN6" s="12" t="s">
        <v>236</v>
      </c>
      <c r="CO6" s="12" t="s">
        <v>236</v>
      </c>
      <c r="CP6" s="12" t="s">
        <v>236</v>
      </c>
      <c r="CQ6" s="12" t="s">
        <v>237</v>
      </c>
      <c r="CR6" s="12" t="s">
        <v>237</v>
      </c>
      <c r="CS6" s="12" t="s">
        <v>237</v>
      </c>
      <c r="CT6" s="12" t="s">
        <v>237</v>
      </c>
      <c r="CU6" s="12" t="s">
        <v>237</v>
      </c>
      <c r="CV6" s="12" t="s">
        <v>237</v>
      </c>
      <c r="CW6" s="12" t="s">
        <v>238</v>
      </c>
      <c r="CX6" s="12" t="s">
        <v>238</v>
      </c>
      <c r="CY6" s="12" t="s">
        <v>238</v>
      </c>
      <c r="CZ6" s="12" t="s">
        <v>239</v>
      </c>
      <c r="DA6" s="12" t="s">
        <v>239</v>
      </c>
      <c r="DB6" s="12" t="s">
        <v>239</v>
      </c>
      <c r="DC6" s="12" t="s">
        <v>239</v>
      </c>
      <c r="DD6" s="12" t="s">
        <v>240</v>
      </c>
      <c r="DE6" s="12" t="s">
        <v>240</v>
      </c>
      <c r="DF6" s="12" t="s">
        <v>240</v>
      </c>
      <c r="DG6" s="12" t="s">
        <v>241</v>
      </c>
      <c r="DH6" s="12" t="s">
        <v>242</v>
      </c>
      <c r="DI6" s="12" t="s">
        <v>243</v>
      </c>
      <c r="DJ6" s="12" t="s">
        <v>243</v>
      </c>
      <c r="DK6" s="12" t="s">
        <v>243</v>
      </c>
      <c r="DL6" s="12" t="s">
        <v>244</v>
      </c>
      <c r="DM6" s="12" t="s">
        <v>244</v>
      </c>
      <c r="DN6" s="12" t="s">
        <v>245</v>
      </c>
      <c r="DO6" s="12" t="s">
        <v>245</v>
      </c>
      <c r="DP6" s="12" t="s">
        <v>245</v>
      </c>
      <c r="DQ6" s="12" t="s">
        <v>245</v>
      </c>
      <c r="DR6" s="12" t="s">
        <v>246</v>
      </c>
      <c r="DS6" s="12" t="s">
        <v>246</v>
      </c>
      <c r="DT6" s="12" t="s">
        <v>246</v>
      </c>
      <c r="DU6" s="12" t="s">
        <v>246</v>
      </c>
      <c r="DV6" s="12" t="s">
        <v>246</v>
      </c>
      <c r="DW6" s="12" t="s">
        <v>246</v>
      </c>
      <c r="DX6" s="12" t="s">
        <v>247</v>
      </c>
      <c r="DY6" s="12" t="s">
        <v>247</v>
      </c>
      <c r="DZ6" s="12" t="s">
        <v>248</v>
      </c>
      <c r="EA6" s="12" t="s">
        <v>248</v>
      </c>
      <c r="EB6" s="12" t="s">
        <v>249</v>
      </c>
      <c r="EC6" s="12" t="s">
        <v>249</v>
      </c>
      <c r="ED6" s="12" t="s">
        <v>250</v>
      </c>
      <c r="EE6" s="12" t="s">
        <v>251</v>
      </c>
      <c r="EF6" s="12" t="s">
        <v>251</v>
      </c>
      <c r="EG6" s="12" t="s">
        <v>251</v>
      </c>
      <c r="EH6" s="12" t="s">
        <v>251</v>
      </c>
      <c r="EI6" s="12" t="s">
        <v>252</v>
      </c>
      <c r="EJ6" s="12" t="s">
        <v>252</v>
      </c>
      <c r="EK6" s="12" t="s">
        <v>253</v>
      </c>
      <c r="EL6" s="12" t="s">
        <v>253</v>
      </c>
      <c r="EM6" s="12" t="s">
        <v>254</v>
      </c>
      <c r="EN6" s="12" t="s">
        <v>254</v>
      </c>
      <c r="EO6" s="12" t="s">
        <v>254</v>
      </c>
      <c r="EP6" s="12" t="s">
        <v>255</v>
      </c>
      <c r="EQ6" s="12" t="s">
        <v>255</v>
      </c>
      <c r="ER6" s="12" t="s">
        <v>255</v>
      </c>
      <c r="ES6" s="12" t="s">
        <v>256</v>
      </c>
      <c r="ET6" s="12" t="s">
        <v>256</v>
      </c>
      <c r="EU6" s="12" t="s">
        <v>256</v>
      </c>
      <c r="EV6" s="12" t="s">
        <v>257</v>
      </c>
      <c r="EW6" s="12" t="s">
        <v>258</v>
      </c>
      <c r="EX6" s="12" t="s">
        <v>258</v>
      </c>
      <c r="EY6" s="12" t="s">
        <v>259</v>
      </c>
      <c r="EZ6" s="12" t="s">
        <v>259</v>
      </c>
      <c r="FA6" s="12" t="s">
        <v>260</v>
      </c>
      <c r="FB6" s="12" t="s">
        <v>261</v>
      </c>
      <c r="FC6" s="12" t="s">
        <v>261</v>
      </c>
      <c r="FD6" s="12" t="s">
        <v>262</v>
      </c>
      <c r="FE6" s="12" t="s">
        <v>262</v>
      </c>
      <c r="FF6" s="12" t="s">
        <v>262</v>
      </c>
      <c r="FG6" s="12" t="s">
        <v>262</v>
      </c>
      <c r="FH6" s="12" t="s">
        <v>262</v>
      </c>
      <c r="FI6" s="12" t="s">
        <v>263</v>
      </c>
      <c r="FJ6" s="12" t="s">
        <v>263</v>
      </c>
      <c r="FK6" s="12" t="s">
        <v>263</v>
      </c>
      <c r="FL6" s="12" t="s">
        <v>263</v>
      </c>
      <c r="FM6" s="12" t="s">
        <v>263</v>
      </c>
      <c r="FN6" s="12" t="s">
        <v>263</v>
      </c>
      <c r="FO6" s="12" t="s">
        <v>263</v>
      </c>
      <c r="FP6" s="12" t="s">
        <v>263</v>
      </c>
      <c r="FQ6" s="12" t="s">
        <v>263</v>
      </c>
      <c r="FR6" s="12" t="s">
        <v>263</v>
      </c>
      <c r="FS6" s="12" t="s">
        <v>263</v>
      </c>
      <c r="FT6" s="12" t="s">
        <v>263</v>
      </c>
      <c r="FU6" s="12" t="s">
        <v>264</v>
      </c>
      <c r="FV6" s="12" t="s">
        <v>264</v>
      </c>
      <c r="FW6" s="12" t="s">
        <v>264</v>
      </c>
      <c r="FX6" s="12" t="s">
        <v>264</v>
      </c>
      <c r="FY6" s="12"/>
      <c r="FZ6" s="12"/>
      <c r="GA6" s="12"/>
      <c r="GB6" s="12"/>
      <c r="GC6" s="12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</row>
    <row r="7" spans="1:207" ht="15" customHeight="1" x14ac:dyDescent="0.35">
      <c r="A7" s="15"/>
      <c r="B7" s="91" t="s">
        <v>745</v>
      </c>
      <c r="C7" s="16" t="s">
        <v>265</v>
      </c>
      <c r="D7" s="16" t="s">
        <v>266</v>
      </c>
      <c r="E7" s="16" t="s">
        <v>267</v>
      </c>
      <c r="F7" s="17" t="s">
        <v>268</v>
      </c>
      <c r="G7" s="16" t="s">
        <v>269</v>
      </c>
      <c r="H7" s="16" t="s">
        <v>270</v>
      </c>
      <c r="I7" s="16" t="s">
        <v>271</v>
      </c>
      <c r="J7" s="16" t="s">
        <v>272</v>
      </c>
      <c r="K7" s="16" t="s">
        <v>273</v>
      </c>
      <c r="L7" s="16" t="s">
        <v>274</v>
      </c>
      <c r="M7" s="16" t="s">
        <v>275</v>
      </c>
      <c r="N7" s="16" t="s">
        <v>276</v>
      </c>
      <c r="O7" s="16" t="s">
        <v>277</v>
      </c>
      <c r="P7" s="16" t="s">
        <v>278</v>
      </c>
      <c r="Q7" s="16" t="s">
        <v>279</v>
      </c>
      <c r="R7" s="16" t="s">
        <v>280</v>
      </c>
      <c r="S7" s="16" t="s">
        <v>281</v>
      </c>
      <c r="T7" s="16" t="s">
        <v>282</v>
      </c>
      <c r="U7" s="16" t="s">
        <v>283</v>
      </c>
      <c r="V7" s="16" t="s">
        <v>284</v>
      </c>
      <c r="W7" s="16" t="s">
        <v>285</v>
      </c>
      <c r="X7" s="16" t="s">
        <v>286</v>
      </c>
      <c r="Y7" s="16" t="s">
        <v>287</v>
      </c>
      <c r="Z7" s="16" t="s">
        <v>288</v>
      </c>
      <c r="AA7" s="16" t="s">
        <v>289</v>
      </c>
      <c r="AB7" s="16" t="s">
        <v>290</v>
      </c>
      <c r="AC7" s="16" t="s">
        <v>291</v>
      </c>
      <c r="AD7" s="16" t="s">
        <v>292</v>
      </c>
      <c r="AE7" s="16" t="s">
        <v>293</v>
      </c>
      <c r="AF7" s="16" t="s">
        <v>294</v>
      </c>
      <c r="AG7" s="16" t="s">
        <v>295</v>
      </c>
      <c r="AH7" s="16" t="s">
        <v>296</v>
      </c>
      <c r="AI7" s="16" t="s">
        <v>297</v>
      </c>
      <c r="AJ7" s="16" t="s">
        <v>298</v>
      </c>
      <c r="AK7" s="16" t="s">
        <v>299</v>
      </c>
      <c r="AL7" s="16" t="s">
        <v>300</v>
      </c>
      <c r="AM7" s="16" t="s">
        <v>301</v>
      </c>
      <c r="AN7" s="16" t="s">
        <v>302</v>
      </c>
      <c r="AO7" s="16" t="s">
        <v>303</v>
      </c>
      <c r="AP7" s="16" t="s">
        <v>304</v>
      </c>
      <c r="AQ7" s="16" t="s">
        <v>305</v>
      </c>
      <c r="AR7" s="16" t="s">
        <v>306</v>
      </c>
      <c r="AS7" s="16" t="s">
        <v>307</v>
      </c>
      <c r="AT7" s="16" t="s">
        <v>308</v>
      </c>
      <c r="AU7" s="16" t="s">
        <v>309</v>
      </c>
      <c r="AV7" s="16" t="s">
        <v>310</v>
      </c>
      <c r="AW7" s="16" t="s">
        <v>311</v>
      </c>
      <c r="AX7" s="16" t="s">
        <v>312</v>
      </c>
      <c r="AY7" s="16" t="s">
        <v>313</v>
      </c>
      <c r="AZ7" s="16" t="s">
        <v>314</v>
      </c>
      <c r="BA7" s="16" t="s">
        <v>315</v>
      </c>
      <c r="BB7" s="16" t="s">
        <v>316</v>
      </c>
      <c r="BC7" s="16" t="s">
        <v>317</v>
      </c>
      <c r="BD7" s="16" t="s">
        <v>318</v>
      </c>
      <c r="BE7" s="16" t="s">
        <v>319</v>
      </c>
      <c r="BF7" s="16" t="s">
        <v>320</v>
      </c>
      <c r="BG7" s="16" t="s">
        <v>321</v>
      </c>
      <c r="BH7" s="16" t="s">
        <v>322</v>
      </c>
      <c r="BI7" s="16" t="s">
        <v>323</v>
      </c>
      <c r="BJ7" s="16" t="s">
        <v>324</v>
      </c>
      <c r="BK7" s="16" t="s">
        <v>325</v>
      </c>
      <c r="BL7" s="16" t="s">
        <v>326</v>
      </c>
      <c r="BM7" s="16" t="s">
        <v>327</v>
      </c>
      <c r="BN7" s="16" t="s">
        <v>328</v>
      </c>
      <c r="BO7" s="16" t="s">
        <v>329</v>
      </c>
      <c r="BP7" s="16" t="s">
        <v>330</v>
      </c>
      <c r="BQ7" s="16" t="s">
        <v>331</v>
      </c>
      <c r="BR7" s="16" t="s">
        <v>332</v>
      </c>
      <c r="BS7" s="16" t="s">
        <v>333</v>
      </c>
      <c r="BT7" s="16" t="s">
        <v>334</v>
      </c>
      <c r="BU7" s="16" t="s">
        <v>335</v>
      </c>
      <c r="BV7" s="16" t="s">
        <v>336</v>
      </c>
      <c r="BW7" s="16" t="s">
        <v>337</v>
      </c>
      <c r="BX7" s="16" t="s">
        <v>338</v>
      </c>
      <c r="BY7" s="16" t="s">
        <v>339</v>
      </c>
      <c r="BZ7" s="16" t="s">
        <v>340</v>
      </c>
      <c r="CA7" s="16" t="s">
        <v>341</v>
      </c>
      <c r="CB7" s="16" t="s">
        <v>342</v>
      </c>
      <c r="CC7" s="16" t="s">
        <v>343</v>
      </c>
      <c r="CD7" s="16" t="s">
        <v>344</v>
      </c>
      <c r="CE7" s="16" t="s">
        <v>345</v>
      </c>
      <c r="CF7" s="16" t="s">
        <v>346</v>
      </c>
      <c r="CG7" s="16" t="s">
        <v>347</v>
      </c>
      <c r="CH7" s="16" t="s">
        <v>348</v>
      </c>
      <c r="CI7" s="16" t="s">
        <v>349</v>
      </c>
      <c r="CJ7" s="16" t="s">
        <v>350</v>
      </c>
      <c r="CK7" s="16" t="s">
        <v>351</v>
      </c>
      <c r="CL7" s="16" t="s">
        <v>352</v>
      </c>
      <c r="CM7" s="16" t="s">
        <v>353</v>
      </c>
      <c r="CN7" s="16" t="s">
        <v>354</v>
      </c>
      <c r="CO7" s="16" t="s">
        <v>355</v>
      </c>
      <c r="CP7" s="16" t="s">
        <v>356</v>
      </c>
      <c r="CQ7" s="16" t="s">
        <v>357</v>
      </c>
      <c r="CR7" s="16" t="s">
        <v>358</v>
      </c>
      <c r="CS7" s="16" t="s">
        <v>359</v>
      </c>
      <c r="CT7" s="16" t="s">
        <v>360</v>
      </c>
      <c r="CU7" s="16" t="s">
        <v>361</v>
      </c>
      <c r="CV7" s="16" t="s">
        <v>362</v>
      </c>
      <c r="CW7" s="16" t="s">
        <v>363</v>
      </c>
      <c r="CX7" s="16" t="s">
        <v>364</v>
      </c>
      <c r="CY7" s="16" t="s">
        <v>365</v>
      </c>
      <c r="CZ7" s="16" t="s">
        <v>366</v>
      </c>
      <c r="DA7" s="16" t="s">
        <v>367</v>
      </c>
      <c r="DB7" s="16" t="s">
        <v>368</v>
      </c>
      <c r="DC7" s="16" t="s">
        <v>369</v>
      </c>
      <c r="DD7" s="16" t="s">
        <v>370</v>
      </c>
      <c r="DE7" s="16" t="s">
        <v>371</v>
      </c>
      <c r="DF7" s="16" t="s">
        <v>372</v>
      </c>
      <c r="DG7" s="16" t="s">
        <v>373</v>
      </c>
      <c r="DH7" s="16" t="s">
        <v>374</v>
      </c>
      <c r="DI7" s="16" t="s">
        <v>375</v>
      </c>
      <c r="DJ7" s="16" t="s">
        <v>376</v>
      </c>
      <c r="DK7" s="16" t="s">
        <v>377</v>
      </c>
      <c r="DL7" s="16" t="s">
        <v>378</v>
      </c>
      <c r="DM7" s="16" t="s">
        <v>379</v>
      </c>
      <c r="DN7" s="16" t="s">
        <v>380</v>
      </c>
      <c r="DO7" s="16" t="s">
        <v>381</v>
      </c>
      <c r="DP7" s="16" t="s">
        <v>382</v>
      </c>
      <c r="DQ7" s="16" t="s">
        <v>383</v>
      </c>
      <c r="DR7" s="16" t="s">
        <v>384</v>
      </c>
      <c r="DS7" s="16" t="s">
        <v>385</v>
      </c>
      <c r="DT7" s="16" t="s">
        <v>386</v>
      </c>
      <c r="DU7" s="16" t="s">
        <v>387</v>
      </c>
      <c r="DV7" s="16" t="s">
        <v>388</v>
      </c>
      <c r="DW7" s="16" t="s">
        <v>389</v>
      </c>
      <c r="DX7" s="16" t="s">
        <v>390</v>
      </c>
      <c r="DY7" s="16" t="s">
        <v>391</v>
      </c>
      <c r="DZ7" s="16" t="s">
        <v>392</v>
      </c>
      <c r="EA7" s="16" t="s">
        <v>393</v>
      </c>
      <c r="EB7" s="16" t="s">
        <v>394</v>
      </c>
      <c r="EC7" s="16" t="s">
        <v>395</v>
      </c>
      <c r="ED7" s="16" t="s">
        <v>396</v>
      </c>
      <c r="EE7" s="16" t="s">
        <v>397</v>
      </c>
      <c r="EF7" s="16" t="s">
        <v>398</v>
      </c>
      <c r="EG7" s="16" t="s">
        <v>399</v>
      </c>
      <c r="EH7" s="16" t="s">
        <v>400</v>
      </c>
      <c r="EI7" s="16" t="s">
        <v>401</v>
      </c>
      <c r="EJ7" s="16" t="s">
        <v>402</v>
      </c>
      <c r="EK7" s="16" t="s">
        <v>403</v>
      </c>
      <c r="EL7" s="16" t="s">
        <v>404</v>
      </c>
      <c r="EM7" s="16" t="s">
        <v>405</v>
      </c>
      <c r="EN7" s="16" t="s">
        <v>406</v>
      </c>
      <c r="EO7" s="16" t="s">
        <v>407</v>
      </c>
      <c r="EP7" s="16" t="s">
        <v>408</v>
      </c>
      <c r="EQ7" s="16" t="s">
        <v>409</v>
      </c>
      <c r="ER7" s="16" t="s">
        <v>410</v>
      </c>
      <c r="ES7" s="16" t="s">
        <v>411</v>
      </c>
      <c r="ET7" s="16" t="s">
        <v>412</v>
      </c>
      <c r="EU7" s="16" t="s">
        <v>413</v>
      </c>
      <c r="EV7" s="16" t="s">
        <v>414</v>
      </c>
      <c r="EW7" s="16" t="s">
        <v>415</v>
      </c>
      <c r="EX7" s="16" t="s">
        <v>416</v>
      </c>
      <c r="EY7" s="16" t="s">
        <v>417</v>
      </c>
      <c r="EZ7" s="16" t="s">
        <v>418</v>
      </c>
      <c r="FA7" s="16" t="s">
        <v>419</v>
      </c>
      <c r="FB7" s="16" t="s">
        <v>420</v>
      </c>
      <c r="FC7" s="16" t="s">
        <v>421</v>
      </c>
      <c r="FD7" s="16" t="s">
        <v>422</v>
      </c>
      <c r="FE7" s="16" t="s">
        <v>423</v>
      </c>
      <c r="FF7" s="16" t="s">
        <v>424</v>
      </c>
      <c r="FG7" s="16" t="s">
        <v>425</v>
      </c>
      <c r="FH7" s="16" t="s">
        <v>426</v>
      </c>
      <c r="FI7" s="16" t="s">
        <v>427</v>
      </c>
      <c r="FJ7" s="16" t="s">
        <v>428</v>
      </c>
      <c r="FK7" s="16" t="s">
        <v>429</v>
      </c>
      <c r="FL7" s="16" t="s">
        <v>430</v>
      </c>
      <c r="FM7" s="16" t="s">
        <v>431</v>
      </c>
      <c r="FN7" s="16" t="s">
        <v>432</v>
      </c>
      <c r="FO7" s="16" t="s">
        <v>433</v>
      </c>
      <c r="FP7" s="16" t="s">
        <v>434</v>
      </c>
      <c r="FQ7" s="16" t="s">
        <v>435</v>
      </c>
      <c r="FR7" s="16" t="s">
        <v>436</v>
      </c>
      <c r="FS7" s="16" t="s">
        <v>437</v>
      </c>
      <c r="FT7" s="16" t="s">
        <v>438</v>
      </c>
      <c r="FU7" s="16" t="s">
        <v>439</v>
      </c>
      <c r="FV7" s="16" t="s">
        <v>440</v>
      </c>
      <c r="FW7" s="16" t="s">
        <v>441</v>
      </c>
      <c r="FX7" s="16" t="s">
        <v>442</v>
      </c>
      <c r="FY7" s="16" t="s">
        <v>443</v>
      </c>
      <c r="FZ7" s="16" t="s">
        <v>444</v>
      </c>
      <c r="GA7" s="16"/>
      <c r="GB7" s="16"/>
      <c r="GC7" s="16"/>
      <c r="GD7" s="15"/>
      <c r="GE7" s="15"/>
      <c r="GF7" s="15"/>
      <c r="GG7" s="15"/>
      <c r="GH7" s="15"/>
      <c r="GI7" s="15"/>
      <c r="GJ7" s="15"/>
      <c r="GK7" s="15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</row>
    <row r="8" spans="1:207" ht="15" customHeight="1" x14ac:dyDescent="0.35">
      <c r="A8" s="12" t="s">
        <v>447</v>
      </c>
      <c r="B8" s="7" t="s">
        <v>448</v>
      </c>
      <c r="C8" s="22">
        <f>'New Formula with HB25-1320'!C8</f>
        <v>6052.5</v>
      </c>
      <c r="D8" s="22">
        <f>'New Formula with HB25-1320'!D8</f>
        <v>30633.5</v>
      </c>
      <c r="E8" s="22">
        <f>'New Formula with HB25-1320'!E8</f>
        <v>4402.5</v>
      </c>
      <c r="F8" s="22">
        <f>'New Formula with HB25-1320'!F8</f>
        <v>21926.5</v>
      </c>
      <c r="G8" s="22">
        <f>'New Formula with HB25-1320'!G8</f>
        <v>1683</v>
      </c>
      <c r="H8" s="22">
        <f>'New Formula with HB25-1320'!H8</f>
        <v>996</v>
      </c>
      <c r="I8" s="22">
        <f>'New Formula with HB25-1320'!I8</f>
        <v>6581</v>
      </c>
      <c r="J8" s="22">
        <f>'New Formula with HB25-1320'!J8</f>
        <v>1852.5</v>
      </c>
      <c r="K8" s="22">
        <f>'New Formula with HB25-1320'!K8</f>
        <v>238.5</v>
      </c>
      <c r="L8" s="22">
        <f>'New Formula with HB25-1320'!L8</f>
        <v>1915</v>
      </c>
      <c r="M8" s="22">
        <f>'New Formula with HB25-1320'!M8</f>
        <v>801</v>
      </c>
      <c r="N8" s="22">
        <f>'New Formula with HB25-1320'!N8</f>
        <v>46607.5</v>
      </c>
      <c r="O8" s="22">
        <f>'New Formula with HB25-1320'!O8</f>
        <v>11609.5</v>
      </c>
      <c r="P8" s="22">
        <f>'New Formula with HB25-1320'!P8</f>
        <v>285</v>
      </c>
      <c r="Q8" s="22">
        <f>'New Formula with HB25-1320'!Q8</f>
        <v>34654</v>
      </c>
      <c r="R8" s="22">
        <f>'New Formula with HB25-1320'!R8</f>
        <v>6940</v>
      </c>
      <c r="S8" s="22">
        <f>'New Formula with HB25-1320'!S8</f>
        <v>1459</v>
      </c>
      <c r="T8" s="22">
        <f>'New Formula with HB25-1320'!T8</f>
        <v>149</v>
      </c>
      <c r="U8" s="22">
        <f>'New Formula with HB25-1320'!U8</f>
        <v>48</v>
      </c>
      <c r="V8" s="22">
        <f>'New Formula with HB25-1320'!V8</f>
        <v>232</v>
      </c>
      <c r="W8" s="22">
        <f>'New Formula with HB25-1320'!W8</f>
        <v>45</v>
      </c>
      <c r="X8" s="22">
        <f>'New Formula with HB25-1320'!X8</f>
        <v>33</v>
      </c>
      <c r="Y8" s="22">
        <f>'New Formula with HB25-1320'!Y8</f>
        <v>844.5</v>
      </c>
      <c r="Z8" s="22">
        <f>'New Formula with HB25-1320'!Z8</f>
        <v>212</v>
      </c>
      <c r="AA8" s="22">
        <f>'New Formula with HB25-1320'!AA8</f>
        <v>28572</v>
      </c>
      <c r="AB8" s="22">
        <f>'New Formula with HB25-1320'!AB8</f>
        <v>25199.5</v>
      </c>
      <c r="AC8" s="22">
        <f>'New Formula with HB25-1320'!AC8</f>
        <v>785.5</v>
      </c>
      <c r="AD8" s="22">
        <f>'New Formula with HB25-1320'!AD8</f>
        <v>1203.5</v>
      </c>
      <c r="AE8" s="22">
        <f>'New Formula with HB25-1320'!AE8</f>
        <v>91</v>
      </c>
      <c r="AF8" s="22">
        <f>'New Formula with HB25-1320'!AF8</f>
        <v>157</v>
      </c>
      <c r="AG8" s="22">
        <f>'New Formula with HB25-1320'!AG8</f>
        <v>537</v>
      </c>
      <c r="AH8" s="22">
        <f>'New Formula with HB25-1320'!AH8</f>
        <v>850.5</v>
      </c>
      <c r="AI8" s="22">
        <f>'New Formula with HB25-1320'!AI8</f>
        <v>363</v>
      </c>
      <c r="AJ8" s="22">
        <f>'New Formula with HB25-1320'!AJ8</f>
        <v>169.5</v>
      </c>
      <c r="AK8" s="22">
        <f>'New Formula with HB25-1320'!AK8</f>
        <v>149</v>
      </c>
      <c r="AL8" s="22">
        <f>'New Formula with HB25-1320'!AL8</f>
        <v>270.5</v>
      </c>
      <c r="AM8" s="22">
        <f>'New Formula with HB25-1320'!AM8</f>
        <v>290</v>
      </c>
      <c r="AN8" s="22">
        <f>'New Formula with HB25-1320'!AN8</f>
        <v>248</v>
      </c>
      <c r="AO8" s="22">
        <f>'New Formula with HB25-1320'!AO8</f>
        <v>3797.5</v>
      </c>
      <c r="AP8" s="22">
        <f>'New Formula with HB25-1320'!AP8</f>
        <v>77839</v>
      </c>
      <c r="AQ8" s="22">
        <f>'New Formula with HB25-1320'!AQ8</f>
        <v>232</v>
      </c>
      <c r="AR8" s="22">
        <f>'New Formula with HB25-1320'!AR8</f>
        <v>54639.5</v>
      </c>
      <c r="AS8" s="22">
        <f>'New Formula with HB25-1320'!AS8</f>
        <v>5616.5</v>
      </c>
      <c r="AT8" s="22">
        <f>'New Formula with HB25-1320'!AT8</f>
        <v>2180</v>
      </c>
      <c r="AU8" s="22">
        <f>'New Formula with HB25-1320'!AU8</f>
        <v>244</v>
      </c>
      <c r="AV8" s="22">
        <f>'New Formula with HB25-1320'!AV8</f>
        <v>277</v>
      </c>
      <c r="AW8" s="22">
        <f>'New Formula with HB25-1320'!AW8</f>
        <v>242</v>
      </c>
      <c r="AX8" s="22">
        <f>'New Formula with HB25-1320'!AX8</f>
        <v>71</v>
      </c>
      <c r="AY8" s="22">
        <f>'New Formula with HB25-1320'!AY8</f>
        <v>363.5</v>
      </c>
      <c r="AZ8" s="22">
        <f>'New Formula with HB25-1320'!AZ8</f>
        <v>10932.5</v>
      </c>
      <c r="BA8" s="22">
        <f>'New Formula with HB25-1320'!BA8</f>
        <v>8424</v>
      </c>
      <c r="BB8" s="22">
        <f>'New Formula with HB25-1320'!BB8</f>
        <v>6813.5</v>
      </c>
      <c r="BC8" s="22">
        <f>'New Formula with HB25-1320'!BC8</f>
        <v>19749</v>
      </c>
      <c r="BD8" s="22">
        <f>'New Formula with HB25-1320'!BD8</f>
        <v>3438.5</v>
      </c>
      <c r="BE8" s="22">
        <f>'New Formula with HB25-1320'!BE8</f>
        <v>1055</v>
      </c>
      <c r="BF8" s="22">
        <f>'New Formula with HB25-1320'!BF8</f>
        <v>24083.5</v>
      </c>
      <c r="BG8" s="22">
        <f>'New Formula with HB25-1320'!BG8</f>
        <v>843</v>
      </c>
      <c r="BH8" s="22">
        <f>'New Formula with HB25-1320'!BH8</f>
        <v>542</v>
      </c>
      <c r="BI8" s="22">
        <f>'New Formula with HB25-1320'!BI8</f>
        <v>235.5</v>
      </c>
      <c r="BJ8" s="22">
        <f>'New Formula with HB25-1320'!BJ8</f>
        <v>5955</v>
      </c>
      <c r="BK8" s="22">
        <f>'New Formula with HB25-1320'!BK8</f>
        <v>33128.5</v>
      </c>
      <c r="BL8" s="22">
        <f>'New Formula with HB25-1320'!BL8</f>
        <v>67.5</v>
      </c>
      <c r="BM8" s="22">
        <f>'New Formula with HB25-1320'!BM8</f>
        <v>324</v>
      </c>
      <c r="BN8" s="22">
        <f>'New Formula with HB25-1320'!BN8</f>
        <v>2800</v>
      </c>
      <c r="BO8" s="22">
        <f>'New Formula with HB25-1320'!BO8</f>
        <v>1098</v>
      </c>
      <c r="BP8" s="22">
        <f>'New Formula with HB25-1320'!BP8</f>
        <v>126</v>
      </c>
      <c r="BQ8" s="22">
        <f>'New Formula with HB25-1320'!BQ8</f>
        <v>5216.5</v>
      </c>
      <c r="BR8" s="22">
        <f>'New Formula with HB25-1320'!BR8</f>
        <v>4149</v>
      </c>
      <c r="BS8" s="22">
        <f>'New Formula with HB25-1320'!BS8</f>
        <v>1060</v>
      </c>
      <c r="BT8" s="22">
        <f>'New Formula with HB25-1320'!BT8</f>
        <v>324</v>
      </c>
      <c r="BU8" s="22">
        <f>'New Formula with HB25-1320'!BU8</f>
        <v>360.5</v>
      </c>
      <c r="BV8" s="22">
        <f>'New Formula with HB25-1320'!BV8</f>
        <v>1159</v>
      </c>
      <c r="BW8" s="22">
        <f>'New Formula with HB25-1320'!BW8</f>
        <v>1873.5</v>
      </c>
      <c r="BX8" s="22">
        <f>'New Formula with HB25-1320'!BX8</f>
        <v>55</v>
      </c>
      <c r="BY8" s="22">
        <f>'New Formula with HB25-1320'!BY8</f>
        <v>369</v>
      </c>
      <c r="BZ8" s="22">
        <f>'New Formula with HB25-1320'!BZ8</f>
        <v>216</v>
      </c>
      <c r="CA8" s="22">
        <f>'New Formula with HB25-1320'!CA8</f>
        <v>129.5</v>
      </c>
      <c r="CB8" s="22">
        <f>'New Formula with HB25-1320'!CB8</f>
        <v>66247.5</v>
      </c>
      <c r="CC8" s="22">
        <f>'New Formula with HB25-1320'!CC8</f>
        <v>174</v>
      </c>
      <c r="CD8" s="22">
        <f>'New Formula with HB25-1320'!CD8</f>
        <v>27</v>
      </c>
      <c r="CE8" s="22">
        <f>'New Formula with HB25-1320'!CE8</f>
        <v>144</v>
      </c>
      <c r="CF8" s="22">
        <f>'New Formula with HB25-1320'!CF8</f>
        <v>94</v>
      </c>
      <c r="CG8" s="22">
        <f>'New Formula with HB25-1320'!CG8</f>
        <v>182</v>
      </c>
      <c r="CH8" s="22">
        <f>'New Formula with HB25-1320'!CH8</f>
        <v>85</v>
      </c>
      <c r="CI8" s="22">
        <f>'New Formula with HB25-1320'!CI8</f>
        <v>631</v>
      </c>
      <c r="CJ8" s="22">
        <f>'New Formula with HB25-1320'!CJ8</f>
        <v>764</v>
      </c>
      <c r="CK8" s="22">
        <f>'New Formula with HB25-1320'!CK8</f>
        <v>3908</v>
      </c>
      <c r="CL8" s="22">
        <f>'New Formula with HB25-1320'!CL8</f>
        <v>1095</v>
      </c>
      <c r="CM8" s="22">
        <f>'New Formula with HB25-1320'!CM8</f>
        <v>623</v>
      </c>
      <c r="CN8" s="22">
        <f>'New Formula with HB25-1320'!CN8</f>
        <v>26610</v>
      </c>
      <c r="CO8" s="22">
        <f>'New Formula with HB25-1320'!CO8</f>
        <v>13066</v>
      </c>
      <c r="CP8" s="22">
        <f>'New Formula with HB25-1320'!CP8</f>
        <v>808</v>
      </c>
      <c r="CQ8" s="22">
        <f>'New Formula with HB25-1320'!CQ8</f>
        <v>701</v>
      </c>
      <c r="CR8" s="22">
        <f>'New Formula with HB25-1320'!CR8</f>
        <v>176</v>
      </c>
      <c r="CS8" s="22">
        <f>'New Formula with HB25-1320'!CS8</f>
        <v>243</v>
      </c>
      <c r="CT8" s="22">
        <f>'New Formula with HB25-1320'!CT8</f>
        <v>102</v>
      </c>
      <c r="CU8" s="22">
        <f>'New Formula with HB25-1320'!CU8</f>
        <v>447</v>
      </c>
      <c r="CV8" s="22">
        <f>'New Formula with HB25-1320'!CV8</f>
        <v>21</v>
      </c>
      <c r="CW8" s="22">
        <f>'New Formula with HB25-1320'!CW8</f>
        <v>175</v>
      </c>
      <c r="CX8" s="22">
        <f>'New Formula with HB25-1320'!CX8</f>
        <v>418</v>
      </c>
      <c r="CY8" s="22">
        <f>'New Formula with HB25-1320'!CY8</f>
        <v>23</v>
      </c>
      <c r="CZ8" s="22">
        <f>'New Formula with HB25-1320'!CZ8</f>
        <v>1631</v>
      </c>
      <c r="DA8" s="22">
        <f>'New Formula with HB25-1320'!DA8</f>
        <v>190</v>
      </c>
      <c r="DB8" s="22">
        <f>'New Formula with HB25-1320'!DB8</f>
        <v>290</v>
      </c>
      <c r="DC8" s="22">
        <f>'New Formula with HB25-1320'!DC8</f>
        <v>174</v>
      </c>
      <c r="DD8" s="22">
        <f>'New Formula with HB25-1320'!DD8</f>
        <v>165.5</v>
      </c>
      <c r="DE8" s="22">
        <f>'New Formula with HB25-1320'!DE8</f>
        <v>264.5</v>
      </c>
      <c r="DF8" s="22">
        <f>'New Formula with HB25-1320'!DF8</f>
        <v>17227.5</v>
      </c>
      <c r="DG8" s="22">
        <f>'New Formula with HB25-1320'!DG8</f>
        <v>86</v>
      </c>
      <c r="DH8" s="22">
        <f>'New Formula with HB25-1320'!DH8</f>
        <v>1552.5</v>
      </c>
      <c r="DI8" s="22">
        <f>'New Formula with HB25-1320'!DI8</f>
        <v>2141.5</v>
      </c>
      <c r="DJ8" s="22">
        <f>'New Formula with HB25-1320'!DJ8</f>
        <v>566</v>
      </c>
      <c r="DK8" s="22">
        <f>'New Formula with HB25-1320'!DK8</f>
        <v>437.5</v>
      </c>
      <c r="DL8" s="22">
        <f>'New Formula with HB25-1320'!DL8</f>
        <v>5292.5</v>
      </c>
      <c r="DM8" s="22">
        <f>'New Formula with HB25-1320'!DM8</f>
        <v>216</v>
      </c>
      <c r="DN8" s="22">
        <f>'New Formula with HB25-1320'!DN8</f>
        <v>1197</v>
      </c>
      <c r="DO8" s="22">
        <f>'New Formula with HB25-1320'!DO8</f>
        <v>3055</v>
      </c>
      <c r="DP8" s="22">
        <f>'New Formula with HB25-1320'!DP8</f>
        <v>185</v>
      </c>
      <c r="DQ8" s="22">
        <f>'New Formula with HB25-1320'!DQ8</f>
        <v>828</v>
      </c>
      <c r="DR8" s="22">
        <f>'New Formula with HB25-1320'!DR8</f>
        <v>1169.5</v>
      </c>
      <c r="DS8" s="22">
        <f>'New Formula with HB25-1320'!DS8</f>
        <v>517</v>
      </c>
      <c r="DT8" s="22">
        <f>'New Formula with HB25-1320'!DT8</f>
        <v>164</v>
      </c>
      <c r="DU8" s="22">
        <f>'New Formula with HB25-1320'!DU8</f>
        <v>323</v>
      </c>
      <c r="DV8" s="22">
        <f>'New Formula with HB25-1320'!DV8</f>
        <v>186</v>
      </c>
      <c r="DW8" s="22">
        <f>'New Formula with HB25-1320'!DW8</f>
        <v>264</v>
      </c>
      <c r="DX8" s="22">
        <f>'New Formula with HB25-1320'!DX8</f>
        <v>160</v>
      </c>
      <c r="DY8" s="22">
        <f>'New Formula with HB25-1320'!DY8</f>
        <v>264</v>
      </c>
      <c r="DZ8" s="22">
        <f>'New Formula with HB25-1320'!DZ8</f>
        <v>558</v>
      </c>
      <c r="EA8" s="22">
        <f>'New Formula with HB25-1320'!EA8</f>
        <v>460</v>
      </c>
      <c r="EB8" s="22">
        <f>'New Formula with HB25-1320'!EB8</f>
        <v>463</v>
      </c>
      <c r="EC8" s="22">
        <f>'New Formula with HB25-1320'!EC8</f>
        <v>245</v>
      </c>
      <c r="ED8" s="22">
        <f>'New Formula with HB25-1320'!ED8</f>
        <v>1453</v>
      </c>
      <c r="EE8" s="22">
        <f>'New Formula with HB25-1320'!EE8</f>
        <v>175.5</v>
      </c>
      <c r="EF8" s="22">
        <f>'New Formula with HB25-1320'!EF8</f>
        <v>1175</v>
      </c>
      <c r="EG8" s="22">
        <f>'New Formula with HB25-1320'!EG8</f>
        <v>235</v>
      </c>
      <c r="EH8" s="22">
        <f>'New Formula with HB25-1320'!EH8</f>
        <v>228</v>
      </c>
      <c r="EI8" s="22">
        <f>'New Formula with HB25-1320'!EI8</f>
        <v>12345</v>
      </c>
      <c r="EJ8" s="22">
        <f>'New Formula with HB25-1320'!EJ8</f>
        <v>9340.5</v>
      </c>
      <c r="EK8" s="22">
        <f>'New Formula with HB25-1320'!EK8</f>
        <v>629.5</v>
      </c>
      <c r="EL8" s="22">
        <f>'New Formula with HB25-1320'!EL8</f>
        <v>415</v>
      </c>
      <c r="EM8" s="22">
        <f>'New Formula with HB25-1320'!EM8</f>
        <v>336.5</v>
      </c>
      <c r="EN8" s="22">
        <f>'New Formula with HB25-1320'!EN8</f>
        <v>865.5</v>
      </c>
      <c r="EO8" s="22">
        <f>'New Formula with HB25-1320'!EO8</f>
        <v>262</v>
      </c>
      <c r="EP8" s="22">
        <f>'New Formula with HB25-1320'!EP8</f>
        <v>395.5</v>
      </c>
      <c r="EQ8" s="22">
        <f>'New Formula with HB25-1320'!EQ8</f>
        <v>2280.5</v>
      </c>
      <c r="ER8" s="22">
        <f>'New Formula with HB25-1320'!ER8</f>
        <v>285</v>
      </c>
      <c r="ES8" s="22">
        <f>'New Formula with HB25-1320'!ES8</f>
        <v>138.5</v>
      </c>
      <c r="ET8" s="22">
        <f>'New Formula with HB25-1320'!ET8</f>
        <v>183.5</v>
      </c>
      <c r="EU8" s="22">
        <f>'New Formula with HB25-1320'!EU8</f>
        <v>526.5</v>
      </c>
      <c r="EV8" s="22">
        <f>'New Formula with HB25-1320'!EV8</f>
        <v>64</v>
      </c>
      <c r="EW8" s="22">
        <f>'New Formula with HB25-1320'!EW8</f>
        <v>694.5</v>
      </c>
      <c r="EX8" s="22">
        <f>'New Formula with HB25-1320'!EX8</f>
        <v>163.5</v>
      </c>
      <c r="EY8" s="22">
        <f>'New Formula with HB25-1320'!EY8</f>
        <v>641</v>
      </c>
      <c r="EZ8" s="22">
        <f>'New Formula with HB25-1320'!EZ8</f>
        <v>119</v>
      </c>
      <c r="FA8" s="22">
        <f>'New Formula with HB25-1320'!FA8</f>
        <v>3029.5</v>
      </c>
      <c r="FB8" s="22">
        <f>'New Formula with HB25-1320'!FB8</f>
        <v>250.5</v>
      </c>
      <c r="FC8" s="22">
        <f>'New Formula with HB25-1320'!FC8</f>
        <v>1503</v>
      </c>
      <c r="FD8" s="22">
        <f>'New Formula with HB25-1320'!FD8</f>
        <v>365</v>
      </c>
      <c r="FE8" s="22">
        <f>'New Formula with HB25-1320'!FE8</f>
        <v>66</v>
      </c>
      <c r="FF8" s="22">
        <f>'New Formula with HB25-1320'!FF8</f>
        <v>162</v>
      </c>
      <c r="FG8" s="22">
        <f>'New Formula with HB25-1320'!FG8</f>
        <v>107</v>
      </c>
      <c r="FH8" s="22">
        <f>'New Formula with HB25-1320'!FH8</f>
        <v>62</v>
      </c>
      <c r="FI8" s="22">
        <f>'New Formula with HB25-1320'!FI8</f>
        <v>1522.5</v>
      </c>
      <c r="FJ8" s="22">
        <f>'New Formula with HB25-1320'!FJ8</f>
        <v>1876.5</v>
      </c>
      <c r="FK8" s="22">
        <f>'New Formula with HB25-1320'!FK8</f>
        <v>2279.5</v>
      </c>
      <c r="FL8" s="22">
        <f>'New Formula with HB25-1320'!FL8</f>
        <v>7819.5</v>
      </c>
      <c r="FM8" s="22">
        <f>'New Formula with HB25-1320'!FM8</f>
        <v>3685.5</v>
      </c>
      <c r="FN8" s="22">
        <f>'New Formula with HB25-1320'!FN8</f>
        <v>21021</v>
      </c>
      <c r="FO8" s="22">
        <f>'New Formula with HB25-1320'!FO8</f>
        <v>1038</v>
      </c>
      <c r="FP8" s="22">
        <f>'New Formula with HB25-1320'!FP8</f>
        <v>2167</v>
      </c>
      <c r="FQ8" s="22">
        <f>'New Formula with HB25-1320'!FQ8</f>
        <v>919</v>
      </c>
      <c r="FR8" s="22">
        <f>'New Formula with HB25-1320'!FR8</f>
        <v>149.5</v>
      </c>
      <c r="FS8" s="22">
        <f>'New Formula with HB25-1320'!FS8</f>
        <v>148.5</v>
      </c>
      <c r="FT8" s="22">
        <f>'New Formula with HB25-1320'!FT8</f>
        <v>50</v>
      </c>
      <c r="FU8" s="22">
        <f>'New Formula with HB25-1320'!FU8</f>
        <v>699</v>
      </c>
      <c r="FV8" s="22">
        <f>'New Formula with HB25-1320'!FV8</f>
        <v>638</v>
      </c>
      <c r="FW8" s="22">
        <f>'New Formula with HB25-1320'!FW8</f>
        <v>121</v>
      </c>
      <c r="FX8" s="22">
        <f>'New Formula with HB25-1320'!FX8</f>
        <v>58</v>
      </c>
      <c r="FY8" s="23"/>
      <c r="FZ8" s="23">
        <f>SUM(C8:FY8)</f>
        <v>758843</v>
      </c>
      <c r="GA8" s="23"/>
      <c r="GB8" s="23"/>
      <c r="GC8" s="12"/>
      <c r="GD8" s="23"/>
      <c r="GE8" s="7"/>
      <c r="GF8" s="7"/>
      <c r="GG8" s="7"/>
      <c r="GH8" s="7"/>
      <c r="GI8" s="7"/>
      <c r="GJ8" s="7"/>
      <c r="GK8" s="7"/>
    </row>
    <row r="9" spans="1:207" ht="15" customHeight="1" x14ac:dyDescent="0.35">
      <c r="A9" s="12" t="s">
        <v>746</v>
      </c>
      <c r="B9" s="7" t="s">
        <v>450</v>
      </c>
      <c r="C9" s="24">
        <f>'New Formula with HB25-1320'!C9</f>
        <v>468</v>
      </c>
      <c r="D9" s="25">
        <f>'New Formula with HB25-1320'!D9</f>
        <v>2050.5</v>
      </c>
      <c r="E9" s="25">
        <f>'New Formula with HB25-1320'!E9</f>
        <v>299.5</v>
      </c>
      <c r="F9" s="25">
        <f>'New Formula with HB25-1320'!F9</f>
        <v>1579</v>
      </c>
      <c r="G9" s="25">
        <f>'New Formula with HB25-1320'!G9</f>
        <v>162</v>
      </c>
      <c r="H9" s="25">
        <f>'New Formula with HB25-1320'!H9</f>
        <v>75</v>
      </c>
      <c r="I9" s="25">
        <f>'New Formula with HB25-1320'!I9</f>
        <v>460</v>
      </c>
      <c r="J9" s="25">
        <f>'New Formula with HB25-1320'!J9</f>
        <v>135.5</v>
      </c>
      <c r="K9" s="25">
        <f>'New Formula with HB25-1320'!K9</f>
        <v>10</v>
      </c>
      <c r="L9" s="25">
        <f>'New Formula with HB25-1320'!L9</f>
        <v>170</v>
      </c>
      <c r="M9" s="25">
        <f>'New Formula with HB25-1320'!M9</f>
        <v>52</v>
      </c>
      <c r="N9" s="25">
        <f>'New Formula with HB25-1320'!N9</f>
        <v>3139.5</v>
      </c>
      <c r="O9" s="25">
        <f>'New Formula with HB25-1320'!O9</f>
        <v>758</v>
      </c>
      <c r="P9" s="25">
        <f>'New Formula with HB25-1320'!P9</f>
        <v>28</v>
      </c>
      <c r="Q9" s="25">
        <f>'New Formula with HB25-1320'!Q9</f>
        <v>2910</v>
      </c>
      <c r="R9" s="25">
        <f>'New Formula with HB25-1320'!R9</f>
        <v>160</v>
      </c>
      <c r="S9" s="25">
        <f>'New Formula with HB25-1320'!S9</f>
        <v>100.5</v>
      </c>
      <c r="T9" s="25">
        <f>'New Formula with HB25-1320'!T9</f>
        <v>11</v>
      </c>
      <c r="U9" s="25">
        <f>'New Formula with HB25-1320'!U9</f>
        <v>6</v>
      </c>
      <c r="V9" s="25">
        <f>'New Formula with HB25-1320'!V9</f>
        <v>21</v>
      </c>
      <c r="W9" s="25">
        <f>'New Formula with HB25-1320'!W9</f>
        <v>2</v>
      </c>
      <c r="X9" s="25">
        <f>'New Formula with HB25-1320'!X9</f>
        <v>4.5</v>
      </c>
      <c r="Y9" s="25">
        <f>'New Formula with HB25-1320'!Y9</f>
        <v>26</v>
      </c>
      <c r="Z9" s="25">
        <f>'New Formula with HB25-1320'!Z9</f>
        <v>19</v>
      </c>
      <c r="AA9" s="25">
        <f>'New Formula with HB25-1320'!AA9</f>
        <v>2101</v>
      </c>
      <c r="AB9" s="25">
        <f>'New Formula with HB25-1320'!AB9</f>
        <v>1586</v>
      </c>
      <c r="AC9" s="25">
        <f>'New Formula with HB25-1320'!AC9</f>
        <v>62</v>
      </c>
      <c r="AD9" s="25">
        <f>'New Formula with HB25-1320'!AD9</f>
        <v>84</v>
      </c>
      <c r="AE9" s="25">
        <f>'New Formula with HB25-1320'!AE9</f>
        <v>6</v>
      </c>
      <c r="AF9" s="25">
        <f>'New Formula with HB25-1320'!AF9</f>
        <v>7</v>
      </c>
      <c r="AG9" s="25">
        <f>'New Formula with HB25-1320'!AG9</f>
        <v>48.5</v>
      </c>
      <c r="AH9" s="25">
        <f>'New Formula with HB25-1320'!AH9</f>
        <v>57.5</v>
      </c>
      <c r="AI9" s="25">
        <f>'New Formula with HB25-1320'!AI9</f>
        <v>20</v>
      </c>
      <c r="AJ9" s="25">
        <f>'New Formula with HB25-1320'!AJ9</f>
        <v>12</v>
      </c>
      <c r="AK9" s="25">
        <f>'New Formula with HB25-1320'!AK9</f>
        <v>13.5</v>
      </c>
      <c r="AL9" s="25">
        <f>'New Formula with HB25-1320'!AL9</f>
        <v>18</v>
      </c>
      <c r="AM9" s="25">
        <f>'New Formula with HB25-1320'!AM9</f>
        <v>16</v>
      </c>
      <c r="AN9" s="25">
        <f>'New Formula with HB25-1320'!AN9</f>
        <v>20</v>
      </c>
      <c r="AO9" s="25">
        <f>'New Formula with HB25-1320'!AO9</f>
        <v>254</v>
      </c>
      <c r="AP9" s="25">
        <f>'New Formula with HB25-1320'!AP9</f>
        <v>6477.5</v>
      </c>
      <c r="AQ9" s="25">
        <f>'New Formula with HB25-1320'!AQ9</f>
        <v>19</v>
      </c>
      <c r="AR9" s="25">
        <f>'New Formula with HB25-1320'!AR9</f>
        <v>4138.5</v>
      </c>
      <c r="AS9" s="25">
        <f>'New Formula with HB25-1320'!AS9</f>
        <v>355</v>
      </c>
      <c r="AT9" s="25">
        <f>'New Formula with HB25-1320'!AT9</f>
        <v>181</v>
      </c>
      <c r="AU9" s="25">
        <f>'New Formula with HB25-1320'!AU9</f>
        <v>24</v>
      </c>
      <c r="AV9" s="25">
        <f>'New Formula with HB25-1320'!AV9</f>
        <v>19</v>
      </c>
      <c r="AW9" s="25">
        <f>'New Formula with HB25-1320'!AW9</f>
        <v>15</v>
      </c>
      <c r="AX9" s="25">
        <f>'New Formula with HB25-1320'!AX9</f>
        <v>10</v>
      </c>
      <c r="AY9" s="25">
        <f>'New Formula with HB25-1320'!AY9</f>
        <v>28</v>
      </c>
      <c r="AZ9" s="25">
        <f>'New Formula with HB25-1320'!AZ9</f>
        <v>945</v>
      </c>
      <c r="BA9" s="25">
        <f>'New Formula with HB25-1320'!BA9</f>
        <v>666</v>
      </c>
      <c r="BB9" s="25">
        <f>'New Formula with HB25-1320'!BB9</f>
        <v>637.5</v>
      </c>
      <c r="BC9" s="25">
        <f>'New Formula with HB25-1320'!BC9</f>
        <v>1742</v>
      </c>
      <c r="BD9" s="25">
        <f>'New Formula with HB25-1320'!BD9</f>
        <v>199</v>
      </c>
      <c r="BE9" s="25">
        <f>'New Formula with HB25-1320'!BE9</f>
        <v>37</v>
      </c>
      <c r="BF9" s="25">
        <f>'New Formula with HB25-1320'!BF9</f>
        <v>1488.5</v>
      </c>
      <c r="BG9" s="25">
        <f>'New Formula with HB25-1320'!BG9</f>
        <v>76.5</v>
      </c>
      <c r="BH9" s="25">
        <f>'New Formula with HB25-1320'!BH9</f>
        <v>32</v>
      </c>
      <c r="BI9" s="25">
        <f>'New Formula with HB25-1320'!BI9</f>
        <v>19</v>
      </c>
      <c r="BJ9" s="25">
        <f>'New Formula with HB25-1320'!BJ9</f>
        <v>356.5</v>
      </c>
      <c r="BK9" s="25">
        <f>'New Formula with HB25-1320'!BK9</f>
        <v>1966</v>
      </c>
      <c r="BL9" s="25">
        <f>'New Formula with HB25-1320'!BL9</f>
        <v>5</v>
      </c>
      <c r="BM9" s="25">
        <f>'New Formula with HB25-1320'!BM9</f>
        <v>25</v>
      </c>
      <c r="BN9" s="25">
        <f>'New Formula with HB25-1320'!BN9</f>
        <v>238.5</v>
      </c>
      <c r="BO9" s="25">
        <f>'New Formula with HB25-1320'!BO9</f>
        <v>91</v>
      </c>
      <c r="BP9" s="25">
        <f>'New Formula with HB25-1320'!BP9</f>
        <v>11</v>
      </c>
      <c r="BQ9" s="25">
        <f>'New Formula with HB25-1320'!BQ9</f>
        <v>368</v>
      </c>
      <c r="BR9" s="25">
        <f>'New Formula with HB25-1320'!BR9</f>
        <v>325.5</v>
      </c>
      <c r="BS9" s="25">
        <f>'New Formula with HB25-1320'!BS9</f>
        <v>98</v>
      </c>
      <c r="BT9" s="25">
        <f>'New Formula with HB25-1320'!BT9</f>
        <v>29</v>
      </c>
      <c r="BU9" s="25">
        <f>'New Formula with HB25-1320'!BU9</f>
        <v>21.5</v>
      </c>
      <c r="BV9" s="25">
        <f>'New Formula with HB25-1320'!BV9</f>
        <v>84</v>
      </c>
      <c r="BW9" s="25">
        <f>'New Formula with HB25-1320'!BW9</f>
        <v>144</v>
      </c>
      <c r="BX9" s="25">
        <f>'New Formula with HB25-1320'!BX9</f>
        <v>2</v>
      </c>
      <c r="BY9" s="25">
        <f>'New Formula with HB25-1320'!BY9</f>
        <v>23.5</v>
      </c>
      <c r="BZ9" s="25">
        <f>'New Formula with HB25-1320'!BZ9</f>
        <v>12</v>
      </c>
      <c r="CA9" s="25">
        <f>'New Formula with HB25-1320'!CA9</f>
        <v>12</v>
      </c>
      <c r="CB9" s="25">
        <f>'New Formula with HB25-1320'!CB9</f>
        <v>5027.5</v>
      </c>
      <c r="CC9" s="25">
        <f>'New Formula with HB25-1320'!CC9</f>
        <v>12</v>
      </c>
      <c r="CD9" s="25">
        <f>'New Formula with HB25-1320'!CD9</f>
        <v>3</v>
      </c>
      <c r="CE9" s="25">
        <f>'New Formula with HB25-1320'!CE9</f>
        <v>14</v>
      </c>
      <c r="CF9" s="25">
        <f>'New Formula with HB25-1320'!CF9</f>
        <v>6</v>
      </c>
      <c r="CG9" s="25">
        <f>'New Formula with HB25-1320'!CG9</f>
        <v>9</v>
      </c>
      <c r="CH9" s="25">
        <f>'New Formula with HB25-1320'!CH9</f>
        <v>5</v>
      </c>
      <c r="CI9" s="25">
        <f>'New Formula with HB25-1320'!CI9</f>
        <v>52</v>
      </c>
      <c r="CJ9" s="25">
        <f>'New Formula with HB25-1320'!CJ9</f>
        <v>58.5</v>
      </c>
      <c r="CK9" s="25">
        <f>'New Formula with HB25-1320'!CK9</f>
        <v>304</v>
      </c>
      <c r="CL9" s="25">
        <f>'New Formula with HB25-1320'!CL9</f>
        <v>62.5</v>
      </c>
      <c r="CM9" s="25">
        <f>'New Formula with HB25-1320'!CM9</f>
        <v>54.5</v>
      </c>
      <c r="CN9" s="25">
        <f>'New Formula with HB25-1320'!CN9</f>
        <v>1807</v>
      </c>
      <c r="CO9" s="25">
        <f>'New Formula with HB25-1320'!CO9</f>
        <v>924</v>
      </c>
      <c r="CP9" s="25">
        <f>'New Formula with HB25-1320'!CP9</f>
        <v>53.5</v>
      </c>
      <c r="CQ9" s="25">
        <f>'New Formula with HB25-1320'!CQ9</f>
        <v>58</v>
      </c>
      <c r="CR9" s="25">
        <f>'New Formula with HB25-1320'!CR9</f>
        <v>19</v>
      </c>
      <c r="CS9" s="25">
        <f>'New Formula with HB25-1320'!CS9</f>
        <v>2.5</v>
      </c>
      <c r="CT9" s="25">
        <f>'New Formula with HB25-1320'!CT9</f>
        <v>10</v>
      </c>
      <c r="CU9" s="25">
        <f>'New Formula with HB25-1320'!CU9</f>
        <v>18</v>
      </c>
      <c r="CV9" s="25">
        <f>'New Formula with HB25-1320'!CV9</f>
        <v>3</v>
      </c>
      <c r="CW9" s="25">
        <f>'New Formula with HB25-1320'!CW9</f>
        <v>12</v>
      </c>
      <c r="CX9" s="25">
        <f>'New Formula with HB25-1320'!CX9</f>
        <v>39</v>
      </c>
      <c r="CY9" s="25">
        <f>'New Formula with HB25-1320'!CY9</f>
        <v>2</v>
      </c>
      <c r="CZ9" s="25">
        <f>'New Formula with HB25-1320'!CZ9</f>
        <v>137</v>
      </c>
      <c r="DA9" s="25">
        <f>'New Formula with HB25-1320'!DA9</f>
        <v>13.5</v>
      </c>
      <c r="DB9" s="25">
        <f>'New Formula with HB25-1320'!DB9</f>
        <v>20.5</v>
      </c>
      <c r="DC9" s="25">
        <f>'New Formula with HB25-1320'!DC9</f>
        <v>19</v>
      </c>
      <c r="DD9" s="25">
        <f>'New Formula with HB25-1320'!DD9</f>
        <v>9</v>
      </c>
      <c r="DE9" s="25">
        <f>'New Formula with HB25-1320'!DE9</f>
        <v>15</v>
      </c>
      <c r="DF9" s="25">
        <f>'New Formula with HB25-1320'!DF9</f>
        <v>1262.5</v>
      </c>
      <c r="DG9" s="25">
        <f>'New Formula with HB25-1320'!DG9</f>
        <v>7.5</v>
      </c>
      <c r="DH9" s="25">
        <f>'New Formula with HB25-1320'!DH9</f>
        <v>131.5</v>
      </c>
      <c r="DI9" s="25">
        <f>'New Formula with HB25-1320'!DI9</f>
        <v>151.5</v>
      </c>
      <c r="DJ9" s="25">
        <f>'New Formula with HB25-1320'!DJ9</f>
        <v>35</v>
      </c>
      <c r="DK9" s="25">
        <f>'New Formula with HB25-1320'!DK9</f>
        <v>36</v>
      </c>
      <c r="DL9" s="25">
        <f>'New Formula with HB25-1320'!DL9</f>
        <v>323.5</v>
      </c>
      <c r="DM9" s="25">
        <f>'New Formula with HB25-1320'!DM9</f>
        <v>19</v>
      </c>
      <c r="DN9" s="25">
        <f>'New Formula with HB25-1320'!DN9</f>
        <v>99</v>
      </c>
      <c r="DO9" s="25">
        <f>'New Formula with HB25-1320'!DO9</f>
        <v>235</v>
      </c>
      <c r="DP9" s="25">
        <f>'New Formula with HB25-1320'!DP9</f>
        <v>14</v>
      </c>
      <c r="DQ9" s="25">
        <f>'New Formula with HB25-1320'!DQ9</f>
        <v>60</v>
      </c>
      <c r="DR9" s="25">
        <f>'New Formula with HB25-1320'!DR9</f>
        <v>96.5</v>
      </c>
      <c r="DS9" s="25">
        <f>'New Formula with HB25-1320'!DS9</f>
        <v>28</v>
      </c>
      <c r="DT9" s="25">
        <f>'New Formula with HB25-1320'!DT9</f>
        <v>11</v>
      </c>
      <c r="DU9" s="25">
        <f>'New Formula with HB25-1320'!DU9</f>
        <v>23</v>
      </c>
      <c r="DV9" s="25">
        <f>'New Formula with HB25-1320'!DV9</f>
        <v>12</v>
      </c>
      <c r="DW9" s="25">
        <f>'New Formula with HB25-1320'!DW9</f>
        <v>21</v>
      </c>
      <c r="DX9" s="25">
        <f>'New Formula with HB25-1320'!DX9</f>
        <v>8</v>
      </c>
      <c r="DY9" s="25">
        <f>'New Formula with HB25-1320'!DY9</f>
        <v>16</v>
      </c>
      <c r="DZ9" s="25">
        <f>'New Formula with HB25-1320'!DZ9</f>
        <v>49.5</v>
      </c>
      <c r="EA9" s="25">
        <f>'New Formula with HB25-1320'!EA9</f>
        <v>27.5</v>
      </c>
      <c r="EB9" s="25">
        <f>'New Formula with HB25-1320'!EB9</f>
        <v>35</v>
      </c>
      <c r="EC9" s="25">
        <f>'New Formula with HB25-1320'!EC9</f>
        <v>15</v>
      </c>
      <c r="ED9" s="25">
        <f>'New Formula with HB25-1320'!ED9</f>
        <v>93.5</v>
      </c>
      <c r="EE9" s="25">
        <f>'New Formula with HB25-1320'!EE9</f>
        <v>10</v>
      </c>
      <c r="EF9" s="25">
        <f>'New Formula with HB25-1320'!EF9</f>
        <v>87</v>
      </c>
      <c r="EG9" s="25">
        <f>'New Formula with HB25-1320'!EG9</f>
        <v>15</v>
      </c>
      <c r="EH9" s="25">
        <f>'New Formula with HB25-1320'!EH9</f>
        <v>18</v>
      </c>
      <c r="EI9" s="25">
        <f>'New Formula with HB25-1320'!EI9</f>
        <v>938</v>
      </c>
      <c r="EJ9" s="25">
        <f>'New Formula with HB25-1320'!EJ9</f>
        <v>647</v>
      </c>
      <c r="EK9" s="25">
        <f>'New Formula with HB25-1320'!EK9</f>
        <v>34</v>
      </c>
      <c r="EL9" s="25">
        <f>'New Formula with HB25-1320'!EL9</f>
        <v>32</v>
      </c>
      <c r="EM9" s="25">
        <f>'New Formula with HB25-1320'!EM9</f>
        <v>18.5</v>
      </c>
      <c r="EN9" s="25">
        <f>'New Formula with HB25-1320'!EN9</f>
        <v>54</v>
      </c>
      <c r="EO9" s="25">
        <f>'New Formula with HB25-1320'!EO9</f>
        <v>25</v>
      </c>
      <c r="EP9" s="25">
        <f>'New Formula with HB25-1320'!EP9</f>
        <v>33</v>
      </c>
      <c r="EQ9" s="25">
        <f>'New Formula with HB25-1320'!EQ9</f>
        <v>126.5</v>
      </c>
      <c r="ER9" s="25">
        <f>'New Formula with HB25-1320'!ER9</f>
        <v>23.5</v>
      </c>
      <c r="ES9" s="25">
        <f>'New Formula with HB25-1320'!ES9</f>
        <v>17</v>
      </c>
      <c r="ET9" s="25">
        <f>'New Formula with HB25-1320'!ET9</f>
        <v>14</v>
      </c>
      <c r="EU9" s="25">
        <f>'New Formula with HB25-1320'!EU9</f>
        <v>41.5</v>
      </c>
      <c r="EV9" s="25">
        <f>'New Formula with HB25-1320'!EV9</f>
        <v>2</v>
      </c>
      <c r="EW9" s="25">
        <f>'New Formula with HB25-1320'!EW9</f>
        <v>52</v>
      </c>
      <c r="EX9" s="25">
        <f>'New Formula with HB25-1320'!EX9</f>
        <v>10</v>
      </c>
      <c r="EY9" s="25">
        <f>'New Formula with HB25-1320'!EY9</f>
        <v>10</v>
      </c>
      <c r="EZ9" s="25">
        <f>'New Formula with HB25-1320'!EZ9</f>
        <v>8</v>
      </c>
      <c r="FA9" s="25">
        <f>'New Formula with HB25-1320'!FA9</f>
        <v>227.5</v>
      </c>
      <c r="FB9" s="25">
        <f>'New Formula with HB25-1320'!FB9</f>
        <v>25</v>
      </c>
      <c r="FC9" s="25">
        <f>'New Formula with HB25-1320'!FC9</f>
        <v>141</v>
      </c>
      <c r="FD9" s="25">
        <f>'New Formula with HB25-1320'!FD9</f>
        <v>34</v>
      </c>
      <c r="FE9" s="25">
        <f>'New Formula with HB25-1320'!FE9</f>
        <v>4</v>
      </c>
      <c r="FF9" s="25">
        <f>'New Formula with HB25-1320'!FF9</f>
        <v>13</v>
      </c>
      <c r="FG9" s="25">
        <f>'New Formula with HB25-1320'!FG9</f>
        <v>7</v>
      </c>
      <c r="FH9" s="25">
        <f>'New Formula with HB25-1320'!FH9</f>
        <v>7</v>
      </c>
      <c r="FI9" s="25">
        <f>'New Formula with HB25-1320'!FI9</f>
        <v>122.5</v>
      </c>
      <c r="FJ9" s="25">
        <f>'New Formula with HB25-1320'!FJ9</f>
        <v>140</v>
      </c>
      <c r="FK9" s="25">
        <f>'New Formula with HB25-1320'!FK9</f>
        <v>202.5</v>
      </c>
      <c r="FL9" s="25">
        <f>'New Formula with HB25-1320'!FL9</f>
        <v>718</v>
      </c>
      <c r="FM9" s="25">
        <f>'New Formula with HB25-1320'!FM9</f>
        <v>296</v>
      </c>
      <c r="FN9" s="25">
        <f>'New Formula with HB25-1320'!FN9</f>
        <v>1682.5</v>
      </c>
      <c r="FO9" s="25">
        <f>'New Formula with HB25-1320'!FO9</f>
        <v>81</v>
      </c>
      <c r="FP9" s="25">
        <f>'New Formula with HB25-1320'!FP9</f>
        <v>174.5</v>
      </c>
      <c r="FQ9" s="25">
        <f>'New Formula with HB25-1320'!FQ9</f>
        <v>63.5</v>
      </c>
      <c r="FR9" s="25">
        <f>'New Formula with HB25-1320'!FR9</f>
        <v>13</v>
      </c>
      <c r="FS9" s="25">
        <f>'New Formula with HB25-1320'!FS9</f>
        <v>12</v>
      </c>
      <c r="FT9" s="25">
        <f>'New Formula with HB25-1320'!FT9</f>
        <v>4</v>
      </c>
      <c r="FU9" s="25">
        <f>'New Formula with HB25-1320'!FU9</f>
        <v>61</v>
      </c>
      <c r="FV9" s="25">
        <f>'New Formula with HB25-1320'!FV9</f>
        <v>55</v>
      </c>
      <c r="FW9" s="25">
        <f>'New Formula with HB25-1320'!FW9</f>
        <v>9</v>
      </c>
      <c r="FX9" s="25">
        <f>'New Formula with HB25-1320'!FX9</f>
        <v>6</v>
      </c>
      <c r="FY9" s="23"/>
      <c r="FZ9" s="23">
        <f t="shared" ref="FZ9:FZ13" si="0">SUM(C9:FX9)</f>
        <v>55770</v>
      </c>
      <c r="GA9" s="23"/>
      <c r="GB9" s="23"/>
      <c r="GC9" s="12"/>
      <c r="GD9" s="23"/>
      <c r="GE9" s="7"/>
      <c r="GF9" s="7"/>
      <c r="GG9" s="7"/>
      <c r="GH9" s="7"/>
      <c r="GI9" s="7"/>
      <c r="GJ9" s="7"/>
      <c r="GK9" s="7"/>
    </row>
    <row r="10" spans="1:207" ht="15" customHeight="1" x14ac:dyDescent="0.35">
      <c r="A10" s="12" t="s">
        <v>747</v>
      </c>
      <c r="B10" s="7" t="s">
        <v>452</v>
      </c>
      <c r="C10" s="24">
        <f>'New Formula with HB25-1320'!C10</f>
        <v>0</v>
      </c>
      <c r="D10" s="25">
        <f>'New Formula with HB25-1320'!D10</f>
        <v>0.5</v>
      </c>
      <c r="E10" s="25">
        <f>'New Formula with HB25-1320'!E10</f>
        <v>1.5</v>
      </c>
      <c r="F10" s="25">
        <f>'New Formula with HB25-1320'!F10</f>
        <v>17.5</v>
      </c>
      <c r="G10" s="25">
        <f>'New Formula with HB25-1320'!G10</f>
        <v>0</v>
      </c>
      <c r="H10" s="25">
        <f>'New Formula with HB25-1320'!H10</f>
        <v>0</v>
      </c>
      <c r="I10" s="25">
        <f>'New Formula with HB25-1320'!I10</f>
        <v>0</v>
      </c>
      <c r="J10" s="25">
        <f>'New Formula with HB25-1320'!J10</f>
        <v>0</v>
      </c>
      <c r="K10" s="25">
        <f>'New Formula with HB25-1320'!K10</f>
        <v>0</v>
      </c>
      <c r="L10" s="25">
        <f>'New Formula with HB25-1320'!L10</f>
        <v>0</v>
      </c>
      <c r="M10" s="25">
        <f>'New Formula with HB25-1320'!M10</f>
        <v>0</v>
      </c>
      <c r="N10" s="25">
        <f>'New Formula with HB25-1320'!N10</f>
        <v>29</v>
      </c>
      <c r="O10" s="25">
        <f>'New Formula with HB25-1320'!O10</f>
        <v>2</v>
      </c>
      <c r="P10" s="25">
        <f>'New Formula with HB25-1320'!P10</f>
        <v>0</v>
      </c>
      <c r="Q10" s="25">
        <f>'New Formula with HB25-1320'!Q10</f>
        <v>47</v>
      </c>
      <c r="R10" s="25">
        <f>'New Formula with HB25-1320'!R10</f>
        <v>0</v>
      </c>
      <c r="S10" s="25">
        <f>'New Formula with HB25-1320'!S10</f>
        <v>3</v>
      </c>
      <c r="T10" s="25">
        <f>'New Formula with HB25-1320'!T10</f>
        <v>0</v>
      </c>
      <c r="U10" s="25">
        <f>'New Formula with HB25-1320'!U10</f>
        <v>0</v>
      </c>
      <c r="V10" s="25">
        <f>'New Formula with HB25-1320'!V10</f>
        <v>0</v>
      </c>
      <c r="W10" s="25">
        <f>'New Formula with HB25-1320'!W10</f>
        <v>0</v>
      </c>
      <c r="X10" s="25">
        <f>'New Formula with HB25-1320'!X10</f>
        <v>2.5</v>
      </c>
      <c r="Y10" s="25">
        <f>'New Formula with HB25-1320'!Y10</f>
        <v>0</v>
      </c>
      <c r="Z10" s="25">
        <f>'New Formula with HB25-1320'!Z10</f>
        <v>0</v>
      </c>
      <c r="AA10" s="25">
        <f>'New Formula with HB25-1320'!AA10</f>
        <v>27</v>
      </c>
      <c r="AB10" s="25">
        <f>'New Formula with HB25-1320'!AB10</f>
        <v>1</v>
      </c>
      <c r="AC10" s="25">
        <f>'New Formula with HB25-1320'!AC10</f>
        <v>0</v>
      </c>
      <c r="AD10" s="25">
        <f>'New Formula with HB25-1320'!AD10</f>
        <v>0.5</v>
      </c>
      <c r="AE10" s="25">
        <f>'New Formula with HB25-1320'!AE10</f>
        <v>0</v>
      </c>
      <c r="AF10" s="25">
        <f>'New Formula with HB25-1320'!AF10</f>
        <v>0</v>
      </c>
      <c r="AG10" s="25">
        <f>'New Formula with HB25-1320'!AG10</f>
        <v>0</v>
      </c>
      <c r="AH10" s="25">
        <f>'New Formula with HB25-1320'!AH10</f>
        <v>0</v>
      </c>
      <c r="AI10" s="25">
        <f>'New Formula with HB25-1320'!AI10</f>
        <v>0</v>
      </c>
      <c r="AJ10" s="25">
        <f>'New Formula with HB25-1320'!AJ10</f>
        <v>0</v>
      </c>
      <c r="AK10" s="25">
        <f>'New Formula with HB25-1320'!AK10</f>
        <v>0</v>
      </c>
      <c r="AL10" s="25">
        <f>'New Formula with HB25-1320'!AL10</f>
        <v>0</v>
      </c>
      <c r="AM10" s="25">
        <f>'New Formula with HB25-1320'!AM10</f>
        <v>0</v>
      </c>
      <c r="AN10" s="25">
        <f>'New Formula with HB25-1320'!AN10</f>
        <v>0</v>
      </c>
      <c r="AO10" s="25">
        <f>'New Formula with HB25-1320'!AO10</f>
        <v>4</v>
      </c>
      <c r="AP10" s="25">
        <f>'New Formula with HB25-1320'!AP10</f>
        <v>0.5</v>
      </c>
      <c r="AQ10" s="25">
        <f>'New Formula with HB25-1320'!AQ10</f>
        <v>0</v>
      </c>
      <c r="AR10" s="25">
        <f>'New Formula with HB25-1320'!AR10</f>
        <v>81.5</v>
      </c>
      <c r="AS10" s="25">
        <f>'New Formula with HB25-1320'!AS10</f>
        <v>0</v>
      </c>
      <c r="AT10" s="25">
        <f>'New Formula with HB25-1320'!AT10</f>
        <v>14</v>
      </c>
      <c r="AU10" s="25">
        <f>'New Formula with HB25-1320'!AU10</f>
        <v>0</v>
      </c>
      <c r="AV10" s="25">
        <f>'New Formula with HB25-1320'!AV10</f>
        <v>0</v>
      </c>
      <c r="AW10" s="25">
        <f>'New Formula with HB25-1320'!AW10</f>
        <v>0</v>
      </c>
      <c r="AX10" s="25">
        <f>'New Formula with HB25-1320'!AX10</f>
        <v>0</v>
      </c>
      <c r="AY10" s="25">
        <f>'New Formula with HB25-1320'!AY10</f>
        <v>0</v>
      </c>
      <c r="AZ10" s="25">
        <f>'New Formula with HB25-1320'!AZ10</f>
        <v>15</v>
      </c>
      <c r="BA10" s="25">
        <f>'New Formula with HB25-1320'!BA10</f>
        <v>0</v>
      </c>
      <c r="BB10" s="25">
        <f>'New Formula with HB25-1320'!BB10</f>
        <v>1</v>
      </c>
      <c r="BC10" s="25">
        <f>'New Formula with HB25-1320'!BC10</f>
        <v>40.5</v>
      </c>
      <c r="BD10" s="25">
        <f>'New Formula with HB25-1320'!BD10</f>
        <v>0</v>
      </c>
      <c r="BE10" s="25">
        <f>'New Formula with HB25-1320'!BE10</f>
        <v>0</v>
      </c>
      <c r="BF10" s="25">
        <f>'New Formula with HB25-1320'!BF10</f>
        <v>210.5</v>
      </c>
      <c r="BG10" s="25">
        <f>'New Formula with HB25-1320'!BG10</f>
        <v>0.5</v>
      </c>
      <c r="BH10" s="25">
        <f>'New Formula with HB25-1320'!BH10</f>
        <v>0</v>
      </c>
      <c r="BI10" s="25">
        <f>'New Formula with HB25-1320'!BI10</f>
        <v>0</v>
      </c>
      <c r="BJ10" s="25">
        <f>'New Formula with HB25-1320'!BJ10</f>
        <v>21.5</v>
      </c>
      <c r="BK10" s="25">
        <f>'New Formula with HB25-1320'!BK10</f>
        <v>326</v>
      </c>
      <c r="BL10" s="25">
        <f>'New Formula with HB25-1320'!BL10</f>
        <v>0</v>
      </c>
      <c r="BM10" s="25">
        <f>'New Formula with HB25-1320'!BM10</f>
        <v>0</v>
      </c>
      <c r="BN10" s="25">
        <f>'New Formula with HB25-1320'!BN10</f>
        <v>0.5</v>
      </c>
      <c r="BO10" s="25">
        <f>'New Formula with HB25-1320'!BO10</f>
        <v>0</v>
      </c>
      <c r="BP10" s="25">
        <f>'New Formula with HB25-1320'!BP10</f>
        <v>0</v>
      </c>
      <c r="BQ10" s="25">
        <f>'New Formula with HB25-1320'!BQ10</f>
        <v>0</v>
      </c>
      <c r="BR10" s="25">
        <f>'New Formula with HB25-1320'!BR10</f>
        <v>0</v>
      </c>
      <c r="BS10" s="25">
        <f>'New Formula with HB25-1320'!BS10</f>
        <v>0.5</v>
      </c>
      <c r="BT10" s="25">
        <f>'New Formula with HB25-1320'!BT10</f>
        <v>0</v>
      </c>
      <c r="BU10" s="25">
        <f>'New Formula with HB25-1320'!BU10</f>
        <v>0</v>
      </c>
      <c r="BV10" s="25">
        <f>'New Formula with HB25-1320'!BV10</f>
        <v>0</v>
      </c>
      <c r="BW10" s="25">
        <f>'New Formula with HB25-1320'!BW10</f>
        <v>0</v>
      </c>
      <c r="BX10" s="25">
        <f>'New Formula with HB25-1320'!BX10</f>
        <v>0</v>
      </c>
      <c r="BY10" s="25">
        <f>'New Formula with HB25-1320'!BY10</f>
        <v>0.5</v>
      </c>
      <c r="BZ10" s="25">
        <f>'New Formula with HB25-1320'!BZ10</f>
        <v>0</v>
      </c>
      <c r="CA10" s="25">
        <f>'New Formula with HB25-1320'!CA10</f>
        <v>0</v>
      </c>
      <c r="CB10" s="25">
        <f>'New Formula with HB25-1320'!CB10</f>
        <v>74.5</v>
      </c>
      <c r="CC10" s="25">
        <f>'New Formula with HB25-1320'!CC10</f>
        <v>0</v>
      </c>
      <c r="CD10" s="25">
        <f>'New Formula with HB25-1320'!CD10</f>
        <v>0</v>
      </c>
      <c r="CE10" s="25">
        <f>'New Formula with HB25-1320'!CE10</f>
        <v>0</v>
      </c>
      <c r="CF10" s="25">
        <f>'New Formula with HB25-1320'!CF10</f>
        <v>0</v>
      </c>
      <c r="CG10" s="25">
        <f>'New Formula with HB25-1320'!CG10</f>
        <v>0</v>
      </c>
      <c r="CH10" s="25">
        <f>'New Formula with HB25-1320'!CH10</f>
        <v>0</v>
      </c>
      <c r="CI10" s="25">
        <f>'New Formula with HB25-1320'!CI10</f>
        <v>0</v>
      </c>
      <c r="CJ10" s="25">
        <f>'New Formula with HB25-1320'!CJ10</f>
        <v>0</v>
      </c>
      <c r="CK10" s="25">
        <f>'New Formula with HB25-1320'!CK10</f>
        <v>12.5</v>
      </c>
      <c r="CL10" s="25">
        <f>'New Formula with HB25-1320'!CL10</f>
        <v>0</v>
      </c>
      <c r="CM10" s="25">
        <f>'New Formula with HB25-1320'!CM10</f>
        <v>7</v>
      </c>
      <c r="CN10" s="25">
        <f>'New Formula with HB25-1320'!CN10</f>
        <v>102</v>
      </c>
      <c r="CO10" s="25">
        <f>'New Formula with HB25-1320'!CO10</f>
        <v>29</v>
      </c>
      <c r="CP10" s="25">
        <f>'New Formula with HB25-1320'!CP10</f>
        <v>5</v>
      </c>
      <c r="CQ10" s="25">
        <f>'New Formula with HB25-1320'!CQ10</f>
        <v>0</v>
      </c>
      <c r="CR10" s="25">
        <f>'New Formula with HB25-1320'!CR10</f>
        <v>0</v>
      </c>
      <c r="CS10" s="25">
        <f>'New Formula with HB25-1320'!CS10</f>
        <v>0</v>
      </c>
      <c r="CT10" s="25">
        <f>'New Formula with HB25-1320'!CT10</f>
        <v>0</v>
      </c>
      <c r="CU10" s="25">
        <f>'New Formula with HB25-1320'!CU10</f>
        <v>0</v>
      </c>
      <c r="CV10" s="25">
        <f>'New Formula with HB25-1320'!CV10</f>
        <v>0</v>
      </c>
      <c r="CW10" s="25">
        <f>'New Formula with HB25-1320'!CW10</f>
        <v>0</v>
      </c>
      <c r="CX10" s="25">
        <f>'New Formula with HB25-1320'!CX10</f>
        <v>0</v>
      </c>
      <c r="CY10" s="25">
        <f>'New Formula with HB25-1320'!CY10</f>
        <v>0</v>
      </c>
      <c r="CZ10" s="25">
        <f>'New Formula with HB25-1320'!CZ10</f>
        <v>1</v>
      </c>
      <c r="DA10" s="25">
        <f>'New Formula with HB25-1320'!DA10</f>
        <v>0</v>
      </c>
      <c r="DB10" s="25">
        <f>'New Formula with HB25-1320'!DB10</f>
        <v>0</v>
      </c>
      <c r="DC10" s="25">
        <f>'New Formula with HB25-1320'!DC10</f>
        <v>0</v>
      </c>
      <c r="DD10" s="25">
        <f>'New Formula with HB25-1320'!DD10</f>
        <v>0</v>
      </c>
      <c r="DE10" s="25">
        <f>'New Formula with HB25-1320'!DE10</f>
        <v>0</v>
      </c>
      <c r="DF10" s="25">
        <f>'New Formula with HB25-1320'!DF10</f>
        <v>23.5</v>
      </c>
      <c r="DG10" s="25">
        <f>'New Formula with HB25-1320'!DG10</f>
        <v>0</v>
      </c>
      <c r="DH10" s="25">
        <f>'New Formula with HB25-1320'!DH10</f>
        <v>0</v>
      </c>
      <c r="DI10" s="25">
        <f>'New Formula with HB25-1320'!DI10</f>
        <v>0.5</v>
      </c>
      <c r="DJ10" s="25">
        <f>'New Formula with HB25-1320'!DJ10</f>
        <v>0</v>
      </c>
      <c r="DK10" s="25">
        <f>'New Formula with HB25-1320'!DK10</f>
        <v>0</v>
      </c>
      <c r="DL10" s="25">
        <f>'New Formula with HB25-1320'!DL10</f>
        <v>0.5</v>
      </c>
      <c r="DM10" s="25">
        <f>'New Formula with HB25-1320'!DM10</f>
        <v>0</v>
      </c>
      <c r="DN10" s="25">
        <f>'New Formula with HB25-1320'!DN10</f>
        <v>0</v>
      </c>
      <c r="DO10" s="25">
        <f>'New Formula with HB25-1320'!DO10</f>
        <v>0</v>
      </c>
      <c r="DP10" s="25">
        <f>'New Formula with HB25-1320'!DP10</f>
        <v>0</v>
      </c>
      <c r="DQ10" s="25">
        <f>'New Formula with HB25-1320'!DQ10</f>
        <v>0</v>
      </c>
      <c r="DR10" s="25">
        <f>'New Formula with HB25-1320'!DR10</f>
        <v>0.5</v>
      </c>
      <c r="DS10" s="25">
        <f>'New Formula with HB25-1320'!DS10</f>
        <v>0</v>
      </c>
      <c r="DT10" s="25">
        <f>'New Formula with HB25-1320'!DT10</f>
        <v>0</v>
      </c>
      <c r="DU10" s="25">
        <f>'New Formula with HB25-1320'!DU10</f>
        <v>0</v>
      </c>
      <c r="DV10" s="25">
        <f>'New Formula with HB25-1320'!DV10</f>
        <v>0</v>
      </c>
      <c r="DW10" s="25">
        <f>'New Formula with HB25-1320'!DW10</f>
        <v>0</v>
      </c>
      <c r="DX10" s="25">
        <f>'New Formula with HB25-1320'!DX10</f>
        <v>0</v>
      </c>
      <c r="DY10" s="25">
        <f>'New Formula with HB25-1320'!DY10</f>
        <v>0</v>
      </c>
      <c r="DZ10" s="25">
        <f>'New Formula with HB25-1320'!DZ10</f>
        <v>0</v>
      </c>
      <c r="EA10" s="25">
        <f>'New Formula with HB25-1320'!EA10</f>
        <v>0</v>
      </c>
      <c r="EB10" s="25">
        <f>'New Formula with HB25-1320'!EB10</f>
        <v>0</v>
      </c>
      <c r="EC10" s="25">
        <f>'New Formula with HB25-1320'!EC10</f>
        <v>0</v>
      </c>
      <c r="ED10" s="25">
        <f>'New Formula with HB25-1320'!ED10</f>
        <v>0</v>
      </c>
      <c r="EE10" s="25">
        <f>'New Formula with HB25-1320'!EE10</f>
        <v>0</v>
      </c>
      <c r="EF10" s="25">
        <f>'New Formula with HB25-1320'!EF10</f>
        <v>0</v>
      </c>
      <c r="EG10" s="25">
        <f>'New Formula with HB25-1320'!EG10</f>
        <v>0</v>
      </c>
      <c r="EH10" s="25">
        <f>'New Formula with HB25-1320'!EH10</f>
        <v>0</v>
      </c>
      <c r="EI10" s="25">
        <f>'New Formula with HB25-1320'!EI10</f>
        <v>0</v>
      </c>
      <c r="EJ10" s="25">
        <f>'New Formula with HB25-1320'!EJ10</f>
        <v>0</v>
      </c>
      <c r="EK10" s="25">
        <f>'New Formula with HB25-1320'!EK10</f>
        <v>0</v>
      </c>
      <c r="EL10" s="25">
        <f>'New Formula with HB25-1320'!EL10</f>
        <v>0</v>
      </c>
      <c r="EM10" s="25">
        <f>'New Formula with HB25-1320'!EM10</f>
        <v>0</v>
      </c>
      <c r="EN10" s="25">
        <f>'New Formula with HB25-1320'!EN10</f>
        <v>0</v>
      </c>
      <c r="EO10" s="25">
        <f>'New Formula with HB25-1320'!EO10</f>
        <v>0</v>
      </c>
      <c r="EP10" s="25">
        <f>'New Formula with HB25-1320'!EP10</f>
        <v>0</v>
      </c>
      <c r="EQ10" s="25">
        <f>'New Formula with HB25-1320'!EQ10</f>
        <v>1</v>
      </c>
      <c r="ER10" s="25">
        <f>'New Formula with HB25-1320'!ER10</f>
        <v>0</v>
      </c>
      <c r="ES10" s="25">
        <f>'New Formula with HB25-1320'!ES10</f>
        <v>9.5</v>
      </c>
      <c r="ET10" s="25">
        <f>'New Formula with HB25-1320'!ET10</f>
        <v>0</v>
      </c>
      <c r="EU10" s="25">
        <f>'New Formula with HB25-1320'!EU10</f>
        <v>0</v>
      </c>
      <c r="EV10" s="25">
        <f>'New Formula with HB25-1320'!EV10</f>
        <v>0</v>
      </c>
      <c r="EW10" s="25">
        <f>'New Formula with HB25-1320'!EW10</f>
        <v>0</v>
      </c>
      <c r="EX10" s="25">
        <f>'New Formula with HB25-1320'!EX10</f>
        <v>0</v>
      </c>
      <c r="EY10" s="25">
        <f>'New Formula with HB25-1320'!EY10</f>
        <v>0</v>
      </c>
      <c r="EZ10" s="25">
        <f>'New Formula with HB25-1320'!EZ10</f>
        <v>0</v>
      </c>
      <c r="FA10" s="25">
        <f>'New Formula with HB25-1320'!FA10</f>
        <v>0</v>
      </c>
      <c r="FB10" s="25">
        <f>'New Formula with HB25-1320'!FB10</f>
        <v>0</v>
      </c>
      <c r="FC10" s="25">
        <f>'New Formula with HB25-1320'!FC10</f>
        <v>5.5</v>
      </c>
      <c r="FD10" s="25">
        <f>'New Formula with HB25-1320'!FD10</f>
        <v>0</v>
      </c>
      <c r="FE10" s="25">
        <f>'New Formula with HB25-1320'!FE10</f>
        <v>0</v>
      </c>
      <c r="FF10" s="25">
        <f>'New Formula with HB25-1320'!FF10</f>
        <v>0</v>
      </c>
      <c r="FG10" s="25">
        <f>'New Formula with HB25-1320'!FG10</f>
        <v>0</v>
      </c>
      <c r="FH10" s="25">
        <f>'New Formula with HB25-1320'!FH10</f>
        <v>0</v>
      </c>
      <c r="FI10" s="25">
        <f>'New Formula with HB25-1320'!FI10</f>
        <v>0</v>
      </c>
      <c r="FJ10" s="25">
        <f>'New Formula with HB25-1320'!FJ10</f>
        <v>0</v>
      </c>
      <c r="FK10" s="25">
        <f>'New Formula with HB25-1320'!FK10</f>
        <v>0</v>
      </c>
      <c r="FL10" s="25">
        <f>'New Formula with HB25-1320'!FL10</f>
        <v>6</v>
      </c>
      <c r="FM10" s="25">
        <f>'New Formula with HB25-1320'!FM10</f>
        <v>0</v>
      </c>
      <c r="FN10" s="25">
        <f>'New Formula with HB25-1320'!FN10</f>
        <v>11.5</v>
      </c>
      <c r="FO10" s="25">
        <f>'New Formula with HB25-1320'!FO10</f>
        <v>1</v>
      </c>
      <c r="FP10" s="25">
        <f>'New Formula with HB25-1320'!FP10</f>
        <v>0</v>
      </c>
      <c r="FQ10" s="25">
        <f>'New Formula with HB25-1320'!FQ10</f>
        <v>0</v>
      </c>
      <c r="FR10" s="25">
        <f>'New Formula with HB25-1320'!FR10</f>
        <v>0</v>
      </c>
      <c r="FS10" s="25">
        <f>'New Formula with HB25-1320'!FS10</f>
        <v>0</v>
      </c>
      <c r="FT10" s="25">
        <f>'New Formula with HB25-1320'!FT10</f>
        <v>0</v>
      </c>
      <c r="FU10" s="25">
        <f>'New Formula with HB25-1320'!FU10</f>
        <v>0</v>
      </c>
      <c r="FV10" s="25">
        <f>'New Formula with HB25-1320'!FV10</f>
        <v>0</v>
      </c>
      <c r="FW10" s="25">
        <f>'New Formula with HB25-1320'!FW10</f>
        <v>0</v>
      </c>
      <c r="FX10" s="25">
        <f>'New Formula with HB25-1320'!FX10</f>
        <v>0</v>
      </c>
      <c r="FY10" s="23"/>
      <c r="FZ10" s="23">
        <f t="shared" si="0"/>
        <v>1138.5</v>
      </c>
      <c r="GA10" s="23"/>
      <c r="GB10" s="23"/>
      <c r="GC10" s="12"/>
      <c r="GD10" s="23"/>
      <c r="GE10" s="7"/>
      <c r="GF10" s="7"/>
      <c r="GG10" s="7"/>
      <c r="GH10" s="7"/>
      <c r="GI10" s="7"/>
      <c r="GJ10" s="7"/>
      <c r="GK10" s="7"/>
    </row>
    <row r="11" spans="1:207" ht="15" customHeight="1" x14ac:dyDescent="0.35">
      <c r="A11" s="12" t="s">
        <v>451</v>
      </c>
      <c r="B11" s="7" t="s">
        <v>454</v>
      </c>
      <c r="C11" s="26">
        <f t="shared" ref="C11:FX11" si="1">C8+C9</f>
        <v>6520.5</v>
      </c>
      <c r="D11" s="26">
        <f t="shared" si="1"/>
        <v>32684</v>
      </c>
      <c r="E11" s="26">
        <f t="shared" si="1"/>
        <v>4702</v>
      </c>
      <c r="F11" s="26">
        <f t="shared" si="1"/>
        <v>23505.5</v>
      </c>
      <c r="G11" s="26">
        <f t="shared" si="1"/>
        <v>1845</v>
      </c>
      <c r="H11" s="26">
        <f t="shared" si="1"/>
        <v>1071</v>
      </c>
      <c r="I11" s="26">
        <f t="shared" si="1"/>
        <v>7041</v>
      </c>
      <c r="J11" s="26">
        <f t="shared" si="1"/>
        <v>1988</v>
      </c>
      <c r="K11" s="26">
        <f t="shared" si="1"/>
        <v>248.5</v>
      </c>
      <c r="L11" s="26">
        <f t="shared" si="1"/>
        <v>2085</v>
      </c>
      <c r="M11" s="26">
        <f t="shared" si="1"/>
        <v>853</v>
      </c>
      <c r="N11" s="26">
        <f t="shared" si="1"/>
        <v>49747</v>
      </c>
      <c r="O11" s="26">
        <f t="shared" si="1"/>
        <v>12367.5</v>
      </c>
      <c r="P11" s="26">
        <f t="shared" si="1"/>
        <v>313</v>
      </c>
      <c r="Q11" s="26">
        <f t="shared" si="1"/>
        <v>37564</v>
      </c>
      <c r="R11" s="26">
        <f t="shared" si="1"/>
        <v>7100</v>
      </c>
      <c r="S11" s="26">
        <f t="shared" si="1"/>
        <v>1559.5</v>
      </c>
      <c r="T11" s="26">
        <f t="shared" si="1"/>
        <v>160</v>
      </c>
      <c r="U11" s="26">
        <f t="shared" si="1"/>
        <v>54</v>
      </c>
      <c r="V11" s="26">
        <f t="shared" si="1"/>
        <v>253</v>
      </c>
      <c r="W11" s="26">
        <f t="shared" si="1"/>
        <v>47</v>
      </c>
      <c r="X11" s="26">
        <f t="shared" si="1"/>
        <v>37.5</v>
      </c>
      <c r="Y11" s="26">
        <f t="shared" si="1"/>
        <v>870.5</v>
      </c>
      <c r="Z11" s="26">
        <f t="shared" si="1"/>
        <v>231</v>
      </c>
      <c r="AA11" s="26">
        <f t="shared" si="1"/>
        <v>30673</v>
      </c>
      <c r="AB11" s="26">
        <f t="shared" si="1"/>
        <v>26785.5</v>
      </c>
      <c r="AC11" s="26">
        <f t="shared" si="1"/>
        <v>847.5</v>
      </c>
      <c r="AD11" s="26">
        <f t="shared" si="1"/>
        <v>1287.5</v>
      </c>
      <c r="AE11" s="26">
        <f t="shared" si="1"/>
        <v>97</v>
      </c>
      <c r="AF11" s="26">
        <f t="shared" si="1"/>
        <v>164</v>
      </c>
      <c r="AG11" s="26">
        <f t="shared" si="1"/>
        <v>585.5</v>
      </c>
      <c r="AH11" s="26">
        <f t="shared" si="1"/>
        <v>908</v>
      </c>
      <c r="AI11" s="26">
        <f t="shared" si="1"/>
        <v>383</v>
      </c>
      <c r="AJ11" s="26">
        <f t="shared" si="1"/>
        <v>181.5</v>
      </c>
      <c r="AK11" s="26">
        <f t="shared" si="1"/>
        <v>162.5</v>
      </c>
      <c r="AL11" s="26">
        <f t="shared" si="1"/>
        <v>288.5</v>
      </c>
      <c r="AM11" s="26">
        <f t="shared" si="1"/>
        <v>306</v>
      </c>
      <c r="AN11" s="26">
        <f t="shared" si="1"/>
        <v>268</v>
      </c>
      <c r="AO11" s="26">
        <f t="shared" si="1"/>
        <v>4051.5</v>
      </c>
      <c r="AP11" s="26">
        <f t="shared" si="1"/>
        <v>84316.5</v>
      </c>
      <c r="AQ11" s="26">
        <f t="shared" si="1"/>
        <v>251</v>
      </c>
      <c r="AR11" s="26">
        <f t="shared" si="1"/>
        <v>58778</v>
      </c>
      <c r="AS11" s="26">
        <f t="shared" si="1"/>
        <v>5971.5</v>
      </c>
      <c r="AT11" s="26">
        <f t="shared" si="1"/>
        <v>2361</v>
      </c>
      <c r="AU11" s="26">
        <f t="shared" si="1"/>
        <v>268</v>
      </c>
      <c r="AV11" s="26">
        <f t="shared" si="1"/>
        <v>296</v>
      </c>
      <c r="AW11" s="26">
        <f t="shared" si="1"/>
        <v>257</v>
      </c>
      <c r="AX11" s="26">
        <f t="shared" si="1"/>
        <v>81</v>
      </c>
      <c r="AY11" s="26">
        <f t="shared" si="1"/>
        <v>391.5</v>
      </c>
      <c r="AZ11" s="26">
        <f t="shared" si="1"/>
        <v>11877.5</v>
      </c>
      <c r="BA11" s="26">
        <f t="shared" si="1"/>
        <v>9090</v>
      </c>
      <c r="BB11" s="26">
        <f t="shared" si="1"/>
        <v>7451</v>
      </c>
      <c r="BC11" s="26">
        <f t="shared" si="1"/>
        <v>21491</v>
      </c>
      <c r="BD11" s="26">
        <f t="shared" si="1"/>
        <v>3637.5</v>
      </c>
      <c r="BE11" s="26">
        <f t="shared" si="1"/>
        <v>1092</v>
      </c>
      <c r="BF11" s="26">
        <f t="shared" si="1"/>
        <v>25572</v>
      </c>
      <c r="BG11" s="26">
        <f t="shared" si="1"/>
        <v>919.5</v>
      </c>
      <c r="BH11" s="26">
        <f t="shared" si="1"/>
        <v>574</v>
      </c>
      <c r="BI11" s="26">
        <f t="shared" si="1"/>
        <v>254.5</v>
      </c>
      <c r="BJ11" s="26">
        <f t="shared" si="1"/>
        <v>6311.5</v>
      </c>
      <c r="BK11" s="26">
        <f t="shared" si="1"/>
        <v>35094.5</v>
      </c>
      <c r="BL11" s="26">
        <f t="shared" si="1"/>
        <v>72.5</v>
      </c>
      <c r="BM11" s="26">
        <f t="shared" si="1"/>
        <v>349</v>
      </c>
      <c r="BN11" s="26">
        <f t="shared" si="1"/>
        <v>3038.5</v>
      </c>
      <c r="BO11" s="26">
        <f t="shared" si="1"/>
        <v>1189</v>
      </c>
      <c r="BP11" s="26">
        <f t="shared" si="1"/>
        <v>137</v>
      </c>
      <c r="BQ11" s="26">
        <f t="shared" si="1"/>
        <v>5584.5</v>
      </c>
      <c r="BR11" s="26">
        <f t="shared" si="1"/>
        <v>4474.5</v>
      </c>
      <c r="BS11" s="26">
        <f t="shared" si="1"/>
        <v>1158</v>
      </c>
      <c r="BT11" s="26">
        <f t="shared" si="1"/>
        <v>353</v>
      </c>
      <c r="BU11" s="26">
        <f t="shared" si="1"/>
        <v>382</v>
      </c>
      <c r="BV11" s="26">
        <f t="shared" si="1"/>
        <v>1243</v>
      </c>
      <c r="BW11" s="26">
        <f t="shared" si="1"/>
        <v>2017.5</v>
      </c>
      <c r="BX11" s="26">
        <f t="shared" si="1"/>
        <v>57</v>
      </c>
      <c r="BY11" s="26">
        <f t="shared" si="1"/>
        <v>392.5</v>
      </c>
      <c r="BZ11" s="26">
        <f t="shared" si="1"/>
        <v>228</v>
      </c>
      <c r="CA11" s="26">
        <f t="shared" si="1"/>
        <v>141.5</v>
      </c>
      <c r="CB11" s="26">
        <f t="shared" si="1"/>
        <v>71275</v>
      </c>
      <c r="CC11" s="26">
        <f t="shared" si="1"/>
        <v>186</v>
      </c>
      <c r="CD11" s="26">
        <f t="shared" si="1"/>
        <v>30</v>
      </c>
      <c r="CE11" s="26">
        <f t="shared" si="1"/>
        <v>158</v>
      </c>
      <c r="CF11" s="26">
        <f t="shared" si="1"/>
        <v>100</v>
      </c>
      <c r="CG11" s="26">
        <f t="shared" si="1"/>
        <v>191</v>
      </c>
      <c r="CH11" s="26">
        <f t="shared" si="1"/>
        <v>90</v>
      </c>
      <c r="CI11" s="26">
        <f t="shared" si="1"/>
        <v>683</v>
      </c>
      <c r="CJ11" s="26">
        <f t="shared" si="1"/>
        <v>822.5</v>
      </c>
      <c r="CK11" s="26">
        <f t="shared" si="1"/>
        <v>4212</v>
      </c>
      <c r="CL11" s="26">
        <f t="shared" si="1"/>
        <v>1157.5</v>
      </c>
      <c r="CM11" s="26">
        <f t="shared" si="1"/>
        <v>677.5</v>
      </c>
      <c r="CN11" s="26">
        <f t="shared" si="1"/>
        <v>28417</v>
      </c>
      <c r="CO11" s="26">
        <f t="shared" si="1"/>
        <v>13990</v>
      </c>
      <c r="CP11" s="26">
        <f t="shared" si="1"/>
        <v>861.5</v>
      </c>
      <c r="CQ11" s="26">
        <f t="shared" si="1"/>
        <v>759</v>
      </c>
      <c r="CR11" s="26">
        <f t="shared" si="1"/>
        <v>195</v>
      </c>
      <c r="CS11" s="26">
        <f t="shared" si="1"/>
        <v>245.5</v>
      </c>
      <c r="CT11" s="26">
        <f t="shared" si="1"/>
        <v>112</v>
      </c>
      <c r="CU11" s="26">
        <f t="shared" si="1"/>
        <v>465</v>
      </c>
      <c r="CV11" s="26">
        <f t="shared" si="1"/>
        <v>24</v>
      </c>
      <c r="CW11" s="26">
        <f t="shared" si="1"/>
        <v>187</v>
      </c>
      <c r="CX11" s="26">
        <f t="shared" si="1"/>
        <v>457</v>
      </c>
      <c r="CY11" s="26">
        <f t="shared" si="1"/>
        <v>25</v>
      </c>
      <c r="CZ11" s="26">
        <f t="shared" si="1"/>
        <v>1768</v>
      </c>
      <c r="DA11" s="26">
        <f t="shared" si="1"/>
        <v>203.5</v>
      </c>
      <c r="DB11" s="26">
        <f t="shared" si="1"/>
        <v>310.5</v>
      </c>
      <c r="DC11" s="26">
        <f t="shared" si="1"/>
        <v>193</v>
      </c>
      <c r="DD11" s="26">
        <f t="shared" si="1"/>
        <v>174.5</v>
      </c>
      <c r="DE11" s="26">
        <f t="shared" si="1"/>
        <v>279.5</v>
      </c>
      <c r="DF11" s="26">
        <f t="shared" si="1"/>
        <v>18490</v>
      </c>
      <c r="DG11" s="26">
        <f t="shared" si="1"/>
        <v>93.5</v>
      </c>
      <c r="DH11" s="26">
        <f t="shared" si="1"/>
        <v>1684</v>
      </c>
      <c r="DI11" s="26">
        <f t="shared" si="1"/>
        <v>2293</v>
      </c>
      <c r="DJ11" s="26">
        <f t="shared" si="1"/>
        <v>601</v>
      </c>
      <c r="DK11" s="26">
        <f t="shared" si="1"/>
        <v>473.5</v>
      </c>
      <c r="DL11" s="26">
        <f t="shared" si="1"/>
        <v>5616</v>
      </c>
      <c r="DM11" s="26">
        <f t="shared" si="1"/>
        <v>235</v>
      </c>
      <c r="DN11" s="26">
        <f t="shared" si="1"/>
        <v>1296</v>
      </c>
      <c r="DO11" s="26">
        <f t="shared" si="1"/>
        <v>3290</v>
      </c>
      <c r="DP11" s="26">
        <f t="shared" si="1"/>
        <v>199</v>
      </c>
      <c r="DQ11" s="26">
        <f t="shared" si="1"/>
        <v>888</v>
      </c>
      <c r="DR11" s="26">
        <f t="shared" si="1"/>
        <v>1266</v>
      </c>
      <c r="DS11" s="26">
        <f t="shared" si="1"/>
        <v>545</v>
      </c>
      <c r="DT11" s="26">
        <f t="shared" si="1"/>
        <v>175</v>
      </c>
      <c r="DU11" s="26">
        <f t="shared" si="1"/>
        <v>346</v>
      </c>
      <c r="DV11" s="26">
        <f t="shared" si="1"/>
        <v>198</v>
      </c>
      <c r="DW11" s="26">
        <f t="shared" si="1"/>
        <v>285</v>
      </c>
      <c r="DX11" s="26">
        <f t="shared" si="1"/>
        <v>168</v>
      </c>
      <c r="DY11" s="26">
        <f t="shared" si="1"/>
        <v>280</v>
      </c>
      <c r="DZ11" s="26">
        <f t="shared" si="1"/>
        <v>607.5</v>
      </c>
      <c r="EA11" s="26">
        <f t="shared" si="1"/>
        <v>487.5</v>
      </c>
      <c r="EB11" s="26">
        <f t="shared" si="1"/>
        <v>498</v>
      </c>
      <c r="EC11" s="26">
        <f t="shared" si="1"/>
        <v>260</v>
      </c>
      <c r="ED11" s="26">
        <f t="shared" si="1"/>
        <v>1546.5</v>
      </c>
      <c r="EE11" s="26">
        <f t="shared" si="1"/>
        <v>185.5</v>
      </c>
      <c r="EF11" s="26">
        <f t="shared" si="1"/>
        <v>1262</v>
      </c>
      <c r="EG11" s="26">
        <f t="shared" si="1"/>
        <v>250</v>
      </c>
      <c r="EH11" s="26">
        <f t="shared" si="1"/>
        <v>246</v>
      </c>
      <c r="EI11" s="26">
        <f t="shared" si="1"/>
        <v>13283</v>
      </c>
      <c r="EJ11" s="26">
        <f t="shared" si="1"/>
        <v>9987.5</v>
      </c>
      <c r="EK11" s="26">
        <f t="shared" si="1"/>
        <v>663.5</v>
      </c>
      <c r="EL11" s="26">
        <f t="shared" si="1"/>
        <v>447</v>
      </c>
      <c r="EM11" s="26">
        <f t="shared" si="1"/>
        <v>355</v>
      </c>
      <c r="EN11" s="26">
        <f t="shared" si="1"/>
        <v>919.5</v>
      </c>
      <c r="EO11" s="26">
        <f t="shared" si="1"/>
        <v>287</v>
      </c>
      <c r="EP11" s="26">
        <f t="shared" si="1"/>
        <v>428.5</v>
      </c>
      <c r="EQ11" s="26">
        <f t="shared" si="1"/>
        <v>2407</v>
      </c>
      <c r="ER11" s="26">
        <f t="shared" si="1"/>
        <v>308.5</v>
      </c>
      <c r="ES11" s="26">
        <f t="shared" si="1"/>
        <v>155.5</v>
      </c>
      <c r="ET11" s="26">
        <f t="shared" si="1"/>
        <v>197.5</v>
      </c>
      <c r="EU11" s="26">
        <f t="shared" si="1"/>
        <v>568</v>
      </c>
      <c r="EV11" s="26">
        <f t="shared" si="1"/>
        <v>66</v>
      </c>
      <c r="EW11" s="26">
        <f t="shared" si="1"/>
        <v>746.5</v>
      </c>
      <c r="EX11" s="26">
        <f t="shared" si="1"/>
        <v>173.5</v>
      </c>
      <c r="EY11" s="26">
        <f t="shared" si="1"/>
        <v>651</v>
      </c>
      <c r="EZ11" s="26">
        <f t="shared" si="1"/>
        <v>127</v>
      </c>
      <c r="FA11" s="26">
        <f t="shared" si="1"/>
        <v>3257</v>
      </c>
      <c r="FB11" s="26">
        <f t="shared" si="1"/>
        <v>275.5</v>
      </c>
      <c r="FC11" s="26">
        <f t="shared" si="1"/>
        <v>1644</v>
      </c>
      <c r="FD11" s="26">
        <f t="shared" si="1"/>
        <v>399</v>
      </c>
      <c r="FE11" s="26">
        <f t="shared" si="1"/>
        <v>70</v>
      </c>
      <c r="FF11" s="26">
        <f t="shared" si="1"/>
        <v>175</v>
      </c>
      <c r="FG11" s="26">
        <f t="shared" si="1"/>
        <v>114</v>
      </c>
      <c r="FH11" s="26">
        <f t="shared" si="1"/>
        <v>69</v>
      </c>
      <c r="FI11" s="26">
        <f t="shared" si="1"/>
        <v>1645</v>
      </c>
      <c r="FJ11" s="26">
        <f t="shared" si="1"/>
        <v>2016.5</v>
      </c>
      <c r="FK11" s="26">
        <f t="shared" si="1"/>
        <v>2482</v>
      </c>
      <c r="FL11" s="26">
        <f t="shared" si="1"/>
        <v>8537.5</v>
      </c>
      <c r="FM11" s="26">
        <f t="shared" si="1"/>
        <v>3981.5</v>
      </c>
      <c r="FN11" s="26">
        <f t="shared" si="1"/>
        <v>22703.5</v>
      </c>
      <c r="FO11" s="26">
        <f t="shared" si="1"/>
        <v>1119</v>
      </c>
      <c r="FP11" s="26">
        <f t="shared" si="1"/>
        <v>2341.5</v>
      </c>
      <c r="FQ11" s="26">
        <f t="shared" si="1"/>
        <v>982.5</v>
      </c>
      <c r="FR11" s="26">
        <f t="shared" si="1"/>
        <v>162.5</v>
      </c>
      <c r="FS11" s="26">
        <f t="shared" si="1"/>
        <v>160.5</v>
      </c>
      <c r="FT11" s="26">
        <f t="shared" si="1"/>
        <v>54</v>
      </c>
      <c r="FU11" s="26">
        <f t="shared" si="1"/>
        <v>760</v>
      </c>
      <c r="FV11" s="26">
        <f t="shared" si="1"/>
        <v>693</v>
      </c>
      <c r="FW11" s="26">
        <f t="shared" si="1"/>
        <v>130</v>
      </c>
      <c r="FX11" s="26">
        <f t="shared" si="1"/>
        <v>64</v>
      </c>
      <c r="FY11" s="23"/>
      <c r="FZ11" s="23">
        <f t="shared" si="0"/>
        <v>814613</v>
      </c>
      <c r="GA11" s="23"/>
      <c r="GB11" s="23"/>
      <c r="GC11" s="23"/>
      <c r="GD11" s="23"/>
      <c r="GE11" s="7"/>
      <c r="GF11" s="7"/>
      <c r="GG11" s="7"/>
      <c r="GH11" s="7"/>
      <c r="GI11" s="7"/>
      <c r="GJ11" s="7"/>
      <c r="GK11" s="7"/>
    </row>
    <row r="12" spans="1:207" ht="15" customHeight="1" x14ac:dyDescent="0.35">
      <c r="A12" s="12" t="s">
        <v>453</v>
      </c>
      <c r="B12" s="7" t="s">
        <v>456</v>
      </c>
      <c r="C12" s="27">
        <f>'New Formula with HB25-1320'!C12</f>
        <v>152</v>
      </c>
      <c r="D12" s="26">
        <f>'New Formula with HB25-1320'!D12</f>
        <v>499</v>
      </c>
      <c r="E12" s="26">
        <f>'New Formula with HB25-1320'!E12</f>
        <v>0</v>
      </c>
      <c r="F12" s="26">
        <f>'New Formula with HB25-1320'!F12</f>
        <v>2031</v>
      </c>
      <c r="G12" s="26">
        <f>'New Formula with HB25-1320'!G12</f>
        <v>0</v>
      </c>
      <c r="H12" s="26">
        <f>'New Formula with HB25-1320'!H12</f>
        <v>0</v>
      </c>
      <c r="I12" s="26">
        <f>'New Formula with HB25-1320'!I12</f>
        <v>0</v>
      </c>
      <c r="J12" s="26">
        <f>'New Formula with HB25-1320'!J12</f>
        <v>0</v>
      </c>
      <c r="K12" s="26">
        <f>'New Formula with HB25-1320'!K12</f>
        <v>0</v>
      </c>
      <c r="L12" s="26">
        <f>'New Formula with HB25-1320'!L12</f>
        <v>0</v>
      </c>
      <c r="M12" s="26">
        <f>'New Formula with HB25-1320'!M12</f>
        <v>0</v>
      </c>
      <c r="N12" s="26">
        <f>'New Formula with HB25-1320'!N12</f>
        <v>0</v>
      </c>
      <c r="O12" s="26">
        <f>'New Formula with HB25-1320'!O12</f>
        <v>0</v>
      </c>
      <c r="P12" s="26">
        <f>'New Formula with HB25-1320'!P12</f>
        <v>0</v>
      </c>
      <c r="Q12" s="26">
        <f>'New Formula with HB25-1320'!Q12</f>
        <v>0</v>
      </c>
      <c r="R12" s="26">
        <f>'New Formula with HB25-1320'!R12</f>
        <v>6618</v>
      </c>
      <c r="S12" s="26">
        <f>'New Formula with HB25-1320'!S12</f>
        <v>14</v>
      </c>
      <c r="T12" s="26">
        <f>'New Formula with HB25-1320'!T12</f>
        <v>0</v>
      </c>
      <c r="U12" s="26">
        <f>'New Formula with HB25-1320'!U12</f>
        <v>0</v>
      </c>
      <c r="V12" s="26">
        <f>'New Formula with HB25-1320'!V12</f>
        <v>0</v>
      </c>
      <c r="W12" s="26">
        <f>'New Formula with HB25-1320'!W12</f>
        <v>0</v>
      </c>
      <c r="X12" s="26">
        <f>'New Formula with HB25-1320'!X12</f>
        <v>0</v>
      </c>
      <c r="Y12" s="26">
        <f>'New Formula with HB25-1320'!Y12</f>
        <v>473.5</v>
      </c>
      <c r="Z12" s="26">
        <f>'New Formula with HB25-1320'!Z12</f>
        <v>0</v>
      </c>
      <c r="AA12" s="26">
        <f>'New Formula with HB25-1320'!AA12</f>
        <v>336.5</v>
      </c>
      <c r="AB12" s="26">
        <f>'New Formula with HB25-1320'!AB12</f>
        <v>224</v>
      </c>
      <c r="AC12" s="26">
        <f>'New Formula with HB25-1320'!AC12</f>
        <v>0</v>
      </c>
      <c r="AD12" s="26">
        <f>'New Formula with HB25-1320'!AD12</f>
        <v>0</v>
      </c>
      <c r="AE12" s="26">
        <f>'New Formula with HB25-1320'!AE12</f>
        <v>0</v>
      </c>
      <c r="AF12" s="26">
        <f>'New Formula with HB25-1320'!AF12</f>
        <v>0</v>
      </c>
      <c r="AG12" s="26">
        <f>'New Formula with HB25-1320'!AG12</f>
        <v>0</v>
      </c>
      <c r="AH12" s="26">
        <f>'New Formula with HB25-1320'!AH12</f>
        <v>0</v>
      </c>
      <c r="AI12" s="26">
        <f>'New Formula with HB25-1320'!AI12</f>
        <v>0</v>
      </c>
      <c r="AJ12" s="26">
        <f>'New Formula with HB25-1320'!AJ12</f>
        <v>0</v>
      </c>
      <c r="AK12" s="26">
        <f>'New Formula with HB25-1320'!AK12</f>
        <v>0</v>
      </c>
      <c r="AL12" s="26">
        <f>'New Formula with HB25-1320'!AL12</f>
        <v>0</v>
      </c>
      <c r="AM12" s="26">
        <f>'New Formula with HB25-1320'!AM12</f>
        <v>0</v>
      </c>
      <c r="AN12" s="26">
        <f>'New Formula with HB25-1320'!AN12</f>
        <v>0</v>
      </c>
      <c r="AO12" s="26">
        <f>'New Formula with HB25-1320'!AO12</f>
        <v>370.5</v>
      </c>
      <c r="AP12" s="26">
        <f>'New Formula with HB25-1320'!AP12</f>
        <v>595.5</v>
      </c>
      <c r="AQ12" s="26">
        <f>'New Formula with HB25-1320'!AQ12</f>
        <v>0</v>
      </c>
      <c r="AR12" s="26">
        <f>'New Formula with HB25-1320'!AR12</f>
        <v>1303</v>
      </c>
      <c r="AS12" s="26">
        <f>'New Formula with HB25-1320'!AS12</f>
        <v>0</v>
      </c>
      <c r="AT12" s="26">
        <f>'New Formula with HB25-1320'!AT12</f>
        <v>0</v>
      </c>
      <c r="AU12" s="26">
        <f>'New Formula with HB25-1320'!AU12</f>
        <v>0</v>
      </c>
      <c r="AV12" s="26">
        <f>'New Formula with HB25-1320'!AV12</f>
        <v>0</v>
      </c>
      <c r="AW12" s="26">
        <f>'New Formula with HB25-1320'!AW12</f>
        <v>0</v>
      </c>
      <c r="AX12" s="26">
        <f>'New Formula with HB25-1320'!AX12</f>
        <v>0</v>
      </c>
      <c r="AY12" s="26">
        <f>'New Formula with HB25-1320'!AY12</f>
        <v>0</v>
      </c>
      <c r="AZ12" s="26">
        <f>'New Formula with HB25-1320'!AZ12</f>
        <v>98</v>
      </c>
      <c r="BA12" s="26">
        <f>'New Formula with HB25-1320'!BA12</f>
        <v>240</v>
      </c>
      <c r="BB12" s="26">
        <f>'New Formula with HB25-1320'!BB12</f>
        <v>0</v>
      </c>
      <c r="BC12" s="26">
        <f>'New Formula with HB25-1320'!BC12</f>
        <v>475</v>
      </c>
      <c r="BD12" s="26">
        <f>'New Formula with HB25-1320'!BD12</f>
        <v>0</v>
      </c>
      <c r="BE12" s="26">
        <f>'New Formula with HB25-1320'!BE12</f>
        <v>0</v>
      </c>
      <c r="BF12" s="26">
        <f>'New Formula with HB25-1320'!BF12</f>
        <v>1194.5</v>
      </c>
      <c r="BG12" s="26">
        <f>'New Formula with HB25-1320'!BG12</f>
        <v>0</v>
      </c>
      <c r="BH12" s="26">
        <f>'New Formula with HB25-1320'!BH12</f>
        <v>28</v>
      </c>
      <c r="BI12" s="26">
        <f>'New Formula with HB25-1320'!BI12</f>
        <v>0</v>
      </c>
      <c r="BJ12" s="26">
        <f>'New Formula with HB25-1320'!BJ12</f>
        <v>0</v>
      </c>
      <c r="BK12" s="26">
        <f>'New Formula with HB25-1320'!BK12</f>
        <v>13175.5</v>
      </c>
      <c r="BL12" s="26">
        <f>'New Formula with HB25-1320'!BL12</f>
        <v>0</v>
      </c>
      <c r="BM12" s="26">
        <f>'New Formula with HB25-1320'!BM12</f>
        <v>0</v>
      </c>
      <c r="BN12" s="26">
        <f>'New Formula with HB25-1320'!BN12</f>
        <v>0</v>
      </c>
      <c r="BO12" s="26">
        <f>'New Formula with HB25-1320'!BO12</f>
        <v>0</v>
      </c>
      <c r="BP12" s="26">
        <f>'New Formula with HB25-1320'!BP12</f>
        <v>0</v>
      </c>
      <c r="BQ12" s="26">
        <f>'New Formula with HB25-1320'!BQ12</f>
        <v>0</v>
      </c>
      <c r="BR12" s="26">
        <f>'New Formula with HB25-1320'!BR12</f>
        <v>0</v>
      </c>
      <c r="BS12" s="26">
        <f>'New Formula with HB25-1320'!BS12</f>
        <v>0</v>
      </c>
      <c r="BT12" s="26">
        <f>'New Formula with HB25-1320'!BT12</f>
        <v>0</v>
      </c>
      <c r="BU12" s="26">
        <f>'New Formula with HB25-1320'!BU12</f>
        <v>0</v>
      </c>
      <c r="BV12" s="26">
        <f>'New Formula with HB25-1320'!BV12</f>
        <v>0</v>
      </c>
      <c r="BW12" s="26">
        <f>'New Formula with HB25-1320'!BW12</f>
        <v>0</v>
      </c>
      <c r="BX12" s="26">
        <f>'New Formula with HB25-1320'!BX12</f>
        <v>0</v>
      </c>
      <c r="BY12" s="26">
        <f>'New Formula with HB25-1320'!BY12</f>
        <v>0</v>
      </c>
      <c r="BZ12" s="26">
        <f>'New Formula with HB25-1320'!BZ12</f>
        <v>0</v>
      </c>
      <c r="CA12" s="26">
        <f>'New Formula with HB25-1320'!CA12</f>
        <v>0</v>
      </c>
      <c r="CB12" s="26">
        <f>'New Formula with HB25-1320'!CB12</f>
        <v>815.5</v>
      </c>
      <c r="CC12" s="26">
        <f>'New Formula with HB25-1320'!CC12</f>
        <v>0</v>
      </c>
      <c r="CD12" s="26">
        <f>'New Formula with HB25-1320'!CD12</f>
        <v>0</v>
      </c>
      <c r="CE12" s="26">
        <f>'New Formula with HB25-1320'!CE12</f>
        <v>0</v>
      </c>
      <c r="CF12" s="26">
        <f>'New Formula with HB25-1320'!CF12</f>
        <v>0</v>
      </c>
      <c r="CG12" s="26">
        <f>'New Formula with HB25-1320'!CG12</f>
        <v>0</v>
      </c>
      <c r="CH12" s="26">
        <f>'New Formula with HB25-1320'!CH12</f>
        <v>0</v>
      </c>
      <c r="CI12" s="26">
        <f>'New Formula with HB25-1320'!CI12</f>
        <v>0</v>
      </c>
      <c r="CJ12" s="26">
        <f>'New Formula with HB25-1320'!CJ12</f>
        <v>0</v>
      </c>
      <c r="CK12" s="26">
        <f>'New Formula with HB25-1320'!CK12</f>
        <v>23.5</v>
      </c>
      <c r="CL12" s="26">
        <f>'New Formula with HB25-1320'!CL12</f>
        <v>5.5</v>
      </c>
      <c r="CM12" s="26">
        <f>'New Formula with HB25-1320'!CM12</f>
        <v>2</v>
      </c>
      <c r="CN12" s="26">
        <f>'New Formula with HB25-1320'!CN12</f>
        <v>254</v>
      </c>
      <c r="CO12" s="26">
        <f>'New Formula with HB25-1320'!CO12</f>
        <v>0</v>
      </c>
      <c r="CP12" s="26">
        <f>'New Formula with HB25-1320'!CP12</f>
        <v>0</v>
      </c>
      <c r="CQ12" s="26">
        <f>'New Formula with HB25-1320'!CQ12</f>
        <v>0</v>
      </c>
      <c r="CR12" s="26">
        <f>'New Formula with HB25-1320'!CR12</f>
        <v>0</v>
      </c>
      <c r="CS12" s="26">
        <f>'New Formula with HB25-1320'!CS12</f>
        <v>0</v>
      </c>
      <c r="CT12" s="26">
        <f>'New Formula with HB25-1320'!CT12</f>
        <v>0</v>
      </c>
      <c r="CU12" s="26">
        <f>'New Formula with HB25-1320'!CU12</f>
        <v>396</v>
      </c>
      <c r="CV12" s="26">
        <f>'New Formula with HB25-1320'!CV12</f>
        <v>0</v>
      </c>
      <c r="CW12" s="26">
        <f>'New Formula with HB25-1320'!CW12</f>
        <v>0</v>
      </c>
      <c r="CX12" s="26">
        <f>'New Formula with HB25-1320'!CX12</f>
        <v>0</v>
      </c>
      <c r="CY12" s="26">
        <f>'New Formula with HB25-1320'!CY12</f>
        <v>0</v>
      </c>
      <c r="CZ12" s="26">
        <f>'New Formula with HB25-1320'!CZ12</f>
        <v>0</v>
      </c>
      <c r="DA12" s="26">
        <f>'New Formula with HB25-1320'!DA12</f>
        <v>0</v>
      </c>
      <c r="DB12" s="26">
        <f>'New Formula with HB25-1320'!DB12</f>
        <v>0</v>
      </c>
      <c r="DC12" s="26">
        <f>'New Formula with HB25-1320'!DC12</f>
        <v>0</v>
      </c>
      <c r="DD12" s="26">
        <f>'New Formula with HB25-1320'!DD12</f>
        <v>0</v>
      </c>
      <c r="DE12" s="26">
        <f>'New Formula with HB25-1320'!DE12</f>
        <v>0</v>
      </c>
      <c r="DF12" s="26">
        <f>'New Formula with HB25-1320'!DF12</f>
        <v>0</v>
      </c>
      <c r="DG12" s="26">
        <f>'New Formula with HB25-1320'!DG12</f>
        <v>0</v>
      </c>
      <c r="DH12" s="26">
        <f>'New Formula with HB25-1320'!DH12</f>
        <v>0</v>
      </c>
      <c r="DI12" s="26">
        <f>'New Formula with HB25-1320'!DI12</f>
        <v>4</v>
      </c>
      <c r="DJ12" s="26">
        <f>'New Formula with HB25-1320'!DJ12</f>
        <v>1</v>
      </c>
      <c r="DK12" s="26">
        <f>'New Formula with HB25-1320'!DK12</f>
        <v>1</v>
      </c>
      <c r="DL12" s="26">
        <f>'New Formula with HB25-1320'!DL12</f>
        <v>0</v>
      </c>
      <c r="DM12" s="26">
        <f>'New Formula with HB25-1320'!DM12</f>
        <v>0</v>
      </c>
      <c r="DN12" s="26">
        <f>'New Formula with HB25-1320'!DN12</f>
        <v>0</v>
      </c>
      <c r="DO12" s="26">
        <f>'New Formula with HB25-1320'!DO12</f>
        <v>0</v>
      </c>
      <c r="DP12" s="26">
        <f>'New Formula with HB25-1320'!DP12</f>
        <v>0</v>
      </c>
      <c r="DQ12" s="26">
        <f>'New Formula with HB25-1320'!DQ12</f>
        <v>0</v>
      </c>
      <c r="DR12" s="26">
        <f>'New Formula with HB25-1320'!DR12</f>
        <v>0</v>
      </c>
      <c r="DS12" s="26">
        <f>'New Formula with HB25-1320'!DS12</f>
        <v>0</v>
      </c>
      <c r="DT12" s="26">
        <f>'New Formula with HB25-1320'!DT12</f>
        <v>0</v>
      </c>
      <c r="DU12" s="26">
        <f>'New Formula with HB25-1320'!DU12</f>
        <v>0</v>
      </c>
      <c r="DV12" s="26">
        <f>'New Formula with HB25-1320'!DV12</f>
        <v>0</v>
      </c>
      <c r="DW12" s="26">
        <f>'New Formula with HB25-1320'!DW12</f>
        <v>0</v>
      </c>
      <c r="DX12" s="26">
        <f>'New Formula with HB25-1320'!DX12</f>
        <v>0</v>
      </c>
      <c r="DY12" s="26">
        <f>'New Formula with HB25-1320'!DY12</f>
        <v>0</v>
      </c>
      <c r="DZ12" s="26">
        <f>'New Formula with HB25-1320'!DZ12</f>
        <v>0</v>
      </c>
      <c r="EA12" s="26">
        <f>'New Formula with HB25-1320'!EA12</f>
        <v>0</v>
      </c>
      <c r="EB12" s="26">
        <f>'New Formula with HB25-1320'!EB12</f>
        <v>0</v>
      </c>
      <c r="EC12" s="26">
        <f>'New Formula with HB25-1320'!EC12</f>
        <v>0</v>
      </c>
      <c r="ED12" s="26">
        <f>'New Formula with HB25-1320'!ED12</f>
        <v>0</v>
      </c>
      <c r="EE12" s="26">
        <f>'New Formula with HB25-1320'!EE12</f>
        <v>0</v>
      </c>
      <c r="EF12" s="26">
        <f>'New Formula with HB25-1320'!EF12</f>
        <v>0</v>
      </c>
      <c r="EG12" s="26">
        <f>'New Formula with HB25-1320'!EG12</f>
        <v>0</v>
      </c>
      <c r="EH12" s="26">
        <f>'New Formula with HB25-1320'!EH12</f>
        <v>0</v>
      </c>
      <c r="EI12" s="26">
        <f>'New Formula with HB25-1320'!EI12</f>
        <v>0</v>
      </c>
      <c r="EJ12" s="26">
        <f>'New Formula with HB25-1320'!EJ12</f>
        <v>207.5</v>
      </c>
      <c r="EK12" s="26">
        <f>'New Formula with HB25-1320'!EK12</f>
        <v>0</v>
      </c>
      <c r="EL12" s="26">
        <f>'New Formula with HB25-1320'!EL12</f>
        <v>0</v>
      </c>
      <c r="EM12" s="26">
        <f>'New Formula with HB25-1320'!EM12</f>
        <v>0</v>
      </c>
      <c r="EN12" s="26">
        <f>'New Formula with HB25-1320'!EN12</f>
        <v>43</v>
      </c>
      <c r="EO12" s="26">
        <f>'New Formula with HB25-1320'!EO12</f>
        <v>0</v>
      </c>
      <c r="EP12" s="26">
        <f>'New Formula with HB25-1320'!EP12</f>
        <v>0</v>
      </c>
      <c r="EQ12" s="26">
        <f>'New Formula with HB25-1320'!EQ12</f>
        <v>0</v>
      </c>
      <c r="ER12" s="26">
        <f>'New Formula with HB25-1320'!ER12</f>
        <v>0</v>
      </c>
      <c r="ES12" s="26">
        <f>'New Formula with HB25-1320'!ES12</f>
        <v>0</v>
      </c>
      <c r="ET12" s="26">
        <f>'New Formula with HB25-1320'!ET12</f>
        <v>0</v>
      </c>
      <c r="EU12" s="26">
        <f>'New Formula with HB25-1320'!EU12</f>
        <v>0</v>
      </c>
      <c r="EV12" s="26">
        <f>'New Formula with HB25-1320'!EV12</f>
        <v>0</v>
      </c>
      <c r="EW12" s="26">
        <f>'New Formula with HB25-1320'!EW12</f>
        <v>0</v>
      </c>
      <c r="EX12" s="26">
        <f>'New Formula with HB25-1320'!EX12</f>
        <v>0</v>
      </c>
      <c r="EY12" s="26">
        <f>'New Formula with HB25-1320'!EY12</f>
        <v>450</v>
      </c>
      <c r="EZ12" s="26">
        <f>'New Formula with HB25-1320'!EZ12</f>
        <v>0</v>
      </c>
      <c r="FA12" s="26">
        <f>'New Formula with HB25-1320'!FA12</f>
        <v>0</v>
      </c>
      <c r="FB12" s="26">
        <f>'New Formula with HB25-1320'!FB12</f>
        <v>0</v>
      </c>
      <c r="FC12" s="26">
        <f>'New Formula with HB25-1320'!FC12</f>
        <v>0</v>
      </c>
      <c r="FD12" s="26">
        <f>'New Formula with HB25-1320'!FD12</f>
        <v>0</v>
      </c>
      <c r="FE12" s="26">
        <f>'New Formula with HB25-1320'!FE12</f>
        <v>0</v>
      </c>
      <c r="FF12" s="26">
        <f>'New Formula with HB25-1320'!FF12</f>
        <v>0</v>
      </c>
      <c r="FG12" s="26">
        <f>'New Formula with HB25-1320'!FG12</f>
        <v>0</v>
      </c>
      <c r="FH12" s="26">
        <f>'New Formula with HB25-1320'!FH12</f>
        <v>0</v>
      </c>
      <c r="FI12" s="26">
        <f>'New Formula with HB25-1320'!FI12</f>
        <v>0</v>
      </c>
      <c r="FJ12" s="26">
        <f>'New Formula with HB25-1320'!FJ12</f>
        <v>0</v>
      </c>
      <c r="FK12" s="26">
        <f>'New Formula with HB25-1320'!FK12</f>
        <v>0</v>
      </c>
      <c r="FL12" s="26">
        <f>'New Formula with HB25-1320'!FL12</f>
        <v>0</v>
      </c>
      <c r="FM12" s="26">
        <f>'New Formula with HB25-1320'!FM12</f>
        <v>0</v>
      </c>
      <c r="FN12" s="26">
        <f>'New Formula with HB25-1320'!FN12</f>
        <v>254.5</v>
      </c>
      <c r="FO12" s="26">
        <f>'New Formula with HB25-1320'!FO12</f>
        <v>0</v>
      </c>
      <c r="FP12" s="26">
        <f>'New Formula with HB25-1320'!FP12</f>
        <v>0</v>
      </c>
      <c r="FQ12" s="26">
        <f>'New Formula with HB25-1320'!FQ12</f>
        <v>0</v>
      </c>
      <c r="FR12" s="26">
        <f>'New Formula with HB25-1320'!FR12</f>
        <v>0</v>
      </c>
      <c r="FS12" s="26">
        <f>'New Formula with HB25-1320'!FS12</f>
        <v>0</v>
      </c>
      <c r="FT12" s="26">
        <f>'New Formula with HB25-1320'!FT12</f>
        <v>0</v>
      </c>
      <c r="FU12" s="26">
        <f>'New Formula with HB25-1320'!FU12</f>
        <v>0</v>
      </c>
      <c r="FV12" s="26">
        <f>'New Formula with HB25-1320'!FV12</f>
        <v>0</v>
      </c>
      <c r="FW12" s="26">
        <f>'New Formula with HB25-1320'!FW12</f>
        <v>0</v>
      </c>
      <c r="FX12" s="26">
        <f>'New Formula with HB25-1320'!FX12</f>
        <v>0</v>
      </c>
      <c r="FY12" s="25"/>
      <c r="FZ12" s="23">
        <f t="shared" si="0"/>
        <v>30285.5</v>
      </c>
      <c r="GA12" s="23"/>
      <c r="GB12" s="23"/>
      <c r="GC12" s="23"/>
      <c r="GD12" s="23"/>
      <c r="GE12" s="7"/>
      <c r="GF12" s="7"/>
      <c r="GG12" s="7"/>
      <c r="GH12" s="7"/>
      <c r="GI12" s="7"/>
      <c r="GJ12" s="7"/>
      <c r="GK12" s="7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</row>
    <row r="13" spans="1:207" ht="15" customHeight="1" x14ac:dyDescent="0.35">
      <c r="A13" s="12" t="s">
        <v>748</v>
      </c>
      <c r="B13" s="7" t="s">
        <v>749</v>
      </c>
      <c r="C13" s="27">
        <f>'New Formula with HB25-1320'!C13</f>
        <v>0</v>
      </c>
      <c r="D13" s="26">
        <f>'New Formula with HB25-1320'!D13</f>
        <v>38</v>
      </c>
      <c r="E13" s="26">
        <f>'New Formula with HB25-1320'!E13</f>
        <v>0</v>
      </c>
      <c r="F13" s="26">
        <f>'New Formula with HB25-1320'!F13</f>
        <v>1</v>
      </c>
      <c r="G13" s="26">
        <f>'New Formula with HB25-1320'!G13</f>
        <v>0</v>
      </c>
      <c r="H13" s="26">
        <f>'New Formula with HB25-1320'!H13</f>
        <v>0</v>
      </c>
      <c r="I13" s="26">
        <f>'New Formula with HB25-1320'!I13</f>
        <v>5</v>
      </c>
      <c r="J13" s="26">
        <f>'New Formula with HB25-1320'!J13</f>
        <v>0</v>
      </c>
      <c r="K13" s="26">
        <f>'New Formula with HB25-1320'!K13</f>
        <v>0</v>
      </c>
      <c r="L13" s="26">
        <f>'New Formula with HB25-1320'!L13</f>
        <v>0</v>
      </c>
      <c r="M13" s="26">
        <f>'New Formula with HB25-1320'!M13</f>
        <v>0</v>
      </c>
      <c r="N13" s="26">
        <f>'New Formula with HB25-1320'!N13</f>
        <v>30.5</v>
      </c>
      <c r="O13" s="26">
        <f>'New Formula with HB25-1320'!O13</f>
        <v>6</v>
      </c>
      <c r="P13" s="26">
        <f>'New Formula with HB25-1320'!P13</f>
        <v>0</v>
      </c>
      <c r="Q13" s="26">
        <f>'New Formula with HB25-1320'!Q13</f>
        <v>3</v>
      </c>
      <c r="R13" s="26">
        <f>'New Formula with HB25-1320'!R13</f>
        <v>0</v>
      </c>
      <c r="S13" s="26">
        <f>'New Formula with HB25-1320'!S13</f>
        <v>0</v>
      </c>
      <c r="T13" s="26">
        <f>'New Formula with HB25-1320'!T13</f>
        <v>0</v>
      </c>
      <c r="U13" s="26">
        <f>'New Formula with HB25-1320'!U13</f>
        <v>0</v>
      </c>
      <c r="V13" s="26">
        <f>'New Formula with HB25-1320'!V13</f>
        <v>0</v>
      </c>
      <c r="W13" s="26">
        <f>'New Formula with HB25-1320'!W13</f>
        <v>0</v>
      </c>
      <c r="X13" s="26">
        <f>'New Formula with HB25-1320'!X13</f>
        <v>0</v>
      </c>
      <c r="Y13" s="26">
        <f>'New Formula with HB25-1320'!Y13</f>
        <v>0</v>
      </c>
      <c r="Z13" s="26">
        <f>'New Formula with HB25-1320'!Z13</f>
        <v>0</v>
      </c>
      <c r="AA13" s="26">
        <f>'New Formula with HB25-1320'!AA13</f>
        <v>45</v>
      </c>
      <c r="AB13" s="26">
        <f>'New Formula with HB25-1320'!AB13</f>
        <v>1</v>
      </c>
      <c r="AC13" s="26">
        <f>'New Formula with HB25-1320'!AC13</f>
        <v>0</v>
      </c>
      <c r="AD13" s="26">
        <f>'New Formula with HB25-1320'!AD13</f>
        <v>0</v>
      </c>
      <c r="AE13" s="26">
        <f>'New Formula with HB25-1320'!AE13</f>
        <v>0</v>
      </c>
      <c r="AF13" s="26">
        <f>'New Formula with HB25-1320'!AF13</f>
        <v>0</v>
      </c>
      <c r="AG13" s="26">
        <f>'New Formula with HB25-1320'!AG13</f>
        <v>0</v>
      </c>
      <c r="AH13" s="26">
        <f>'New Formula with HB25-1320'!AH13</f>
        <v>0</v>
      </c>
      <c r="AI13" s="26">
        <f>'New Formula with HB25-1320'!AI13</f>
        <v>0</v>
      </c>
      <c r="AJ13" s="26">
        <f>'New Formula with HB25-1320'!AJ13</f>
        <v>0</v>
      </c>
      <c r="AK13" s="26">
        <f>'New Formula with HB25-1320'!AK13</f>
        <v>0</v>
      </c>
      <c r="AL13" s="26">
        <f>'New Formula with HB25-1320'!AL13</f>
        <v>0</v>
      </c>
      <c r="AM13" s="26">
        <f>'New Formula with HB25-1320'!AM13</f>
        <v>0</v>
      </c>
      <c r="AN13" s="26">
        <f>'New Formula with HB25-1320'!AN13</f>
        <v>0</v>
      </c>
      <c r="AO13" s="26">
        <f>'New Formula with HB25-1320'!AO13</f>
        <v>0</v>
      </c>
      <c r="AP13" s="26">
        <f>'New Formula with HB25-1320'!AP13</f>
        <v>7.5</v>
      </c>
      <c r="AQ13" s="26">
        <f>'New Formula with HB25-1320'!AQ13</f>
        <v>0</v>
      </c>
      <c r="AR13" s="26">
        <f>'New Formula with HB25-1320'!AR13</f>
        <v>8</v>
      </c>
      <c r="AS13" s="26">
        <f>'New Formula with HB25-1320'!AS13</f>
        <v>1</v>
      </c>
      <c r="AT13" s="26">
        <f>'New Formula with HB25-1320'!AT13</f>
        <v>0</v>
      </c>
      <c r="AU13" s="26">
        <f>'New Formula with HB25-1320'!AU13</f>
        <v>0</v>
      </c>
      <c r="AV13" s="26">
        <f>'New Formula with HB25-1320'!AV13</f>
        <v>0</v>
      </c>
      <c r="AW13" s="26">
        <f>'New Formula with HB25-1320'!AW13</f>
        <v>0</v>
      </c>
      <c r="AX13" s="26">
        <f>'New Formula with HB25-1320'!AX13</f>
        <v>0</v>
      </c>
      <c r="AY13" s="26">
        <f>'New Formula with HB25-1320'!AY13</f>
        <v>0</v>
      </c>
      <c r="AZ13" s="26">
        <f>'New Formula with HB25-1320'!AZ13</f>
        <v>0</v>
      </c>
      <c r="BA13" s="26">
        <f>'New Formula with HB25-1320'!BA13</f>
        <v>0</v>
      </c>
      <c r="BB13" s="26">
        <f>'New Formula with HB25-1320'!BB13</f>
        <v>1</v>
      </c>
      <c r="BC13" s="26">
        <f>'New Formula with HB25-1320'!BC13</f>
        <v>17.5</v>
      </c>
      <c r="BD13" s="26">
        <f>'New Formula with HB25-1320'!BD13</f>
        <v>0</v>
      </c>
      <c r="BE13" s="26">
        <f>'New Formula with HB25-1320'!BE13</f>
        <v>0</v>
      </c>
      <c r="BF13" s="26">
        <f>'New Formula with HB25-1320'!BF13</f>
        <v>2</v>
      </c>
      <c r="BG13" s="26">
        <f>'New Formula with HB25-1320'!BG13</f>
        <v>0</v>
      </c>
      <c r="BH13" s="26">
        <f>'New Formula with HB25-1320'!BH13</f>
        <v>0</v>
      </c>
      <c r="BI13" s="26">
        <f>'New Formula with HB25-1320'!BI13</f>
        <v>0</v>
      </c>
      <c r="BJ13" s="26">
        <f>'New Formula with HB25-1320'!BJ13</f>
        <v>2</v>
      </c>
      <c r="BK13" s="26">
        <f>'New Formula with HB25-1320'!BK13</f>
        <v>23.5</v>
      </c>
      <c r="BL13" s="26">
        <f>'New Formula with HB25-1320'!BL13</f>
        <v>0.5</v>
      </c>
      <c r="BM13" s="26">
        <f>'New Formula with HB25-1320'!BM13</f>
        <v>0</v>
      </c>
      <c r="BN13" s="26">
        <f>'New Formula with HB25-1320'!BN13</f>
        <v>12</v>
      </c>
      <c r="BO13" s="26">
        <f>'New Formula with HB25-1320'!BO13</f>
        <v>0</v>
      </c>
      <c r="BP13" s="26">
        <f>'New Formula with HB25-1320'!BP13</f>
        <v>0</v>
      </c>
      <c r="BQ13" s="26">
        <f>'New Formula with HB25-1320'!BQ13</f>
        <v>0.5</v>
      </c>
      <c r="BR13" s="26">
        <f>'New Formula with HB25-1320'!BR13</f>
        <v>0</v>
      </c>
      <c r="BS13" s="26">
        <f>'New Formula with HB25-1320'!BS13</f>
        <v>0</v>
      </c>
      <c r="BT13" s="26">
        <f>'New Formula with HB25-1320'!BT13</f>
        <v>0</v>
      </c>
      <c r="BU13" s="26">
        <f>'New Formula with HB25-1320'!BU13</f>
        <v>0</v>
      </c>
      <c r="BV13" s="26">
        <f>'New Formula with HB25-1320'!BV13</f>
        <v>0</v>
      </c>
      <c r="BW13" s="26">
        <f>'New Formula with HB25-1320'!BW13</f>
        <v>0</v>
      </c>
      <c r="BX13" s="26">
        <f>'New Formula with HB25-1320'!BX13</f>
        <v>0</v>
      </c>
      <c r="BY13" s="26">
        <f>'New Formula with HB25-1320'!BY13</f>
        <v>0</v>
      </c>
      <c r="BZ13" s="26">
        <f>'New Formula with HB25-1320'!BZ13</f>
        <v>0</v>
      </c>
      <c r="CA13" s="26">
        <f>'New Formula with HB25-1320'!CA13</f>
        <v>0</v>
      </c>
      <c r="CB13" s="26">
        <f>'New Formula with HB25-1320'!CB13</f>
        <v>17</v>
      </c>
      <c r="CC13" s="26">
        <f>'New Formula with HB25-1320'!CC13</f>
        <v>0</v>
      </c>
      <c r="CD13" s="26">
        <f>'New Formula with HB25-1320'!CD13</f>
        <v>0</v>
      </c>
      <c r="CE13" s="26">
        <f>'New Formula with HB25-1320'!CE13</f>
        <v>0</v>
      </c>
      <c r="CF13" s="26">
        <f>'New Formula with HB25-1320'!CF13</f>
        <v>0</v>
      </c>
      <c r="CG13" s="26">
        <f>'New Formula with HB25-1320'!CG13</f>
        <v>0</v>
      </c>
      <c r="CH13" s="26">
        <f>'New Formula with HB25-1320'!CH13</f>
        <v>0</v>
      </c>
      <c r="CI13" s="26">
        <f>'New Formula with HB25-1320'!CI13</f>
        <v>0</v>
      </c>
      <c r="CJ13" s="26">
        <f>'New Formula with HB25-1320'!CJ13</f>
        <v>0</v>
      </c>
      <c r="CK13" s="26">
        <f>'New Formula with HB25-1320'!CK13</f>
        <v>0</v>
      </c>
      <c r="CL13" s="26">
        <f>'New Formula with HB25-1320'!CL13</f>
        <v>0</v>
      </c>
      <c r="CM13" s="26">
        <f>'New Formula with HB25-1320'!CM13</f>
        <v>0</v>
      </c>
      <c r="CN13" s="26">
        <f>'New Formula with HB25-1320'!CN13</f>
        <v>25.5</v>
      </c>
      <c r="CO13" s="26">
        <f>'New Formula with HB25-1320'!CO13</f>
        <v>1</v>
      </c>
      <c r="CP13" s="26">
        <f>'New Formula with HB25-1320'!CP13</f>
        <v>2</v>
      </c>
      <c r="CQ13" s="26">
        <f>'New Formula with HB25-1320'!CQ13</f>
        <v>0</v>
      </c>
      <c r="CR13" s="26">
        <f>'New Formula with HB25-1320'!CR13</f>
        <v>0</v>
      </c>
      <c r="CS13" s="26">
        <f>'New Formula with HB25-1320'!CS13</f>
        <v>0</v>
      </c>
      <c r="CT13" s="26">
        <f>'New Formula with HB25-1320'!CT13</f>
        <v>0</v>
      </c>
      <c r="CU13" s="26">
        <f>'New Formula with HB25-1320'!CU13</f>
        <v>0</v>
      </c>
      <c r="CV13" s="26">
        <f>'New Formula with HB25-1320'!CV13</f>
        <v>0</v>
      </c>
      <c r="CW13" s="26">
        <f>'New Formula with HB25-1320'!CW13</f>
        <v>0</v>
      </c>
      <c r="CX13" s="26">
        <f>'New Formula with HB25-1320'!CX13</f>
        <v>0</v>
      </c>
      <c r="CY13" s="26">
        <f>'New Formula with HB25-1320'!CY13</f>
        <v>0</v>
      </c>
      <c r="CZ13" s="26">
        <f>'New Formula with HB25-1320'!CZ13</f>
        <v>0</v>
      </c>
      <c r="DA13" s="26">
        <f>'New Formula with HB25-1320'!DA13</f>
        <v>0</v>
      </c>
      <c r="DB13" s="26">
        <f>'New Formula with HB25-1320'!DB13</f>
        <v>0</v>
      </c>
      <c r="DC13" s="26">
        <f>'New Formula with HB25-1320'!DC13</f>
        <v>0</v>
      </c>
      <c r="DD13" s="26">
        <f>'New Formula with HB25-1320'!DD13</f>
        <v>0</v>
      </c>
      <c r="DE13" s="26">
        <f>'New Formula with HB25-1320'!DE13</f>
        <v>0</v>
      </c>
      <c r="DF13" s="26">
        <f>'New Formula with HB25-1320'!DF13</f>
        <v>26</v>
      </c>
      <c r="DG13" s="26">
        <f>'New Formula with HB25-1320'!DG13</f>
        <v>0</v>
      </c>
      <c r="DH13" s="26">
        <f>'New Formula with HB25-1320'!DH13</f>
        <v>0</v>
      </c>
      <c r="DI13" s="26">
        <f>'New Formula with HB25-1320'!DI13</f>
        <v>0</v>
      </c>
      <c r="DJ13" s="26">
        <f>'New Formula with HB25-1320'!DJ13</f>
        <v>0</v>
      </c>
      <c r="DK13" s="26">
        <f>'New Formula with HB25-1320'!DK13</f>
        <v>0</v>
      </c>
      <c r="DL13" s="26">
        <f>'New Formula with HB25-1320'!DL13</f>
        <v>0</v>
      </c>
      <c r="DM13" s="26">
        <f>'New Formula with HB25-1320'!DM13</f>
        <v>0</v>
      </c>
      <c r="DN13" s="26">
        <f>'New Formula with HB25-1320'!DN13</f>
        <v>0.5</v>
      </c>
      <c r="DO13" s="26">
        <f>'New Formula with HB25-1320'!DO13</f>
        <v>0</v>
      </c>
      <c r="DP13" s="26">
        <f>'New Formula with HB25-1320'!DP13</f>
        <v>0</v>
      </c>
      <c r="DQ13" s="26">
        <f>'New Formula with HB25-1320'!DQ13</f>
        <v>0</v>
      </c>
      <c r="DR13" s="26">
        <f>'New Formula with HB25-1320'!DR13</f>
        <v>0</v>
      </c>
      <c r="DS13" s="26">
        <f>'New Formula with HB25-1320'!DS13</f>
        <v>0</v>
      </c>
      <c r="DT13" s="26">
        <f>'New Formula with HB25-1320'!DT13</f>
        <v>0</v>
      </c>
      <c r="DU13" s="26">
        <f>'New Formula with HB25-1320'!DU13</f>
        <v>0</v>
      </c>
      <c r="DV13" s="26">
        <f>'New Formula with HB25-1320'!DV13</f>
        <v>0</v>
      </c>
      <c r="DW13" s="26">
        <f>'New Formula with HB25-1320'!DW13</f>
        <v>0</v>
      </c>
      <c r="DX13" s="26">
        <f>'New Formula with HB25-1320'!DX13</f>
        <v>0</v>
      </c>
      <c r="DY13" s="26">
        <f>'New Formula with HB25-1320'!DY13</f>
        <v>0</v>
      </c>
      <c r="DZ13" s="26">
        <f>'New Formula with HB25-1320'!DZ13</f>
        <v>0</v>
      </c>
      <c r="EA13" s="26">
        <f>'New Formula with HB25-1320'!EA13</f>
        <v>0</v>
      </c>
      <c r="EB13" s="26">
        <f>'New Formula with HB25-1320'!EB13</f>
        <v>0</v>
      </c>
      <c r="EC13" s="26">
        <f>'New Formula with HB25-1320'!EC13</f>
        <v>0</v>
      </c>
      <c r="ED13" s="26">
        <f>'New Formula with HB25-1320'!ED13</f>
        <v>0</v>
      </c>
      <c r="EE13" s="26">
        <f>'New Formula with HB25-1320'!EE13</f>
        <v>0</v>
      </c>
      <c r="EF13" s="26">
        <f>'New Formula with HB25-1320'!EF13</f>
        <v>0</v>
      </c>
      <c r="EG13" s="26">
        <f>'New Formula with HB25-1320'!EG13</f>
        <v>0</v>
      </c>
      <c r="EH13" s="26">
        <f>'New Formula with HB25-1320'!EH13</f>
        <v>0</v>
      </c>
      <c r="EI13" s="26">
        <f>'New Formula with HB25-1320'!EI13</f>
        <v>0</v>
      </c>
      <c r="EJ13" s="26">
        <f>'New Formula with HB25-1320'!EJ13</f>
        <v>2</v>
      </c>
      <c r="EK13" s="26">
        <f>'New Formula with HB25-1320'!EK13</f>
        <v>0</v>
      </c>
      <c r="EL13" s="26">
        <f>'New Formula with HB25-1320'!EL13</f>
        <v>0</v>
      </c>
      <c r="EM13" s="26">
        <f>'New Formula with HB25-1320'!EM13</f>
        <v>0</v>
      </c>
      <c r="EN13" s="26">
        <f>'New Formula with HB25-1320'!EN13</f>
        <v>0</v>
      </c>
      <c r="EO13" s="26">
        <f>'New Formula with HB25-1320'!EO13</f>
        <v>0</v>
      </c>
      <c r="EP13" s="26">
        <f>'New Formula with HB25-1320'!EP13</f>
        <v>0</v>
      </c>
      <c r="EQ13" s="26">
        <f>'New Formula with HB25-1320'!EQ13</f>
        <v>0</v>
      </c>
      <c r="ER13" s="26">
        <f>'New Formula with HB25-1320'!ER13</f>
        <v>0</v>
      </c>
      <c r="ES13" s="26">
        <f>'New Formula with HB25-1320'!ES13</f>
        <v>0</v>
      </c>
      <c r="ET13" s="26">
        <f>'New Formula with HB25-1320'!ET13</f>
        <v>0</v>
      </c>
      <c r="EU13" s="26">
        <f>'New Formula with HB25-1320'!EU13</f>
        <v>0</v>
      </c>
      <c r="EV13" s="26">
        <f>'New Formula with HB25-1320'!EV13</f>
        <v>0</v>
      </c>
      <c r="EW13" s="26">
        <f>'New Formula with HB25-1320'!EW13</f>
        <v>0</v>
      </c>
      <c r="EX13" s="26">
        <f>'New Formula with HB25-1320'!EX13</f>
        <v>0</v>
      </c>
      <c r="EY13" s="26">
        <f>'New Formula with HB25-1320'!EY13</f>
        <v>0</v>
      </c>
      <c r="EZ13" s="26">
        <f>'New Formula with HB25-1320'!EZ13</f>
        <v>0</v>
      </c>
      <c r="FA13" s="26">
        <f>'New Formula with HB25-1320'!FA13</f>
        <v>0</v>
      </c>
      <c r="FB13" s="26">
        <f>'New Formula with HB25-1320'!FB13</f>
        <v>0</v>
      </c>
      <c r="FC13" s="26">
        <f>'New Formula with HB25-1320'!FC13</f>
        <v>0</v>
      </c>
      <c r="FD13" s="26">
        <f>'New Formula with HB25-1320'!FD13</f>
        <v>0</v>
      </c>
      <c r="FE13" s="26">
        <f>'New Formula with HB25-1320'!FE13</f>
        <v>0</v>
      </c>
      <c r="FF13" s="26">
        <f>'New Formula with HB25-1320'!FF13</f>
        <v>0</v>
      </c>
      <c r="FG13" s="26">
        <f>'New Formula with HB25-1320'!FG13</f>
        <v>0</v>
      </c>
      <c r="FH13" s="26">
        <f>'New Formula with HB25-1320'!FH13</f>
        <v>0</v>
      </c>
      <c r="FI13" s="26">
        <f>'New Formula with HB25-1320'!FI13</f>
        <v>0</v>
      </c>
      <c r="FJ13" s="26">
        <f>'New Formula with HB25-1320'!FJ13</f>
        <v>0</v>
      </c>
      <c r="FK13" s="26">
        <f>'New Formula with HB25-1320'!FK13</f>
        <v>0</v>
      </c>
      <c r="FL13" s="26">
        <f>'New Formula with HB25-1320'!FL13</f>
        <v>0</v>
      </c>
      <c r="FM13" s="26">
        <f>'New Formula with HB25-1320'!FM13</f>
        <v>0</v>
      </c>
      <c r="FN13" s="26">
        <f>'New Formula with HB25-1320'!FN13</f>
        <v>13</v>
      </c>
      <c r="FO13" s="26">
        <f>'New Formula with HB25-1320'!FO13</f>
        <v>2</v>
      </c>
      <c r="FP13" s="26">
        <f>'New Formula with HB25-1320'!FP13</f>
        <v>0</v>
      </c>
      <c r="FQ13" s="26">
        <f>'New Formula with HB25-1320'!FQ13</f>
        <v>0</v>
      </c>
      <c r="FR13" s="26">
        <f>'New Formula with HB25-1320'!FR13</f>
        <v>0</v>
      </c>
      <c r="FS13" s="26">
        <f>'New Formula with HB25-1320'!FS13</f>
        <v>0</v>
      </c>
      <c r="FT13" s="26">
        <f>'New Formula with HB25-1320'!FT13</f>
        <v>0</v>
      </c>
      <c r="FU13" s="26">
        <f>'New Formula with HB25-1320'!FU13</f>
        <v>0</v>
      </c>
      <c r="FV13" s="26">
        <f>'New Formula with HB25-1320'!FV13</f>
        <v>0</v>
      </c>
      <c r="FW13" s="26">
        <f>'New Formula with HB25-1320'!FW13</f>
        <v>0</v>
      </c>
      <c r="FX13" s="26">
        <f>'New Formula with HB25-1320'!FX13</f>
        <v>0</v>
      </c>
      <c r="FY13" s="29"/>
      <c r="FZ13" s="23">
        <f t="shared" si="0"/>
        <v>294</v>
      </c>
      <c r="GA13" s="23"/>
      <c r="GB13" s="23"/>
      <c r="GC13" s="23"/>
      <c r="GD13" s="23"/>
      <c r="GE13" s="7"/>
      <c r="GF13" s="7"/>
      <c r="GG13" s="7"/>
      <c r="GH13" s="7"/>
      <c r="GI13" s="7"/>
      <c r="GJ13" s="7"/>
      <c r="GK13" s="7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</row>
    <row r="14" spans="1:207" ht="15" customHeight="1" x14ac:dyDescent="0.35">
      <c r="A14" s="12" t="s">
        <v>750</v>
      </c>
      <c r="B14" s="7" t="s">
        <v>460</v>
      </c>
      <c r="C14" s="27">
        <f>'New Formula with HB25-1320'!C14</f>
        <v>0</v>
      </c>
      <c r="D14" s="26">
        <f>'New Formula with HB25-1320'!D14</f>
        <v>1.5</v>
      </c>
      <c r="E14" s="26">
        <f>'New Formula with HB25-1320'!E14</f>
        <v>0</v>
      </c>
      <c r="F14" s="26">
        <f>'New Formula with HB25-1320'!F14</f>
        <v>2</v>
      </c>
      <c r="G14" s="26">
        <f>'New Formula with HB25-1320'!G14</f>
        <v>0</v>
      </c>
      <c r="H14" s="26">
        <f>'New Formula with HB25-1320'!H14</f>
        <v>0</v>
      </c>
      <c r="I14" s="26">
        <f>'New Formula with HB25-1320'!I14</f>
        <v>1</v>
      </c>
      <c r="J14" s="26">
        <f>'New Formula with HB25-1320'!J14</f>
        <v>0</v>
      </c>
      <c r="K14" s="26">
        <f>'New Formula with HB25-1320'!K14</f>
        <v>0</v>
      </c>
      <c r="L14" s="26">
        <f>'New Formula with HB25-1320'!L14</f>
        <v>0</v>
      </c>
      <c r="M14" s="26">
        <f>'New Formula with HB25-1320'!M14</f>
        <v>0</v>
      </c>
      <c r="N14" s="26">
        <f>'New Formula with HB25-1320'!N14</f>
        <v>5</v>
      </c>
      <c r="O14" s="26">
        <f>'New Formula with HB25-1320'!O14</f>
        <v>2</v>
      </c>
      <c r="P14" s="26">
        <f>'New Formula with HB25-1320'!P14</f>
        <v>0</v>
      </c>
      <c r="Q14" s="26">
        <f>'New Formula with HB25-1320'!Q14</f>
        <v>5.5</v>
      </c>
      <c r="R14" s="26">
        <f>'New Formula with HB25-1320'!R14</f>
        <v>0</v>
      </c>
      <c r="S14" s="26">
        <f>'New Formula with HB25-1320'!S14</f>
        <v>0</v>
      </c>
      <c r="T14" s="26">
        <f>'New Formula with HB25-1320'!T14</f>
        <v>0</v>
      </c>
      <c r="U14" s="26">
        <f>'New Formula with HB25-1320'!U14</f>
        <v>0</v>
      </c>
      <c r="V14" s="26">
        <f>'New Formula with HB25-1320'!V14</f>
        <v>0</v>
      </c>
      <c r="W14" s="26">
        <f>'New Formula with HB25-1320'!W14</f>
        <v>0</v>
      </c>
      <c r="X14" s="26">
        <f>'New Formula with HB25-1320'!X14</f>
        <v>0</v>
      </c>
      <c r="Y14" s="26">
        <f>'New Formula with HB25-1320'!Y14</f>
        <v>0</v>
      </c>
      <c r="Z14" s="26">
        <f>'New Formula with HB25-1320'!Z14</f>
        <v>0</v>
      </c>
      <c r="AA14" s="26">
        <f>'New Formula with HB25-1320'!AA14</f>
        <v>3.5</v>
      </c>
      <c r="AB14" s="26">
        <f>'New Formula with HB25-1320'!AB14</f>
        <v>1</v>
      </c>
      <c r="AC14" s="26">
        <f>'New Formula with HB25-1320'!AC14</f>
        <v>0</v>
      </c>
      <c r="AD14" s="26">
        <f>'New Formula with HB25-1320'!AD14</f>
        <v>0</v>
      </c>
      <c r="AE14" s="26">
        <f>'New Formula with HB25-1320'!AE14</f>
        <v>0</v>
      </c>
      <c r="AF14" s="26">
        <f>'New Formula with HB25-1320'!AF14</f>
        <v>0</v>
      </c>
      <c r="AG14" s="26">
        <f>'New Formula with HB25-1320'!AG14</f>
        <v>0</v>
      </c>
      <c r="AH14" s="26">
        <f>'New Formula with HB25-1320'!AH14</f>
        <v>0</v>
      </c>
      <c r="AI14" s="26">
        <f>'New Formula with HB25-1320'!AI14</f>
        <v>0</v>
      </c>
      <c r="AJ14" s="26">
        <f>'New Formula with HB25-1320'!AJ14</f>
        <v>0</v>
      </c>
      <c r="AK14" s="26">
        <f>'New Formula with HB25-1320'!AK14</f>
        <v>0</v>
      </c>
      <c r="AL14" s="26">
        <f>'New Formula with HB25-1320'!AL14</f>
        <v>0</v>
      </c>
      <c r="AM14" s="26">
        <f>'New Formula with HB25-1320'!AM14</f>
        <v>0</v>
      </c>
      <c r="AN14" s="26">
        <f>'New Formula with HB25-1320'!AN14</f>
        <v>0</v>
      </c>
      <c r="AO14" s="26">
        <f>'New Formula with HB25-1320'!AO14</f>
        <v>0</v>
      </c>
      <c r="AP14" s="26">
        <f>'New Formula with HB25-1320'!AP14</f>
        <v>7</v>
      </c>
      <c r="AQ14" s="26">
        <f>'New Formula with HB25-1320'!AQ14</f>
        <v>0.5</v>
      </c>
      <c r="AR14" s="26">
        <f>'New Formula with HB25-1320'!AR14</f>
        <v>2</v>
      </c>
      <c r="AS14" s="26">
        <f>'New Formula with HB25-1320'!AS14</f>
        <v>0</v>
      </c>
      <c r="AT14" s="26">
        <f>'New Formula with HB25-1320'!AT14</f>
        <v>1</v>
      </c>
      <c r="AU14" s="26">
        <f>'New Formula with HB25-1320'!AU14</f>
        <v>0</v>
      </c>
      <c r="AV14" s="26">
        <f>'New Formula with HB25-1320'!AV14</f>
        <v>0</v>
      </c>
      <c r="AW14" s="26">
        <f>'New Formula with HB25-1320'!AW14</f>
        <v>0</v>
      </c>
      <c r="AX14" s="26">
        <f>'New Formula with HB25-1320'!AX14</f>
        <v>0</v>
      </c>
      <c r="AY14" s="26">
        <f>'New Formula with HB25-1320'!AY14</f>
        <v>0</v>
      </c>
      <c r="AZ14" s="26">
        <f>'New Formula with HB25-1320'!AZ14</f>
        <v>0</v>
      </c>
      <c r="BA14" s="26">
        <f>'New Formula with HB25-1320'!BA14</f>
        <v>0</v>
      </c>
      <c r="BB14" s="26">
        <f>'New Formula with HB25-1320'!BB14</f>
        <v>0</v>
      </c>
      <c r="BC14" s="26">
        <f>'New Formula with HB25-1320'!BC14</f>
        <v>4</v>
      </c>
      <c r="BD14" s="26">
        <f>'New Formula with HB25-1320'!BD14</f>
        <v>0</v>
      </c>
      <c r="BE14" s="26">
        <f>'New Formula with HB25-1320'!BE14</f>
        <v>0</v>
      </c>
      <c r="BF14" s="26">
        <f>'New Formula with HB25-1320'!BF14</f>
        <v>0</v>
      </c>
      <c r="BG14" s="26">
        <f>'New Formula with HB25-1320'!BG14</f>
        <v>0</v>
      </c>
      <c r="BH14" s="26">
        <f>'New Formula with HB25-1320'!BH14</f>
        <v>0</v>
      </c>
      <c r="BI14" s="26">
        <f>'New Formula with HB25-1320'!BI14</f>
        <v>0</v>
      </c>
      <c r="BJ14" s="26">
        <f>'New Formula with HB25-1320'!BJ14</f>
        <v>0</v>
      </c>
      <c r="BK14" s="26">
        <f>'New Formula with HB25-1320'!BK14</f>
        <v>2.5</v>
      </c>
      <c r="BL14" s="26">
        <f>'New Formula with HB25-1320'!BL14</f>
        <v>1.5</v>
      </c>
      <c r="BM14" s="26">
        <f>'New Formula with HB25-1320'!BM14</f>
        <v>0</v>
      </c>
      <c r="BN14" s="26">
        <f>'New Formula with HB25-1320'!BN14</f>
        <v>3</v>
      </c>
      <c r="BO14" s="26">
        <f>'New Formula with HB25-1320'!BO14</f>
        <v>0</v>
      </c>
      <c r="BP14" s="26">
        <f>'New Formula with HB25-1320'!BP14</f>
        <v>0</v>
      </c>
      <c r="BQ14" s="26">
        <f>'New Formula with HB25-1320'!BQ14</f>
        <v>0.5</v>
      </c>
      <c r="BR14" s="26">
        <f>'New Formula with HB25-1320'!BR14</f>
        <v>0</v>
      </c>
      <c r="BS14" s="26">
        <f>'New Formula with HB25-1320'!BS14</f>
        <v>0</v>
      </c>
      <c r="BT14" s="26">
        <f>'New Formula with HB25-1320'!BT14</f>
        <v>0</v>
      </c>
      <c r="BU14" s="26">
        <f>'New Formula with HB25-1320'!BU14</f>
        <v>0</v>
      </c>
      <c r="BV14" s="26">
        <f>'New Formula with HB25-1320'!BV14</f>
        <v>0</v>
      </c>
      <c r="BW14" s="26">
        <f>'New Formula with HB25-1320'!BW14</f>
        <v>0</v>
      </c>
      <c r="BX14" s="26">
        <f>'New Formula with HB25-1320'!BX14</f>
        <v>0</v>
      </c>
      <c r="BY14" s="26">
        <f>'New Formula with HB25-1320'!BY14</f>
        <v>3</v>
      </c>
      <c r="BZ14" s="26">
        <f>'New Formula with HB25-1320'!BZ14</f>
        <v>0</v>
      </c>
      <c r="CA14" s="26">
        <f>'New Formula with HB25-1320'!CA14</f>
        <v>0</v>
      </c>
      <c r="CB14" s="26">
        <f>'New Formula with HB25-1320'!CB14</f>
        <v>1.5</v>
      </c>
      <c r="CC14" s="26">
        <f>'New Formula with HB25-1320'!CC14</f>
        <v>0</v>
      </c>
      <c r="CD14" s="26">
        <f>'New Formula with HB25-1320'!CD14</f>
        <v>0</v>
      </c>
      <c r="CE14" s="26">
        <f>'New Formula with HB25-1320'!CE14</f>
        <v>0</v>
      </c>
      <c r="CF14" s="26">
        <f>'New Formula with HB25-1320'!CF14</f>
        <v>0</v>
      </c>
      <c r="CG14" s="26">
        <f>'New Formula with HB25-1320'!CG14</f>
        <v>0</v>
      </c>
      <c r="CH14" s="26">
        <f>'New Formula with HB25-1320'!CH14</f>
        <v>0</v>
      </c>
      <c r="CI14" s="26">
        <f>'New Formula with HB25-1320'!CI14</f>
        <v>0</v>
      </c>
      <c r="CJ14" s="26">
        <f>'New Formula with HB25-1320'!CJ14</f>
        <v>1</v>
      </c>
      <c r="CK14" s="26">
        <f>'New Formula with HB25-1320'!CK14</f>
        <v>0</v>
      </c>
      <c r="CL14" s="26">
        <f>'New Formula with HB25-1320'!CL14</f>
        <v>0</v>
      </c>
      <c r="CM14" s="26">
        <f>'New Formula with HB25-1320'!CM14</f>
        <v>0</v>
      </c>
      <c r="CN14" s="26">
        <f>'New Formula with HB25-1320'!CN14</f>
        <v>5</v>
      </c>
      <c r="CO14" s="26">
        <f>'New Formula with HB25-1320'!CO14</f>
        <v>2</v>
      </c>
      <c r="CP14" s="26">
        <f>'New Formula with HB25-1320'!CP14</f>
        <v>0</v>
      </c>
      <c r="CQ14" s="26">
        <f>'New Formula with HB25-1320'!CQ14</f>
        <v>0</v>
      </c>
      <c r="CR14" s="26">
        <f>'New Formula with HB25-1320'!CR14</f>
        <v>0</v>
      </c>
      <c r="CS14" s="26">
        <f>'New Formula with HB25-1320'!CS14</f>
        <v>0</v>
      </c>
      <c r="CT14" s="26">
        <f>'New Formula with HB25-1320'!CT14</f>
        <v>0</v>
      </c>
      <c r="CU14" s="26">
        <f>'New Formula with HB25-1320'!CU14</f>
        <v>0</v>
      </c>
      <c r="CV14" s="26">
        <f>'New Formula with HB25-1320'!CV14</f>
        <v>0</v>
      </c>
      <c r="CW14" s="26">
        <f>'New Formula with HB25-1320'!CW14</f>
        <v>0</v>
      </c>
      <c r="CX14" s="26">
        <f>'New Formula with HB25-1320'!CX14</f>
        <v>0</v>
      </c>
      <c r="CY14" s="26">
        <f>'New Formula with HB25-1320'!CY14</f>
        <v>0</v>
      </c>
      <c r="CZ14" s="26">
        <f>'New Formula with HB25-1320'!CZ14</f>
        <v>0</v>
      </c>
      <c r="DA14" s="26">
        <f>'New Formula with HB25-1320'!DA14</f>
        <v>0</v>
      </c>
      <c r="DB14" s="26">
        <f>'New Formula with HB25-1320'!DB14</f>
        <v>0</v>
      </c>
      <c r="DC14" s="26">
        <f>'New Formula with HB25-1320'!DC14</f>
        <v>0</v>
      </c>
      <c r="DD14" s="26">
        <f>'New Formula with HB25-1320'!DD14</f>
        <v>0</v>
      </c>
      <c r="DE14" s="26">
        <f>'New Formula with HB25-1320'!DE14</f>
        <v>0</v>
      </c>
      <c r="DF14" s="26">
        <f>'New Formula with HB25-1320'!DF14</f>
        <v>4</v>
      </c>
      <c r="DG14" s="26">
        <f>'New Formula with HB25-1320'!DG14</f>
        <v>0</v>
      </c>
      <c r="DH14" s="26">
        <f>'New Formula with HB25-1320'!DH14</f>
        <v>0</v>
      </c>
      <c r="DI14" s="26">
        <f>'New Formula with HB25-1320'!DI14</f>
        <v>0</v>
      </c>
      <c r="DJ14" s="26">
        <f>'New Formula with HB25-1320'!DJ14</f>
        <v>0</v>
      </c>
      <c r="DK14" s="26">
        <f>'New Formula with HB25-1320'!DK14</f>
        <v>0</v>
      </c>
      <c r="DL14" s="26">
        <f>'New Formula with HB25-1320'!DL14</f>
        <v>0</v>
      </c>
      <c r="DM14" s="26">
        <f>'New Formula with HB25-1320'!DM14</f>
        <v>0</v>
      </c>
      <c r="DN14" s="26">
        <f>'New Formula with HB25-1320'!DN14</f>
        <v>0</v>
      </c>
      <c r="DO14" s="26">
        <f>'New Formula with HB25-1320'!DO14</f>
        <v>1</v>
      </c>
      <c r="DP14" s="26">
        <f>'New Formula with HB25-1320'!DP14</f>
        <v>0</v>
      </c>
      <c r="DQ14" s="26">
        <f>'New Formula with HB25-1320'!DQ14</f>
        <v>0</v>
      </c>
      <c r="DR14" s="26">
        <f>'New Formula with HB25-1320'!DR14</f>
        <v>0</v>
      </c>
      <c r="DS14" s="26">
        <f>'New Formula with HB25-1320'!DS14</f>
        <v>0</v>
      </c>
      <c r="DT14" s="26">
        <f>'New Formula with HB25-1320'!DT14</f>
        <v>0</v>
      </c>
      <c r="DU14" s="26">
        <f>'New Formula with HB25-1320'!DU14</f>
        <v>0</v>
      </c>
      <c r="DV14" s="26">
        <f>'New Formula with HB25-1320'!DV14</f>
        <v>0</v>
      </c>
      <c r="DW14" s="26">
        <f>'New Formula with HB25-1320'!DW14</f>
        <v>0</v>
      </c>
      <c r="DX14" s="26">
        <f>'New Formula with HB25-1320'!DX14</f>
        <v>0</v>
      </c>
      <c r="DY14" s="26">
        <f>'New Formula with HB25-1320'!DY14</f>
        <v>0</v>
      </c>
      <c r="DZ14" s="26">
        <f>'New Formula with HB25-1320'!DZ14</f>
        <v>0</v>
      </c>
      <c r="EA14" s="26">
        <f>'New Formula with HB25-1320'!EA14</f>
        <v>0</v>
      </c>
      <c r="EB14" s="26">
        <f>'New Formula with HB25-1320'!EB14</f>
        <v>0</v>
      </c>
      <c r="EC14" s="26">
        <f>'New Formula with HB25-1320'!EC14</f>
        <v>0</v>
      </c>
      <c r="ED14" s="26">
        <f>'New Formula with HB25-1320'!ED14</f>
        <v>0</v>
      </c>
      <c r="EE14" s="26">
        <f>'New Formula with HB25-1320'!EE14</f>
        <v>0</v>
      </c>
      <c r="EF14" s="26">
        <f>'New Formula with HB25-1320'!EF14</f>
        <v>0</v>
      </c>
      <c r="EG14" s="26">
        <f>'New Formula with HB25-1320'!EG14</f>
        <v>0</v>
      </c>
      <c r="EH14" s="26">
        <f>'New Formula with HB25-1320'!EH14</f>
        <v>0</v>
      </c>
      <c r="EI14" s="26">
        <f>'New Formula with HB25-1320'!EI14</f>
        <v>1</v>
      </c>
      <c r="EJ14" s="26">
        <f>'New Formula with HB25-1320'!EJ14</f>
        <v>1</v>
      </c>
      <c r="EK14" s="26">
        <f>'New Formula with HB25-1320'!EK14</f>
        <v>0</v>
      </c>
      <c r="EL14" s="26">
        <f>'New Formula with HB25-1320'!EL14</f>
        <v>0</v>
      </c>
      <c r="EM14" s="26">
        <f>'New Formula with HB25-1320'!EM14</f>
        <v>0</v>
      </c>
      <c r="EN14" s="26">
        <f>'New Formula with HB25-1320'!EN14</f>
        <v>0</v>
      </c>
      <c r="EO14" s="26">
        <f>'New Formula with HB25-1320'!EO14</f>
        <v>0</v>
      </c>
      <c r="EP14" s="26">
        <f>'New Formula with HB25-1320'!EP14</f>
        <v>0</v>
      </c>
      <c r="EQ14" s="26">
        <f>'New Formula with HB25-1320'!EQ14</f>
        <v>0</v>
      </c>
      <c r="ER14" s="26">
        <f>'New Formula with HB25-1320'!ER14</f>
        <v>0</v>
      </c>
      <c r="ES14" s="26">
        <f>'New Formula with HB25-1320'!ES14</f>
        <v>0</v>
      </c>
      <c r="ET14" s="26">
        <f>'New Formula with HB25-1320'!ET14</f>
        <v>0</v>
      </c>
      <c r="EU14" s="26">
        <f>'New Formula with HB25-1320'!EU14</f>
        <v>0</v>
      </c>
      <c r="EV14" s="26">
        <f>'New Formula with HB25-1320'!EV14</f>
        <v>0</v>
      </c>
      <c r="EW14" s="26">
        <f>'New Formula with HB25-1320'!EW14</f>
        <v>0</v>
      </c>
      <c r="EX14" s="26">
        <f>'New Formula with HB25-1320'!EX14</f>
        <v>0</v>
      </c>
      <c r="EY14" s="26">
        <f>'New Formula with HB25-1320'!EY14</f>
        <v>0</v>
      </c>
      <c r="EZ14" s="26">
        <f>'New Formula with HB25-1320'!EZ14</f>
        <v>0</v>
      </c>
      <c r="FA14" s="26">
        <f>'New Formula with HB25-1320'!FA14</f>
        <v>0</v>
      </c>
      <c r="FB14" s="26">
        <f>'New Formula with HB25-1320'!FB14</f>
        <v>0</v>
      </c>
      <c r="FC14" s="26">
        <f>'New Formula with HB25-1320'!FC14</f>
        <v>0</v>
      </c>
      <c r="FD14" s="26">
        <f>'New Formula with HB25-1320'!FD14</f>
        <v>0</v>
      </c>
      <c r="FE14" s="26">
        <f>'New Formula with HB25-1320'!FE14</f>
        <v>0</v>
      </c>
      <c r="FF14" s="26">
        <f>'New Formula with HB25-1320'!FF14</f>
        <v>0</v>
      </c>
      <c r="FG14" s="26">
        <f>'New Formula with HB25-1320'!FG14</f>
        <v>0</v>
      </c>
      <c r="FH14" s="26">
        <f>'New Formula with HB25-1320'!FH14</f>
        <v>0</v>
      </c>
      <c r="FI14" s="26">
        <f>'New Formula with HB25-1320'!FI14</f>
        <v>0</v>
      </c>
      <c r="FJ14" s="26">
        <f>'New Formula with HB25-1320'!FJ14</f>
        <v>0</v>
      </c>
      <c r="FK14" s="26">
        <f>'New Formula with HB25-1320'!FK14</f>
        <v>0</v>
      </c>
      <c r="FL14" s="26">
        <f>'New Formula with HB25-1320'!FL14</f>
        <v>0</v>
      </c>
      <c r="FM14" s="26">
        <f>'New Formula with HB25-1320'!FM14</f>
        <v>0</v>
      </c>
      <c r="FN14" s="26">
        <f>'New Formula with HB25-1320'!FN14</f>
        <v>0</v>
      </c>
      <c r="FO14" s="26">
        <f>'New Formula with HB25-1320'!FO14</f>
        <v>0</v>
      </c>
      <c r="FP14" s="26">
        <f>'New Formula with HB25-1320'!FP14</f>
        <v>0</v>
      </c>
      <c r="FQ14" s="26">
        <f>'New Formula with HB25-1320'!FQ14</f>
        <v>0</v>
      </c>
      <c r="FR14" s="26">
        <f>'New Formula with HB25-1320'!FR14</f>
        <v>0</v>
      </c>
      <c r="FS14" s="26">
        <f>'New Formula with HB25-1320'!FS14</f>
        <v>0</v>
      </c>
      <c r="FT14" s="26">
        <f>'New Formula with HB25-1320'!FT14</f>
        <v>0</v>
      </c>
      <c r="FU14" s="26">
        <f>'New Formula with HB25-1320'!FU14</f>
        <v>0</v>
      </c>
      <c r="FV14" s="26">
        <f>'New Formula with HB25-1320'!FV14</f>
        <v>0</v>
      </c>
      <c r="FW14" s="26">
        <f>'New Formula with HB25-1320'!FW14</f>
        <v>0</v>
      </c>
      <c r="FX14" s="26">
        <f>'New Formula with HB25-1320'!FX14</f>
        <v>0</v>
      </c>
      <c r="FY14" s="29">
        <v>0</v>
      </c>
      <c r="FZ14" s="23">
        <f t="shared" ref="FZ14:FZ15" si="2">SUM(C14:FY14)</f>
        <v>63</v>
      </c>
      <c r="GA14" s="23"/>
      <c r="GB14" s="23"/>
      <c r="GC14" s="23"/>
      <c r="GD14" s="23"/>
      <c r="GE14" s="7"/>
      <c r="GF14" s="7"/>
      <c r="GG14" s="7"/>
      <c r="GH14" s="7"/>
      <c r="GI14" s="7"/>
      <c r="GJ14" s="7"/>
      <c r="GK14" s="7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</row>
    <row r="15" spans="1:207" ht="15" customHeight="1" x14ac:dyDescent="0.35">
      <c r="A15" s="12" t="s">
        <v>751</v>
      </c>
      <c r="B15" s="7" t="s">
        <v>462</v>
      </c>
      <c r="C15" s="27">
        <f>'New Formula with HB25-1320'!C15</f>
        <v>4</v>
      </c>
      <c r="D15" s="26">
        <f>'New Formula with HB25-1320'!D15</f>
        <v>58</v>
      </c>
      <c r="E15" s="26">
        <f>'New Formula with HB25-1320'!E15</f>
        <v>11</v>
      </c>
      <c r="F15" s="26">
        <f>'New Formula with HB25-1320'!F15</f>
        <v>11</v>
      </c>
      <c r="G15" s="26">
        <f>'New Formula with HB25-1320'!G15</f>
        <v>1</v>
      </c>
      <c r="H15" s="26">
        <f>'New Formula with HB25-1320'!H15</f>
        <v>1</v>
      </c>
      <c r="I15" s="26">
        <f>'New Formula with HB25-1320'!I15</f>
        <v>9</v>
      </c>
      <c r="J15" s="26">
        <f>'New Formula with HB25-1320'!J15</f>
        <v>0</v>
      </c>
      <c r="K15" s="26">
        <f>'New Formula with HB25-1320'!K15</f>
        <v>0</v>
      </c>
      <c r="L15" s="26">
        <f>'New Formula with HB25-1320'!L15</f>
        <v>23</v>
      </c>
      <c r="M15" s="26">
        <f>'New Formula with HB25-1320'!M15</f>
        <v>14</v>
      </c>
      <c r="N15" s="26">
        <f>'New Formula with HB25-1320'!N15</f>
        <v>159.5</v>
      </c>
      <c r="O15" s="26">
        <f>'New Formula with HB25-1320'!O15</f>
        <v>98</v>
      </c>
      <c r="P15" s="26">
        <f>'New Formula with HB25-1320'!P15</f>
        <v>0</v>
      </c>
      <c r="Q15" s="26">
        <f>'New Formula with HB25-1320'!Q15</f>
        <v>209</v>
      </c>
      <c r="R15" s="26">
        <f>'New Formula with HB25-1320'!R15</f>
        <v>1</v>
      </c>
      <c r="S15" s="26">
        <f>'New Formula with HB25-1320'!S15</f>
        <v>0</v>
      </c>
      <c r="T15" s="26">
        <f>'New Formula with HB25-1320'!T15</f>
        <v>0</v>
      </c>
      <c r="U15" s="26">
        <f>'New Formula with HB25-1320'!U15</f>
        <v>0</v>
      </c>
      <c r="V15" s="26">
        <f>'New Formula with HB25-1320'!V15</f>
        <v>0</v>
      </c>
      <c r="W15" s="26">
        <f>'New Formula with HB25-1320'!W15</f>
        <v>1</v>
      </c>
      <c r="X15" s="26">
        <f>'New Formula with HB25-1320'!X15</f>
        <v>0</v>
      </c>
      <c r="Y15" s="26">
        <f>'New Formula with HB25-1320'!Y15</f>
        <v>0</v>
      </c>
      <c r="Z15" s="26">
        <f>'New Formula with HB25-1320'!Z15</f>
        <v>0</v>
      </c>
      <c r="AA15" s="26">
        <f>'New Formula with HB25-1320'!AA15</f>
        <v>37</v>
      </c>
      <c r="AB15" s="26">
        <f>'New Formula with HB25-1320'!AB15</f>
        <v>46.5</v>
      </c>
      <c r="AC15" s="26">
        <f>'New Formula with HB25-1320'!AC15</f>
        <v>0</v>
      </c>
      <c r="AD15" s="26">
        <f>'New Formula with HB25-1320'!AD15</f>
        <v>6.5</v>
      </c>
      <c r="AE15" s="26">
        <f>'New Formula with HB25-1320'!AE15</f>
        <v>0</v>
      </c>
      <c r="AF15" s="26">
        <f>'New Formula with HB25-1320'!AF15</f>
        <v>0</v>
      </c>
      <c r="AG15" s="26">
        <f>'New Formula with HB25-1320'!AG15</f>
        <v>0</v>
      </c>
      <c r="AH15" s="26">
        <f>'New Formula with HB25-1320'!AH15</f>
        <v>0</v>
      </c>
      <c r="AI15" s="26">
        <f>'New Formula with HB25-1320'!AI15</f>
        <v>0</v>
      </c>
      <c r="AJ15" s="26">
        <f>'New Formula with HB25-1320'!AJ15</f>
        <v>0</v>
      </c>
      <c r="AK15" s="26">
        <f>'New Formula with HB25-1320'!AK15</f>
        <v>0</v>
      </c>
      <c r="AL15" s="26">
        <f>'New Formula with HB25-1320'!AL15</f>
        <v>0</v>
      </c>
      <c r="AM15" s="26">
        <f>'New Formula with HB25-1320'!AM15</f>
        <v>0</v>
      </c>
      <c r="AN15" s="26">
        <f>'New Formula with HB25-1320'!AN15</f>
        <v>1</v>
      </c>
      <c r="AO15" s="26">
        <f>'New Formula with HB25-1320'!AO15</f>
        <v>0</v>
      </c>
      <c r="AP15" s="26">
        <f>'New Formula with HB25-1320'!AP15</f>
        <v>191</v>
      </c>
      <c r="AQ15" s="26">
        <f>'New Formula with HB25-1320'!AQ15</f>
        <v>0</v>
      </c>
      <c r="AR15" s="26">
        <f>'New Formula with HB25-1320'!AR15</f>
        <v>155</v>
      </c>
      <c r="AS15" s="26">
        <f>'New Formula with HB25-1320'!AS15</f>
        <v>16</v>
      </c>
      <c r="AT15" s="26">
        <f>'New Formula with HB25-1320'!AT15</f>
        <v>3</v>
      </c>
      <c r="AU15" s="26">
        <f>'New Formula with HB25-1320'!AU15</f>
        <v>0</v>
      </c>
      <c r="AV15" s="26">
        <f>'New Formula with HB25-1320'!AV15</f>
        <v>0</v>
      </c>
      <c r="AW15" s="26">
        <f>'New Formula with HB25-1320'!AW15</f>
        <v>2</v>
      </c>
      <c r="AX15" s="26">
        <f>'New Formula with HB25-1320'!AX15</f>
        <v>0</v>
      </c>
      <c r="AY15" s="26">
        <f>'New Formula with HB25-1320'!AY15</f>
        <v>0</v>
      </c>
      <c r="AZ15" s="26">
        <f>'New Formula with HB25-1320'!AZ15</f>
        <v>1</v>
      </c>
      <c r="BA15" s="26">
        <f>'New Formula with HB25-1320'!BA15</f>
        <v>0.5</v>
      </c>
      <c r="BB15" s="26">
        <f>'New Formula with HB25-1320'!BB15</f>
        <v>9</v>
      </c>
      <c r="BC15" s="26">
        <f>'New Formula with HB25-1320'!BC15</f>
        <v>30</v>
      </c>
      <c r="BD15" s="26">
        <f>'New Formula with HB25-1320'!BD15</f>
        <v>4</v>
      </c>
      <c r="BE15" s="26">
        <f>'New Formula with HB25-1320'!BE15</f>
        <v>0</v>
      </c>
      <c r="BF15" s="26">
        <f>'New Formula with HB25-1320'!BF15</f>
        <v>31.5</v>
      </c>
      <c r="BG15" s="26">
        <f>'New Formula with HB25-1320'!BG15</f>
        <v>0</v>
      </c>
      <c r="BH15" s="26">
        <f>'New Formula with HB25-1320'!BH15</f>
        <v>12</v>
      </c>
      <c r="BI15" s="26">
        <f>'New Formula with HB25-1320'!BI15</f>
        <v>0</v>
      </c>
      <c r="BJ15" s="26">
        <f>'New Formula with HB25-1320'!BJ15</f>
        <v>15.5</v>
      </c>
      <c r="BK15" s="26">
        <f>'New Formula with HB25-1320'!BK15</f>
        <v>83</v>
      </c>
      <c r="BL15" s="26">
        <f>'New Formula with HB25-1320'!BL15</f>
        <v>2.5</v>
      </c>
      <c r="BM15" s="26">
        <f>'New Formula with HB25-1320'!BM15</f>
        <v>18.5</v>
      </c>
      <c r="BN15" s="26">
        <f>'New Formula with HB25-1320'!BN15</f>
        <v>33.5</v>
      </c>
      <c r="BO15" s="26">
        <f>'New Formula with HB25-1320'!BO15</f>
        <v>3</v>
      </c>
      <c r="BP15" s="26">
        <f>'New Formula with HB25-1320'!BP15</f>
        <v>0</v>
      </c>
      <c r="BQ15" s="26">
        <f>'New Formula with HB25-1320'!BQ15</f>
        <v>2</v>
      </c>
      <c r="BR15" s="26">
        <f>'New Formula with HB25-1320'!BR15</f>
        <v>0</v>
      </c>
      <c r="BS15" s="26">
        <f>'New Formula with HB25-1320'!BS15</f>
        <v>0</v>
      </c>
      <c r="BT15" s="26">
        <f>'New Formula with HB25-1320'!BT15</f>
        <v>0</v>
      </c>
      <c r="BU15" s="26">
        <f>'New Formula with HB25-1320'!BU15</f>
        <v>0</v>
      </c>
      <c r="BV15" s="26">
        <f>'New Formula with HB25-1320'!BV15</f>
        <v>0</v>
      </c>
      <c r="BW15" s="26">
        <f>'New Formula with HB25-1320'!BW15</f>
        <v>0</v>
      </c>
      <c r="BX15" s="26">
        <f>'New Formula with HB25-1320'!BX15</f>
        <v>0</v>
      </c>
      <c r="BY15" s="26">
        <f>'New Formula with HB25-1320'!BY15</f>
        <v>0</v>
      </c>
      <c r="BZ15" s="26">
        <f>'New Formula with HB25-1320'!BZ15</f>
        <v>0</v>
      </c>
      <c r="CA15" s="26">
        <f>'New Formula with HB25-1320'!CA15</f>
        <v>0</v>
      </c>
      <c r="CB15" s="26">
        <f>'New Formula with HB25-1320'!CB15</f>
        <v>235</v>
      </c>
      <c r="CC15" s="26">
        <f>'New Formula with HB25-1320'!CC15</f>
        <v>0</v>
      </c>
      <c r="CD15" s="26">
        <f>'New Formula with HB25-1320'!CD15</f>
        <v>0</v>
      </c>
      <c r="CE15" s="26">
        <f>'New Formula with HB25-1320'!CE15</f>
        <v>0</v>
      </c>
      <c r="CF15" s="26">
        <f>'New Formula with HB25-1320'!CF15</f>
        <v>0</v>
      </c>
      <c r="CG15" s="26">
        <f>'New Formula with HB25-1320'!CG15</f>
        <v>0</v>
      </c>
      <c r="CH15" s="26">
        <f>'New Formula with HB25-1320'!CH15</f>
        <v>0</v>
      </c>
      <c r="CI15" s="26">
        <f>'New Formula with HB25-1320'!CI15</f>
        <v>0</v>
      </c>
      <c r="CJ15" s="26">
        <f>'New Formula with HB25-1320'!CJ15</f>
        <v>0</v>
      </c>
      <c r="CK15" s="26">
        <f>'New Formula with HB25-1320'!CK15</f>
        <v>0</v>
      </c>
      <c r="CL15" s="26">
        <f>'New Formula with HB25-1320'!CL15</f>
        <v>4</v>
      </c>
      <c r="CM15" s="26">
        <f>'New Formula with HB25-1320'!CM15</f>
        <v>0</v>
      </c>
      <c r="CN15" s="26">
        <f>'New Formula with HB25-1320'!CN15</f>
        <v>232</v>
      </c>
      <c r="CO15" s="26">
        <f>'New Formula with HB25-1320'!CO15</f>
        <v>69.5</v>
      </c>
      <c r="CP15" s="26">
        <f>'New Formula with HB25-1320'!CP15</f>
        <v>3</v>
      </c>
      <c r="CQ15" s="26">
        <f>'New Formula with HB25-1320'!CQ15</f>
        <v>0</v>
      </c>
      <c r="CR15" s="26">
        <f>'New Formula with HB25-1320'!CR15</f>
        <v>0</v>
      </c>
      <c r="CS15" s="26">
        <f>'New Formula with HB25-1320'!CS15</f>
        <v>0</v>
      </c>
      <c r="CT15" s="26">
        <f>'New Formula with HB25-1320'!CT15</f>
        <v>0</v>
      </c>
      <c r="CU15" s="26">
        <f>'New Formula with HB25-1320'!CU15</f>
        <v>2</v>
      </c>
      <c r="CV15" s="26">
        <f>'New Formula with HB25-1320'!CV15</f>
        <v>0</v>
      </c>
      <c r="CW15" s="26">
        <f>'New Formula with HB25-1320'!CW15</f>
        <v>0</v>
      </c>
      <c r="CX15" s="26">
        <f>'New Formula with HB25-1320'!CX15</f>
        <v>0</v>
      </c>
      <c r="CY15" s="26">
        <f>'New Formula with HB25-1320'!CY15</f>
        <v>0</v>
      </c>
      <c r="CZ15" s="26">
        <f>'New Formula with HB25-1320'!CZ15</f>
        <v>0</v>
      </c>
      <c r="DA15" s="26">
        <f>'New Formula with HB25-1320'!DA15</f>
        <v>0</v>
      </c>
      <c r="DB15" s="26">
        <f>'New Formula with HB25-1320'!DB15</f>
        <v>0</v>
      </c>
      <c r="DC15" s="26">
        <f>'New Formula with HB25-1320'!DC15</f>
        <v>0</v>
      </c>
      <c r="DD15" s="26">
        <f>'New Formula with HB25-1320'!DD15</f>
        <v>0</v>
      </c>
      <c r="DE15" s="26">
        <f>'New Formula with HB25-1320'!DE15</f>
        <v>0</v>
      </c>
      <c r="DF15" s="26">
        <f>'New Formula with HB25-1320'!DF15</f>
        <v>18.5</v>
      </c>
      <c r="DG15" s="26">
        <f>'New Formula with HB25-1320'!DG15</f>
        <v>0</v>
      </c>
      <c r="DH15" s="26">
        <f>'New Formula with HB25-1320'!DH15</f>
        <v>0</v>
      </c>
      <c r="DI15" s="26">
        <f>'New Formula with HB25-1320'!DI15</f>
        <v>0</v>
      </c>
      <c r="DJ15" s="26">
        <f>'New Formula with HB25-1320'!DJ15</f>
        <v>0</v>
      </c>
      <c r="DK15" s="26">
        <f>'New Formula with HB25-1320'!DK15</f>
        <v>0</v>
      </c>
      <c r="DL15" s="26">
        <f>'New Formula with HB25-1320'!DL15</f>
        <v>0</v>
      </c>
      <c r="DM15" s="26">
        <f>'New Formula with HB25-1320'!DM15</f>
        <v>0</v>
      </c>
      <c r="DN15" s="26">
        <f>'New Formula with HB25-1320'!DN15</f>
        <v>1</v>
      </c>
      <c r="DO15" s="26">
        <f>'New Formula with HB25-1320'!DO15</f>
        <v>0</v>
      </c>
      <c r="DP15" s="26">
        <f>'New Formula with HB25-1320'!DP15</f>
        <v>0</v>
      </c>
      <c r="DQ15" s="26">
        <f>'New Formula with HB25-1320'!DQ15</f>
        <v>1</v>
      </c>
      <c r="DR15" s="26">
        <f>'New Formula with HB25-1320'!DR15</f>
        <v>0</v>
      </c>
      <c r="DS15" s="26">
        <f>'New Formula with HB25-1320'!DS15</f>
        <v>0</v>
      </c>
      <c r="DT15" s="26">
        <f>'New Formula with HB25-1320'!DT15</f>
        <v>0</v>
      </c>
      <c r="DU15" s="26">
        <f>'New Formula with HB25-1320'!DU15</f>
        <v>0</v>
      </c>
      <c r="DV15" s="26">
        <f>'New Formula with HB25-1320'!DV15</f>
        <v>0</v>
      </c>
      <c r="DW15" s="26">
        <f>'New Formula with HB25-1320'!DW15</f>
        <v>0</v>
      </c>
      <c r="DX15" s="26">
        <f>'New Formula with HB25-1320'!DX15</f>
        <v>0</v>
      </c>
      <c r="DY15" s="26">
        <f>'New Formula with HB25-1320'!DY15</f>
        <v>0</v>
      </c>
      <c r="DZ15" s="26">
        <f>'New Formula with HB25-1320'!DZ15</f>
        <v>1</v>
      </c>
      <c r="EA15" s="26">
        <f>'New Formula with HB25-1320'!EA15</f>
        <v>0</v>
      </c>
      <c r="EB15" s="26">
        <f>'New Formula with HB25-1320'!EB15</f>
        <v>0</v>
      </c>
      <c r="EC15" s="26">
        <f>'New Formula with HB25-1320'!EC15</f>
        <v>0</v>
      </c>
      <c r="ED15" s="26">
        <f>'New Formula with HB25-1320'!ED15</f>
        <v>0</v>
      </c>
      <c r="EE15" s="26">
        <f>'New Formula with HB25-1320'!EE15</f>
        <v>0</v>
      </c>
      <c r="EF15" s="26">
        <f>'New Formula with HB25-1320'!EF15</f>
        <v>2</v>
      </c>
      <c r="EG15" s="26">
        <f>'New Formula with HB25-1320'!EG15</f>
        <v>0</v>
      </c>
      <c r="EH15" s="26">
        <f>'New Formula with HB25-1320'!EH15</f>
        <v>0</v>
      </c>
      <c r="EI15" s="26">
        <f>'New Formula with HB25-1320'!EI15</f>
        <v>24.5</v>
      </c>
      <c r="EJ15" s="26">
        <f>'New Formula with HB25-1320'!EJ15</f>
        <v>26</v>
      </c>
      <c r="EK15" s="26">
        <f>'New Formula with HB25-1320'!EK15</f>
        <v>0</v>
      </c>
      <c r="EL15" s="26">
        <f>'New Formula with HB25-1320'!EL15</f>
        <v>0</v>
      </c>
      <c r="EM15" s="26">
        <f>'New Formula with HB25-1320'!EM15</f>
        <v>0</v>
      </c>
      <c r="EN15" s="26">
        <f>'New Formula with HB25-1320'!EN15</f>
        <v>0</v>
      </c>
      <c r="EO15" s="26">
        <f>'New Formula with HB25-1320'!EO15</f>
        <v>0</v>
      </c>
      <c r="EP15" s="26">
        <f>'New Formula with HB25-1320'!EP15</f>
        <v>0</v>
      </c>
      <c r="EQ15" s="26">
        <f>'New Formula with HB25-1320'!EQ15</f>
        <v>2</v>
      </c>
      <c r="ER15" s="26">
        <f>'New Formula with HB25-1320'!ER15</f>
        <v>2</v>
      </c>
      <c r="ES15" s="26">
        <f>'New Formula with HB25-1320'!ES15</f>
        <v>0</v>
      </c>
      <c r="ET15" s="26">
        <f>'New Formula with HB25-1320'!ET15</f>
        <v>0</v>
      </c>
      <c r="EU15" s="26">
        <f>'New Formula with HB25-1320'!EU15</f>
        <v>0</v>
      </c>
      <c r="EV15" s="26">
        <f>'New Formula with HB25-1320'!EV15</f>
        <v>0</v>
      </c>
      <c r="EW15" s="26">
        <f>'New Formula with HB25-1320'!EW15</f>
        <v>0</v>
      </c>
      <c r="EX15" s="26">
        <f>'New Formula with HB25-1320'!EX15</f>
        <v>0</v>
      </c>
      <c r="EY15" s="26">
        <f>'New Formula with HB25-1320'!EY15</f>
        <v>0</v>
      </c>
      <c r="EZ15" s="26">
        <f>'New Formula with HB25-1320'!EZ15</f>
        <v>0</v>
      </c>
      <c r="FA15" s="26">
        <f>'New Formula with HB25-1320'!FA15</f>
        <v>12</v>
      </c>
      <c r="FB15" s="26">
        <f>'New Formula with HB25-1320'!FB15</f>
        <v>0</v>
      </c>
      <c r="FC15" s="26">
        <f>'New Formula with HB25-1320'!FC15</f>
        <v>4</v>
      </c>
      <c r="FD15" s="26">
        <f>'New Formula with HB25-1320'!FD15</f>
        <v>0</v>
      </c>
      <c r="FE15" s="26">
        <f>'New Formula with HB25-1320'!FE15</f>
        <v>0</v>
      </c>
      <c r="FF15" s="26">
        <f>'New Formula with HB25-1320'!FF15</f>
        <v>0</v>
      </c>
      <c r="FG15" s="26">
        <f>'New Formula with HB25-1320'!FG15</f>
        <v>0</v>
      </c>
      <c r="FH15" s="26">
        <f>'New Formula with HB25-1320'!FH15</f>
        <v>0</v>
      </c>
      <c r="FI15" s="26">
        <f>'New Formula with HB25-1320'!FI15</f>
        <v>0</v>
      </c>
      <c r="FJ15" s="26">
        <f>'New Formula with HB25-1320'!FJ15</f>
        <v>0</v>
      </c>
      <c r="FK15" s="26">
        <f>'New Formula with HB25-1320'!FK15</f>
        <v>0</v>
      </c>
      <c r="FL15" s="26">
        <f>'New Formula with HB25-1320'!FL15</f>
        <v>0</v>
      </c>
      <c r="FM15" s="26">
        <f>'New Formula with HB25-1320'!FM15</f>
        <v>0</v>
      </c>
      <c r="FN15" s="26">
        <f>'New Formula with HB25-1320'!FN15</f>
        <v>15.5</v>
      </c>
      <c r="FO15" s="26">
        <f>'New Formula with HB25-1320'!FO15</f>
        <v>0</v>
      </c>
      <c r="FP15" s="26">
        <f>'New Formula with HB25-1320'!FP15</f>
        <v>0</v>
      </c>
      <c r="FQ15" s="26">
        <f>'New Formula with HB25-1320'!FQ15</f>
        <v>0</v>
      </c>
      <c r="FR15" s="26">
        <f>'New Formula with HB25-1320'!FR15</f>
        <v>0</v>
      </c>
      <c r="FS15" s="26">
        <f>'New Formula with HB25-1320'!FS15</f>
        <v>0</v>
      </c>
      <c r="FT15" s="26">
        <f>'New Formula with HB25-1320'!FT15</f>
        <v>0</v>
      </c>
      <c r="FU15" s="26">
        <f>'New Formula with HB25-1320'!FU15</f>
        <v>0</v>
      </c>
      <c r="FV15" s="26">
        <f>'New Formula with HB25-1320'!FV15</f>
        <v>1</v>
      </c>
      <c r="FW15" s="26">
        <f>'New Formula with HB25-1320'!FW15</f>
        <v>2</v>
      </c>
      <c r="FX15" s="26">
        <f>'New Formula with HB25-1320'!FX15</f>
        <v>0</v>
      </c>
      <c r="FY15" s="29"/>
      <c r="FZ15" s="23">
        <f t="shared" si="2"/>
        <v>1962.5</v>
      </c>
      <c r="GA15" s="23"/>
      <c r="GB15" s="23"/>
      <c r="GC15" s="23"/>
      <c r="GD15" s="23"/>
      <c r="GE15" s="7"/>
      <c r="GF15" s="7"/>
      <c r="GG15" s="7"/>
      <c r="GH15" s="7"/>
      <c r="GI15" s="7"/>
      <c r="GJ15" s="7"/>
      <c r="GK15" s="7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</row>
    <row r="16" spans="1:207" ht="15" customHeight="1" x14ac:dyDescent="0.35">
      <c r="A16" s="12" t="s">
        <v>455</v>
      </c>
      <c r="B16" s="7" t="s">
        <v>464</v>
      </c>
      <c r="C16" s="23">
        <f t="shared" ref="C16:FX16" si="3">ROUND(C11-C12-C13-C15,1)</f>
        <v>6364.5</v>
      </c>
      <c r="D16" s="23">
        <f t="shared" si="3"/>
        <v>32089</v>
      </c>
      <c r="E16" s="23">
        <f t="shared" si="3"/>
        <v>4691</v>
      </c>
      <c r="F16" s="23">
        <f t="shared" si="3"/>
        <v>21462.5</v>
      </c>
      <c r="G16" s="23">
        <f t="shared" si="3"/>
        <v>1844</v>
      </c>
      <c r="H16" s="23">
        <f t="shared" si="3"/>
        <v>1070</v>
      </c>
      <c r="I16" s="23">
        <f t="shared" si="3"/>
        <v>7027</v>
      </c>
      <c r="J16" s="23">
        <f t="shared" si="3"/>
        <v>1988</v>
      </c>
      <c r="K16" s="23">
        <f t="shared" si="3"/>
        <v>248.5</v>
      </c>
      <c r="L16" s="23">
        <f t="shared" si="3"/>
        <v>2062</v>
      </c>
      <c r="M16" s="23">
        <f t="shared" si="3"/>
        <v>839</v>
      </c>
      <c r="N16" s="23">
        <f t="shared" si="3"/>
        <v>49557</v>
      </c>
      <c r="O16" s="23">
        <f t="shared" si="3"/>
        <v>12263.5</v>
      </c>
      <c r="P16" s="23">
        <f t="shared" si="3"/>
        <v>313</v>
      </c>
      <c r="Q16" s="23">
        <f t="shared" si="3"/>
        <v>37352</v>
      </c>
      <c r="R16" s="23">
        <f t="shared" si="3"/>
        <v>481</v>
      </c>
      <c r="S16" s="23">
        <f t="shared" si="3"/>
        <v>1545.5</v>
      </c>
      <c r="T16" s="23">
        <f t="shared" si="3"/>
        <v>160</v>
      </c>
      <c r="U16" s="23">
        <f t="shared" si="3"/>
        <v>54</v>
      </c>
      <c r="V16" s="23">
        <f t="shared" si="3"/>
        <v>253</v>
      </c>
      <c r="W16" s="23">
        <f t="shared" si="3"/>
        <v>46</v>
      </c>
      <c r="X16" s="23">
        <f t="shared" si="3"/>
        <v>37.5</v>
      </c>
      <c r="Y16" s="23">
        <f t="shared" si="3"/>
        <v>397</v>
      </c>
      <c r="Z16" s="23">
        <f t="shared" si="3"/>
        <v>231</v>
      </c>
      <c r="AA16" s="23">
        <f t="shared" si="3"/>
        <v>30254.5</v>
      </c>
      <c r="AB16" s="23">
        <f t="shared" si="3"/>
        <v>26514</v>
      </c>
      <c r="AC16" s="23">
        <f t="shared" si="3"/>
        <v>847.5</v>
      </c>
      <c r="AD16" s="23">
        <f t="shared" si="3"/>
        <v>1281</v>
      </c>
      <c r="AE16" s="23">
        <f t="shared" si="3"/>
        <v>97</v>
      </c>
      <c r="AF16" s="23">
        <f t="shared" si="3"/>
        <v>164</v>
      </c>
      <c r="AG16" s="23">
        <f t="shared" si="3"/>
        <v>585.5</v>
      </c>
      <c r="AH16" s="23">
        <f t="shared" si="3"/>
        <v>908</v>
      </c>
      <c r="AI16" s="23">
        <f t="shared" si="3"/>
        <v>383</v>
      </c>
      <c r="AJ16" s="23">
        <f t="shared" si="3"/>
        <v>181.5</v>
      </c>
      <c r="AK16" s="23">
        <f t="shared" si="3"/>
        <v>162.5</v>
      </c>
      <c r="AL16" s="23">
        <f t="shared" si="3"/>
        <v>288.5</v>
      </c>
      <c r="AM16" s="23">
        <f t="shared" si="3"/>
        <v>306</v>
      </c>
      <c r="AN16" s="23">
        <f t="shared" si="3"/>
        <v>267</v>
      </c>
      <c r="AO16" s="23">
        <f t="shared" si="3"/>
        <v>3681</v>
      </c>
      <c r="AP16" s="23">
        <f t="shared" si="3"/>
        <v>83522.5</v>
      </c>
      <c r="AQ16" s="23">
        <f t="shared" si="3"/>
        <v>251</v>
      </c>
      <c r="AR16" s="23">
        <f t="shared" si="3"/>
        <v>57312</v>
      </c>
      <c r="AS16" s="23">
        <f t="shared" si="3"/>
        <v>5954.5</v>
      </c>
      <c r="AT16" s="23">
        <f t="shared" si="3"/>
        <v>2358</v>
      </c>
      <c r="AU16" s="23">
        <f t="shared" si="3"/>
        <v>268</v>
      </c>
      <c r="AV16" s="23">
        <f t="shared" si="3"/>
        <v>296</v>
      </c>
      <c r="AW16" s="23">
        <f t="shared" si="3"/>
        <v>255</v>
      </c>
      <c r="AX16" s="23">
        <f t="shared" si="3"/>
        <v>81</v>
      </c>
      <c r="AY16" s="23">
        <f t="shared" si="3"/>
        <v>391.5</v>
      </c>
      <c r="AZ16" s="23">
        <f t="shared" si="3"/>
        <v>11778.5</v>
      </c>
      <c r="BA16" s="23">
        <f t="shared" si="3"/>
        <v>8849.5</v>
      </c>
      <c r="BB16" s="23">
        <f t="shared" si="3"/>
        <v>7441</v>
      </c>
      <c r="BC16" s="23">
        <f t="shared" si="3"/>
        <v>20968.5</v>
      </c>
      <c r="BD16" s="23">
        <f t="shared" si="3"/>
        <v>3633.5</v>
      </c>
      <c r="BE16" s="23">
        <f t="shared" si="3"/>
        <v>1092</v>
      </c>
      <c r="BF16" s="23">
        <f t="shared" si="3"/>
        <v>24344</v>
      </c>
      <c r="BG16" s="23">
        <f t="shared" si="3"/>
        <v>919.5</v>
      </c>
      <c r="BH16" s="23">
        <f t="shared" si="3"/>
        <v>534</v>
      </c>
      <c r="BI16" s="23">
        <f t="shared" si="3"/>
        <v>254.5</v>
      </c>
      <c r="BJ16" s="23">
        <f t="shared" si="3"/>
        <v>6294</v>
      </c>
      <c r="BK16" s="23">
        <f t="shared" si="3"/>
        <v>21812.5</v>
      </c>
      <c r="BL16" s="23">
        <f t="shared" si="3"/>
        <v>69.5</v>
      </c>
      <c r="BM16" s="23">
        <f t="shared" si="3"/>
        <v>330.5</v>
      </c>
      <c r="BN16" s="23">
        <f t="shared" si="3"/>
        <v>2993</v>
      </c>
      <c r="BO16" s="23">
        <f t="shared" si="3"/>
        <v>1186</v>
      </c>
      <c r="BP16" s="23">
        <f t="shared" si="3"/>
        <v>137</v>
      </c>
      <c r="BQ16" s="23">
        <f t="shared" si="3"/>
        <v>5582</v>
      </c>
      <c r="BR16" s="23">
        <f t="shared" si="3"/>
        <v>4474.5</v>
      </c>
      <c r="BS16" s="23">
        <f t="shared" si="3"/>
        <v>1158</v>
      </c>
      <c r="BT16" s="23">
        <f t="shared" si="3"/>
        <v>353</v>
      </c>
      <c r="BU16" s="23">
        <f t="shared" si="3"/>
        <v>382</v>
      </c>
      <c r="BV16" s="23">
        <f t="shared" si="3"/>
        <v>1243</v>
      </c>
      <c r="BW16" s="23">
        <f t="shared" si="3"/>
        <v>2017.5</v>
      </c>
      <c r="BX16" s="23">
        <f t="shared" si="3"/>
        <v>57</v>
      </c>
      <c r="BY16" s="23">
        <f t="shared" si="3"/>
        <v>392.5</v>
      </c>
      <c r="BZ16" s="23">
        <f t="shared" si="3"/>
        <v>228</v>
      </c>
      <c r="CA16" s="23">
        <f t="shared" si="3"/>
        <v>141.5</v>
      </c>
      <c r="CB16" s="23">
        <f t="shared" si="3"/>
        <v>70207.5</v>
      </c>
      <c r="CC16" s="23">
        <f t="shared" si="3"/>
        <v>186</v>
      </c>
      <c r="CD16" s="23">
        <f t="shared" si="3"/>
        <v>30</v>
      </c>
      <c r="CE16" s="23">
        <f t="shared" si="3"/>
        <v>158</v>
      </c>
      <c r="CF16" s="23">
        <f t="shared" si="3"/>
        <v>100</v>
      </c>
      <c r="CG16" s="23">
        <f t="shared" si="3"/>
        <v>191</v>
      </c>
      <c r="CH16" s="23">
        <f t="shared" si="3"/>
        <v>90</v>
      </c>
      <c r="CI16" s="23">
        <f t="shared" si="3"/>
        <v>683</v>
      </c>
      <c r="CJ16" s="23">
        <f t="shared" si="3"/>
        <v>822.5</v>
      </c>
      <c r="CK16" s="23">
        <f t="shared" si="3"/>
        <v>4188.5</v>
      </c>
      <c r="CL16" s="23">
        <f t="shared" si="3"/>
        <v>1148</v>
      </c>
      <c r="CM16" s="23">
        <f t="shared" si="3"/>
        <v>675.5</v>
      </c>
      <c r="CN16" s="23">
        <f t="shared" si="3"/>
        <v>27905.5</v>
      </c>
      <c r="CO16" s="23">
        <f t="shared" si="3"/>
        <v>13919.5</v>
      </c>
      <c r="CP16" s="23">
        <f t="shared" si="3"/>
        <v>856.5</v>
      </c>
      <c r="CQ16" s="23">
        <f t="shared" si="3"/>
        <v>759</v>
      </c>
      <c r="CR16" s="23">
        <f t="shared" si="3"/>
        <v>195</v>
      </c>
      <c r="CS16" s="23">
        <f t="shared" si="3"/>
        <v>245.5</v>
      </c>
      <c r="CT16" s="23">
        <f t="shared" si="3"/>
        <v>112</v>
      </c>
      <c r="CU16" s="23">
        <f t="shared" si="3"/>
        <v>67</v>
      </c>
      <c r="CV16" s="23">
        <f t="shared" si="3"/>
        <v>24</v>
      </c>
      <c r="CW16" s="23">
        <f t="shared" si="3"/>
        <v>187</v>
      </c>
      <c r="CX16" s="23">
        <f t="shared" si="3"/>
        <v>457</v>
      </c>
      <c r="CY16" s="23">
        <f t="shared" si="3"/>
        <v>25</v>
      </c>
      <c r="CZ16" s="23">
        <f t="shared" si="3"/>
        <v>1768</v>
      </c>
      <c r="DA16" s="23">
        <f t="shared" si="3"/>
        <v>203.5</v>
      </c>
      <c r="DB16" s="23">
        <f t="shared" si="3"/>
        <v>310.5</v>
      </c>
      <c r="DC16" s="23">
        <f t="shared" si="3"/>
        <v>193</v>
      </c>
      <c r="DD16" s="23">
        <f t="shared" si="3"/>
        <v>174.5</v>
      </c>
      <c r="DE16" s="23">
        <f t="shared" si="3"/>
        <v>279.5</v>
      </c>
      <c r="DF16" s="23">
        <f t="shared" si="3"/>
        <v>18445.5</v>
      </c>
      <c r="DG16" s="23">
        <f t="shared" si="3"/>
        <v>93.5</v>
      </c>
      <c r="DH16" s="23">
        <f t="shared" si="3"/>
        <v>1684</v>
      </c>
      <c r="DI16" s="23">
        <f t="shared" si="3"/>
        <v>2289</v>
      </c>
      <c r="DJ16" s="23">
        <f t="shared" si="3"/>
        <v>600</v>
      </c>
      <c r="DK16" s="23">
        <f t="shared" si="3"/>
        <v>472.5</v>
      </c>
      <c r="DL16" s="23">
        <f t="shared" si="3"/>
        <v>5616</v>
      </c>
      <c r="DM16" s="23">
        <f t="shared" si="3"/>
        <v>235</v>
      </c>
      <c r="DN16" s="23">
        <f t="shared" si="3"/>
        <v>1294.5</v>
      </c>
      <c r="DO16" s="23">
        <f t="shared" si="3"/>
        <v>3290</v>
      </c>
      <c r="DP16" s="23">
        <f t="shared" si="3"/>
        <v>199</v>
      </c>
      <c r="DQ16" s="23">
        <f t="shared" si="3"/>
        <v>887</v>
      </c>
      <c r="DR16" s="23">
        <f t="shared" si="3"/>
        <v>1266</v>
      </c>
      <c r="DS16" s="23">
        <f t="shared" si="3"/>
        <v>545</v>
      </c>
      <c r="DT16" s="23">
        <f t="shared" si="3"/>
        <v>175</v>
      </c>
      <c r="DU16" s="23">
        <f t="shared" si="3"/>
        <v>346</v>
      </c>
      <c r="DV16" s="23">
        <f t="shared" si="3"/>
        <v>198</v>
      </c>
      <c r="DW16" s="23">
        <f t="shared" si="3"/>
        <v>285</v>
      </c>
      <c r="DX16" s="23">
        <f t="shared" si="3"/>
        <v>168</v>
      </c>
      <c r="DY16" s="23">
        <f t="shared" si="3"/>
        <v>280</v>
      </c>
      <c r="DZ16" s="23">
        <f t="shared" si="3"/>
        <v>606.5</v>
      </c>
      <c r="EA16" s="23">
        <f t="shared" si="3"/>
        <v>487.5</v>
      </c>
      <c r="EB16" s="23">
        <f t="shared" si="3"/>
        <v>498</v>
      </c>
      <c r="EC16" s="23">
        <f t="shared" si="3"/>
        <v>260</v>
      </c>
      <c r="ED16" s="23">
        <f t="shared" si="3"/>
        <v>1546.5</v>
      </c>
      <c r="EE16" s="23">
        <f t="shared" si="3"/>
        <v>185.5</v>
      </c>
      <c r="EF16" s="23">
        <f t="shared" si="3"/>
        <v>1260</v>
      </c>
      <c r="EG16" s="23">
        <f t="shared" si="3"/>
        <v>250</v>
      </c>
      <c r="EH16" s="23">
        <f t="shared" si="3"/>
        <v>246</v>
      </c>
      <c r="EI16" s="23">
        <f t="shared" si="3"/>
        <v>13258.5</v>
      </c>
      <c r="EJ16" s="23">
        <f t="shared" si="3"/>
        <v>9752</v>
      </c>
      <c r="EK16" s="23">
        <f t="shared" si="3"/>
        <v>663.5</v>
      </c>
      <c r="EL16" s="23">
        <f t="shared" si="3"/>
        <v>447</v>
      </c>
      <c r="EM16" s="23">
        <f t="shared" si="3"/>
        <v>355</v>
      </c>
      <c r="EN16" s="23">
        <f t="shared" si="3"/>
        <v>876.5</v>
      </c>
      <c r="EO16" s="23">
        <f t="shared" si="3"/>
        <v>287</v>
      </c>
      <c r="EP16" s="23">
        <f t="shared" si="3"/>
        <v>428.5</v>
      </c>
      <c r="EQ16" s="23">
        <f t="shared" si="3"/>
        <v>2405</v>
      </c>
      <c r="ER16" s="23">
        <f t="shared" si="3"/>
        <v>306.5</v>
      </c>
      <c r="ES16" s="23">
        <f t="shared" si="3"/>
        <v>155.5</v>
      </c>
      <c r="ET16" s="23">
        <f t="shared" si="3"/>
        <v>197.5</v>
      </c>
      <c r="EU16" s="23">
        <f t="shared" si="3"/>
        <v>568</v>
      </c>
      <c r="EV16" s="23">
        <f t="shared" si="3"/>
        <v>66</v>
      </c>
      <c r="EW16" s="23">
        <f t="shared" si="3"/>
        <v>746.5</v>
      </c>
      <c r="EX16" s="23">
        <f t="shared" si="3"/>
        <v>173.5</v>
      </c>
      <c r="EY16" s="23">
        <f t="shared" si="3"/>
        <v>201</v>
      </c>
      <c r="EZ16" s="23">
        <f t="shared" si="3"/>
        <v>127</v>
      </c>
      <c r="FA16" s="23">
        <f t="shared" si="3"/>
        <v>3245</v>
      </c>
      <c r="FB16" s="23">
        <f t="shared" si="3"/>
        <v>275.5</v>
      </c>
      <c r="FC16" s="23">
        <f t="shared" si="3"/>
        <v>1640</v>
      </c>
      <c r="FD16" s="23">
        <f t="shared" si="3"/>
        <v>399</v>
      </c>
      <c r="FE16" s="23">
        <f t="shared" si="3"/>
        <v>70</v>
      </c>
      <c r="FF16" s="23">
        <f t="shared" si="3"/>
        <v>175</v>
      </c>
      <c r="FG16" s="23">
        <f t="shared" si="3"/>
        <v>114</v>
      </c>
      <c r="FH16" s="23">
        <f t="shared" si="3"/>
        <v>69</v>
      </c>
      <c r="FI16" s="23">
        <f t="shared" si="3"/>
        <v>1645</v>
      </c>
      <c r="FJ16" s="23">
        <f t="shared" si="3"/>
        <v>2016.5</v>
      </c>
      <c r="FK16" s="23">
        <f t="shared" si="3"/>
        <v>2482</v>
      </c>
      <c r="FL16" s="23">
        <f t="shared" si="3"/>
        <v>8537.5</v>
      </c>
      <c r="FM16" s="23">
        <f t="shared" si="3"/>
        <v>3981.5</v>
      </c>
      <c r="FN16" s="23">
        <f t="shared" si="3"/>
        <v>22420.5</v>
      </c>
      <c r="FO16" s="23">
        <f t="shared" si="3"/>
        <v>1117</v>
      </c>
      <c r="FP16" s="23">
        <f t="shared" si="3"/>
        <v>2341.5</v>
      </c>
      <c r="FQ16" s="23">
        <f t="shared" si="3"/>
        <v>982.5</v>
      </c>
      <c r="FR16" s="23">
        <f t="shared" si="3"/>
        <v>162.5</v>
      </c>
      <c r="FS16" s="23">
        <f t="shared" si="3"/>
        <v>160.5</v>
      </c>
      <c r="FT16" s="23">
        <f t="shared" si="3"/>
        <v>54</v>
      </c>
      <c r="FU16" s="23">
        <f t="shared" si="3"/>
        <v>760</v>
      </c>
      <c r="FV16" s="23">
        <f t="shared" si="3"/>
        <v>692</v>
      </c>
      <c r="FW16" s="23">
        <f t="shared" si="3"/>
        <v>128</v>
      </c>
      <c r="FX16" s="23">
        <f t="shared" si="3"/>
        <v>64</v>
      </c>
      <c r="FY16" s="23"/>
      <c r="FZ16" s="23">
        <f t="shared" ref="FZ16:FZ18" si="4">SUM(C16:FX16)</f>
        <v>782071</v>
      </c>
      <c r="GA16" s="30"/>
      <c r="GB16" s="23">
        <f>FZ16-GA16</f>
        <v>782071</v>
      </c>
      <c r="GC16" s="23"/>
      <c r="GD16" s="23"/>
      <c r="GE16" s="7"/>
      <c r="GF16" s="7"/>
      <c r="GG16" s="7"/>
      <c r="GH16" s="7"/>
      <c r="GI16" s="7"/>
      <c r="GJ16" s="7"/>
      <c r="GK16" s="7"/>
      <c r="GL16" s="31"/>
      <c r="GM16" s="31"/>
    </row>
    <row r="17" spans="1:207" ht="15" customHeight="1" x14ac:dyDescent="0.35">
      <c r="A17" s="12" t="s">
        <v>457</v>
      </c>
      <c r="B17" s="23" t="s">
        <v>466</v>
      </c>
      <c r="C17" s="32">
        <f>'New Formula with HB25-1320'!C17</f>
        <v>2311</v>
      </c>
      <c r="D17" s="32">
        <f>'New Formula with HB25-1320'!D17</f>
        <v>9785</v>
      </c>
      <c r="E17" s="32">
        <f>'New Formula with HB25-1320'!E17</f>
        <v>2809</v>
      </c>
      <c r="F17" s="32">
        <f>'New Formula with HB25-1320'!F17</f>
        <v>3989</v>
      </c>
      <c r="G17" s="32">
        <f>'New Formula with HB25-1320'!G17</f>
        <v>189</v>
      </c>
      <c r="H17" s="32">
        <f>'New Formula with HB25-1320'!H17</f>
        <v>169</v>
      </c>
      <c r="I17" s="32">
        <f>'New Formula with HB25-1320'!I17</f>
        <v>4032</v>
      </c>
      <c r="J17" s="32">
        <f>'New Formula with HB25-1320'!J17</f>
        <v>831</v>
      </c>
      <c r="K17" s="32">
        <f>'New Formula with HB25-1320'!K17</f>
        <v>83</v>
      </c>
      <c r="L17" s="32">
        <f>'New Formula with HB25-1320'!L17</f>
        <v>732</v>
      </c>
      <c r="M17" s="32">
        <f>'New Formula with HB25-1320'!M17</f>
        <v>521</v>
      </c>
      <c r="N17" s="32">
        <f>'New Formula with HB25-1320'!N17</f>
        <v>8671</v>
      </c>
      <c r="O17" s="32">
        <f>'New Formula with HB25-1320'!O17</f>
        <v>1022</v>
      </c>
      <c r="P17" s="32">
        <f>'New Formula with HB25-1320'!P17</f>
        <v>65</v>
      </c>
      <c r="Q17" s="32">
        <f>'New Formula with HB25-1320'!Q17</f>
        <v>17070</v>
      </c>
      <c r="R17" s="32">
        <f>'New Formula with HB25-1320'!R17</f>
        <v>839</v>
      </c>
      <c r="S17" s="32">
        <f>'New Formula with HB25-1320'!S17</f>
        <v>529</v>
      </c>
      <c r="T17" s="32">
        <f>'New Formula with HB25-1320'!T17</f>
        <v>57</v>
      </c>
      <c r="U17" s="32">
        <f>'New Formula with HB25-1320'!U17</f>
        <v>22</v>
      </c>
      <c r="V17" s="32">
        <f>'New Formula with HB25-1320'!V17</f>
        <v>100</v>
      </c>
      <c r="W17" s="32">
        <f>'New Formula with HB25-1320'!W17</f>
        <v>50</v>
      </c>
      <c r="X17" s="32">
        <f>'New Formula with HB25-1320'!X17</f>
        <v>14</v>
      </c>
      <c r="Y17" s="32">
        <f>'New Formula with HB25-1320'!Y17</f>
        <v>276</v>
      </c>
      <c r="Z17" s="32">
        <f>'New Formula with HB25-1320'!Z17</f>
        <v>60</v>
      </c>
      <c r="AA17" s="32">
        <f>'New Formula with HB25-1320'!AA17</f>
        <v>5295</v>
      </c>
      <c r="AB17" s="32">
        <f>'New Formula with HB25-1320'!AB17</f>
        <v>3397</v>
      </c>
      <c r="AC17" s="32">
        <f>'New Formula with HB25-1320'!AC17</f>
        <v>123</v>
      </c>
      <c r="AD17" s="32">
        <f>'New Formula with HB25-1320'!AD17</f>
        <v>283</v>
      </c>
      <c r="AE17" s="32">
        <f>'New Formula with HB25-1320'!AE17</f>
        <v>20</v>
      </c>
      <c r="AF17" s="32">
        <f>'New Formula with HB25-1320'!AF17</f>
        <v>34</v>
      </c>
      <c r="AG17" s="32">
        <f>'New Formula with HB25-1320'!AG17</f>
        <v>74</v>
      </c>
      <c r="AH17" s="32">
        <f>'New Formula with HB25-1320'!AH17</f>
        <v>356</v>
      </c>
      <c r="AI17" s="32">
        <f>'New Formula with HB25-1320'!AI17</f>
        <v>129</v>
      </c>
      <c r="AJ17" s="32">
        <f>'New Formula with HB25-1320'!AJ17</f>
        <v>71</v>
      </c>
      <c r="AK17" s="32">
        <f>'New Formula with HB25-1320'!AK17</f>
        <v>106</v>
      </c>
      <c r="AL17" s="32">
        <f>'New Formula with HB25-1320'!AL17</f>
        <v>109</v>
      </c>
      <c r="AM17" s="32">
        <f>'New Formula with HB25-1320'!AM17</f>
        <v>175</v>
      </c>
      <c r="AN17" s="32">
        <f>'New Formula with HB25-1320'!AN17</f>
        <v>98</v>
      </c>
      <c r="AO17" s="32">
        <f>'New Formula with HB25-1320'!AO17</f>
        <v>1189</v>
      </c>
      <c r="AP17" s="32">
        <f>'New Formula with HB25-1320'!AP17</f>
        <v>30699</v>
      </c>
      <c r="AQ17" s="32">
        <f>'New Formula with HB25-1320'!AQ17</f>
        <v>74</v>
      </c>
      <c r="AR17" s="32">
        <f>'New Formula with HB25-1320'!AR17</f>
        <v>3849</v>
      </c>
      <c r="AS17" s="32">
        <f>'New Formula with HB25-1320'!AS17</f>
        <v>1103</v>
      </c>
      <c r="AT17" s="32">
        <f>'New Formula with HB25-1320'!AT17</f>
        <v>221</v>
      </c>
      <c r="AU17" s="32">
        <f>'New Formula with HB25-1320'!AU17</f>
        <v>48</v>
      </c>
      <c r="AV17" s="32">
        <f>'New Formula with HB25-1320'!AV17</f>
        <v>107</v>
      </c>
      <c r="AW17" s="32">
        <f>'New Formula with HB25-1320'!AW17</f>
        <v>42</v>
      </c>
      <c r="AX17" s="32">
        <f>'New Formula with HB25-1320'!AX17</f>
        <v>0</v>
      </c>
      <c r="AY17" s="32">
        <f>'New Formula with HB25-1320'!AY17</f>
        <v>133</v>
      </c>
      <c r="AZ17" s="32">
        <f>'New Formula with HB25-1320'!AZ17</f>
        <v>5157</v>
      </c>
      <c r="BA17" s="32">
        <f>'New Formula with HB25-1320'!BA17</f>
        <v>2278</v>
      </c>
      <c r="BB17" s="32">
        <f>'New Formula with HB25-1320'!BB17</f>
        <v>2184</v>
      </c>
      <c r="BC17" s="32">
        <f>'New Formula with HB25-1320'!BC17</f>
        <v>8604</v>
      </c>
      <c r="BD17" s="32">
        <f>'New Formula with HB25-1320'!BD17</f>
        <v>170</v>
      </c>
      <c r="BE17" s="32">
        <f>'New Formula with HB25-1320'!BE17</f>
        <v>210</v>
      </c>
      <c r="BF17" s="32">
        <f>'New Formula with HB25-1320'!BF17</f>
        <v>1507</v>
      </c>
      <c r="BG17" s="32">
        <f>'New Formula with HB25-1320'!BG17</f>
        <v>224</v>
      </c>
      <c r="BH17" s="32">
        <f>'New Formula with HB25-1320'!BH17</f>
        <v>65</v>
      </c>
      <c r="BI17" s="32">
        <f>'New Formula with HB25-1320'!BI17</f>
        <v>101</v>
      </c>
      <c r="BJ17" s="32">
        <f>'New Formula with HB25-1320'!BJ17</f>
        <v>387</v>
      </c>
      <c r="BK17" s="32">
        <f>'New Formula with HB25-1320'!BK17</f>
        <v>3764</v>
      </c>
      <c r="BL17" s="32">
        <f>'New Formula with HB25-1320'!BL17</f>
        <v>24</v>
      </c>
      <c r="BM17" s="32">
        <f>'New Formula with HB25-1320'!BM17</f>
        <v>92</v>
      </c>
      <c r="BN17" s="32">
        <f>'New Formula with HB25-1320'!BN17</f>
        <v>1087</v>
      </c>
      <c r="BO17" s="32">
        <f>'New Formula with HB25-1320'!BO17</f>
        <v>366</v>
      </c>
      <c r="BP17" s="32">
        <f>'New Formula with HB25-1320'!BP17</f>
        <v>82</v>
      </c>
      <c r="BQ17" s="32">
        <f>'New Formula with HB25-1320'!BQ17</f>
        <v>1279</v>
      </c>
      <c r="BR17" s="32">
        <f>'New Formula with HB25-1320'!BR17</f>
        <v>1093</v>
      </c>
      <c r="BS17" s="32">
        <f>'New Formula with HB25-1320'!BS17</f>
        <v>465</v>
      </c>
      <c r="BT17" s="32">
        <f>'New Formula with HB25-1320'!BT17</f>
        <v>61</v>
      </c>
      <c r="BU17" s="32">
        <f>'New Formula with HB25-1320'!BU17</f>
        <v>78</v>
      </c>
      <c r="BV17" s="32">
        <f>'New Formula with HB25-1320'!BV17</f>
        <v>206</v>
      </c>
      <c r="BW17" s="32">
        <f>'New Formula with HB25-1320'!BW17</f>
        <v>217</v>
      </c>
      <c r="BX17" s="32">
        <f>'New Formula with HB25-1320'!BX17</f>
        <v>14</v>
      </c>
      <c r="BY17" s="32">
        <f>'New Formula with HB25-1320'!BY17</f>
        <v>256</v>
      </c>
      <c r="BZ17" s="32">
        <f>'New Formula with HB25-1320'!BZ17</f>
        <v>55</v>
      </c>
      <c r="CA17" s="32">
        <f>'New Formula with HB25-1320'!CA17</f>
        <v>33</v>
      </c>
      <c r="CB17" s="32">
        <f>'New Formula with HB25-1320'!CB17</f>
        <v>13384</v>
      </c>
      <c r="CC17" s="32">
        <f>'New Formula with HB25-1320'!CC17</f>
        <v>49</v>
      </c>
      <c r="CD17" s="32">
        <f>'New Formula with HB25-1320'!CD17</f>
        <v>7</v>
      </c>
      <c r="CE17" s="32">
        <f>'New Formula with HB25-1320'!CE17</f>
        <v>25</v>
      </c>
      <c r="CF17" s="32">
        <f>'New Formula with HB25-1320'!CF17</f>
        <v>41</v>
      </c>
      <c r="CG17" s="32">
        <f>'New Formula with HB25-1320'!CG17</f>
        <v>63</v>
      </c>
      <c r="CH17" s="32">
        <f>'New Formula with HB25-1320'!CH17</f>
        <v>36</v>
      </c>
      <c r="CI17" s="32">
        <f>'New Formula with HB25-1320'!CI17</f>
        <v>281</v>
      </c>
      <c r="CJ17" s="32">
        <f>'New Formula with HB25-1320'!CJ17</f>
        <v>280</v>
      </c>
      <c r="CK17" s="32">
        <f>'New Formula with HB25-1320'!CK17</f>
        <v>852</v>
      </c>
      <c r="CL17" s="32">
        <f>'New Formula with HB25-1320'!CL17</f>
        <v>250</v>
      </c>
      <c r="CM17" s="32">
        <f>'New Formula with HB25-1320'!CM17</f>
        <v>180</v>
      </c>
      <c r="CN17" s="32">
        <f>'New Formula with HB25-1320'!CN17</f>
        <v>4931</v>
      </c>
      <c r="CO17" s="32">
        <f>'New Formula with HB25-1320'!CO17</f>
        <v>2428</v>
      </c>
      <c r="CP17" s="32">
        <f>'New Formula with HB25-1320'!CP17</f>
        <v>198</v>
      </c>
      <c r="CQ17" s="32">
        <f>'New Formula with HB25-1320'!CQ17</f>
        <v>352</v>
      </c>
      <c r="CR17" s="32">
        <f>'New Formula with HB25-1320'!CR17</f>
        <v>62</v>
      </c>
      <c r="CS17" s="32">
        <f>'New Formula with HB25-1320'!CS17</f>
        <v>80</v>
      </c>
      <c r="CT17" s="32">
        <f>'New Formula with HB25-1320'!CT17</f>
        <v>54</v>
      </c>
      <c r="CU17" s="32">
        <f>'New Formula with HB25-1320'!CU17</f>
        <v>68</v>
      </c>
      <c r="CV17" s="32">
        <f>'New Formula with HB25-1320'!CV17</f>
        <v>3</v>
      </c>
      <c r="CW17" s="32">
        <f>'New Formula with HB25-1320'!CW17</f>
        <v>53</v>
      </c>
      <c r="CX17" s="32">
        <f>'New Formula with HB25-1320'!CX17</f>
        <v>117</v>
      </c>
      <c r="CY17" s="32">
        <f>'New Formula with HB25-1320'!CY17</f>
        <v>13.2</v>
      </c>
      <c r="CZ17" s="32">
        <f>'New Formula with HB25-1320'!CZ17</f>
        <v>677</v>
      </c>
      <c r="DA17" s="32">
        <f>'New Formula with HB25-1320'!DA17</f>
        <v>36</v>
      </c>
      <c r="DB17" s="32">
        <f>'New Formula with HB25-1320'!DB17</f>
        <v>59</v>
      </c>
      <c r="DC17" s="32">
        <f>'New Formula with HB25-1320'!DC17</f>
        <v>28</v>
      </c>
      <c r="DD17" s="32">
        <f>'New Formula with HB25-1320'!DD17</f>
        <v>41</v>
      </c>
      <c r="DE17" s="32">
        <f>'New Formula with HB25-1320'!DE17</f>
        <v>34</v>
      </c>
      <c r="DF17" s="32">
        <f>'New Formula with HB25-1320'!DF17</f>
        <v>5994</v>
      </c>
      <c r="DG17" s="32">
        <f>'New Formula with HB25-1320'!DG17</f>
        <v>20</v>
      </c>
      <c r="DH17" s="32">
        <f>'New Formula with HB25-1320'!DH17</f>
        <v>548</v>
      </c>
      <c r="DI17" s="32">
        <f>'New Formula with HB25-1320'!DI17</f>
        <v>1006</v>
      </c>
      <c r="DJ17" s="32">
        <f>'New Formula with HB25-1320'!DJ17</f>
        <v>126</v>
      </c>
      <c r="DK17" s="32">
        <f>'New Formula with HB25-1320'!DK17</f>
        <v>132</v>
      </c>
      <c r="DL17" s="32">
        <f>'New Formula with HB25-1320'!DL17</f>
        <v>1818</v>
      </c>
      <c r="DM17" s="32">
        <f>'New Formula with HB25-1320'!DM17</f>
        <v>81</v>
      </c>
      <c r="DN17" s="32">
        <f>'New Formula with HB25-1320'!DN17</f>
        <v>418</v>
      </c>
      <c r="DO17" s="32">
        <f>'New Formula with HB25-1320'!DO17</f>
        <v>925</v>
      </c>
      <c r="DP17" s="32">
        <f>'New Formula with HB25-1320'!DP17</f>
        <v>47</v>
      </c>
      <c r="DQ17" s="32">
        <f>'New Formula with HB25-1320'!DQ17</f>
        <v>162</v>
      </c>
      <c r="DR17" s="32">
        <f>'New Formula with HB25-1320'!DR17</f>
        <v>640</v>
      </c>
      <c r="DS17" s="32">
        <f>'New Formula with HB25-1320'!DS17</f>
        <v>342</v>
      </c>
      <c r="DT17" s="32">
        <f>'New Formula with HB25-1320'!DT17</f>
        <v>72</v>
      </c>
      <c r="DU17" s="32">
        <f>'New Formula with HB25-1320'!DU17</f>
        <v>128</v>
      </c>
      <c r="DV17" s="32">
        <f>'New Formula with HB25-1320'!DV17</f>
        <v>56</v>
      </c>
      <c r="DW17" s="32">
        <f>'New Formula with HB25-1320'!DW17</f>
        <v>91</v>
      </c>
      <c r="DX17" s="32">
        <f>'New Formula with HB25-1320'!DX17</f>
        <v>24</v>
      </c>
      <c r="DY17" s="32">
        <f>'New Formula with HB25-1320'!DY17</f>
        <v>27</v>
      </c>
      <c r="DZ17" s="32">
        <f>'New Formula with HB25-1320'!DZ17</f>
        <v>74</v>
      </c>
      <c r="EA17" s="32">
        <f>'New Formula with HB25-1320'!EA17</f>
        <v>130</v>
      </c>
      <c r="EB17" s="32">
        <f>'New Formula with HB25-1320'!EB17</f>
        <v>172</v>
      </c>
      <c r="EC17" s="32">
        <f>'New Formula with HB25-1320'!EC17</f>
        <v>68</v>
      </c>
      <c r="ED17" s="32">
        <f>'New Formula with HB25-1320'!ED17</f>
        <v>24</v>
      </c>
      <c r="EE17" s="32">
        <f>'New Formula with HB25-1320'!EE17</f>
        <v>69</v>
      </c>
      <c r="EF17" s="32">
        <f>'New Formula with HB25-1320'!EF17</f>
        <v>603</v>
      </c>
      <c r="EG17" s="32">
        <f>'New Formula with HB25-1320'!EG17</f>
        <v>100</v>
      </c>
      <c r="EH17" s="32">
        <f>'New Formula with HB25-1320'!EH17</f>
        <v>68</v>
      </c>
      <c r="EI17" s="32">
        <f>'New Formula with HB25-1320'!EI17</f>
        <v>6981</v>
      </c>
      <c r="EJ17" s="32">
        <f>'New Formula with HB25-1320'!EJ17</f>
        <v>2957</v>
      </c>
      <c r="EK17" s="32">
        <f>'New Formula with HB25-1320'!EK17</f>
        <v>147</v>
      </c>
      <c r="EL17" s="32">
        <f>'New Formula with HB25-1320'!EL17</f>
        <v>123</v>
      </c>
      <c r="EM17" s="32">
        <f>'New Formula with HB25-1320'!EM17</f>
        <v>111</v>
      </c>
      <c r="EN17" s="32">
        <f>'New Formula with HB25-1320'!EN17</f>
        <v>401</v>
      </c>
      <c r="EO17" s="32">
        <f>'New Formula with HB25-1320'!EO17</f>
        <v>68</v>
      </c>
      <c r="EP17" s="32">
        <f>'New Formula with HB25-1320'!EP17</f>
        <v>53</v>
      </c>
      <c r="EQ17" s="32">
        <f>'New Formula with HB25-1320'!EQ17</f>
        <v>54</v>
      </c>
      <c r="ER17" s="32">
        <f>'New Formula with HB25-1320'!ER17</f>
        <v>52</v>
      </c>
      <c r="ES17" s="32">
        <f>'New Formula with HB25-1320'!ES17</f>
        <v>45</v>
      </c>
      <c r="ET17" s="32">
        <f>'New Formula with HB25-1320'!ET17</f>
        <v>105</v>
      </c>
      <c r="EU17" s="32">
        <f>'New Formula with HB25-1320'!EU17</f>
        <v>308</v>
      </c>
      <c r="EV17" s="32">
        <f>'New Formula with HB25-1320'!EV17</f>
        <v>32</v>
      </c>
      <c r="EW17" s="32">
        <f>'New Formula with HB25-1320'!EW17</f>
        <v>111</v>
      </c>
      <c r="EX17" s="32">
        <f>'New Formula with HB25-1320'!EX17</f>
        <v>40</v>
      </c>
      <c r="EY17" s="32">
        <f>'New Formula with HB25-1320'!EY17</f>
        <v>163</v>
      </c>
      <c r="EZ17" s="32">
        <f>'New Formula with HB25-1320'!EZ17</f>
        <v>39</v>
      </c>
      <c r="FA17" s="32">
        <f>'New Formula with HB25-1320'!FA17</f>
        <v>619</v>
      </c>
      <c r="FB17" s="32">
        <f>'New Formula with HB25-1320'!FB17</f>
        <v>87</v>
      </c>
      <c r="FC17" s="32">
        <f>'New Formula with HB25-1320'!FC17</f>
        <v>275</v>
      </c>
      <c r="FD17" s="32">
        <f>'New Formula with HB25-1320'!FD17</f>
        <v>127</v>
      </c>
      <c r="FE17" s="32">
        <f>'New Formula with HB25-1320'!FE17</f>
        <v>25</v>
      </c>
      <c r="FF17" s="32">
        <f>'New Formula with HB25-1320'!FF17</f>
        <v>63</v>
      </c>
      <c r="FG17" s="32">
        <f>'New Formula with HB25-1320'!FG17</f>
        <v>16</v>
      </c>
      <c r="FH17" s="32">
        <f>'New Formula with HB25-1320'!FH17</f>
        <v>18</v>
      </c>
      <c r="FI17" s="32">
        <f>'New Formula with HB25-1320'!FI17</f>
        <v>453</v>
      </c>
      <c r="FJ17" s="32">
        <f>'New Formula with HB25-1320'!FJ17</f>
        <v>369</v>
      </c>
      <c r="FK17" s="32">
        <f>'New Formula with HB25-1320'!FK17</f>
        <v>506</v>
      </c>
      <c r="FL17" s="32">
        <f>'New Formula with HB25-1320'!FL17</f>
        <v>657</v>
      </c>
      <c r="FM17" s="32">
        <f>'New Formula with HB25-1320'!FM17</f>
        <v>275</v>
      </c>
      <c r="FN17" s="32">
        <f>'New Formula with HB25-1320'!FN17</f>
        <v>8885</v>
      </c>
      <c r="FO17" s="32">
        <f>'New Formula with HB25-1320'!FO17</f>
        <v>307</v>
      </c>
      <c r="FP17" s="32">
        <f>'New Formula with HB25-1320'!FP17</f>
        <v>752</v>
      </c>
      <c r="FQ17" s="32">
        <f>'New Formula with HB25-1320'!FQ17</f>
        <v>184</v>
      </c>
      <c r="FR17" s="32">
        <f>'New Formula with HB25-1320'!FR17</f>
        <v>31</v>
      </c>
      <c r="FS17" s="32">
        <f>'New Formula with HB25-1320'!FS17</f>
        <v>18</v>
      </c>
      <c r="FT17" s="32">
        <f>'New Formula with HB25-1320'!FT17</f>
        <v>16</v>
      </c>
      <c r="FU17" s="32">
        <f>'New Formula with HB25-1320'!FU17</f>
        <v>332</v>
      </c>
      <c r="FV17" s="32">
        <f>'New Formula with HB25-1320'!FV17</f>
        <v>237</v>
      </c>
      <c r="FW17" s="32">
        <f>'New Formula with HB25-1320'!FW17</f>
        <v>50</v>
      </c>
      <c r="FX17" s="32">
        <f>'New Formula with HB25-1320'!FX17</f>
        <v>16</v>
      </c>
      <c r="FY17" s="32"/>
      <c r="FZ17" s="23">
        <f t="shared" si="4"/>
        <v>196775.2</v>
      </c>
      <c r="GA17" s="23"/>
      <c r="GB17" s="23"/>
      <c r="GC17" s="23"/>
      <c r="GD17" s="23"/>
      <c r="GE17" s="7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</row>
    <row r="18" spans="1:207" ht="15" customHeight="1" x14ac:dyDescent="0.35">
      <c r="A18" s="92" t="s">
        <v>459</v>
      </c>
      <c r="B18" s="23" t="s">
        <v>468</v>
      </c>
      <c r="C18" s="23">
        <f>'New Formula with HB25-1320'!C18</f>
        <v>4792.3</v>
      </c>
      <c r="D18" s="32">
        <f>'New Formula with HB25-1320'!D18</f>
        <v>19193</v>
      </c>
      <c r="E18" s="32">
        <f>'New Formula with HB25-1320'!E18</f>
        <v>4709.3</v>
      </c>
      <c r="F18" s="32">
        <f>'New Formula with HB25-1320'!F18</f>
        <v>12549.4</v>
      </c>
      <c r="G18" s="32">
        <f>'New Formula with HB25-1320'!G18</f>
        <v>812.2</v>
      </c>
      <c r="H18" s="32">
        <f>'New Formula with HB25-1320'!H18</f>
        <v>438.2</v>
      </c>
      <c r="I18" s="32">
        <f>'New Formula with HB25-1320'!I18</f>
        <v>6388</v>
      </c>
      <c r="J18" s="32">
        <f>'New Formula with HB25-1320'!J18</f>
        <v>1579.5</v>
      </c>
      <c r="K18" s="32">
        <f>'New Formula with HB25-1320'!K18</f>
        <v>152.1</v>
      </c>
      <c r="L18" s="32">
        <f>'New Formula with HB25-1320'!L18</f>
        <v>1348.7</v>
      </c>
      <c r="M18" s="32">
        <f>'New Formula with HB25-1320'!M18</f>
        <v>729.9</v>
      </c>
      <c r="N18" s="32">
        <f>'New Formula with HB25-1320'!N18</f>
        <v>18867.900000000001</v>
      </c>
      <c r="O18" s="32">
        <f>'New Formula with HB25-1320'!O18</f>
        <v>3029.6</v>
      </c>
      <c r="P18" s="32">
        <f>'New Formula with HB25-1320'!P18</f>
        <v>163.6</v>
      </c>
      <c r="Q18" s="32">
        <f>'New Formula with HB25-1320'!Q18</f>
        <v>31548.1</v>
      </c>
      <c r="R18" s="32">
        <f>'New Formula with HB25-1320'!R18</f>
        <v>3944.3</v>
      </c>
      <c r="S18" s="32">
        <f>'New Formula with HB25-1320'!S18</f>
        <v>938.6</v>
      </c>
      <c r="T18" s="32">
        <f>'New Formula with HB25-1320'!T18</f>
        <v>118.5</v>
      </c>
      <c r="U18" s="32">
        <f>'New Formula with HB25-1320'!U18</f>
        <v>36.5</v>
      </c>
      <c r="V18" s="32">
        <f>'New Formula with HB25-1320'!V18</f>
        <v>188.9</v>
      </c>
      <c r="W18" s="23">
        <f>'New Formula with HB25-1320'!W18</f>
        <v>37.200000000000003</v>
      </c>
      <c r="X18" s="32">
        <f>'New Formula with HB25-1320'!X18</f>
        <v>22.6</v>
      </c>
      <c r="Y18" s="32">
        <f>'New Formula with HB25-1320'!Y18</f>
        <v>735.2</v>
      </c>
      <c r="Z18" s="32">
        <f>'New Formula with HB25-1320'!Z18</f>
        <v>90.1</v>
      </c>
      <c r="AA18" s="32">
        <f>'New Formula with HB25-1320'!AA18</f>
        <v>11330.4</v>
      </c>
      <c r="AB18" s="32">
        <f>'New Formula with HB25-1320'!AB18</f>
        <v>7389</v>
      </c>
      <c r="AC18" s="32">
        <f>'New Formula with HB25-1320'!AC18</f>
        <v>311.89999999999998</v>
      </c>
      <c r="AD18" s="32">
        <f>'New Formula with HB25-1320'!AD18</f>
        <v>559.29999999999995</v>
      </c>
      <c r="AE18" s="32">
        <f>'New Formula with HB25-1320'!AE18</f>
        <v>67.7</v>
      </c>
      <c r="AF18" s="32">
        <f>'New Formula with HB25-1320'!AF18</f>
        <v>89.6</v>
      </c>
      <c r="AG18" s="32">
        <f>'New Formula with HB25-1320'!AG18</f>
        <v>188.1</v>
      </c>
      <c r="AH18" s="32">
        <f>'New Formula with HB25-1320'!AH18</f>
        <v>624.1</v>
      </c>
      <c r="AI18" s="32">
        <f>'New Formula with HB25-1320'!AI18</f>
        <v>234.2</v>
      </c>
      <c r="AJ18" s="32">
        <f>'New Formula with HB25-1320'!AJ18</f>
        <v>153.69999999999999</v>
      </c>
      <c r="AK18" s="32">
        <f>'New Formula with HB25-1320'!AK18</f>
        <v>148.5</v>
      </c>
      <c r="AL18" s="32">
        <f>'New Formula with HB25-1320'!AL18</f>
        <v>237.9</v>
      </c>
      <c r="AM18" s="32">
        <f>'New Formula with HB25-1320'!AM18</f>
        <v>201</v>
      </c>
      <c r="AN18" s="32">
        <f>'New Formula with HB25-1320'!AN18</f>
        <v>139.6</v>
      </c>
      <c r="AO18" s="32">
        <f>'New Formula with HB25-1320'!AO18</f>
        <v>2493.1</v>
      </c>
      <c r="AP18" s="32">
        <f>'New Formula with HB25-1320'!AP18</f>
        <v>52878.5</v>
      </c>
      <c r="AQ18" s="32">
        <f>'New Formula with HB25-1320'!AQ18</f>
        <v>151.5</v>
      </c>
      <c r="AR18" s="32">
        <f>'New Formula with HB25-1320'!AR18</f>
        <v>10739.2</v>
      </c>
      <c r="AS18" s="32">
        <f>'New Formula with HB25-1320'!AS18</f>
        <v>2678</v>
      </c>
      <c r="AT18" s="32">
        <f>'New Formula with HB25-1320'!AT18</f>
        <v>605.20000000000005</v>
      </c>
      <c r="AU18" s="32">
        <f>'New Formula with HB25-1320'!AU18</f>
        <v>108.3</v>
      </c>
      <c r="AV18" s="32">
        <f>'New Formula with HB25-1320'!AV18</f>
        <v>187.1</v>
      </c>
      <c r="AW18" s="32">
        <f>'New Formula with HB25-1320'!AW18</f>
        <v>88.3</v>
      </c>
      <c r="AX18" s="32">
        <f>'New Formula with HB25-1320'!AX18</f>
        <v>44.4</v>
      </c>
      <c r="AY18" s="32">
        <f>'New Formula with HB25-1320'!AY18</f>
        <v>210.6</v>
      </c>
      <c r="AZ18" s="32">
        <f>'New Formula with HB25-1320'!AZ18</f>
        <v>8114.5</v>
      </c>
      <c r="BA18" s="32">
        <f>'New Formula with HB25-1320'!BA18</f>
        <v>4395.8</v>
      </c>
      <c r="BB18" s="32">
        <f>'New Formula with HB25-1320'!BB18</f>
        <v>3664.6</v>
      </c>
      <c r="BC18" s="32">
        <f>'New Formula with HB25-1320'!BC18</f>
        <v>14233.5</v>
      </c>
      <c r="BD18" s="32">
        <f>'New Formula with HB25-1320'!BD18</f>
        <v>795.2</v>
      </c>
      <c r="BE18" s="32">
        <f>'New Formula with HB25-1320'!BE18</f>
        <v>415.3</v>
      </c>
      <c r="BF18" s="32">
        <f>'New Formula with HB25-1320'!BF18</f>
        <v>5915.8</v>
      </c>
      <c r="BG18" s="32">
        <f>'New Formula with HB25-1320'!BG18</f>
        <v>551.29999999999995</v>
      </c>
      <c r="BH18" s="32">
        <f>'New Formula with HB25-1320'!BH18</f>
        <v>170.4</v>
      </c>
      <c r="BI18" s="32">
        <f>'New Formula with HB25-1320'!BI18</f>
        <v>190.9</v>
      </c>
      <c r="BJ18" s="32">
        <f>'New Formula with HB25-1320'!BJ18</f>
        <v>1101</v>
      </c>
      <c r="BK18" s="32">
        <f>'New Formula with HB25-1320'!BK18</f>
        <v>14155.7</v>
      </c>
      <c r="BL18" s="32">
        <f>'New Formula with HB25-1320'!BL18</f>
        <v>55.7</v>
      </c>
      <c r="BM18" s="32">
        <f>'New Formula with HB25-1320'!BM18</f>
        <v>229</v>
      </c>
      <c r="BN18" s="32">
        <f>'New Formula with HB25-1320'!BN18</f>
        <v>1807.7</v>
      </c>
      <c r="BO18" s="32">
        <f>'New Formula with HB25-1320'!BO18</f>
        <v>683.1</v>
      </c>
      <c r="BP18" s="32">
        <f>'New Formula with HB25-1320'!BP18</f>
        <v>87.6</v>
      </c>
      <c r="BQ18" s="32">
        <f>'New Formula with HB25-1320'!BQ18</f>
        <v>2928.7</v>
      </c>
      <c r="BR18" s="32">
        <f>'New Formula with HB25-1320'!BR18</f>
        <v>2231.5</v>
      </c>
      <c r="BS18" s="32">
        <f>'New Formula with HB25-1320'!BS18</f>
        <v>772.3</v>
      </c>
      <c r="BT18" s="32">
        <f>'New Formula with HB25-1320'!BT18</f>
        <v>162.69999999999999</v>
      </c>
      <c r="BU18" s="32">
        <f>'New Formula with HB25-1320'!BU18</f>
        <v>166.7</v>
      </c>
      <c r="BV18" s="32">
        <f>'New Formula with HB25-1320'!BV18</f>
        <v>413.7</v>
      </c>
      <c r="BW18" s="32">
        <f>'New Formula with HB25-1320'!BW18</f>
        <v>715</v>
      </c>
      <c r="BX18" s="32">
        <f>'New Formula with HB25-1320'!BX18</f>
        <v>22.5</v>
      </c>
      <c r="BY18" s="32">
        <f>'New Formula with HB25-1320'!BY18</f>
        <v>343.9</v>
      </c>
      <c r="BZ18" s="32">
        <f>'New Formula with HB25-1320'!BZ18</f>
        <v>163.6</v>
      </c>
      <c r="CA18" s="32">
        <f>'New Formula with HB25-1320'!CA18</f>
        <v>45.4</v>
      </c>
      <c r="CB18" s="32">
        <f>'New Formula with HB25-1320'!CB18</f>
        <v>22526.7</v>
      </c>
      <c r="CC18" s="32">
        <f>'New Formula with HB25-1320'!CC18</f>
        <v>121.6</v>
      </c>
      <c r="CD18" s="32">
        <f>'New Formula with HB25-1320'!CD18</f>
        <v>12.2</v>
      </c>
      <c r="CE18" s="32">
        <f>'New Formula with HB25-1320'!CE18</f>
        <v>73.8</v>
      </c>
      <c r="CF18" s="32">
        <f>'New Formula with HB25-1320'!CF18</f>
        <v>50</v>
      </c>
      <c r="CG18" s="32">
        <f>'New Formula with HB25-1320'!CG18</f>
        <v>86.8</v>
      </c>
      <c r="CH18" s="32">
        <f>'New Formula with HB25-1320'!CH18</f>
        <v>68</v>
      </c>
      <c r="CI18" s="32">
        <f>'New Formula with HB25-1320'!CI18</f>
        <v>430.8</v>
      </c>
      <c r="CJ18" s="32">
        <f>'New Formula with HB25-1320'!CJ18</f>
        <v>511.5</v>
      </c>
      <c r="CK18" s="32">
        <f>'New Formula with HB25-1320'!CK18</f>
        <v>1796.8</v>
      </c>
      <c r="CL18" s="32">
        <f>'New Formula with HB25-1320'!CL18</f>
        <v>493.5</v>
      </c>
      <c r="CM18" s="32">
        <f>'New Formula with HB25-1320'!CM18</f>
        <v>352.2</v>
      </c>
      <c r="CN18" s="32">
        <f>'New Formula with HB25-1320'!CN18</f>
        <v>9777.4</v>
      </c>
      <c r="CO18" s="32">
        <f>'New Formula with HB25-1320'!CO18</f>
        <v>4698.3999999999996</v>
      </c>
      <c r="CP18" s="32">
        <f>'New Formula with HB25-1320'!CP18</f>
        <v>426.6</v>
      </c>
      <c r="CQ18" s="32">
        <f>'New Formula with HB25-1320'!CQ18</f>
        <v>574.20000000000005</v>
      </c>
      <c r="CR18" s="32">
        <f>'New Formula with HB25-1320'!CR18</f>
        <v>73.3</v>
      </c>
      <c r="CS18" s="32">
        <f>'New Formula with HB25-1320'!CS18</f>
        <v>99.5</v>
      </c>
      <c r="CT18" s="32">
        <f>'New Formula with HB25-1320'!CT18</f>
        <v>90.6</v>
      </c>
      <c r="CU18" s="32">
        <f>'New Formula with HB25-1320'!CU18</f>
        <v>208.7</v>
      </c>
      <c r="CV18" s="32">
        <f>'New Formula with HB25-1320'!CV18</f>
        <v>9.1</v>
      </c>
      <c r="CW18" s="32">
        <f>'New Formula with HB25-1320'!CW18</f>
        <v>105.2</v>
      </c>
      <c r="CX18" s="32">
        <f>'New Formula with HB25-1320'!CX18</f>
        <v>231.2</v>
      </c>
      <c r="CY18" s="32">
        <f>'New Formula with HB25-1320'!CY18</f>
        <v>13.2</v>
      </c>
      <c r="CZ18" s="32">
        <f>'New Formula with HB25-1320'!CZ18</f>
        <v>1003.3</v>
      </c>
      <c r="DA18" s="32">
        <f>'New Formula with HB25-1320'!DA18</f>
        <v>50.5</v>
      </c>
      <c r="DB18" s="32">
        <f>'New Formula with HB25-1320'!DB18</f>
        <v>91</v>
      </c>
      <c r="DC18" s="32">
        <f>'New Formula with HB25-1320'!DC18</f>
        <v>50.6</v>
      </c>
      <c r="DD18" s="32">
        <f>'New Formula with HB25-1320'!DD18</f>
        <v>109.8</v>
      </c>
      <c r="DE18" s="32">
        <f>'New Formula with HB25-1320'!DE18</f>
        <v>129.5</v>
      </c>
      <c r="DF18" s="32">
        <f>'New Formula with HB25-1320'!DF18</f>
        <v>11723.2</v>
      </c>
      <c r="DG18" s="32">
        <f>'New Formula with HB25-1320'!DG18</f>
        <v>37.6</v>
      </c>
      <c r="DH18" s="32">
        <f>'New Formula with HB25-1320'!DH18</f>
        <v>977.3</v>
      </c>
      <c r="DI18" s="32">
        <f>'New Formula with HB25-1320'!DI18</f>
        <v>1568.7</v>
      </c>
      <c r="DJ18" s="32">
        <f>'New Formula with HB25-1320'!DJ18</f>
        <v>338.6</v>
      </c>
      <c r="DK18" s="32">
        <f>'New Formula with HB25-1320'!DK18</f>
        <v>196.6</v>
      </c>
      <c r="DL18" s="32">
        <f>'New Formula with HB25-1320'!DL18</f>
        <v>3187.1</v>
      </c>
      <c r="DM18" s="32">
        <f>'New Formula with HB25-1320'!DM18</f>
        <v>137.1</v>
      </c>
      <c r="DN18" s="32">
        <f>'New Formula with HB25-1320'!DN18</f>
        <v>851</v>
      </c>
      <c r="DO18" s="32">
        <f>'New Formula with HB25-1320'!DO18</f>
        <v>2012.2</v>
      </c>
      <c r="DP18" s="32">
        <f>'New Formula with HB25-1320'!DP18</f>
        <v>66.3</v>
      </c>
      <c r="DQ18" s="32">
        <f>'New Formula with HB25-1320'!DQ18</f>
        <v>373.1</v>
      </c>
      <c r="DR18" s="32">
        <f>'New Formula with HB25-1320'!DR18</f>
        <v>982.1</v>
      </c>
      <c r="DS18" s="32">
        <f>'New Formula with HB25-1320'!DS18</f>
        <v>453.9</v>
      </c>
      <c r="DT18" s="32">
        <f>'New Formula with HB25-1320'!DT18</f>
        <v>152.19999999999999</v>
      </c>
      <c r="DU18" s="32">
        <f>'New Formula with HB25-1320'!DU18</f>
        <v>207.3</v>
      </c>
      <c r="DV18" s="32">
        <f>'New Formula with HB25-1320'!DV18</f>
        <v>92.1</v>
      </c>
      <c r="DW18" s="32">
        <f>'New Formula with HB25-1320'!DW18</f>
        <v>151.30000000000001</v>
      </c>
      <c r="DX18" s="32">
        <f>'New Formula with HB25-1320'!DX18</f>
        <v>56.7</v>
      </c>
      <c r="DY18" s="32">
        <f>'New Formula with HB25-1320'!DY18</f>
        <v>71.2</v>
      </c>
      <c r="DZ18" s="32">
        <f>'New Formula with HB25-1320'!DZ18</f>
        <v>240.2</v>
      </c>
      <c r="EA18" s="32">
        <f>'New Formula with HB25-1320'!EA18</f>
        <v>222.4</v>
      </c>
      <c r="EB18" s="32">
        <f>'New Formula with HB25-1320'!EB18</f>
        <v>314.8</v>
      </c>
      <c r="EC18" s="32">
        <f>'New Formula with HB25-1320'!EC18</f>
        <v>96.6</v>
      </c>
      <c r="ED18" s="32">
        <f>'New Formula with HB25-1320'!ED18</f>
        <v>103</v>
      </c>
      <c r="EE18" s="32">
        <f>'New Formula with HB25-1320'!EE18</f>
        <v>132.30000000000001</v>
      </c>
      <c r="EF18" s="32">
        <f>'New Formula with HB25-1320'!EF18</f>
        <v>963.2</v>
      </c>
      <c r="EG18" s="32">
        <f>'New Formula with HB25-1320'!EG18</f>
        <v>161.30000000000001</v>
      </c>
      <c r="EH18" s="32">
        <f>'New Formula with HB25-1320'!EH18</f>
        <v>130.69999999999999</v>
      </c>
      <c r="EI18" s="32">
        <f>'New Formula with HB25-1320'!EI18</f>
        <v>10751.4</v>
      </c>
      <c r="EJ18" s="32">
        <f>'New Formula with HB25-1320'!EJ18</f>
        <v>5234</v>
      </c>
      <c r="EK18" s="32">
        <f>'New Formula with HB25-1320'!EK18</f>
        <v>254.2</v>
      </c>
      <c r="EL18" s="32">
        <f>'New Formula with HB25-1320'!EL18</f>
        <v>215.9</v>
      </c>
      <c r="EM18" s="32">
        <f>'New Formula with HB25-1320'!EM18</f>
        <v>208.5</v>
      </c>
      <c r="EN18" s="32">
        <f>'New Formula with HB25-1320'!EN18</f>
        <v>680</v>
      </c>
      <c r="EO18" s="32">
        <f>'New Formula with HB25-1320'!EO18</f>
        <v>138.19999999999999</v>
      </c>
      <c r="EP18" s="32">
        <f>'New Formula with HB25-1320'!EP18</f>
        <v>118</v>
      </c>
      <c r="EQ18" s="32">
        <f>'New Formula with HB25-1320'!EQ18</f>
        <v>480.4</v>
      </c>
      <c r="ER18" s="32">
        <f>'New Formula with HB25-1320'!ER18</f>
        <v>87.7</v>
      </c>
      <c r="ES18" s="32">
        <f>'New Formula with HB25-1320'!ES18</f>
        <v>124.4</v>
      </c>
      <c r="ET18" s="32">
        <f>'New Formula with HB25-1320'!ET18</f>
        <v>153.1</v>
      </c>
      <c r="EU18" s="32">
        <f>'New Formula with HB25-1320'!EU18</f>
        <v>532.79999999999995</v>
      </c>
      <c r="EV18" s="32">
        <f>'New Formula with HB25-1320'!EV18</f>
        <v>40.299999999999997</v>
      </c>
      <c r="EW18" s="32">
        <f>'New Formula with HB25-1320'!EW18</f>
        <v>229.6</v>
      </c>
      <c r="EX18" s="32">
        <f>'New Formula with HB25-1320'!EX18</f>
        <v>92.2</v>
      </c>
      <c r="EY18" s="32">
        <f>'New Formula with HB25-1320'!EY18</f>
        <v>427.7</v>
      </c>
      <c r="EZ18" s="32">
        <f>'New Formula with HB25-1320'!EZ18</f>
        <v>69.900000000000006</v>
      </c>
      <c r="FA18" s="32">
        <f>'New Formula with HB25-1320'!FA18</f>
        <v>1285.8</v>
      </c>
      <c r="FB18" s="32">
        <f>'New Formula with HB25-1320'!FB18</f>
        <v>214.1</v>
      </c>
      <c r="FC18" s="32">
        <f>'New Formula with HB25-1320'!FC18</f>
        <v>618.70000000000005</v>
      </c>
      <c r="FD18" s="32">
        <f>'New Formula with HB25-1320'!FD18</f>
        <v>228</v>
      </c>
      <c r="FE18" s="32">
        <f>'New Formula with HB25-1320'!FE18</f>
        <v>47.7</v>
      </c>
      <c r="FF18" s="32">
        <f>'New Formula with HB25-1320'!FF18</f>
        <v>102.8</v>
      </c>
      <c r="FG18" s="32">
        <f>'New Formula with HB25-1320'!FG18</f>
        <v>52.6</v>
      </c>
      <c r="FH18" s="32">
        <f>'New Formula with HB25-1320'!FH18</f>
        <v>32.1</v>
      </c>
      <c r="FI18" s="32">
        <f>'New Formula with HB25-1320'!FI18</f>
        <v>1032.5</v>
      </c>
      <c r="FJ18" s="32">
        <f>'New Formula with HB25-1320'!FJ18</f>
        <v>747.8</v>
      </c>
      <c r="FK18" s="32">
        <f>'New Formula with HB25-1320'!FK18</f>
        <v>1374.3</v>
      </c>
      <c r="FL18" s="32">
        <f>'New Formula with HB25-1320'!FL18</f>
        <v>2171.9</v>
      </c>
      <c r="FM18" s="32">
        <f>'New Formula with HB25-1320'!FM18</f>
        <v>1300.2</v>
      </c>
      <c r="FN18" s="32">
        <f>'New Formula with HB25-1320'!FN18</f>
        <v>15884.6</v>
      </c>
      <c r="FO18" s="32">
        <f>'New Formula with HB25-1320'!FO18</f>
        <v>578.4</v>
      </c>
      <c r="FP18" s="32">
        <f>'New Formula with HB25-1320'!FP18</f>
        <v>1343.2</v>
      </c>
      <c r="FQ18" s="32">
        <f>'New Formula with HB25-1320'!FQ18</f>
        <v>354</v>
      </c>
      <c r="FR18" s="32">
        <f>'New Formula with HB25-1320'!FR18</f>
        <v>44.2</v>
      </c>
      <c r="FS18" s="32">
        <f>'New Formula with HB25-1320'!FS18</f>
        <v>45</v>
      </c>
      <c r="FT18" s="32">
        <f>'New Formula with HB25-1320'!FT18</f>
        <v>32.1</v>
      </c>
      <c r="FU18" s="32">
        <f>'New Formula with HB25-1320'!FU18</f>
        <v>485.3</v>
      </c>
      <c r="FV18" s="32">
        <f>'New Formula with HB25-1320'!FV18</f>
        <v>434.2</v>
      </c>
      <c r="FW18" s="32">
        <f>'New Formula with HB25-1320'!FW18</f>
        <v>81.7</v>
      </c>
      <c r="FX18" s="32">
        <f>'New Formula with HB25-1320'!FX18</f>
        <v>29.3</v>
      </c>
      <c r="FY18" s="23"/>
      <c r="FZ18" s="23">
        <f t="shared" si="4"/>
        <v>387430.89999999997</v>
      </c>
      <c r="GA18" s="23"/>
      <c r="GB18" s="23"/>
      <c r="GC18" s="23"/>
      <c r="GD18" s="23"/>
      <c r="GE18" s="7"/>
      <c r="GF18" s="23"/>
      <c r="GG18" s="23"/>
      <c r="GH18" s="23"/>
      <c r="GI18" s="23"/>
      <c r="GJ18" s="23"/>
      <c r="GK18" s="23"/>
      <c r="GL18" s="3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</row>
    <row r="19" spans="1:207" ht="15" customHeight="1" x14ac:dyDescent="0.35">
      <c r="A19" s="92" t="s">
        <v>461</v>
      </c>
      <c r="B19" s="7" t="s">
        <v>470</v>
      </c>
      <c r="C19" s="93">
        <f t="shared" ref="C19:FX19" si="5">ROUND($FZ$137/$FZ$21,4)</f>
        <v>0.46529999999999999</v>
      </c>
      <c r="D19" s="31">
        <f t="shared" si="5"/>
        <v>0.46529999999999999</v>
      </c>
      <c r="E19" s="31">
        <f t="shared" si="5"/>
        <v>0.46529999999999999</v>
      </c>
      <c r="F19" s="31">
        <f t="shared" si="5"/>
        <v>0.46529999999999999</v>
      </c>
      <c r="G19" s="31">
        <f t="shared" si="5"/>
        <v>0.46529999999999999</v>
      </c>
      <c r="H19" s="31">
        <f t="shared" si="5"/>
        <v>0.46529999999999999</v>
      </c>
      <c r="I19" s="31">
        <f t="shared" si="5"/>
        <v>0.46529999999999999</v>
      </c>
      <c r="J19" s="31">
        <f t="shared" si="5"/>
        <v>0.46529999999999999</v>
      </c>
      <c r="K19" s="31">
        <f t="shared" si="5"/>
        <v>0.46529999999999999</v>
      </c>
      <c r="L19" s="31">
        <f t="shared" si="5"/>
        <v>0.46529999999999999</v>
      </c>
      <c r="M19" s="31">
        <f t="shared" si="5"/>
        <v>0.46529999999999999</v>
      </c>
      <c r="N19" s="31">
        <f t="shared" si="5"/>
        <v>0.46529999999999999</v>
      </c>
      <c r="O19" s="31">
        <f t="shared" si="5"/>
        <v>0.46529999999999999</v>
      </c>
      <c r="P19" s="31">
        <f t="shared" si="5"/>
        <v>0.46529999999999999</v>
      </c>
      <c r="Q19" s="31">
        <f t="shared" si="5"/>
        <v>0.46529999999999999</v>
      </c>
      <c r="R19" s="31">
        <f t="shared" si="5"/>
        <v>0.46529999999999999</v>
      </c>
      <c r="S19" s="31">
        <f t="shared" si="5"/>
        <v>0.46529999999999999</v>
      </c>
      <c r="T19" s="31">
        <f t="shared" si="5"/>
        <v>0.46529999999999999</v>
      </c>
      <c r="U19" s="31">
        <f t="shared" si="5"/>
        <v>0.46529999999999999</v>
      </c>
      <c r="V19" s="31">
        <f t="shared" si="5"/>
        <v>0.46529999999999999</v>
      </c>
      <c r="W19" s="31">
        <f t="shared" si="5"/>
        <v>0.46529999999999999</v>
      </c>
      <c r="X19" s="31">
        <f t="shared" si="5"/>
        <v>0.46529999999999999</v>
      </c>
      <c r="Y19" s="31">
        <f t="shared" si="5"/>
        <v>0.46529999999999999</v>
      </c>
      <c r="Z19" s="31">
        <f t="shared" si="5"/>
        <v>0.46529999999999999</v>
      </c>
      <c r="AA19" s="31">
        <f t="shared" si="5"/>
        <v>0.46529999999999999</v>
      </c>
      <c r="AB19" s="31">
        <f t="shared" si="5"/>
        <v>0.46529999999999999</v>
      </c>
      <c r="AC19" s="31">
        <f t="shared" si="5"/>
        <v>0.46529999999999999</v>
      </c>
      <c r="AD19" s="31">
        <f t="shared" si="5"/>
        <v>0.46529999999999999</v>
      </c>
      <c r="AE19" s="31">
        <f t="shared" si="5"/>
        <v>0.46529999999999999</v>
      </c>
      <c r="AF19" s="31">
        <f t="shared" si="5"/>
        <v>0.46529999999999999</v>
      </c>
      <c r="AG19" s="31">
        <f t="shared" si="5"/>
        <v>0.46529999999999999</v>
      </c>
      <c r="AH19" s="31">
        <f t="shared" si="5"/>
        <v>0.46529999999999999</v>
      </c>
      <c r="AI19" s="31">
        <f t="shared" si="5"/>
        <v>0.46529999999999999</v>
      </c>
      <c r="AJ19" s="31">
        <f t="shared" si="5"/>
        <v>0.46529999999999999</v>
      </c>
      <c r="AK19" s="31">
        <f t="shared" si="5"/>
        <v>0.46529999999999999</v>
      </c>
      <c r="AL19" s="31">
        <f t="shared" si="5"/>
        <v>0.46529999999999999</v>
      </c>
      <c r="AM19" s="31">
        <f t="shared" si="5"/>
        <v>0.46529999999999999</v>
      </c>
      <c r="AN19" s="31">
        <f t="shared" si="5"/>
        <v>0.46529999999999999</v>
      </c>
      <c r="AO19" s="31">
        <f t="shared" si="5"/>
        <v>0.46529999999999999</v>
      </c>
      <c r="AP19" s="31">
        <f t="shared" si="5"/>
        <v>0.46529999999999999</v>
      </c>
      <c r="AQ19" s="31">
        <f t="shared" si="5"/>
        <v>0.46529999999999999</v>
      </c>
      <c r="AR19" s="31">
        <f t="shared" si="5"/>
        <v>0.46529999999999999</v>
      </c>
      <c r="AS19" s="31">
        <f t="shared" si="5"/>
        <v>0.46529999999999999</v>
      </c>
      <c r="AT19" s="31">
        <f t="shared" si="5"/>
        <v>0.46529999999999999</v>
      </c>
      <c r="AU19" s="31">
        <f t="shared" si="5"/>
        <v>0.46529999999999999</v>
      </c>
      <c r="AV19" s="31">
        <f t="shared" si="5"/>
        <v>0.46529999999999999</v>
      </c>
      <c r="AW19" s="31">
        <f t="shared" si="5"/>
        <v>0.46529999999999999</v>
      </c>
      <c r="AX19" s="31">
        <f t="shared" si="5"/>
        <v>0.46529999999999999</v>
      </c>
      <c r="AY19" s="31">
        <f t="shared" si="5"/>
        <v>0.46529999999999999</v>
      </c>
      <c r="AZ19" s="31">
        <f t="shared" si="5"/>
        <v>0.46529999999999999</v>
      </c>
      <c r="BA19" s="31">
        <f t="shared" si="5"/>
        <v>0.46529999999999999</v>
      </c>
      <c r="BB19" s="31">
        <f t="shared" si="5"/>
        <v>0.46529999999999999</v>
      </c>
      <c r="BC19" s="31">
        <f t="shared" si="5"/>
        <v>0.46529999999999999</v>
      </c>
      <c r="BD19" s="31">
        <f t="shared" si="5"/>
        <v>0.46529999999999999</v>
      </c>
      <c r="BE19" s="31">
        <f t="shared" si="5"/>
        <v>0.46529999999999999</v>
      </c>
      <c r="BF19" s="31">
        <f t="shared" si="5"/>
        <v>0.46529999999999999</v>
      </c>
      <c r="BG19" s="31">
        <f t="shared" si="5"/>
        <v>0.46529999999999999</v>
      </c>
      <c r="BH19" s="31">
        <f t="shared" si="5"/>
        <v>0.46529999999999999</v>
      </c>
      <c r="BI19" s="31">
        <f t="shared" si="5"/>
        <v>0.46529999999999999</v>
      </c>
      <c r="BJ19" s="31">
        <f t="shared" si="5"/>
        <v>0.46529999999999999</v>
      </c>
      <c r="BK19" s="31">
        <f t="shared" si="5"/>
        <v>0.46529999999999999</v>
      </c>
      <c r="BL19" s="31">
        <f t="shared" si="5"/>
        <v>0.46529999999999999</v>
      </c>
      <c r="BM19" s="31">
        <f t="shared" si="5"/>
        <v>0.46529999999999999</v>
      </c>
      <c r="BN19" s="31">
        <f t="shared" si="5"/>
        <v>0.46529999999999999</v>
      </c>
      <c r="BO19" s="31">
        <f t="shared" si="5"/>
        <v>0.46529999999999999</v>
      </c>
      <c r="BP19" s="31">
        <f t="shared" si="5"/>
        <v>0.46529999999999999</v>
      </c>
      <c r="BQ19" s="31">
        <f t="shared" si="5"/>
        <v>0.46529999999999999</v>
      </c>
      <c r="BR19" s="31">
        <f t="shared" si="5"/>
        <v>0.46529999999999999</v>
      </c>
      <c r="BS19" s="31">
        <f t="shared" si="5"/>
        <v>0.46529999999999999</v>
      </c>
      <c r="BT19" s="31">
        <f t="shared" si="5"/>
        <v>0.46529999999999999</v>
      </c>
      <c r="BU19" s="31">
        <f t="shared" si="5"/>
        <v>0.46529999999999999</v>
      </c>
      <c r="BV19" s="31">
        <f t="shared" si="5"/>
        <v>0.46529999999999999</v>
      </c>
      <c r="BW19" s="31">
        <f t="shared" si="5"/>
        <v>0.46529999999999999</v>
      </c>
      <c r="BX19" s="31">
        <f t="shared" si="5"/>
        <v>0.46529999999999999</v>
      </c>
      <c r="BY19" s="31">
        <f t="shared" si="5"/>
        <v>0.46529999999999999</v>
      </c>
      <c r="BZ19" s="31">
        <f t="shared" si="5"/>
        <v>0.46529999999999999</v>
      </c>
      <c r="CA19" s="31">
        <f t="shared" si="5"/>
        <v>0.46529999999999999</v>
      </c>
      <c r="CB19" s="31">
        <f t="shared" si="5"/>
        <v>0.46529999999999999</v>
      </c>
      <c r="CC19" s="31">
        <f t="shared" si="5"/>
        <v>0.46529999999999999</v>
      </c>
      <c r="CD19" s="31">
        <f t="shared" si="5"/>
        <v>0.46529999999999999</v>
      </c>
      <c r="CE19" s="31">
        <f t="shared" si="5"/>
        <v>0.46529999999999999</v>
      </c>
      <c r="CF19" s="31">
        <f t="shared" si="5"/>
        <v>0.46529999999999999</v>
      </c>
      <c r="CG19" s="31">
        <f t="shared" si="5"/>
        <v>0.46529999999999999</v>
      </c>
      <c r="CH19" s="31">
        <f t="shared" si="5"/>
        <v>0.46529999999999999</v>
      </c>
      <c r="CI19" s="31">
        <f t="shared" si="5"/>
        <v>0.46529999999999999</v>
      </c>
      <c r="CJ19" s="31">
        <f t="shared" si="5"/>
        <v>0.46529999999999999</v>
      </c>
      <c r="CK19" s="31">
        <f t="shared" si="5"/>
        <v>0.46529999999999999</v>
      </c>
      <c r="CL19" s="31">
        <f t="shared" si="5"/>
        <v>0.46529999999999999</v>
      </c>
      <c r="CM19" s="31">
        <f t="shared" si="5"/>
        <v>0.46529999999999999</v>
      </c>
      <c r="CN19" s="31">
        <f t="shared" si="5"/>
        <v>0.46529999999999999</v>
      </c>
      <c r="CO19" s="31">
        <f t="shared" si="5"/>
        <v>0.46529999999999999</v>
      </c>
      <c r="CP19" s="31">
        <f t="shared" si="5"/>
        <v>0.46529999999999999</v>
      </c>
      <c r="CQ19" s="31">
        <f t="shared" si="5"/>
        <v>0.46529999999999999</v>
      </c>
      <c r="CR19" s="31">
        <f t="shared" si="5"/>
        <v>0.46529999999999999</v>
      </c>
      <c r="CS19" s="31">
        <f t="shared" si="5"/>
        <v>0.46529999999999999</v>
      </c>
      <c r="CT19" s="31">
        <f t="shared" si="5"/>
        <v>0.46529999999999999</v>
      </c>
      <c r="CU19" s="31">
        <f t="shared" si="5"/>
        <v>0.46529999999999999</v>
      </c>
      <c r="CV19" s="31">
        <f t="shared" si="5"/>
        <v>0.46529999999999999</v>
      </c>
      <c r="CW19" s="31">
        <f t="shared" si="5"/>
        <v>0.46529999999999999</v>
      </c>
      <c r="CX19" s="31">
        <f t="shared" si="5"/>
        <v>0.46529999999999999</v>
      </c>
      <c r="CY19" s="31">
        <f t="shared" si="5"/>
        <v>0.46529999999999999</v>
      </c>
      <c r="CZ19" s="31">
        <f t="shared" si="5"/>
        <v>0.46529999999999999</v>
      </c>
      <c r="DA19" s="31">
        <f t="shared" si="5"/>
        <v>0.46529999999999999</v>
      </c>
      <c r="DB19" s="31">
        <f t="shared" si="5"/>
        <v>0.46529999999999999</v>
      </c>
      <c r="DC19" s="31">
        <f t="shared" si="5"/>
        <v>0.46529999999999999</v>
      </c>
      <c r="DD19" s="31">
        <f t="shared" si="5"/>
        <v>0.46529999999999999</v>
      </c>
      <c r="DE19" s="31">
        <f t="shared" si="5"/>
        <v>0.46529999999999999</v>
      </c>
      <c r="DF19" s="31">
        <f t="shared" si="5"/>
        <v>0.46529999999999999</v>
      </c>
      <c r="DG19" s="31">
        <f t="shared" si="5"/>
        <v>0.46529999999999999</v>
      </c>
      <c r="DH19" s="31">
        <f t="shared" si="5"/>
        <v>0.46529999999999999</v>
      </c>
      <c r="DI19" s="31">
        <f t="shared" si="5"/>
        <v>0.46529999999999999</v>
      </c>
      <c r="DJ19" s="31">
        <f t="shared" si="5"/>
        <v>0.46529999999999999</v>
      </c>
      <c r="DK19" s="31">
        <f t="shared" si="5"/>
        <v>0.46529999999999999</v>
      </c>
      <c r="DL19" s="31">
        <f t="shared" si="5"/>
        <v>0.46529999999999999</v>
      </c>
      <c r="DM19" s="31">
        <f t="shared" si="5"/>
        <v>0.46529999999999999</v>
      </c>
      <c r="DN19" s="31">
        <f t="shared" si="5"/>
        <v>0.46529999999999999</v>
      </c>
      <c r="DO19" s="31">
        <f t="shared" si="5"/>
        <v>0.46529999999999999</v>
      </c>
      <c r="DP19" s="31">
        <f t="shared" si="5"/>
        <v>0.46529999999999999</v>
      </c>
      <c r="DQ19" s="31">
        <f t="shared" si="5"/>
        <v>0.46529999999999999</v>
      </c>
      <c r="DR19" s="31">
        <f t="shared" si="5"/>
        <v>0.46529999999999999</v>
      </c>
      <c r="DS19" s="31">
        <f t="shared" si="5"/>
        <v>0.46529999999999999</v>
      </c>
      <c r="DT19" s="31">
        <f t="shared" si="5"/>
        <v>0.46529999999999999</v>
      </c>
      <c r="DU19" s="31">
        <f t="shared" si="5"/>
        <v>0.46529999999999999</v>
      </c>
      <c r="DV19" s="31">
        <f t="shared" si="5"/>
        <v>0.46529999999999999</v>
      </c>
      <c r="DW19" s="31">
        <f t="shared" si="5"/>
        <v>0.46529999999999999</v>
      </c>
      <c r="DX19" s="31">
        <f t="shared" si="5"/>
        <v>0.46529999999999999</v>
      </c>
      <c r="DY19" s="31">
        <f t="shared" si="5"/>
        <v>0.46529999999999999</v>
      </c>
      <c r="DZ19" s="31">
        <f t="shared" si="5"/>
        <v>0.46529999999999999</v>
      </c>
      <c r="EA19" s="31">
        <f t="shared" si="5"/>
        <v>0.46529999999999999</v>
      </c>
      <c r="EB19" s="31">
        <f t="shared" si="5"/>
        <v>0.46529999999999999</v>
      </c>
      <c r="EC19" s="31">
        <f t="shared" si="5"/>
        <v>0.46529999999999999</v>
      </c>
      <c r="ED19" s="31">
        <f t="shared" si="5"/>
        <v>0.46529999999999999</v>
      </c>
      <c r="EE19" s="31">
        <f t="shared" si="5"/>
        <v>0.46529999999999999</v>
      </c>
      <c r="EF19" s="31">
        <f t="shared" si="5"/>
        <v>0.46529999999999999</v>
      </c>
      <c r="EG19" s="31">
        <f t="shared" si="5"/>
        <v>0.46529999999999999</v>
      </c>
      <c r="EH19" s="31">
        <f t="shared" si="5"/>
        <v>0.46529999999999999</v>
      </c>
      <c r="EI19" s="31">
        <f t="shared" si="5"/>
        <v>0.46529999999999999</v>
      </c>
      <c r="EJ19" s="31">
        <f t="shared" si="5"/>
        <v>0.46529999999999999</v>
      </c>
      <c r="EK19" s="31">
        <f t="shared" si="5"/>
        <v>0.46529999999999999</v>
      </c>
      <c r="EL19" s="31">
        <f t="shared" si="5"/>
        <v>0.46529999999999999</v>
      </c>
      <c r="EM19" s="31">
        <f t="shared" si="5"/>
        <v>0.46529999999999999</v>
      </c>
      <c r="EN19" s="31">
        <f t="shared" si="5"/>
        <v>0.46529999999999999</v>
      </c>
      <c r="EO19" s="31">
        <f t="shared" si="5"/>
        <v>0.46529999999999999</v>
      </c>
      <c r="EP19" s="31">
        <f t="shared" si="5"/>
        <v>0.46529999999999999</v>
      </c>
      <c r="EQ19" s="31">
        <f t="shared" si="5"/>
        <v>0.46529999999999999</v>
      </c>
      <c r="ER19" s="31">
        <f t="shared" si="5"/>
        <v>0.46529999999999999</v>
      </c>
      <c r="ES19" s="31">
        <f t="shared" si="5"/>
        <v>0.46529999999999999</v>
      </c>
      <c r="ET19" s="31">
        <f t="shared" si="5"/>
        <v>0.46529999999999999</v>
      </c>
      <c r="EU19" s="31">
        <f t="shared" si="5"/>
        <v>0.46529999999999999</v>
      </c>
      <c r="EV19" s="31">
        <f t="shared" si="5"/>
        <v>0.46529999999999999</v>
      </c>
      <c r="EW19" s="31">
        <f t="shared" si="5"/>
        <v>0.46529999999999999</v>
      </c>
      <c r="EX19" s="31">
        <f t="shared" si="5"/>
        <v>0.46529999999999999</v>
      </c>
      <c r="EY19" s="31">
        <f t="shared" si="5"/>
        <v>0.46529999999999999</v>
      </c>
      <c r="EZ19" s="31">
        <f t="shared" si="5"/>
        <v>0.46529999999999999</v>
      </c>
      <c r="FA19" s="31">
        <f t="shared" si="5"/>
        <v>0.46529999999999999</v>
      </c>
      <c r="FB19" s="31">
        <f t="shared" si="5"/>
        <v>0.46529999999999999</v>
      </c>
      <c r="FC19" s="31">
        <f t="shared" si="5"/>
        <v>0.46529999999999999</v>
      </c>
      <c r="FD19" s="31">
        <f t="shared" si="5"/>
        <v>0.46529999999999999</v>
      </c>
      <c r="FE19" s="31">
        <f t="shared" si="5"/>
        <v>0.46529999999999999</v>
      </c>
      <c r="FF19" s="31">
        <f t="shared" si="5"/>
        <v>0.46529999999999999</v>
      </c>
      <c r="FG19" s="31">
        <f t="shared" si="5"/>
        <v>0.46529999999999999</v>
      </c>
      <c r="FH19" s="31">
        <f t="shared" si="5"/>
        <v>0.46529999999999999</v>
      </c>
      <c r="FI19" s="31">
        <f t="shared" si="5"/>
        <v>0.46529999999999999</v>
      </c>
      <c r="FJ19" s="31">
        <f t="shared" si="5"/>
        <v>0.46529999999999999</v>
      </c>
      <c r="FK19" s="31">
        <f t="shared" si="5"/>
        <v>0.46529999999999999</v>
      </c>
      <c r="FL19" s="31">
        <f t="shared" si="5"/>
        <v>0.46529999999999999</v>
      </c>
      <c r="FM19" s="31">
        <f t="shared" si="5"/>
        <v>0.46529999999999999</v>
      </c>
      <c r="FN19" s="31">
        <f t="shared" si="5"/>
        <v>0.46529999999999999</v>
      </c>
      <c r="FO19" s="31">
        <f t="shared" si="5"/>
        <v>0.46529999999999999</v>
      </c>
      <c r="FP19" s="31">
        <f t="shared" si="5"/>
        <v>0.46529999999999999</v>
      </c>
      <c r="FQ19" s="31">
        <f t="shared" si="5"/>
        <v>0.46529999999999999</v>
      </c>
      <c r="FR19" s="31">
        <f t="shared" si="5"/>
        <v>0.46529999999999999</v>
      </c>
      <c r="FS19" s="31">
        <f t="shared" si="5"/>
        <v>0.46529999999999999</v>
      </c>
      <c r="FT19" s="31">
        <f t="shared" si="5"/>
        <v>0.46529999999999999</v>
      </c>
      <c r="FU19" s="31">
        <f t="shared" si="5"/>
        <v>0.46529999999999999</v>
      </c>
      <c r="FV19" s="31">
        <f t="shared" si="5"/>
        <v>0.46529999999999999</v>
      </c>
      <c r="FW19" s="31">
        <f t="shared" si="5"/>
        <v>0.46529999999999999</v>
      </c>
      <c r="FX19" s="31">
        <f t="shared" si="5"/>
        <v>0.46529999999999999</v>
      </c>
      <c r="FY19" s="31"/>
      <c r="FZ19" s="31">
        <f>FX19</f>
        <v>0.46529999999999999</v>
      </c>
      <c r="GA19" s="31"/>
      <c r="GB19" s="31"/>
      <c r="GC19" s="31"/>
      <c r="GD19" s="31"/>
      <c r="GE19" s="7"/>
      <c r="GF19" s="31"/>
      <c r="GG19" s="31"/>
      <c r="GH19" s="31"/>
      <c r="GI19" s="31"/>
      <c r="GJ19" s="31"/>
      <c r="GK19" s="31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</row>
    <row r="20" spans="1:207" ht="15" customHeight="1" x14ac:dyDescent="0.35">
      <c r="A20" s="12" t="s">
        <v>463</v>
      </c>
      <c r="B20" s="23" t="s">
        <v>472</v>
      </c>
      <c r="C20" s="32">
        <f>'New Formula with HB25-1320'!C20</f>
        <v>5936.4</v>
      </c>
      <c r="D20" s="32">
        <f>'New Formula with HB25-1320'!D20</f>
        <v>28893.599999999999</v>
      </c>
      <c r="E20" s="32">
        <f>'New Formula with HB25-1320'!E20</f>
        <v>4468.8</v>
      </c>
      <c r="F20" s="32">
        <f>'New Formula with HB25-1320'!F20</f>
        <v>15351.599999999999</v>
      </c>
      <c r="G20" s="32">
        <f>'New Formula with HB25-1320'!G20</f>
        <v>850.8</v>
      </c>
      <c r="H20" s="32">
        <f>'New Formula with HB25-1320'!H20</f>
        <v>794.4</v>
      </c>
      <c r="I20" s="32">
        <f>'New Formula with HB25-1320'!I20</f>
        <v>6464.4</v>
      </c>
      <c r="J20" s="32">
        <f>'New Formula with HB25-1320'!J20</f>
        <v>1663.2</v>
      </c>
      <c r="K20" s="32">
        <f>'New Formula with HB25-1320'!K20</f>
        <v>186</v>
      </c>
      <c r="L20" s="32">
        <f>'New Formula with HB25-1320'!L20</f>
        <v>1503.6</v>
      </c>
      <c r="M20" s="32">
        <f>'New Formula with HB25-1320'!M20</f>
        <v>685.19999999999993</v>
      </c>
      <c r="N20" s="32">
        <f>'New Formula with HB25-1320'!N20</f>
        <v>36894</v>
      </c>
      <c r="O20" s="32">
        <f>'New Formula with HB25-1320'!O20</f>
        <v>9018</v>
      </c>
      <c r="P20" s="32">
        <f>'New Formula with HB25-1320'!P20</f>
        <v>188.4</v>
      </c>
      <c r="Q20" s="32">
        <f>'New Formula with HB25-1320'!Q20</f>
        <v>28060.799999999999</v>
      </c>
      <c r="R20" s="32">
        <f>'New Formula with HB25-1320'!R20</f>
        <v>3002.4</v>
      </c>
      <c r="S20" s="32">
        <f>'New Formula with HB25-1320'!S20</f>
        <v>1274.3999999999999</v>
      </c>
      <c r="T20" s="32">
        <f>'New Formula with HB25-1320'!T20</f>
        <v>124.8</v>
      </c>
      <c r="U20" s="32">
        <f>'New Formula with HB25-1320'!U20</f>
        <v>37.199999999999996</v>
      </c>
      <c r="V20" s="32">
        <f>'New Formula with HB25-1320'!V20</f>
        <v>208.79999999999998</v>
      </c>
      <c r="W20" s="23">
        <f>'New Formula with HB25-1320'!W20</f>
        <v>181.2</v>
      </c>
      <c r="X20" s="32">
        <f>'New Formula with HB25-1320'!X20</f>
        <v>36</v>
      </c>
      <c r="Y20" s="32">
        <f>'New Formula with HB25-1320'!Y20</f>
        <v>460.79999999999995</v>
      </c>
      <c r="Z20" s="32">
        <f>'New Formula with HB25-1320'!Z20</f>
        <v>170.4</v>
      </c>
      <c r="AA20" s="32">
        <f>'New Formula with HB25-1320'!AA20</f>
        <v>22339.200000000001</v>
      </c>
      <c r="AB20" s="32">
        <f>'New Formula with HB25-1320'!AB20</f>
        <v>19311.599999999999</v>
      </c>
      <c r="AC20" s="32">
        <f>'New Formula with HB25-1320'!AC20</f>
        <v>718.8</v>
      </c>
      <c r="AD20" s="32">
        <f>'New Formula with HB25-1320'!AD20</f>
        <v>1010.4</v>
      </c>
      <c r="AE20" s="32">
        <f>'New Formula with HB25-1320'!AE20</f>
        <v>67.2</v>
      </c>
      <c r="AF20" s="32">
        <f>'New Formula with HB25-1320'!AF20</f>
        <v>141.6</v>
      </c>
      <c r="AG20" s="32">
        <f>'New Formula with HB25-1320'!AG20</f>
        <v>415.2</v>
      </c>
      <c r="AH20" s="32">
        <f>'New Formula with HB25-1320'!AH20</f>
        <v>710.4</v>
      </c>
      <c r="AI20" s="32">
        <f>'New Formula with HB25-1320'!AI20</f>
        <v>262.8</v>
      </c>
      <c r="AJ20" s="32">
        <f>'New Formula with HB25-1320'!AJ20</f>
        <v>108</v>
      </c>
      <c r="AK20" s="32">
        <f>'New Formula with HB25-1320'!AK20</f>
        <v>139.19999999999999</v>
      </c>
      <c r="AL20" s="32">
        <f>'New Formula with HB25-1320'!AL20</f>
        <v>169.2</v>
      </c>
      <c r="AM20" s="32">
        <f>'New Formula with HB25-1320'!AM20</f>
        <v>295.2</v>
      </c>
      <c r="AN20" s="32">
        <f>'New Formula with HB25-1320'!AN20</f>
        <v>248.39999999999998</v>
      </c>
      <c r="AO20" s="32">
        <f>'New Formula with HB25-1320'!AO20</f>
        <v>3228</v>
      </c>
      <c r="AP20" s="32">
        <f>'New Formula with HB25-1320'!AP20</f>
        <v>60844.799999999996</v>
      </c>
      <c r="AQ20" s="32">
        <f>'New Formula with HB25-1320'!AQ20</f>
        <v>171.6</v>
      </c>
      <c r="AR20" s="32">
        <f>'New Formula with HB25-1320'!AR20</f>
        <v>45588</v>
      </c>
      <c r="AS20" s="32">
        <f>'New Formula with HB25-1320'!AS20</f>
        <v>4693.2</v>
      </c>
      <c r="AT20" s="32">
        <f>'New Formula with HB25-1320'!AT20</f>
        <v>1702.8</v>
      </c>
      <c r="AU20" s="32">
        <f>'New Formula with HB25-1320'!AU20</f>
        <v>177.6</v>
      </c>
      <c r="AV20" s="32">
        <f>'New Formula with HB25-1320'!AV20</f>
        <v>230.39999999999998</v>
      </c>
      <c r="AW20" s="32">
        <f>'New Formula with HB25-1320'!AW20</f>
        <v>178.79999999999998</v>
      </c>
      <c r="AX20" s="32">
        <f>'New Formula with HB25-1320'!AX20</f>
        <v>61.199999999999996</v>
      </c>
      <c r="AY20" s="32">
        <f>'New Formula with HB25-1320'!AY20</f>
        <v>319.2</v>
      </c>
      <c r="AZ20" s="32">
        <f>'New Formula with HB25-1320'!AZ20</f>
        <v>10087.199999999999</v>
      </c>
      <c r="BA20" s="32">
        <f>'New Formula with HB25-1320'!BA20</f>
        <v>6768</v>
      </c>
      <c r="BB20" s="32">
        <f>'New Formula with HB25-1320'!BB20</f>
        <v>6028.8</v>
      </c>
      <c r="BC20" s="32">
        <f>'New Formula with HB25-1320'!BC20</f>
        <v>19404</v>
      </c>
      <c r="BD20" s="32">
        <f>'New Formula with HB25-1320'!BD20</f>
        <v>2425.1999999999998</v>
      </c>
      <c r="BE20" s="32">
        <f>'New Formula with HB25-1320'!BE20</f>
        <v>919.19999999999993</v>
      </c>
      <c r="BF20" s="32">
        <f>'New Formula with HB25-1320'!BF20</f>
        <v>18489.599999999999</v>
      </c>
      <c r="BG20" s="32">
        <f>'New Formula with HB25-1320'!BG20</f>
        <v>656.4</v>
      </c>
      <c r="BH20" s="32">
        <f>'New Formula with HB25-1320'!BH20</f>
        <v>358.8</v>
      </c>
      <c r="BI20" s="32">
        <f>'New Formula with HB25-1320'!BI20</f>
        <v>177.6</v>
      </c>
      <c r="BJ20" s="32">
        <f>'New Formula with HB25-1320'!BJ20</f>
        <v>4314</v>
      </c>
      <c r="BK20" s="32">
        <f>'New Formula with HB25-1320'!BK20</f>
        <v>14372.4</v>
      </c>
      <c r="BL20" s="32">
        <f>'New Formula with HB25-1320'!BL20</f>
        <v>57.599999999999994</v>
      </c>
      <c r="BM20" s="32">
        <f>'New Formula with HB25-1320'!BM20</f>
        <v>207.6</v>
      </c>
      <c r="BN20" s="32">
        <f>'New Formula with HB25-1320'!BN20</f>
        <v>2450.4</v>
      </c>
      <c r="BO20" s="32">
        <f>'New Formula with HB25-1320'!BO20</f>
        <v>1017.5999999999999</v>
      </c>
      <c r="BP20" s="32">
        <f>'New Formula with HB25-1320'!BP20</f>
        <v>153.6</v>
      </c>
      <c r="BQ20" s="32">
        <f>'New Formula with HB25-1320'!BQ20</f>
        <v>4099.2</v>
      </c>
      <c r="BR20" s="32">
        <f>'New Formula with HB25-1320'!BR20</f>
        <v>3291.6</v>
      </c>
      <c r="BS20" s="32">
        <f>'New Formula with HB25-1320'!BS20</f>
        <v>853.19999999999993</v>
      </c>
      <c r="BT20" s="32">
        <f>'New Formula with HB25-1320'!BT20</f>
        <v>291.59999999999997</v>
      </c>
      <c r="BU20" s="32">
        <f>'New Formula with HB25-1320'!BU20</f>
        <v>290.39999999999998</v>
      </c>
      <c r="BV20" s="32">
        <f>'New Formula with HB25-1320'!BV20</f>
        <v>890.4</v>
      </c>
      <c r="BW20" s="32">
        <f>'New Formula with HB25-1320'!BW20</f>
        <v>1508.3999999999999</v>
      </c>
      <c r="BX20" s="32">
        <f>'New Formula with HB25-1320'!BX20</f>
        <v>45.6</v>
      </c>
      <c r="BY20" s="32">
        <f>'New Formula with HB25-1320'!BY20</f>
        <v>372</v>
      </c>
      <c r="BZ20" s="32">
        <f>'New Formula with HB25-1320'!BZ20</f>
        <v>128.4</v>
      </c>
      <c r="CA20" s="32">
        <f>'New Formula with HB25-1320'!CA20</f>
        <v>106.8</v>
      </c>
      <c r="CB20" s="32">
        <f>'New Formula with HB25-1320'!CB20</f>
        <v>54669.599999999999</v>
      </c>
      <c r="CC20" s="32">
        <f>'New Formula with HB25-1320'!CC20</f>
        <v>139.19999999999999</v>
      </c>
      <c r="CD20" s="32">
        <f>'New Formula with HB25-1320'!CD20</f>
        <v>122.39999999999999</v>
      </c>
      <c r="CE20" s="32">
        <f>'New Formula with HB25-1320'!CE20</f>
        <v>96</v>
      </c>
      <c r="CF20" s="32">
        <f>'New Formula with HB25-1320'!CF20</f>
        <v>99.6</v>
      </c>
      <c r="CG20" s="32">
        <f>'New Formula with HB25-1320'!CG20</f>
        <v>148.79999999999998</v>
      </c>
      <c r="CH20" s="32">
        <f>'New Formula with HB25-1320'!CH20</f>
        <v>66</v>
      </c>
      <c r="CI20" s="32">
        <f>'New Formula with HB25-1320'!CI20</f>
        <v>511.2</v>
      </c>
      <c r="CJ20" s="32">
        <f>'New Formula with HB25-1320'!CJ20</f>
        <v>643.19999999999993</v>
      </c>
      <c r="CK20" s="32">
        <f>'New Formula with HB25-1320'!CK20</f>
        <v>4425.5999999999995</v>
      </c>
      <c r="CL20" s="32">
        <f>'New Formula with HB25-1320'!CL20</f>
        <v>985.19999999999993</v>
      </c>
      <c r="CM20" s="32">
        <f>'New Formula with HB25-1320'!CM20</f>
        <v>456</v>
      </c>
      <c r="CN20" s="32">
        <f>'New Formula with HB25-1320'!CN20</f>
        <v>23926.799999999999</v>
      </c>
      <c r="CO20" s="32">
        <f>'New Formula with HB25-1320'!CO20</f>
        <v>10768.8</v>
      </c>
      <c r="CP20" s="32">
        <f>'New Formula with HB25-1320'!CP20</f>
        <v>679.19999999999993</v>
      </c>
      <c r="CQ20" s="32">
        <f>'New Formula with HB25-1320'!CQ20</f>
        <v>577.19999999999993</v>
      </c>
      <c r="CR20" s="32">
        <f>'New Formula with HB25-1320'!CR20</f>
        <v>177.6</v>
      </c>
      <c r="CS20" s="32">
        <f>'New Formula with HB25-1320'!CS20</f>
        <v>240</v>
      </c>
      <c r="CT20" s="32">
        <f>'New Formula with HB25-1320'!CT20</f>
        <v>80.399999999999991</v>
      </c>
      <c r="CU20" s="32">
        <f>'New Formula with HB25-1320'!CU20</f>
        <v>340.8</v>
      </c>
      <c r="CV20" s="32">
        <f>'New Formula with HB25-1320'!CV20</f>
        <v>14.399999999999999</v>
      </c>
      <c r="CW20" s="32">
        <f>'New Formula with HB25-1320'!CW20</f>
        <v>150</v>
      </c>
      <c r="CX20" s="32">
        <f>'New Formula with HB25-1320'!CX20</f>
        <v>315.59999999999997</v>
      </c>
      <c r="CY20" s="32">
        <f>'New Formula with HB25-1320'!CY20</f>
        <v>26.4</v>
      </c>
      <c r="CZ20" s="32">
        <f>'New Formula with HB25-1320'!CZ20</f>
        <v>1434</v>
      </c>
      <c r="DA20" s="32">
        <f>'New Formula with HB25-1320'!DA20</f>
        <v>154.79999999999998</v>
      </c>
      <c r="DB20" s="32">
        <f>'New Formula with HB25-1320'!DB20</f>
        <v>228</v>
      </c>
      <c r="DC20" s="32">
        <f>'New Formula with HB25-1320'!DC20</f>
        <v>115.19999999999999</v>
      </c>
      <c r="DD20" s="32">
        <f>'New Formula with HB25-1320'!DD20</f>
        <v>126</v>
      </c>
      <c r="DE20" s="32">
        <f>'New Formula with HB25-1320'!DE20</f>
        <v>177.6</v>
      </c>
      <c r="DF20" s="32">
        <f>'New Formula with HB25-1320'!DF20</f>
        <v>15525.599999999999</v>
      </c>
      <c r="DG20" s="32">
        <f>'New Formula with HB25-1320'!DG20</f>
        <v>56.4</v>
      </c>
      <c r="DH20" s="32">
        <f>'New Formula with HB25-1320'!DH20</f>
        <v>1485.6</v>
      </c>
      <c r="DI20" s="32">
        <f>'New Formula with HB25-1320'!DI20</f>
        <v>1899.6</v>
      </c>
      <c r="DJ20" s="32">
        <f>'New Formula with HB25-1320'!DJ20</f>
        <v>543.6</v>
      </c>
      <c r="DK20" s="32">
        <f>'New Formula with HB25-1320'!DK20</f>
        <v>338.4</v>
      </c>
      <c r="DL20" s="32">
        <f>'New Formula with HB25-1320'!DL20</f>
        <v>4126.8</v>
      </c>
      <c r="DM20" s="32">
        <f>'New Formula with HB25-1320'!DM20</f>
        <v>174</v>
      </c>
      <c r="DN20" s="32">
        <f>'New Formula with HB25-1320'!DN20</f>
        <v>985.19999999999993</v>
      </c>
      <c r="DO20" s="32">
        <f>'New Formula with HB25-1320'!DO20</f>
        <v>2394</v>
      </c>
      <c r="DP20" s="32">
        <f>'New Formula with HB25-1320'!DP20</f>
        <v>163.19999999999999</v>
      </c>
      <c r="DQ20" s="32">
        <f>'New Formula with HB25-1320'!DQ20</f>
        <v>570</v>
      </c>
      <c r="DR20" s="32">
        <f>'New Formula with HB25-1320'!DR20</f>
        <v>1002</v>
      </c>
      <c r="DS20" s="32">
        <f>'New Formula with HB25-1320'!DS20</f>
        <v>495.59999999999997</v>
      </c>
      <c r="DT20" s="32">
        <f>'New Formula with HB25-1320'!DT20</f>
        <v>106.8</v>
      </c>
      <c r="DU20" s="32">
        <f>'New Formula with HB25-1320'!DU20</f>
        <v>266.39999999999998</v>
      </c>
      <c r="DV20" s="32">
        <f>'New Formula with HB25-1320'!DV20</f>
        <v>160.79999999999998</v>
      </c>
      <c r="DW20" s="32">
        <f>'New Formula with HB25-1320'!DW20</f>
        <v>235.2</v>
      </c>
      <c r="DX20" s="32">
        <f>'New Formula with HB25-1320'!DX20</f>
        <v>136.79999999999998</v>
      </c>
      <c r="DY20" s="32">
        <f>'New Formula with HB25-1320'!DY20</f>
        <v>223.2</v>
      </c>
      <c r="DZ20" s="32">
        <f>'New Formula with HB25-1320'!DZ20</f>
        <v>536.4</v>
      </c>
      <c r="EA20" s="32">
        <f>'New Formula with HB25-1320'!EA20</f>
        <v>430.8</v>
      </c>
      <c r="EB20" s="32">
        <f>'New Formula with HB25-1320'!EB20</f>
        <v>394.8</v>
      </c>
      <c r="EC20" s="32">
        <f>'New Formula with HB25-1320'!EC20</f>
        <v>222</v>
      </c>
      <c r="ED20" s="32">
        <f>'New Formula with HB25-1320'!ED20</f>
        <v>1160.3999999999999</v>
      </c>
      <c r="EE20" s="32">
        <f>'New Formula with HB25-1320'!EE20</f>
        <v>122.39999999999999</v>
      </c>
      <c r="EF20" s="32">
        <f>'New Formula with HB25-1320'!EF20</f>
        <v>1033.2</v>
      </c>
      <c r="EG20" s="32">
        <f>'New Formula with HB25-1320'!EG20</f>
        <v>186</v>
      </c>
      <c r="EH20" s="32">
        <f>'New Formula with HB25-1320'!EH20</f>
        <v>198</v>
      </c>
      <c r="EI20" s="32">
        <f>'New Formula with HB25-1320'!EI20</f>
        <v>10844.4</v>
      </c>
      <c r="EJ20" s="32">
        <f>'New Formula with HB25-1320'!EJ20</f>
        <v>7365.5999999999995</v>
      </c>
      <c r="EK20" s="32">
        <f>'New Formula with HB25-1320'!EK20</f>
        <v>490.79999999999995</v>
      </c>
      <c r="EL20" s="32">
        <f>'New Formula with HB25-1320'!EL20</f>
        <v>357.59999999999997</v>
      </c>
      <c r="EM20" s="32">
        <f>'New Formula with HB25-1320'!EM20</f>
        <v>310.8</v>
      </c>
      <c r="EN20" s="32">
        <f>'New Formula with HB25-1320'!EN20</f>
        <v>699.6</v>
      </c>
      <c r="EO20" s="32">
        <f>'New Formula with HB25-1320'!EO20</f>
        <v>244.79999999999998</v>
      </c>
      <c r="EP20" s="32">
        <f>'New Formula with HB25-1320'!EP20</f>
        <v>316.8</v>
      </c>
      <c r="EQ20" s="32">
        <f>'New Formula with HB25-1320'!EQ20</f>
        <v>1966.8</v>
      </c>
      <c r="ER20" s="32">
        <f>'New Formula with HB25-1320'!ER20</f>
        <v>212.4</v>
      </c>
      <c r="ES20" s="32">
        <f>'New Formula with HB25-1320'!ES20</f>
        <v>134.4</v>
      </c>
      <c r="ET20" s="32">
        <f>'New Formula with HB25-1320'!ET20</f>
        <v>158.4</v>
      </c>
      <c r="EU20" s="32">
        <f>'New Formula with HB25-1320'!EU20</f>
        <v>408</v>
      </c>
      <c r="EV20" s="32">
        <f>'New Formula with HB25-1320'!EV20</f>
        <v>60</v>
      </c>
      <c r="EW20" s="32">
        <f>'New Formula with HB25-1320'!EW20</f>
        <v>604.79999999999995</v>
      </c>
      <c r="EX20" s="32">
        <f>'New Formula with HB25-1320'!EX20</f>
        <v>140.4</v>
      </c>
      <c r="EY20" s="32">
        <f>'New Formula with HB25-1320'!EY20</f>
        <v>393.59999999999997</v>
      </c>
      <c r="EZ20" s="32">
        <f>'New Formula with HB25-1320'!EZ20</f>
        <v>99.6</v>
      </c>
      <c r="FA20" s="32">
        <f>'New Formula with HB25-1320'!FA20</f>
        <v>2515.1999999999998</v>
      </c>
      <c r="FB20" s="32">
        <f>'New Formula with HB25-1320'!FB20</f>
        <v>220.79999999999998</v>
      </c>
      <c r="FC20" s="32">
        <f>'New Formula with HB25-1320'!FC20</f>
        <v>1204.8</v>
      </c>
      <c r="FD20" s="32">
        <f>'New Formula with HB25-1320'!FD20</f>
        <v>306</v>
      </c>
      <c r="FE20" s="32">
        <f>'New Formula with HB25-1320'!FE20</f>
        <v>56.4</v>
      </c>
      <c r="FF20" s="32">
        <f>'New Formula with HB25-1320'!FF20</f>
        <v>146.4</v>
      </c>
      <c r="FG20" s="32">
        <f>'New Formula with HB25-1320'!FG20</f>
        <v>92.399999999999991</v>
      </c>
      <c r="FH20" s="32">
        <f>'New Formula with HB25-1320'!FH20</f>
        <v>57.599999999999994</v>
      </c>
      <c r="FI20" s="32">
        <f>'New Formula with HB25-1320'!FI20</f>
        <v>1282.8</v>
      </c>
      <c r="FJ20" s="32">
        <f>'New Formula with HB25-1320'!FJ20</f>
        <v>1510.8</v>
      </c>
      <c r="FK20" s="32">
        <f>'New Formula with HB25-1320'!FK20</f>
        <v>1927.1999999999998</v>
      </c>
      <c r="FL20" s="32">
        <f>'New Formula with HB25-1320'!FL20</f>
        <v>5967.5999999999995</v>
      </c>
      <c r="FM20" s="32">
        <f>'New Formula with HB25-1320'!FM20</f>
        <v>2769.6</v>
      </c>
      <c r="FN20" s="32">
        <f>'New Formula with HB25-1320'!FN20</f>
        <v>15997.199999999999</v>
      </c>
      <c r="FO20" s="32">
        <f>'New Formula with HB25-1320'!FO20</f>
        <v>782.4</v>
      </c>
      <c r="FP20" s="32">
        <f>'New Formula with HB25-1320'!FP20</f>
        <v>1665.6</v>
      </c>
      <c r="FQ20" s="32">
        <f>'New Formula with HB25-1320'!FQ20</f>
        <v>739.19999999999993</v>
      </c>
      <c r="FR20" s="32">
        <f>'New Formula with HB25-1320'!FR20</f>
        <v>116.39999999999999</v>
      </c>
      <c r="FS20" s="32">
        <f>'New Formula with HB25-1320'!FS20</f>
        <v>141.6</v>
      </c>
      <c r="FT20" s="32">
        <f>'New Formula with HB25-1320'!FT20</f>
        <v>48</v>
      </c>
      <c r="FU20" s="32">
        <f>'New Formula with HB25-1320'!FU20</f>
        <v>598.79999999999995</v>
      </c>
      <c r="FV20" s="32">
        <f>'New Formula with HB25-1320'!FV20</f>
        <v>510</v>
      </c>
      <c r="FW20" s="32">
        <f>'New Formula with HB25-1320'!FW20</f>
        <v>120</v>
      </c>
      <c r="FX20" s="32">
        <f>'New Formula with HB25-1320'!FX20</f>
        <v>50.4</v>
      </c>
      <c r="FY20" s="32"/>
      <c r="FZ20" s="23">
        <f t="shared" ref="FZ20:FZ21" si="6">SUM(C20:FX20)</f>
        <v>610058.40000000037</v>
      </c>
      <c r="GA20" s="23"/>
      <c r="GB20" s="23"/>
      <c r="GC20" s="23"/>
      <c r="GD20" s="23"/>
      <c r="GE20" s="7"/>
      <c r="GF20" s="23"/>
      <c r="GG20" s="23"/>
      <c r="GH20" s="23"/>
      <c r="GI20" s="23"/>
      <c r="GJ20" s="23"/>
      <c r="GK20" s="23"/>
    </row>
    <row r="21" spans="1:207" ht="15.5" x14ac:dyDescent="0.35">
      <c r="A21" s="12" t="s">
        <v>465</v>
      </c>
      <c r="B21" s="23" t="s">
        <v>474</v>
      </c>
      <c r="C21" s="23">
        <v>6521.9</v>
      </c>
      <c r="D21" s="32">
        <v>37131</v>
      </c>
      <c r="E21" s="32">
        <v>5325.4</v>
      </c>
      <c r="F21" s="32">
        <v>24415.1</v>
      </c>
      <c r="G21" s="32">
        <v>1843.9</v>
      </c>
      <c r="H21" s="32">
        <v>1071</v>
      </c>
      <c r="I21" s="32">
        <v>7793.9</v>
      </c>
      <c r="J21" s="32">
        <v>1989</v>
      </c>
      <c r="K21" s="32">
        <v>249</v>
      </c>
      <c r="L21" s="32">
        <v>2088</v>
      </c>
      <c r="M21" s="32">
        <v>849.1</v>
      </c>
      <c r="N21" s="32">
        <v>50247.4</v>
      </c>
      <c r="O21" s="32">
        <v>12370.9</v>
      </c>
      <c r="P21" s="32">
        <v>312</v>
      </c>
      <c r="Q21" s="32">
        <v>40045.800000000003</v>
      </c>
      <c r="R21" s="32">
        <v>7394.8</v>
      </c>
      <c r="S21" s="32">
        <v>1584.6</v>
      </c>
      <c r="T21" s="32">
        <v>160</v>
      </c>
      <c r="U21" s="32">
        <v>54</v>
      </c>
      <c r="V21" s="32">
        <v>253.5</v>
      </c>
      <c r="W21" s="23">
        <v>47.5</v>
      </c>
      <c r="X21" s="32">
        <v>40.1</v>
      </c>
      <c r="Y21" s="32">
        <v>873.5</v>
      </c>
      <c r="Z21" s="32">
        <v>231</v>
      </c>
      <c r="AA21" s="32">
        <v>31076.5</v>
      </c>
      <c r="AB21" s="32">
        <v>26859.5</v>
      </c>
      <c r="AC21" s="32">
        <v>847.5</v>
      </c>
      <c r="AD21" s="32">
        <v>1446.7</v>
      </c>
      <c r="AE21" s="32">
        <v>97</v>
      </c>
      <c r="AF21" s="32">
        <v>164.5</v>
      </c>
      <c r="AG21" s="32">
        <v>585.5</v>
      </c>
      <c r="AH21" s="32">
        <v>908</v>
      </c>
      <c r="AI21" s="32">
        <v>383</v>
      </c>
      <c r="AJ21" s="32">
        <v>181.5</v>
      </c>
      <c r="AK21" s="32">
        <v>159.5</v>
      </c>
      <c r="AL21" s="32">
        <v>285.5</v>
      </c>
      <c r="AM21" s="32">
        <v>306.89999999999998</v>
      </c>
      <c r="AN21" s="32">
        <v>270.5</v>
      </c>
      <c r="AO21" s="32">
        <v>4120.8999999999996</v>
      </c>
      <c r="AP21" s="32">
        <v>84094.399999999994</v>
      </c>
      <c r="AQ21" s="32">
        <v>251.5</v>
      </c>
      <c r="AR21" s="32">
        <v>61239.4</v>
      </c>
      <c r="AS21" s="32">
        <v>6270.2</v>
      </c>
      <c r="AT21" s="32">
        <v>2557</v>
      </c>
      <c r="AU21" s="32">
        <v>268</v>
      </c>
      <c r="AV21" s="32">
        <v>296</v>
      </c>
      <c r="AW21" s="32">
        <v>257</v>
      </c>
      <c r="AX21" s="32">
        <v>81</v>
      </c>
      <c r="AY21" s="32">
        <v>391.5</v>
      </c>
      <c r="AZ21" s="32">
        <v>12089.4</v>
      </c>
      <c r="BA21" s="32">
        <v>9089.7999999999993</v>
      </c>
      <c r="BB21" s="32">
        <v>7468.1</v>
      </c>
      <c r="BC21" s="32">
        <v>24680.9</v>
      </c>
      <c r="BD21" s="32">
        <v>3641</v>
      </c>
      <c r="BE21" s="32">
        <v>1092</v>
      </c>
      <c r="BF21" s="32">
        <v>26268.9</v>
      </c>
      <c r="BG21" s="32">
        <v>921</v>
      </c>
      <c r="BH21" s="32">
        <v>577.79999999999995</v>
      </c>
      <c r="BI21" s="32">
        <v>254.5</v>
      </c>
      <c r="BJ21" s="32">
        <v>6427.3</v>
      </c>
      <c r="BK21" s="32">
        <v>27836.5</v>
      </c>
      <c r="BL21" s="32">
        <v>90.2</v>
      </c>
      <c r="BM21" s="32">
        <v>360</v>
      </c>
      <c r="BN21" s="32">
        <v>3048.4</v>
      </c>
      <c r="BO21" s="32">
        <v>1189</v>
      </c>
      <c r="BP21" s="32">
        <v>137</v>
      </c>
      <c r="BQ21" s="32">
        <v>5703.4</v>
      </c>
      <c r="BR21" s="32">
        <v>4382.3999999999996</v>
      </c>
      <c r="BS21" s="32">
        <v>1140.9000000000001</v>
      </c>
      <c r="BT21" s="32">
        <v>353.5</v>
      </c>
      <c r="BU21" s="32">
        <v>383</v>
      </c>
      <c r="BV21" s="32">
        <v>1244.5</v>
      </c>
      <c r="BW21" s="32">
        <v>2022.5</v>
      </c>
      <c r="BX21" s="32">
        <v>57</v>
      </c>
      <c r="BY21" s="32">
        <v>393.5</v>
      </c>
      <c r="BZ21" s="32">
        <v>228</v>
      </c>
      <c r="CA21" s="32">
        <v>141.5</v>
      </c>
      <c r="CB21" s="32">
        <v>73091.199999999997</v>
      </c>
      <c r="CC21" s="32">
        <v>186</v>
      </c>
      <c r="CD21" s="32">
        <v>30</v>
      </c>
      <c r="CE21" s="32">
        <v>159.5</v>
      </c>
      <c r="CF21" s="32">
        <v>100</v>
      </c>
      <c r="CG21" s="32">
        <v>192.5</v>
      </c>
      <c r="CH21" s="32">
        <v>90</v>
      </c>
      <c r="CI21" s="32">
        <v>683</v>
      </c>
      <c r="CJ21" s="32">
        <v>823</v>
      </c>
      <c r="CK21" s="32">
        <v>4858.6000000000004</v>
      </c>
      <c r="CL21" s="32">
        <v>1155.0999999999999</v>
      </c>
      <c r="CM21" s="32">
        <v>617</v>
      </c>
      <c r="CN21" s="32">
        <v>30506.799999999999</v>
      </c>
      <c r="CO21" s="32">
        <v>14126.2</v>
      </c>
      <c r="CP21" s="32">
        <v>898.4</v>
      </c>
      <c r="CQ21" s="32">
        <v>759</v>
      </c>
      <c r="CR21" s="32">
        <v>195.5</v>
      </c>
      <c r="CS21" s="32">
        <v>246.4</v>
      </c>
      <c r="CT21" s="32">
        <v>112</v>
      </c>
      <c r="CU21" s="32">
        <v>465</v>
      </c>
      <c r="CV21" s="32">
        <v>24</v>
      </c>
      <c r="CW21" s="32">
        <v>186.1</v>
      </c>
      <c r="CX21" s="32">
        <v>457.5</v>
      </c>
      <c r="CY21" s="32">
        <v>25.5</v>
      </c>
      <c r="CZ21" s="32">
        <v>1771</v>
      </c>
      <c r="DA21" s="32">
        <v>204</v>
      </c>
      <c r="DB21" s="32">
        <v>310.5</v>
      </c>
      <c r="DC21" s="32">
        <v>193</v>
      </c>
      <c r="DD21" s="32">
        <v>175.5</v>
      </c>
      <c r="DE21" s="32">
        <v>280</v>
      </c>
      <c r="DF21" s="32">
        <v>20837.599999999999</v>
      </c>
      <c r="DG21" s="32">
        <v>93.5</v>
      </c>
      <c r="DH21" s="32">
        <v>1688</v>
      </c>
      <c r="DI21" s="32">
        <v>2353</v>
      </c>
      <c r="DJ21" s="32">
        <v>599</v>
      </c>
      <c r="DK21" s="32">
        <v>472.5</v>
      </c>
      <c r="DL21" s="32">
        <v>5635.8</v>
      </c>
      <c r="DM21" s="32">
        <v>236</v>
      </c>
      <c r="DN21" s="32">
        <v>1282.8</v>
      </c>
      <c r="DO21" s="32">
        <v>3281.4</v>
      </c>
      <c r="DP21" s="32">
        <v>199</v>
      </c>
      <c r="DQ21" s="32">
        <v>876.4</v>
      </c>
      <c r="DR21" s="32">
        <v>1266.5</v>
      </c>
      <c r="DS21" s="32">
        <v>545</v>
      </c>
      <c r="DT21" s="32">
        <v>176</v>
      </c>
      <c r="DU21" s="32">
        <v>346</v>
      </c>
      <c r="DV21" s="32">
        <v>198.5</v>
      </c>
      <c r="DW21" s="32">
        <v>285.5</v>
      </c>
      <c r="DX21" s="32">
        <v>168</v>
      </c>
      <c r="DY21" s="32">
        <v>280</v>
      </c>
      <c r="DZ21" s="32">
        <v>606.5</v>
      </c>
      <c r="EA21" s="32">
        <v>508.5</v>
      </c>
      <c r="EB21" s="32">
        <v>499.5</v>
      </c>
      <c r="EC21" s="32">
        <v>260.5</v>
      </c>
      <c r="ED21" s="32">
        <v>1550</v>
      </c>
      <c r="EE21" s="32">
        <v>185.5</v>
      </c>
      <c r="EF21" s="32">
        <v>1262</v>
      </c>
      <c r="EG21" s="32">
        <v>250</v>
      </c>
      <c r="EH21" s="32">
        <v>246</v>
      </c>
      <c r="EI21" s="32">
        <v>13296.3</v>
      </c>
      <c r="EJ21" s="32">
        <v>10001.9</v>
      </c>
      <c r="EK21" s="32">
        <v>666.1</v>
      </c>
      <c r="EL21" s="32">
        <v>447</v>
      </c>
      <c r="EM21" s="32">
        <v>350.1</v>
      </c>
      <c r="EN21" s="32">
        <v>920.3</v>
      </c>
      <c r="EO21" s="32">
        <v>287</v>
      </c>
      <c r="EP21" s="32">
        <v>429</v>
      </c>
      <c r="EQ21" s="32">
        <v>2516.4</v>
      </c>
      <c r="ER21" s="32">
        <v>309.5</v>
      </c>
      <c r="ES21" s="32">
        <v>206.6</v>
      </c>
      <c r="ET21" s="32">
        <v>200.1</v>
      </c>
      <c r="EU21" s="32">
        <v>568</v>
      </c>
      <c r="EV21" s="32">
        <v>66</v>
      </c>
      <c r="EW21" s="32">
        <v>746.5</v>
      </c>
      <c r="EX21" s="32">
        <v>173.5</v>
      </c>
      <c r="EY21" s="32">
        <v>649.70000000000005</v>
      </c>
      <c r="EZ21" s="32">
        <v>127</v>
      </c>
      <c r="FA21" s="32">
        <v>3261.9</v>
      </c>
      <c r="FB21" s="32">
        <v>268.5</v>
      </c>
      <c r="FC21" s="32">
        <v>1694.6</v>
      </c>
      <c r="FD21" s="32">
        <v>399</v>
      </c>
      <c r="FE21" s="32">
        <v>70</v>
      </c>
      <c r="FF21" s="32">
        <v>175</v>
      </c>
      <c r="FG21" s="32">
        <v>114</v>
      </c>
      <c r="FH21" s="32">
        <v>69</v>
      </c>
      <c r="FI21" s="32">
        <v>1642.5</v>
      </c>
      <c r="FJ21" s="32">
        <v>2007.5</v>
      </c>
      <c r="FK21" s="32">
        <v>2477</v>
      </c>
      <c r="FL21" s="32">
        <v>8544.1</v>
      </c>
      <c r="FM21" s="32">
        <v>3967.8</v>
      </c>
      <c r="FN21" s="32">
        <v>22829.200000000001</v>
      </c>
      <c r="FO21" s="32">
        <v>1120</v>
      </c>
      <c r="FP21" s="32">
        <v>2343</v>
      </c>
      <c r="FQ21" s="32">
        <v>984</v>
      </c>
      <c r="FR21" s="32">
        <v>157.1</v>
      </c>
      <c r="FS21" s="32">
        <v>160.5</v>
      </c>
      <c r="FT21" s="32">
        <v>54</v>
      </c>
      <c r="FU21" s="32">
        <v>760.5</v>
      </c>
      <c r="FV21" s="32">
        <v>696.5</v>
      </c>
      <c r="FW21" s="32">
        <v>130</v>
      </c>
      <c r="FX21" s="32">
        <v>64</v>
      </c>
      <c r="FY21" s="23"/>
      <c r="FZ21" s="23">
        <f t="shared" si="6"/>
        <v>832575.40000000014</v>
      </c>
      <c r="GA21" s="23"/>
      <c r="GB21" s="23"/>
      <c r="GC21" s="23"/>
      <c r="GD21" s="33"/>
      <c r="GE21" s="7"/>
      <c r="GF21" s="33"/>
      <c r="GG21" s="33"/>
      <c r="GH21" s="33"/>
      <c r="GI21" s="33"/>
      <c r="GJ21" s="33"/>
      <c r="GK21" s="33"/>
    </row>
    <row r="22" spans="1:207" ht="15.5" x14ac:dyDescent="0.35">
      <c r="A22" s="92" t="s">
        <v>467</v>
      </c>
      <c r="B22" s="7" t="s">
        <v>476</v>
      </c>
      <c r="C22" s="23">
        <f>'New Formula with HB25-1320'!C22</f>
        <v>0</v>
      </c>
      <c r="D22" s="23">
        <f>'New Formula with HB25-1320'!D22</f>
        <v>3770</v>
      </c>
      <c r="E22" s="23">
        <f>'New Formula with HB25-1320'!E22</f>
        <v>0</v>
      </c>
      <c r="F22" s="23">
        <f>'New Formula with HB25-1320'!F22</f>
        <v>4259</v>
      </c>
      <c r="G22" s="23">
        <f>'New Formula with HB25-1320'!G22</f>
        <v>495</v>
      </c>
      <c r="H22" s="23">
        <f>'New Formula with HB25-1320'!H22</f>
        <v>0</v>
      </c>
      <c r="I22" s="23">
        <f>'New Formula with HB25-1320'!I22</f>
        <v>0</v>
      </c>
      <c r="J22" s="23">
        <f>'New Formula with HB25-1320'!J22</f>
        <v>0</v>
      </c>
      <c r="K22" s="23">
        <f>'New Formula with HB25-1320'!K22</f>
        <v>0</v>
      </c>
      <c r="L22" s="23">
        <f>'New Formula with HB25-1320'!L22</f>
        <v>0</v>
      </c>
      <c r="M22" s="23">
        <f>'New Formula with HB25-1320'!M22</f>
        <v>0</v>
      </c>
      <c r="N22" s="23">
        <f>'New Formula with HB25-1320'!N22</f>
        <v>1133</v>
      </c>
      <c r="O22" s="23">
        <f>'New Formula with HB25-1320'!O22</f>
        <v>922</v>
      </c>
      <c r="P22" s="23">
        <f>'New Formula with HB25-1320'!P22</f>
        <v>0</v>
      </c>
      <c r="Q22" s="23">
        <f>'New Formula with HB25-1320'!Q22</f>
        <v>5887</v>
      </c>
      <c r="R22" s="23">
        <f>'New Formula with HB25-1320'!R22</f>
        <v>0</v>
      </c>
      <c r="S22" s="23">
        <f>'New Formula with HB25-1320'!S22</f>
        <v>110</v>
      </c>
      <c r="T22" s="23">
        <f>'New Formula with HB25-1320'!T22</f>
        <v>0</v>
      </c>
      <c r="U22" s="23">
        <f>'New Formula with HB25-1320'!U22</f>
        <v>0</v>
      </c>
      <c r="V22" s="23">
        <f>'New Formula with HB25-1320'!V22</f>
        <v>0</v>
      </c>
      <c r="W22" s="23">
        <f>'New Formula with HB25-1320'!W22</f>
        <v>0</v>
      </c>
      <c r="X22" s="23">
        <f>'New Formula with HB25-1320'!X22</f>
        <v>0</v>
      </c>
      <c r="Y22" s="23">
        <f>'New Formula with HB25-1320'!Y22</f>
        <v>0</v>
      </c>
      <c r="Z22" s="23">
        <f>'New Formula with HB25-1320'!Z22</f>
        <v>0</v>
      </c>
      <c r="AA22" s="23">
        <f>'New Formula with HB25-1320'!AA22</f>
        <v>3209</v>
      </c>
      <c r="AB22" s="23">
        <f>'New Formula with HB25-1320'!AB22</f>
        <v>2379.5</v>
      </c>
      <c r="AC22" s="23">
        <f>'New Formula with HB25-1320'!AC22</f>
        <v>0</v>
      </c>
      <c r="AD22" s="23">
        <f>'New Formula with HB25-1320'!AD22</f>
        <v>0</v>
      </c>
      <c r="AE22" s="23">
        <f>'New Formula with HB25-1320'!AE22</f>
        <v>0</v>
      </c>
      <c r="AF22" s="23">
        <f>'New Formula with HB25-1320'!AF22</f>
        <v>0</v>
      </c>
      <c r="AG22" s="23">
        <f>'New Formula with HB25-1320'!AG22</f>
        <v>69</v>
      </c>
      <c r="AH22" s="23">
        <f>'New Formula with HB25-1320'!AH22</f>
        <v>0</v>
      </c>
      <c r="AI22" s="23">
        <f>'New Formula with HB25-1320'!AI22</f>
        <v>0</v>
      </c>
      <c r="AJ22" s="23">
        <f>'New Formula with HB25-1320'!AJ22</f>
        <v>0</v>
      </c>
      <c r="AK22" s="23">
        <f>'New Formula with HB25-1320'!AK22</f>
        <v>0</v>
      </c>
      <c r="AL22" s="23">
        <f>'New Formula with HB25-1320'!AL22</f>
        <v>0</v>
      </c>
      <c r="AM22" s="23">
        <f>'New Formula with HB25-1320'!AM22</f>
        <v>0</v>
      </c>
      <c r="AN22" s="23">
        <f>'New Formula with HB25-1320'!AN22</f>
        <v>0</v>
      </c>
      <c r="AO22" s="23">
        <f>'New Formula with HB25-1320'!AO22</f>
        <v>370.5</v>
      </c>
      <c r="AP22" s="23">
        <f>'New Formula with HB25-1320'!AP22</f>
        <v>20182</v>
      </c>
      <c r="AQ22" s="23">
        <f>'New Formula with HB25-1320'!AQ22</f>
        <v>0</v>
      </c>
      <c r="AR22" s="23">
        <f>'New Formula with HB25-1320'!AR22</f>
        <v>15630.5</v>
      </c>
      <c r="AS22" s="23">
        <f>'New Formula with HB25-1320'!AS22</f>
        <v>360</v>
      </c>
      <c r="AT22" s="23">
        <f>'New Formula with HB25-1320'!AT22</f>
        <v>490.5</v>
      </c>
      <c r="AU22" s="23">
        <f>'New Formula with HB25-1320'!AU22</f>
        <v>0</v>
      </c>
      <c r="AV22" s="23">
        <f>'New Formula with HB25-1320'!AV22</f>
        <v>0</v>
      </c>
      <c r="AW22" s="23">
        <f>'New Formula with HB25-1320'!AW22</f>
        <v>0</v>
      </c>
      <c r="AX22" s="23">
        <f>'New Formula with HB25-1320'!AX22</f>
        <v>0</v>
      </c>
      <c r="AY22" s="23">
        <f>'New Formula with HB25-1320'!AY22</f>
        <v>0</v>
      </c>
      <c r="AZ22" s="23">
        <f>'New Formula with HB25-1320'!AZ22</f>
        <v>4118.5</v>
      </c>
      <c r="BA22" s="23">
        <f>'New Formula with HB25-1320'!BA22</f>
        <v>72</v>
      </c>
      <c r="BB22" s="23">
        <f>'New Formula with HB25-1320'!BB22</f>
        <v>0</v>
      </c>
      <c r="BC22" s="23">
        <f>'New Formula with HB25-1320'!BC22</f>
        <v>2369.5</v>
      </c>
      <c r="BD22" s="23">
        <f>'New Formula with HB25-1320'!BD22</f>
        <v>0</v>
      </c>
      <c r="BE22" s="23">
        <f>'New Formula with HB25-1320'!BE22</f>
        <v>0</v>
      </c>
      <c r="BF22" s="23">
        <f>'New Formula with HB25-1320'!BF22</f>
        <v>4104.5</v>
      </c>
      <c r="BG22" s="23">
        <f>'New Formula with HB25-1320'!BG22</f>
        <v>0</v>
      </c>
      <c r="BH22" s="23">
        <f>'New Formula with HB25-1320'!BH22</f>
        <v>0</v>
      </c>
      <c r="BI22" s="23">
        <f>'New Formula with HB25-1320'!BI22</f>
        <v>0</v>
      </c>
      <c r="BJ22" s="23">
        <f>'New Formula with HB25-1320'!BJ22</f>
        <v>1099</v>
      </c>
      <c r="BK22" s="23">
        <f>'New Formula with HB25-1320'!BK22</f>
        <v>12574</v>
      </c>
      <c r="BL22" s="23">
        <f>'New Formula with HB25-1320'!BL22</f>
        <v>0</v>
      </c>
      <c r="BM22" s="23">
        <f>'New Formula with HB25-1320'!BM22</f>
        <v>0</v>
      </c>
      <c r="BN22" s="23">
        <f>'New Formula with HB25-1320'!BN22</f>
        <v>250</v>
      </c>
      <c r="BO22" s="23">
        <f>'New Formula with HB25-1320'!BO22</f>
        <v>0</v>
      </c>
      <c r="BP22" s="23">
        <f>'New Formula with HB25-1320'!BP22</f>
        <v>0</v>
      </c>
      <c r="BQ22" s="23">
        <f>'New Formula with HB25-1320'!BQ22</f>
        <v>531</v>
      </c>
      <c r="BR22" s="23">
        <f>'New Formula with HB25-1320'!BR22</f>
        <v>0</v>
      </c>
      <c r="BS22" s="23">
        <f>'New Formula with HB25-1320'!BS22</f>
        <v>0</v>
      </c>
      <c r="BT22" s="23">
        <f>'New Formula with HB25-1320'!BT22</f>
        <v>0</v>
      </c>
      <c r="BU22" s="23">
        <f>'New Formula with HB25-1320'!BU22</f>
        <v>0</v>
      </c>
      <c r="BV22" s="23">
        <f>'New Formula with HB25-1320'!BV22</f>
        <v>0</v>
      </c>
      <c r="BW22" s="23">
        <f>'New Formula with HB25-1320'!BW22</f>
        <v>34</v>
      </c>
      <c r="BX22" s="23">
        <f>'New Formula with HB25-1320'!BX22</f>
        <v>0</v>
      </c>
      <c r="BY22" s="23">
        <f>'New Formula with HB25-1320'!BY22</f>
        <v>71.5</v>
      </c>
      <c r="BZ22" s="23">
        <f>'New Formula with HB25-1320'!BZ22</f>
        <v>0</v>
      </c>
      <c r="CA22" s="23">
        <f>'New Formula with HB25-1320'!CA22</f>
        <v>0</v>
      </c>
      <c r="CB22" s="23">
        <f>'New Formula with HB25-1320'!CB22</f>
        <v>7842.5</v>
      </c>
      <c r="CC22" s="23">
        <f>'New Formula with HB25-1320'!CC22</f>
        <v>0</v>
      </c>
      <c r="CD22" s="23">
        <f>'New Formula with HB25-1320'!CD22</f>
        <v>0</v>
      </c>
      <c r="CE22" s="23">
        <f>'New Formula with HB25-1320'!CE22</f>
        <v>0</v>
      </c>
      <c r="CF22" s="23">
        <f>'New Formula with HB25-1320'!CF22</f>
        <v>0</v>
      </c>
      <c r="CG22" s="23">
        <f>'New Formula with HB25-1320'!CG22</f>
        <v>0</v>
      </c>
      <c r="CH22" s="23">
        <f>'New Formula with HB25-1320'!CH22</f>
        <v>0</v>
      </c>
      <c r="CI22" s="23">
        <f>'New Formula with HB25-1320'!CI22</f>
        <v>0</v>
      </c>
      <c r="CJ22" s="23">
        <f>'New Formula with HB25-1320'!CJ22</f>
        <v>0</v>
      </c>
      <c r="CK22" s="23">
        <f>'New Formula with HB25-1320'!CK22</f>
        <v>171</v>
      </c>
      <c r="CL22" s="23">
        <f>'New Formula with HB25-1320'!CL22</f>
        <v>0</v>
      </c>
      <c r="CM22" s="23">
        <f>'New Formula with HB25-1320'!CM22</f>
        <v>0</v>
      </c>
      <c r="CN22" s="23">
        <f>'New Formula with HB25-1320'!CN22</f>
        <v>2843.5</v>
      </c>
      <c r="CO22" s="23">
        <f>'New Formula with HB25-1320'!CO22</f>
        <v>2019</v>
      </c>
      <c r="CP22" s="23">
        <f>'New Formula with HB25-1320'!CP22</f>
        <v>0</v>
      </c>
      <c r="CQ22" s="23">
        <f>'New Formula with HB25-1320'!CQ22</f>
        <v>0</v>
      </c>
      <c r="CR22" s="23">
        <f>'New Formula with HB25-1320'!CR22</f>
        <v>0</v>
      </c>
      <c r="CS22" s="23">
        <f>'New Formula with HB25-1320'!CS22</f>
        <v>0</v>
      </c>
      <c r="CT22" s="23">
        <f>'New Formula with HB25-1320'!CT22</f>
        <v>0</v>
      </c>
      <c r="CU22" s="23">
        <f>'New Formula with HB25-1320'!CU22</f>
        <v>0</v>
      </c>
      <c r="CV22" s="23">
        <f>'New Formula with HB25-1320'!CV22</f>
        <v>0</v>
      </c>
      <c r="CW22" s="23">
        <f>'New Formula with HB25-1320'!CW22</f>
        <v>0</v>
      </c>
      <c r="CX22" s="23">
        <f>'New Formula with HB25-1320'!CX22</f>
        <v>0</v>
      </c>
      <c r="CY22" s="23">
        <f>'New Formula with HB25-1320'!CY22</f>
        <v>0</v>
      </c>
      <c r="CZ22" s="23">
        <f>'New Formula with HB25-1320'!CZ22</f>
        <v>0</v>
      </c>
      <c r="DA22" s="23">
        <f>'New Formula with HB25-1320'!DA22</f>
        <v>0</v>
      </c>
      <c r="DB22" s="23">
        <f>'New Formula with HB25-1320'!DB22</f>
        <v>0</v>
      </c>
      <c r="DC22" s="23">
        <f>'New Formula with HB25-1320'!DC22</f>
        <v>0</v>
      </c>
      <c r="DD22" s="23">
        <f>'New Formula with HB25-1320'!DD22</f>
        <v>0</v>
      </c>
      <c r="DE22" s="23">
        <f>'New Formula with HB25-1320'!DE22</f>
        <v>0</v>
      </c>
      <c r="DF22" s="23">
        <f>'New Formula with HB25-1320'!DF22</f>
        <v>1074</v>
      </c>
      <c r="DG22" s="23">
        <f>'New Formula with HB25-1320'!DG22</f>
        <v>0</v>
      </c>
      <c r="DH22" s="23">
        <f>'New Formula with HB25-1320'!DH22</f>
        <v>0</v>
      </c>
      <c r="DI22" s="23">
        <f>'New Formula with HB25-1320'!DI22</f>
        <v>386</v>
      </c>
      <c r="DJ22" s="23">
        <f>'New Formula with HB25-1320'!DJ22</f>
        <v>0</v>
      </c>
      <c r="DK22" s="23">
        <f>'New Formula with HB25-1320'!DK22</f>
        <v>0</v>
      </c>
      <c r="DL22" s="23">
        <f>'New Formula with HB25-1320'!DL22</f>
        <v>172</v>
      </c>
      <c r="DM22" s="23">
        <f>'New Formula with HB25-1320'!DM22</f>
        <v>0</v>
      </c>
      <c r="DN22" s="23">
        <f>'New Formula with HB25-1320'!DN22</f>
        <v>0</v>
      </c>
      <c r="DO22" s="23">
        <f>'New Formula with HB25-1320'!DO22</f>
        <v>0</v>
      </c>
      <c r="DP22" s="23">
        <f>'New Formula with HB25-1320'!DP22</f>
        <v>0</v>
      </c>
      <c r="DQ22" s="23">
        <f>'New Formula with HB25-1320'!DQ22</f>
        <v>0</v>
      </c>
      <c r="DR22" s="23">
        <f>'New Formula with HB25-1320'!DR22</f>
        <v>0</v>
      </c>
      <c r="DS22" s="23">
        <f>'New Formula with HB25-1320'!DS22</f>
        <v>0</v>
      </c>
      <c r="DT22" s="23">
        <f>'New Formula with HB25-1320'!DT22</f>
        <v>0</v>
      </c>
      <c r="DU22" s="23">
        <f>'New Formula with HB25-1320'!DU22</f>
        <v>0</v>
      </c>
      <c r="DV22" s="23">
        <f>'New Formula with HB25-1320'!DV22</f>
        <v>0</v>
      </c>
      <c r="DW22" s="23">
        <f>'New Formula with HB25-1320'!DW22</f>
        <v>0</v>
      </c>
      <c r="DX22" s="23">
        <f>'New Formula with HB25-1320'!DX22</f>
        <v>0</v>
      </c>
      <c r="DY22" s="23">
        <f>'New Formula with HB25-1320'!DY22</f>
        <v>0</v>
      </c>
      <c r="DZ22" s="23">
        <f>'New Formula with HB25-1320'!DZ22</f>
        <v>0</v>
      </c>
      <c r="EA22" s="23">
        <f>'New Formula with HB25-1320'!EA22</f>
        <v>161</v>
      </c>
      <c r="EB22" s="23">
        <f>'New Formula with HB25-1320'!EB22</f>
        <v>0</v>
      </c>
      <c r="EC22" s="23">
        <f>'New Formula with HB25-1320'!EC22</f>
        <v>0</v>
      </c>
      <c r="ED22" s="23">
        <f>'New Formula with HB25-1320'!ED22</f>
        <v>135</v>
      </c>
      <c r="EE22" s="23">
        <f>'New Formula with HB25-1320'!EE22</f>
        <v>0</v>
      </c>
      <c r="EF22" s="23">
        <f>'New Formula with HB25-1320'!EF22</f>
        <v>133</v>
      </c>
      <c r="EG22" s="23">
        <f>'New Formula with HB25-1320'!EG22</f>
        <v>0</v>
      </c>
      <c r="EH22" s="23">
        <f>'New Formula with HB25-1320'!EH22</f>
        <v>0</v>
      </c>
      <c r="EI22" s="23">
        <f>'New Formula with HB25-1320'!EI22</f>
        <v>1491</v>
      </c>
      <c r="EJ22" s="23">
        <f>'New Formula with HB25-1320'!EJ22</f>
        <v>1546</v>
      </c>
      <c r="EK22" s="23">
        <f>'New Formula with HB25-1320'!EK22</f>
        <v>0</v>
      </c>
      <c r="EL22" s="23">
        <f>'New Formula with HB25-1320'!EL22</f>
        <v>0</v>
      </c>
      <c r="EM22" s="23">
        <f>'New Formula with HB25-1320'!EM22</f>
        <v>0</v>
      </c>
      <c r="EN22" s="23">
        <f>'New Formula with HB25-1320'!EN22</f>
        <v>0</v>
      </c>
      <c r="EO22" s="23">
        <f>'New Formula with HB25-1320'!EO22</f>
        <v>0</v>
      </c>
      <c r="EP22" s="23">
        <f>'New Formula with HB25-1320'!EP22</f>
        <v>0</v>
      </c>
      <c r="EQ22" s="23">
        <f>'New Formula with HB25-1320'!EQ22</f>
        <v>85.5</v>
      </c>
      <c r="ER22" s="23">
        <f>'New Formula with HB25-1320'!ER22</f>
        <v>0</v>
      </c>
      <c r="ES22" s="23">
        <f>'New Formula with HB25-1320'!ES22</f>
        <v>0</v>
      </c>
      <c r="ET22" s="23">
        <f>'New Formula with HB25-1320'!ET22</f>
        <v>100</v>
      </c>
      <c r="EU22" s="23">
        <f>'New Formula with HB25-1320'!EU22</f>
        <v>0</v>
      </c>
      <c r="EV22" s="23">
        <f>'New Formula with HB25-1320'!EV22</f>
        <v>0</v>
      </c>
      <c r="EW22" s="23">
        <f>'New Formula with HB25-1320'!EW22</f>
        <v>0</v>
      </c>
      <c r="EX22" s="23">
        <f>'New Formula with HB25-1320'!EX22</f>
        <v>0</v>
      </c>
      <c r="EY22" s="23">
        <f>'New Formula with HB25-1320'!EY22</f>
        <v>0</v>
      </c>
      <c r="EZ22" s="23">
        <f>'New Formula with HB25-1320'!EZ22</f>
        <v>0</v>
      </c>
      <c r="FA22" s="23">
        <f>'New Formula with HB25-1320'!FA22</f>
        <v>0</v>
      </c>
      <c r="FB22" s="23">
        <f>'New Formula with HB25-1320'!FB22</f>
        <v>0</v>
      </c>
      <c r="FC22" s="23">
        <f>'New Formula with HB25-1320'!FC22</f>
        <v>452</v>
      </c>
      <c r="FD22" s="23">
        <f>'New Formula with HB25-1320'!FD22</f>
        <v>0</v>
      </c>
      <c r="FE22" s="23">
        <f>'New Formula with HB25-1320'!FE22</f>
        <v>0</v>
      </c>
      <c r="FF22" s="23">
        <f>'New Formula with HB25-1320'!FF22</f>
        <v>0</v>
      </c>
      <c r="FG22" s="23">
        <f>'New Formula with HB25-1320'!FG22</f>
        <v>0</v>
      </c>
      <c r="FH22" s="23">
        <f>'New Formula with HB25-1320'!FH22</f>
        <v>0</v>
      </c>
      <c r="FI22" s="23">
        <f>'New Formula with HB25-1320'!FI22</f>
        <v>0</v>
      </c>
      <c r="FJ22" s="23">
        <f>'New Formula with HB25-1320'!FJ22</f>
        <v>0</v>
      </c>
      <c r="FK22" s="23">
        <f>'New Formula with HB25-1320'!FK22</f>
        <v>182</v>
      </c>
      <c r="FL22" s="23">
        <f>'New Formula with HB25-1320'!FL22</f>
        <v>2030</v>
      </c>
      <c r="FM22" s="23">
        <f>'New Formula with HB25-1320'!FM22</f>
        <v>551</v>
      </c>
      <c r="FN22" s="23">
        <f>'New Formula with HB25-1320'!FN22</f>
        <v>4978</v>
      </c>
      <c r="FO22" s="23">
        <f>'New Formula with HB25-1320'!FO22</f>
        <v>0</v>
      </c>
      <c r="FP22" s="23">
        <f>'New Formula with HB25-1320'!FP22</f>
        <v>0</v>
      </c>
      <c r="FQ22" s="23">
        <f>'New Formula with HB25-1320'!FQ22</f>
        <v>0</v>
      </c>
      <c r="FR22" s="23">
        <f>'New Formula with HB25-1320'!FR22</f>
        <v>0</v>
      </c>
      <c r="FS22" s="23">
        <f>'New Formula with HB25-1320'!FS22</f>
        <v>0</v>
      </c>
      <c r="FT22" s="23">
        <f>'New Formula with HB25-1320'!FT22</f>
        <v>0</v>
      </c>
      <c r="FU22" s="23">
        <f>'New Formula with HB25-1320'!FU22</f>
        <v>0</v>
      </c>
      <c r="FV22" s="23">
        <f>'New Formula with HB25-1320'!FV22</f>
        <v>0</v>
      </c>
      <c r="FW22" s="23">
        <f>'New Formula with HB25-1320'!FW22</f>
        <v>0</v>
      </c>
      <c r="FX22" s="23">
        <f>'New Formula with HB25-1320'!FX22</f>
        <v>0</v>
      </c>
      <c r="FY22" s="23"/>
      <c r="FZ22" s="23">
        <f>SUM(C22:FY22)</f>
        <v>110843.5</v>
      </c>
      <c r="GA22" s="23"/>
      <c r="GB22" s="23"/>
      <c r="GC22" s="23"/>
      <c r="GD22" s="23"/>
      <c r="GE22" s="7"/>
      <c r="GF22" s="7"/>
      <c r="GG22" s="7"/>
      <c r="GH22" s="7"/>
      <c r="GI22" s="7"/>
      <c r="GJ22" s="7"/>
      <c r="GK22" s="7"/>
    </row>
    <row r="23" spans="1:207" ht="15.5" x14ac:dyDescent="0.35">
      <c r="A23" s="92" t="s">
        <v>469</v>
      </c>
      <c r="B23" s="7" t="s">
        <v>478</v>
      </c>
      <c r="C23" s="35">
        <f>'New Formula with HB25-1320'!C23</f>
        <v>6556</v>
      </c>
      <c r="D23" s="35">
        <f>'New Formula with HB25-1320'!D23</f>
        <v>39211.699999999997</v>
      </c>
      <c r="E23" s="35">
        <f>'New Formula with HB25-1320'!E23</f>
        <v>6031.7</v>
      </c>
      <c r="F23" s="35">
        <f>'New Formula with HB25-1320'!F23</f>
        <v>23565.3</v>
      </c>
      <c r="G23" s="35">
        <f>'New Formula with HB25-1320'!G23</f>
        <v>1550.5</v>
      </c>
      <c r="H23" s="35">
        <f>'New Formula with HB25-1320'!H23</f>
        <v>1112</v>
      </c>
      <c r="I23" s="35">
        <f>'New Formula with HB25-1320'!I23</f>
        <v>8326</v>
      </c>
      <c r="J23" s="35">
        <f>'New Formula with HB25-1320'!J23</f>
        <v>2101.4</v>
      </c>
      <c r="K23" s="35">
        <f>'New Formula with HB25-1320'!K23</f>
        <v>270</v>
      </c>
      <c r="L23" s="35">
        <f>'New Formula with HB25-1320'!L23</f>
        <v>2192.6</v>
      </c>
      <c r="M23" s="35">
        <f>'New Formula with HB25-1320'!M23</f>
        <v>1008.8</v>
      </c>
      <c r="N23" s="35">
        <f>'New Formula with HB25-1320'!N23</f>
        <v>50909.1</v>
      </c>
      <c r="O23" s="35">
        <f>'New Formula with HB25-1320'!O23</f>
        <v>13189.5</v>
      </c>
      <c r="P23" s="35">
        <f>'New Formula with HB25-1320'!P23</f>
        <v>347</v>
      </c>
      <c r="Q23" s="35">
        <f>'New Formula with HB25-1320'!Q23</f>
        <v>37905.300000000003</v>
      </c>
      <c r="R23" s="35">
        <f>'New Formula with HB25-1320'!R23</f>
        <v>6074.5</v>
      </c>
      <c r="S23" s="35">
        <f>'New Formula with HB25-1320'!S23</f>
        <v>1606.3</v>
      </c>
      <c r="T23" s="35">
        <f>'New Formula with HB25-1320'!T23</f>
        <v>162.80000000000001</v>
      </c>
      <c r="U23" s="35">
        <f>'New Formula with HB25-1320'!U23</f>
        <v>51.7</v>
      </c>
      <c r="V23" s="35">
        <f>'New Formula with HB25-1320'!V23</f>
        <v>260.60000000000002</v>
      </c>
      <c r="W23" s="35">
        <f>'New Formula with HB25-1320'!W23</f>
        <v>208.9</v>
      </c>
      <c r="X23" s="35">
        <f>'New Formula with HB25-1320'!X23</f>
        <v>50</v>
      </c>
      <c r="Y23" s="35">
        <f>'New Formula with HB25-1320'!Y23</f>
        <v>948.7</v>
      </c>
      <c r="Z23" s="35">
        <f>'New Formula with HB25-1320'!Z23</f>
        <v>230.5</v>
      </c>
      <c r="AA23" s="35">
        <f>'New Formula with HB25-1320'!AA23</f>
        <v>31024.400000000001</v>
      </c>
      <c r="AB23" s="35">
        <f>'New Formula with HB25-1320'!AB23</f>
        <v>27406</v>
      </c>
      <c r="AC23" s="35">
        <f>'New Formula with HB25-1320'!AC23</f>
        <v>932.5</v>
      </c>
      <c r="AD23" s="35">
        <f>'New Formula with HB25-1320'!AD23</f>
        <v>1411.6</v>
      </c>
      <c r="AE23" s="35">
        <f>'New Formula with HB25-1320'!AE23</f>
        <v>94</v>
      </c>
      <c r="AF23" s="35">
        <f>'New Formula with HB25-1320'!AF23</f>
        <v>172</v>
      </c>
      <c r="AG23" s="35">
        <f>'New Formula with HB25-1320'!AG23</f>
        <v>612.29999999999995</v>
      </c>
      <c r="AH23" s="35">
        <f>'New Formula with HB25-1320'!AH23</f>
        <v>977.5</v>
      </c>
      <c r="AI23" s="35">
        <f>'New Formula with HB25-1320'!AI23</f>
        <v>400</v>
      </c>
      <c r="AJ23" s="35">
        <f>'New Formula with HB25-1320'!AJ23</f>
        <v>166</v>
      </c>
      <c r="AK23" s="35">
        <f>'New Formula with HB25-1320'!AK23</f>
        <v>170.4</v>
      </c>
      <c r="AL23" s="35">
        <f>'New Formula with HB25-1320'!AL23</f>
        <v>282</v>
      </c>
      <c r="AM23" s="35">
        <f>'New Formula with HB25-1320'!AM23</f>
        <v>371.8</v>
      </c>
      <c r="AN23" s="35">
        <f>'New Formula with HB25-1320'!AN23</f>
        <v>314.3</v>
      </c>
      <c r="AO23" s="35">
        <f>'New Formula with HB25-1320'!AO23</f>
        <v>4353.3999999999996</v>
      </c>
      <c r="AP23" s="35">
        <f>'New Formula with HB25-1320'!AP23</f>
        <v>83844</v>
      </c>
      <c r="AQ23" s="35">
        <f>'New Formula with HB25-1320'!AQ23</f>
        <v>237.8</v>
      </c>
      <c r="AR23" s="35">
        <f>'New Formula with HB25-1320'!AR23</f>
        <v>62998.26</v>
      </c>
      <c r="AS23" s="35">
        <f>'New Formula with HB25-1320'!AS23</f>
        <v>6617.4</v>
      </c>
      <c r="AT23" s="35">
        <f>'New Formula with HB25-1320'!AT23</f>
        <v>2651.4</v>
      </c>
      <c r="AU23" s="35">
        <f>'New Formula with HB25-1320'!AU23</f>
        <v>305.5</v>
      </c>
      <c r="AV23" s="35">
        <f>'New Formula with HB25-1320'!AV23</f>
        <v>307.5</v>
      </c>
      <c r="AW23" s="35">
        <f>'New Formula with HB25-1320'!AW23</f>
        <v>255.8</v>
      </c>
      <c r="AX23" s="35">
        <f>'New Formula with HB25-1320'!AX23</f>
        <v>66.3</v>
      </c>
      <c r="AY23" s="35">
        <f>'New Formula with HB25-1320'!AY23</f>
        <v>424.3</v>
      </c>
      <c r="AZ23" s="35">
        <f>'New Formula with HB25-1320'!AZ23</f>
        <v>12382</v>
      </c>
      <c r="BA23" s="35">
        <f>'New Formula with HB25-1320'!BA23</f>
        <v>9172.2999999999993</v>
      </c>
      <c r="BB23" s="35">
        <f>'New Formula with HB25-1320'!BB23</f>
        <v>7569.5</v>
      </c>
      <c r="BC23" s="35">
        <f>'New Formula with HB25-1320'!BC23</f>
        <v>25829.3</v>
      </c>
      <c r="BD23" s="35">
        <f>'New Formula with HB25-1320'!BD23</f>
        <v>3635</v>
      </c>
      <c r="BE23" s="35">
        <f>'New Formula with HB25-1320'!BE23</f>
        <v>1259.2</v>
      </c>
      <c r="BF23" s="35">
        <f>'New Formula with HB25-1320'!BF23</f>
        <v>25664.7</v>
      </c>
      <c r="BG23" s="35">
        <f>'New Formula with HB25-1320'!BG23</f>
        <v>899.7</v>
      </c>
      <c r="BH23" s="35">
        <f>'New Formula with HB25-1320'!BH23</f>
        <v>590.29999999999995</v>
      </c>
      <c r="BI23" s="35">
        <f>'New Formula with HB25-1320'!BI23</f>
        <v>257.10000000000002</v>
      </c>
      <c r="BJ23" s="35">
        <f>'New Formula with HB25-1320'!BJ23</f>
        <v>6303.3</v>
      </c>
      <c r="BK23" s="35">
        <f>'New Formula with HB25-1320'!BK23</f>
        <v>30973.9</v>
      </c>
      <c r="BL23" s="35">
        <f>'New Formula with HB25-1320'!BL23</f>
        <v>96.7</v>
      </c>
      <c r="BM23" s="35">
        <f>'New Formula with HB25-1320'!BM23</f>
        <v>420</v>
      </c>
      <c r="BN23" s="35">
        <f>'New Formula with HB25-1320'!BN23</f>
        <v>3202.6</v>
      </c>
      <c r="BO23" s="35">
        <f>'New Formula with HB25-1320'!BO23</f>
        <v>1287.2</v>
      </c>
      <c r="BP23" s="35">
        <f>'New Formula with HB25-1320'!BP23</f>
        <v>169.6</v>
      </c>
      <c r="BQ23" s="35">
        <f>'New Formula with HB25-1320'!BQ23</f>
        <v>5970.6</v>
      </c>
      <c r="BR23" s="35">
        <f>'New Formula with HB25-1320'!BR23</f>
        <v>4499.6000000000004</v>
      </c>
      <c r="BS23" s="35">
        <f>'New Formula with HB25-1320'!BS23</f>
        <v>1116.0999999999999</v>
      </c>
      <c r="BT23" s="35">
        <f>'New Formula with HB25-1320'!BT23</f>
        <v>386.6</v>
      </c>
      <c r="BU23" s="35">
        <f>'New Formula with HB25-1320'!BU23</f>
        <v>417</v>
      </c>
      <c r="BV23" s="35">
        <f>'New Formula with HB25-1320'!BV23</f>
        <v>1232.5999999999999</v>
      </c>
      <c r="BW23" s="35">
        <f>'New Formula with HB25-1320'!BW23</f>
        <v>1992.9</v>
      </c>
      <c r="BX23" s="35">
        <f>'New Formula with HB25-1320'!BX23</f>
        <v>69.2</v>
      </c>
      <c r="BY23" s="35">
        <f>'New Formula with HB25-1320'!BY23</f>
        <v>459.3</v>
      </c>
      <c r="BZ23" s="35">
        <f>'New Formula with HB25-1320'!BZ23</f>
        <v>203.7</v>
      </c>
      <c r="CA23" s="35">
        <f>'New Formula with HB25-1320'!CA23</f>
        <v>150.6</v>
      </c>
      <c r="CB23" s="35">
        <f>'New Formula with HB25-1320'!CB23</f>
        <v>74887.399999999994</v>
      </c>
      <c r="CC23" s="35">
        <f>'New Formula with HB25-1320'!CC23</f>
        <v>188</v>
      </c>
      <c r="CD23" s="35">
        <f>'New Formula with HB25-1320'!CD23</f>
        <v>211.3</v>
      </c>
      <c r="CE23" s="35">
        <f>'New Formula with HB25-1320'!CE23</f>
        <v>151.80000000000001</v>
      </c>
      <c r="CF23" s="35">
        <f>'New Formula with HB25-1320'!CF23</f>
        <v>114.9</v>
      </c>
      <c r="CG23" s="35">
        <f>'New Formula with HB25-1320'!CG23</f>
        <v>201.5</v>
      </c>
      <c r="CH23" s="35">
        <f>'New Formula with HB25-1320'!CH23</f>
        <v>100.2</v>
      </c>
      <c r="CI23" s="35">
        <f>'New Formula with HB25-1320'!CI23</f>
        <v>697.5</v>
      </c>
      <c r="CJ23" s="35">
        <f>'New Formula with HB25-1320'!CJ23</f>
        <v>896.7</v>
      </c>
      <c r="CK23" s="35">
        <f>'New Formula with HB25-1320'!CK23</f>
        <v>5676.9</v>
      </c>
      <c r="CL23" s="35">
        <f>'New Formula with HB25-1320'!CL23</f>
        <v>1281.3</v>
      </c>
      <c r="CM23" s="35">
        <f>'New Formula with HB25-1320'!CM23</f>
        <v>732.7</v>
      </c>
      <c r="CN23" s="35">
        <f>'New Formula with HB25-1320'!CN23</f>
        <v>32581.3</v>
      </c>
      <c r="CO23" s="35">
        <f>'New Formula with HB25-1320'!CO23</f>
        <v>14539.6</v>
      </c>
      <c r="CP23" s="35">
        <f>'New Formula with HB25-1320'!CP23</f>
        <v>971.7</v>
      </c>
      <c r="CQ23" s="35">
        <f>'New Formula with HB25-1320'!CQ23</f>
        <v>773</v>
      </c>
      <c r="CR23" s="35">
        <f>'New Formula with HB25-1320'!CR23</f>
        <v>233.2</v>
      </c>
      <c r="CS23" s="35">
        <f>'New Formula with HB25-1320'!CS23</f>
        <v>301.60000000000002</v>
      </c>
      <c r="CT23" s="35">
        <f>'New Formula with HB25-1320'!CT23</f>
        <v>103.8</v>
      </c>
      <c r="CU23" s="35">
        <f>'New Formula with HB25-1320'!CU23</f>
        <v>406.4</v>
      </c>
      <c r="CV23" s="35">
        <f>'New Formula with HB25-1320'!CV23</f>
        <v>50</v>
      </c>
      <c r="CW23" s="35">
        <f>'New Formula with HB25-1320'!CW23</f>
        <v>206</v>
      </c>
      <c r="CX23" s="35">
        <f>'New Formula with HB25-1320'!CX23</f>
        <v>462.5</v>
      </c>
      <c r="CY23" s="35">
        <f>'New Formula with HB25-1320'!CY23</f>
        <v>50</v>
      </c>
      <c r="CZ23" s="35">
        <f>'New Formula with HB25-1320'!CZ23</f>
        <v>1843.3</v>
      </c>
      <c r="DA23" s="35">
        <f>'New Formula with HB25-1320'!DA23</f>
        <v>199.5</v>
      </c>
      <c r="DB23" s="35">
        <f>'New Formula with HB25-1320'!DB23</f>
        <v>320.5</v>
      </c>
      <c r="DC23" s="35">
        <f>'New Formula with HB25-1320'!DC23</f>
        <v>183</v>
      </c>
      <c r="DD23" s="35">
        <f>'New Formula with HB25-1320'!DD23</f>
        <v>156</v>
      </c>
      <c r="DE23" s="35">
        <f>'New Formula with HB25-1320'!DE23</f>
        <v>297.89999999999998</v>
      </c>
      <c r="DF23" s="35">
        <f>'New Formula with HB25-1320'!DF23</f>
        <v>21065.599999999999</v>
      </c>
      <c r="DG23" s="35">
        <f>'New Formula with HB25-1320'!DG23</f>
        <v>104</v>
      </c>
      <c r="DH23" s="35">
        <f>'New Formula with HB25-1320'!DH23</f>
        <v>1860.6</v>
      </c>
      <c r="DI23" s="35">
        <f>'New Formula with HB25-1320'!DI23</f>
        <v>2486.8000000000002</v>
      </c>
      <c r="DJ23" s="35">
        <f>'New Formula with HB25-1320'!DJ23</f>
        <v>639.5</v>
      </c>
      <c r="DK23" s="35">
        <f>'New Formula with HB25-1320'!DK23</f>
        <v>500</v>
      </c>
      <c r="DL23" s="35">
        <f>'New Formula with HB25-1320'!DL23</f>
        <v>5726.4</v>
      </c>
      <c r="DM23" s="35">
        <f>'New Formula with HB25-1320'!DM23</f>
        <v>232.8</v>
      </c>
      <c r="DN23" s="35">
        <f>'New Formula with HB25-1320'!DN23</f>
        <v>1320</v>
      </c>
      <c r="DO23" s="35">
        <f>'New Formula with HB25-1320'!DO23</f>
        <v>3248</v>
      </c>
      <c r="DP23" s="35">
        <f>'New Formula with HB25-1320'!DP23</f>
        <v>198.3</v>
      </c>
      <c r="DQ23" s="35">
        <f>'New Formula with HB25-1320'!DQ23</f>
        <v>834</v>
      </c>
      <c r="DR23" s="35">
        <f>'New Formula with HB25-1320'!DR23</f>
        <v>1343.6</v>
      </c>
      <c r="DS23" s="35">
        <f>'New Formula with HB25-1320'!DS23</f>
        <v>639</v>
      </c>
      <c r="DT23" s="35">
        <f>'New Formula with HB25-1320'!DT23</f>
        <v>175</v>
      </c>
      <c r="DU23" s="35">
        <f>'New Formula with HB25-1320'!DU23</f>
        <v>361</v>
      </c>
      <c r="DV23" s="35">
        <f>'New Formula with HB25-1320'!DV23</f>
        <v>214</v>
      </c>
      <c r="DW23" s="35">
        <f>'New Formula with HB25-1320'!DW23</f>
        <v>307.7</v>
      </c>
      <c r="DX23" s="35">
        <f>'New Formula with HB25-1320'!DX23</f>
        <v>164.2</v>
      </c>
      <c r="DY23" s="35">
        <f>'New Formula with HB25-1320'!DY23</f>
        <v>305.3</v>
      </c>
      <c r="DZ23" s="35">
        <f>'New Formula with HB25-1320'!DZ23</f>
        <v>716.4</v>
      </c>
      <c r="EA23" s="35">
        <f>'New Formula with HB25-1320'!EA23</f>
        <v>531.29999999999995</v>
      </c>
      <c r="EB23" s="35">
        <f>'New Formula with HB25-1320'!EB23</f>
        <v>569.1</v>
      </c>
      <c r="EC23" s="35">
        <f>'New Formula with HB25-1320'!EC23</f>
        <v>297.10000000000002</v>
      </c>
      <c r="ED23" s="35">
        <f>'New Formula with HB25-1320'!ED23</f>
        <v>1562.4</v>
      </c>
      <c r="EE23" s="35">
        <f>'New Formula with HB25-1320'!EE23</f>
        <v>190.2</v>
      </c>
      <c r="EF23" s="35">
        <f>'New Formula with HB25-1320'!EF23</f>
        <v>1404.7</v>
      </c>
      <c r="EG23" s="35">
        <f>'New Formula with HB25-1320'!EG23</f>
        <v>249.9</v>
      </c>
      <c r="EH23" s="35">
        <f>'New Formula with HB25-1320'!EH23</f>
        <v>248</v>
      </c>
      <c r="EI23" s="35">
        <f>'New Formula with HB25-1320'!EI23</f>
        <v>14178.9</v>
      </c>
      <c r="EJ23" s="35">
        <f>'New Formula with HB25-1320'!EJ23</f>
        <v>10282</v>
      </c>
      <c r="EK23" s="35">
        <f>'New Formula with HB25-1320'!EK23</f>
        <v>682.8</v>
      </c>
      <c r="EL23" s="35">
        <f>'New Formula with HB25-1320'!EL23</f>
        <v>474.5</v>
      </c>
      <c r="EM23" s="35">
        <f>'New Formula with HB25-1320'!EM23</f>
        <v>384.9</v>
      </c>
      <c r="EN23" s="35">
        <f>'New Formula with HB25-1320'!EN23</f>
        <v>979.8</v>
      </c>
      <c r="EO23" s="35">
        <f>'New Formula with HB25-1320'!EO23</f>
        <v>314.2</v>
      </c>
      <c r="EP23" s="35">
        <f>'New Formula with HB25-1320'!EP23</f>
        <v>419.7</v>
      </c>
      <c r="EQ23" s="35">
        <f>'New Formula with HB25-1320'!EQ23</f>
        <v>2658.9</v>
      </c>
      <c r="ER23" s="35">
        <f>'New Formula with HB25-1320'!ER23</f>
        <v>316</v>
      </c>
      <c r="ES23" s="35">
        <f>'New Formula with HB25-1320'!ES23</f>
        <v>181.4</v>
      </c>
      <c r="ET23" s="35">
        <f>'New Formula with HB25-1320'!ET23</f>
        <v>191.2</v>
      </c>
      <c r="EU23" s="35">
        <f>'New Formula with HB25-1320'!EU23</f>
        <v>574.6</v>
      </c>
      <c r="EV23" s="35">
        <f>'New Formula with HB25-1320'!EV23</f>
        <v>78.8</v>
      </c>
      <c r="EW23" s="35">
        <f>'New Formula with HB25-1320'!EW23</f>
        <v>839</v>
      </c>
      <c r="EX23" s="35">
        <f>'New Formula with HB25-1320'!EX23</f>
        <v>169.3</v>
      </c>
      <c r="EY23" s="35">
        <f>'New Formula with HB25-1320'!EY23</f>
        <v>779</v>
      </c>
      <c r="EZ23" s="35">
        <f>'New Formula with HB25-1320'!EZ23</f>
        <v>128.5</v>
      </c>
      <c r="FA23" s="35">
        <f>'New Formula with HB25-1320'!FA23</f>
        <v>3455.1</v>
      </c>
      <c r="FB23" s="35">
        <f>'New Formula with HB25-1320'!FB23</f>
        <v>295.5</v>
      </c>
      <c r="FC23" s="35">
        <f>'New Formula with HB25-1320'!FC23</f>
        <v>1964.2</v>
      </c>
      <c r="FD23" s="35">
        <f>'New Formula with HB25-1320'!FD23</f>
        <v>405.3</v>
      </c>
      <c r="FE23" s="35">
        <f>'New Formula with HB25-1320'!FE23</f>
        <v>83.4</v>
      </c>
      <c r="FF23" s="35">
        <f>'New Formula with HB25-1320'!FF23</f>
        <v>195.4</v>
      </c>
      <c r="FG23" s="35">
        <f>'New Formula with HB25-1320'!FG23</f>
        <v>126.8</v>
      </c>
      <c r="FH23" s="35">
        <f>'New Formula with HB25-1320'!FH23</f>
        <v>69.7</v>
      </c>
      <c r="FI23" s="35">
        <f>'New Formula with HB25-1320'!FI23</f>
        <v>1739.1</v>
      </c>
      <c r="FJ23" s="35">
        <f>'New Formula with HB25-1320'!FJ23</f>
        <v>2033</v>
      </c>
      <c r="FK23" s="35">
        <f>'New Formula with HB25-1320'!FK23</f>
        <v>2573.5</v>
      </c>
      <c r="FL23" s="35">
        <f>'New Formula with HB25-1320'!FL23</f>
        <v>8294</v>
      </c>
      <c r="FM23" s="35">
        <f>'New Formula with HB25-1320'!FM23</f>
        <v>3886</v>
      </c>
      <c r="FN23" s="35">
        <f>'New Formula with HB25-1320'!FN23</f>
        <v>22184.9</v>
      </c>
      <c r="FO23" s="35">
        <f>'New Formula with HB25-1320'!FO23</f>
        <v>1089.0999999999999</v>
      </c>
      <c r="FP23" s="35">
        <f>'New Formula with HB25-1320'!FP23</f>
        <v>2280</v>
      </c>
      <c r="FQ23" s="35">
        <f>'New Formula with HB25-1320'!FQ23</f>
        <v>986.9</v>
      </c>
      <c r="FR23" s="35">
        <f>'New Formula with HB25-1320'!FR23</f>
        <v>169.4</v>
      </c>
      <c r="FS23" s="35">
        <f>'New Formula with HB25-1320'!FS23</f>
        <v>179.9</v>
      </c>
      <c r="FT23" s="35">
        <f>'New Formula with HB25-1320'!FT23</f>
        <v>59</v>
      </c>
      <c r="FU23" s="35">
        <f>'New Formula with HB25-1320'!FU23</f>
        <v>813.7</v>
      </c>
      <c r="FV23" s="35">
        <f>'New Formula with HB25-1320'!FV23</f>
        <v>784</v>
      </c>
      <c r="FW23" s="35">
        <f>'New Formula with HB25-1320'!FW23</f>
        <v>159.19999999999999</v>
      </c>
      <c r="FX23" s="35">
        <f>'New Formula with HB25-1320'!FX23</f>
        <v>57.2</v>
      </c>
      <c r="FY23" s="26"/>
      <c r="FZ23" s="23">
        <f t="shared" ref="FZ23:FZ36" si="7">SUM(C23:FX23)</f>
        <v>850310.15999999992</v>
      </c>
      <c r="GA23" s="23"/>
      <c r="GB23" s="23"/>
      <c r="GC23" s="23"/>
      <c r="GD23" s="23"/>
      <c r="GE23" s="7"/>
      <c r="GF23" s="7"/>
      <c r="GG23" s="7"/>
      <c r="GH23" s="7"/>
      <c r="GI23" s="7"/>
      <c r="GJ23" s="7"/>
      <c r="GK23" s="7"/>
    </row>
    <row r="24" spans="1:207" ht="15.5" x14ac:dyDescent="0.35">
      <c r="A24" s="92" t="s">
        <v>471</v>
      </c>
      <c r="B24" s="36" t="s">
        <v>480</v>
      </c>
      <c r="C24" s="23">
        <f>'New Formula with HB25-1320'!C24</f>
        <v>6404.5</v>
      </c>
      <c r="D24" s="23">
        <f>'New Formula with HB25-1320'!D24</f>
        <v>32699.5</v>
      </c>
      <c r="E24" s="23">
        <f>'New Formula with HB25-1320'!E24</f>
        <v>4867</v>
      </c>
      <c r="F24" s="23">
        <f>'New Formula with HB25-1320'!F24</f>
        <v>21051.5</v>
      </c>
      <c r="G24" s="23">
        <f>'New Formula with HB25-1320'!G24</f>
        <v>1709</v>
      </c>
      <c r="H24" s="23">
        <f>'New Formula with HB25-1320'!H24</f>
        <v>1089</v>
      </c>
      <c r="I24" s="23">
        <f>'New Formula with HB25-1320'!I24</f>
        <v>7236</v>
      </c>
      <c r="J24" s="23">
        <f>'New Formula with HB25-1320'!J24</f>
        <v>2024</v>
      </c>
      <c r="K24" s="23">
        <f>'New Formula with HB25-1320'!K24</f>
        <v>243.5</v>
      </c>
      <c r="L24" s="23">
        <f>'New Formula with HB25-1320'!L24</f>
        <v>2087</v>
      </c>
      <c r="M24" s="23">
        <f>'New Formula with HB25-1320'!M24</f>
        <v>866</v>
      </c>
      <c r="N24" s="23">
        <f>'New Formula with HB25-1320'!N24</f>
        <v>50007.5</v>
      </c>
      <c r="O24" s="23">
        <f>'New Formula with HB25-1320'!O24</f>
        <v>12583.5</v>
      </c>
      <c r="P24" s="23">
        <f>'New Formula with HB25-1320'!P24</f>
        <v>303</v>
      </c>
      <c r="Q24" s="23">
        <f>'New Formula with HB25-1320'!Q24</f>
        <v>37010</v>
      </c>
      <c r="R24" s="23">
        <f>'New Formula with HB25-1320'!R24</f>
        <v>467.5</v>
      </c>
      <c r="S24" s="23">
        <f>'New Formula with HB25-1320'!S24</f>
        <v>1535</v>
      </c>
      <c r="T24" s="23">
        <f>'New Formula with HB25-1320'!T24</f>
        <v>158</v>
      </c>
      <c r="U24" s="23">
        <f>'New Formula with HB25-1320'!U24</f>
        <v>57</v>
      </c>
      <c r="V24" s="23">
        <f>'New Formula with HB25-1320'!V24</f>
        <v>245.5</v>
      </c>
      <c r="W24" s="23">
        <f>'New Formula with HB25-1320'!W24</f>
        <v>49.5</v>
      </c>
      <c r="X24" s="23">
        <f>'New Formula with HB25-1320'!X24</f>
        <v>36.5</v>
      </c>
      <c r="Y24" s="23">
        <f>'New Formula with HB25-1320'!Y24</f>
        <v>404</v>
      </c>
      <c r="Z24" s="23">
        <f>'New Formula with HB25-1320'!Z24</f>
        <v>231</v>
      </c>
      <c r="AA24" s="23">
        <f>'New Formula with HB25-1320'!AA24</f>
        <v>30258.5</v>
      </c>
      <c r="AB24" s="23">
        <f>'New Formula with HB25-1320'!AB24</f>
        <v>26784.5</v>
      </c>
      <c r="AC24" s="23">
        <f>'New Formula with HB25-1320'!AC24</f>
        <v>864</v>
      </c>
      <c r="AD24" s="23">
        <f>'New Formula with HB25-1320'!AD24</f>
        <v>1269.5</v>
      </c>
      <c r="AE24" s="23">
        <f>'New Formula with HB25-1320'!AE24</f>
        <v>97</v>
      </c>
      <c r="AF24" s="23">
        <f>'New Formula with HB25-1320'!AF24</f>
        <v>164.5</v>
      </c>
      <c r="AG24" s="23">
        <f>'New Formula with HB25-1320'!AG24</f>
        <v>589</v>
      </c>
      <c r="AH24" s="23">
        <f>'New Formula with HB25-1320'!AH24</f>
        <v>927</v>
      </c>
      <c r="AI24" s="23">
        <f>'New Formula with HB25-1320'!AI24</f>
        <v>363</v>
      </c>
      <c r="AJ24" s="23">
        <f>'New Formula with HB25-1320'!AJ24</f>
        <v>176</v>
      </c>
      <c r="AK24" s="23">
        <f>'New Formula with HB25-1320'!AK24</f>
        <v>163</v>
      </c>
      <c r="AL24" s="23">
        <f>'New Formula with HB25-1320'!AL24</f>
        <v>286</v>
      </c>
      <c r="AM24" s="23">
        <f>'New Formula with HB25-1320'!AM24</f>
        <v>331</v>
      </c>
      <c r="AN24" s="23">
        <f>'New Formula with HB25-1320'!AN24</f>
        <v>271.5</v>
      </c>
      <c r="AO24" s="23">
        <f>'New Formula with HB25-1320'!AO24</f>
        <v>3767</v>
      </c>
      <c r="AP24" s="23">
        <f>'New Formula with HB25-1320'!AP24</f>
        <v>84396.5</v>
      </c>
      <c r="AQ24" s="23">
        <f>'New Formula with HB25-1320'!AQ24</f>
        <v>242.5</v>
      </c>
      <c r="AR24" s="23">
        <f>'New Formula with HB25-1320'!AR24</f>
        <v>57877.5</v>
      </c>
      <c r="AS24" s="23">
        <f>'New Formula with HB25-1320'!AS24</f>
        <v>6025</v>
      </c>
      <c r="AT24" s="23">
        <f>'New Formula with HB25-1320'!AT24</f>
        <v>2340.5</v>
      </c>
      <c r="AU24" s="23">
        <f>'New Formula with HB25-1320'!AU24</f>
        <v>250</v>
      </c>
      <c r="AV24" s="23">
        <f>'New Formula with HB25-1320'!AV24</f>
        <v>299</v>
      </c>
      <c r="AW24" s="23">
        <f>'New Formula with HB25-1320'!AW24</f>
        <v>250</v>
      </c>
      <c r="AX24" s="23">
        <f>'New Formula with HB25-1320'!AX24</f>
        <v>73</v>
      </c>
      <c r="AY24" s="23">
        <f>'New Formula with HB25-1320'!AY24</f>
        <v>392</v>
      </c>
      <c r="AZ24" s="23">
        <f>'New Formula with HB25-1320'!AZ24</f>
        <v>11891</v>
      </c>
      <c r="BA24" s="23">
        <f>'New Formula with HB25-1320'!BA24</f>
        <v>8667</v>
      </c>
      <c r="BB24" s="23">
        <f>'New Formula with HB25-1320'!BB24</f>
        <v>7399</v>
      </c>
      <c r="BC24" s="23">
        <f>'New Formula with HB25-1320'!BC24</f>
        <v>21443</v>
      </c>
      <c r="BD24" s="23">
        <f>'New Formula with HB25-1320'!BD24</f>
        <v>3598.5</v>
      </c>
      <c r="BE24" s="23">
        <f>'New Formula with HB25-1320'!BE24</f>
        <v>1113</v>
      </c>
      <c r="BF24" s="23">
        <f>'New Formula with HB25-1320'!BF24</f>
        <v>24230</v>
      </c>
      <c r="BG24" s="23">
        <f>'New Formula with HB25-1320'!BG24</f>
        <v>921.5</v>
      </c>
      <c r="BH24" s="23">
        <f>'New Formula with HB25-1320'!BH24</f>
        <v>529</v>
      </c>
      <c r="BI24" s="23">
        <f>'New Formula with HB25-1320'!BI24</f>
        <v>251</v>
      </c>
      <c r="BJ24" s="23">
        <f>'New Formula with HB25-1320'!BJ24</f>
        <v>6198.5</v>
      </c>
      <c r="BK24" s="23">
        <f>'New Formula with HB25-1320'!BK24</f>
        <v>21041</v>
      </c>
      <c r="BL24" s="23">
        <f>'New Formula with HB25-1320'!BL24</f>
        <v>64.5</v>
      </c>
      <c r="BM24" s="23">
        <f>'New Formula with HB25-1320'!BM24</f>
        <v>331.5</v>
      </c>
      <c r="BN24" s="23">
        <f>'New Formula with HB25-1320'!BN24</f>
        <v>3018.5</v>
      </c>
      <c r="BO24" s="23">
        <f>'New Formula with HB25-1320'!BO24</f>
        <v>1190</v>
      </c>
      <c r="BP24" s="23">
        <f>'New Formula with HB25-1320'!BP24</f>
        <v>144</v>
      </c>
      <c r="BQ24" s="23">
        <f>'New Formula with HB25-1320'!BQ24</f>
        <v>5632</v>
      </c>
      <c r="BR24" s="23">
        <f>'New Formula with HB25-1320'!BR24</f>
        <v>4471</v>
      </c>
      <c r="BS24" s="23">
        <f>'New Formula with HB25-1320'!BS24</f>
        <v>1151</v>
      </c>
      <c r="BT24" s="23">
        <f>'New Formula with HB25-1320'!BT24</f>
        <v>355.5</v>
      </c>
      <c r="BU24" s="23">
        <f>'New Formula with HB25-1320'!BU24</f>
        <v>383</v>
      </c>
      <c r="BV24" s="23">
        <f>'New Formula with HB25-1320'!BV24</f>
        <v>1247.5</v>
      </c>
      <c r="BW24" s="23">
        <f>'New Formula with HB25-1320'!BW24</f>
        <v>2017</v>
      </c>
      <c r="BX24" s="23">
        <f>'New Formula with HB25-1320'!BX24</f>
        <v>67</v>
      </c>
      <c r="BY24" s="23">
        <f>'New Formula with HB25-1320'!BY24</f>
        <v>404</v>
      </c>
      <c r="BZ24" s="23">
        <f>'New Formula with HB25-1320'!BZ24</f>
        <v>224</v>
      </c>
      <c r="CA24" s="23">
        <f>'New Formula with HB25-1320'!CA24</f>
        <v>130</v>
      </c>
      <c r="CB24" s="23">
        <f>'New Formula with HB25-1320'!CB24</f>
        <v>70467</v>
      </c>
      <c r="CC24" s="23">
        <f>'New Formula with HB25-1320'!CC24</f>
        <v>190</v>
      </c>
      <c r="CD24" s="23">
        <f>'New Formula with HB25-1320'!CD24</f>
        <v>27</v>
      </c>
      <c r="CE24" s="23">
        <f>'New Formula with HB25-1320'!CE24</f>
        <v>158.5</v>
      </c>
      <c r="CF24" s="23">
        <f>'New Formula with HB25-1320'!CF24</f>
        <v>92</v>
      </c>
      <c r="CG24" s="23">
        <f>'New Formula with HB25-1320'!CG24</f>
        <v>195.5</v>
      </c>
      <c r="CH24" s="23">
        <f>'New Formula with HB25-1320'!CH24</f>
        <v>90</v>
      </c>
      <c r="CI24" s="23">
        <f>'New Formula with HB25-1320'!CI24</f>
        <v>662</v>
      </c>
      <c r="CJ24" s="23">
        <f>'New Formula with HB25-1320'!CJ24</f>
        <v>855.5</v>
      </c>
      <c r="CK24" s="23">
        <f>'New Formula with HB25-1320'!CK24</f>
        <v>4231.5</v>
      </c>
      <c r="CL24" s="23">
        <f>'New Formula with HB25-1320'!CL24</f>
        <v>1169</v>
      </c>
      <c r="CM24" s="23">
        <f>'New Formula with HB25-1320'!CM24</f>
        <v>659</v>
      </c>
      <c r="CN24" s="23">
        <f>'New Formula with HB25-1320'!CN24</f>
        <v>28020.5</v>
      </c>
      <c r="CO24" s="23">
        <f>'New Formula with HB25-1320'!CO24</f>
        <v>14006.5</v>
      </c>
      <c r="CP24" s="23">
        <f>'New Formula with HB25-1320'!CP24</f>
        <v>869.5</v>
      </c>
      <c r="CQ24" s="23">
        <f>'New Formula with HB25-1320'!CQ24</f>
        <v>763</v>
      </c>
      <c r="CR24" s="23">
        <f>'New Formula with HB25-1320'!CR24</f>
        <v>199.5</v>
      </c>
      <c r="CS24" s="23">
        <f>'New Formula with HB25-1320'!CS24</f>
        <v>270</v>
      </c>
      <c r="CT24" s="23">
        <f>'New Formula with HB25-1320'!CT24</f>
        <v>115</v>
      </c>
      <c r="CU24" s="23">
        <f>'New Formula with HB25-1320'!CU24</f>
        <v>67</v>
      </c>
      <c r="CV24" s="23">
        <f>'New Formula with HB25-1320'!CV24</f>
        <v>22</v>
      </c>
      <c r="CW24" s="23">
        <f>'New Formula with HB25-1320'!CW24</f>
        <v>204</v>
      </c>
      <c r="CX24" s="23">
        <f>'New Formula with HB25-1320'!CX24</f>
        <v>450.5</v>
      </c>
      <c r="CY24" s="23">
        <f>'New Formula with HB25-1320'!CY24</f>
        <v>26.5</v>
      </c>
      <c r="CZ24" s="23">
        <f>'New Formula with HB25-1320'!CZ24</f>
        <v>1773</v>
      </c>
      <c r="DA24" s="23">
        <f>'New Formula with HB25-1320'!DA24</f>
        <v>197.5</v>
      </c>
      <c r="DB24" s="23">
        <f>'New Formula with HB25-1320'!DB24</f>
        <v>314</v>
      </c>
      <c r="DC24" s="23">
        <f>'New Formula with HB25-1320'!DC24</f>
        <v>183</v>
      </c>
      <c r="DD24" s="23">
        <f>'New Formula with HB25-1320'!DD24</f>
        <v>170</v>
      </c>
      <c r="DE24" s="23">
        <f>'New Formula with HB25-1320'!DE24</f>
        <v>280.5</v>
      </c>
      <c r="DF24" s="23">
        <f>'New Formula with HB25-1320'!DF24</f>
        <v>18900.5</v>
      </c>
      <c r="DG24" s="23">
        <f>'New Formula with HB25-1320'!DG24</f>
        <v>92</v>
      </c>
      <c r="DH24" s="23">
        <f>'New Formula with HB25-1320'!DH24</f>
        <v>1689</v>
      </c>
      <c r="DI24" s="23">
        <f>'New Formula with HB25-1320'!DI24</f>
        <v>2308</v>
      </c>
      <c r="DJ24" s="23">
        <f>'New Formula with HB25-1320'!DJ24</f>
        <v>598</v>
      </c>
      <c r="DK24" s="23">
        <f>'New Formula with HB25-1320'!DK24</f>
        <v>475</v>
      </c>
      <c r="DL24" s="23">
        <f>'New Formula with HB25-1320'!DL24</f>
        <v>5671</v>
      </c>
      <c r="DM24" s="23">
        <f>'New Formula with HB25-1320'!DM24</f>
        <v>228</v>
      </c>
      <c r="DN24" s="23">
        <f>'New Formula with HB25-1320'!DN24</f>
        <v>1275.5</v>
      </c>
      <c r="DO24" s="23">
        <f>'New Formula with HB25-1320'!DO24</f>
        <v>3255.5</v>
      </c>
      <c r="DP24" s="23">
        <f>'New Formula with HB25-1320'!DP24</f>
        <v>198</v>
      </c>
      <c r="DQ24" s="23">
        <f>'New Formula with HB25-1320'!DQ24</f>
        <v>843</v>
      </c>
      <c r="DR24" s="23">
        <f>'New Formula with HB25-1320'!DR24</f>
        <v>1280.5</v>
      </c>
      <c r="DS24" s="23">
        <f>'New Formula with HB25-1320'!DS24</f>
        <v>554</v>
      </c>
      <c r="DT24" s="23">
        <f>'New Formula with HB25-1320'!DT24</f>
        <v>174</v>
      </c>
      <c r="DU24" s="23">
        <f>'New Formula with HB25-1320'!DU24</f>
        <v>342</v>
      </c>
      <c r="DV24" s="23">
        <f>'New Formula with HB25-1320'!DV24</f>
        <v>200.5</v>
      </c>
      <c r="DW24" s="23">
        <f>'New Formula with HB25-1320'!DW24</f>
        <v>289.5</v>
      </c>
      <c r="DX24" s="23">
        <f>'New Formula with HB25-1320'!DX24</f>
        <v>166</v>
      </c>
      <c r="DY24" s="23">
        <f>'New Formula with HB25-1320'!DY24</f>
        <v>287</v>
      </c>
      <c r="DZ24" s="23">
        <f>'New Formula with HB25-1320'!DZ24</f>
        <v>634</v>
      </c>
      <c r="EA24" s="23">
        <f>'New Formula with HB25-1320'!EA24</f>
        <v>496</v>
      </c>
      <c r="EB24" s="23">
        <f>'New Formula with HB25-1320'!EB24</f>
        <v>508.5</v>
      </c>
      <c r="EC24" s="23">
        <f>'New Formula with HB25-1320'!EC24</f>
        <v>266.5</v>
      </c>
      <c r="ED24" s="23">
        <f>'New Formula with HB25-1320'!ED24</f>
        <v>1551.5</v>
      </c>
      <c r="EE24" s="23">
        <f>'New Formula with HB25-1320'!EE24</f>
        <v>194</v>
      </c>
      <c r="EF24" s="23">
        <f>'New Formula with HB25-1320'!EF24</f>
        <v>1271</v>
      </c>
      <c r="EG24" s="23">
        <f>'New Formula with HB25-1320'!EG24</f>
        <v>257</v>
      </c>
      <c r="EH24" s="23">
        <f>'New Formula with HB25-1320'!EH24</f>
        <v>245</v>
      </c>
      <c r="EI24" s="23">
        <f>'New Formula with HB25-1320'!EI24</f>
        <v>13446</v>
      </c>
      <c r="EJ24" s="23">
        <f>'New Formula with HB25-1320'!EJ24</f>
        <v>9802</v>
      </c>
      <c r="EK24" s="23">
        <f>'New Formula with HB25-1320'!EK24</f>
        <v>639.5</v>
      </c>
      <c r="EL24" s="23">
        <f>'New Formula with HB25-1320'!EL24</f>
        <v>457</v>
      </c>
      <c r="EM24" s="23">
        <f>'New Formula with HB25-1320'!EM24</f>
        <v>365</v>
      </c>
      <c r="EN24" s="23">
        <f>'New Formula with HB25-1320'!EN24</f>
        <v>882.5</v>
      </c>
      <c r="EO24" s="23">
        <f>'New Formula with HB25-1320'!EO24</f>
        <v>293</v>
      </c>
      <c r="EP24" s="23">
        <f>'New Formula with HB25-1320'!EP24</f>
        <v>417.5</v>
      </c>
      <c r="EQ24" s="23">
        <f>'New Formula with HB25-1320'!EQ24</f>
        <v>2460</v>
      </c>
      <c r="ER24" s="23">
        <f>'New Formula with HB25-1320'!ER24</f>
        <v>297</v>
      </c>
      <c r="ES24" s="23">
        <f>'New Formula with HB25-1320'!ES24</f>
        <v>147.5</v>
      </c>
      <c r="ET24" s="23">
        <f>'New Formula with HB25-1320'!ET24</f>
        <v>193.5</v>
      </c>
      <c r="EU24" s="23">
        <f>'New Formula with HB25-1320'!EU24</f>
        <v>576</v>
      </c>
      <c r="EV24" s="23">
        <f>'New Formula with HB25-1320'!EV24</f>
        <v>72</v>
      </c>
      <c r="EW24" s="23">
        <f>'New Formula with HB25-1320'!EW24</f>
        <v>799</v>
      </c>
      <c r="EX24" s="23">
        <f>'New Formula with HB25-1320'!EX24</f>
        <v>170</v>
      </c>
      <c r="EY24" s="23">
        <f>'New Formula with HB25-1320'!EY24</f>
        <v>196.5</v>
      </c>
      <c r="EZ24" s="23">
        <f>'New Formula with HB25-1320'!EZ24</f>
        <v>130</v>
      </c>
      <c r="FA24" s="23">
        <f>'New Formula with HB25-1320'!FA24</f>
        <v>3294</v>
      </c>
      <c r="FB24" s="23">
        <f>'New Formula with HB25-1320'!FB24</f>
        <v>276</v>
      </c>
      <c r="FC24" s="23">
        <f>'New Formula with HB25-1320'!FC24</f>
        <v>1684</v>
      </c>
      <c r="FD24" s="23">
        <f>'New Formula with HB25-1320'!FD24</f>
        <v>395</v>
      </c>
      <c r="FE24" s="23">
        <f>'New Formula with HB25-1320'!FE24</f>
        <v>75</v>
      </c>
      <c r="FF24" s="23">
        <f>'New Formula with HB25-1320'!FF24</f>
        <v>178</v>
      </c>
      <c r="FG24" s="23">
        <f>'New Formula with HB25-1320'!FG24</f>
        <v>117</v>
      </c>
      <c r="FH24" s="23">
        <f>'New Formula with HB25-1320'!FH24</f>
        <v>71</v>
      </c>
      <c r="FI24" s="23">
        <f>'New Formula with HB25-1320'!FI24</f>
        <v>1639.5</v>
      </c>
      <c r="FJ24" s="23">
        <f>'New Formula with HB25-1320'!FJ24</f>
        <v>2009</v>
      </c>
      <c r="FK24" s="23">
        <f>'New Formula with HB25-1320'!FK24</f>
        <v>2481</v>
      </c>
      <c r="FL24" s="23">
        <f>'New Formula with HB25-1320'!FL24</f>
        <v>8455.5</v>
      </c>
      <c r="FM24" s="23">
        <f>'New Formula with HB25-1320'!FM24</f>
        <v>3910.5</v>
      </c>
      <c r="FN24" s="23">
        <f>'New Formula with HB25-1320'!FN24</f>
        <v>22092.5</v>
      </c>
      <c r="FO24" s="23">
        <f>'New Formula with HB25-1320'!FO24</f>
        <v>1111</v>
      </c>
      <c r="FP24" s="23">
        <f>'New Formula with HB25-1320'!FP24</f>
        <v>2307.5</v>
      </c>
      <c r="FQ24" s="23">
        <f>'New Formula with HB25-1320'!FQ24</f>
        <v>974.5</v>
      </c>
      <c r="FR24" s="23">
        <f>'New Formula with HB25-1320'!FR24</f>
        <v>165.5</v>
      </c>
      <c r="FS24" s="23">
        <f>'New Formula with HB25-1320'!FS24</f>
        <v>151</v>
      </c>
      <c r="FT24" s="23">
        <f>'New Formula with HB25-1320'!FT24</f>
        <v>53</v>
      </c>
      <c r="FU24" s="23">
        <f>'New Formula with HB25-1320'!FU24</f>
        <v>759.5</v>
      </c>
      <c r="FV24" s="23">
        <f>'New Formula with HB25-1320'!FV24</f>
        <v>690.5</v>
      </c>
      <c r="FW24" s="23">
        <f>'New Formula with HB25-1320'!FW24</f>
        <v>134</v>
      </c>
      <c r="FX24" s="23">
        <f>'New Formula with HB25-1320'!FX24</f>
        <v>65</v>
      </c>
      <c r="FY24" s="23"/>
      <c r="FZ24" s="23">
        <f t="shared" si="7"/>
        <v>785348.5</v>
      </c>
      <c r="GA24" s="23"/>
      <c r="GB24" s="23"/>
      <c r="GC24" s="23"/>
      <c r="GD24" s="23"/>
      <c r="GE24" s="7"/>
      <c r="GF24" s="7"/>
      <c r="GG24" s="7"/>
      <c r="GH24" s="7"/>
      <c r="GI24" s="7"/>
      <c r="GJ24" s="7"/>
      <c r="GK24" s="7"/>
    </row>
    <row r="25" spans="1:207" ht="15.5" x14ac:dyDescent="0.35">
      <c r="A25" s="92" t="s">
        <v>473</v>
      </c>
      <c r="B25" s="36" t="s">
        <v>482</v>
      </c>
      <c r="C25" s="23">
        <f>'New Formula with HB25-1320'!C25</f>
        <v>6332.5</v>
      </c>
      <c r="D25" s="23">
        <f>'New Formula with HB25-1320'!D25</f>
        <v>33220</v>
      </c>
      <c r="E25" s="23">
        <f>'New Formula with HB25-1320'!E25</f>
        <v>4999.5</v>
      </c>
      <c r="F25" s="23">
        <f>'New Formula with HB25-1320'!F25</f>
        <v>20597.5</v>
      </c>
      <c r="G25" s="23">
        <f>'New Formula with HB25-1320'!G25</f>
        <v>1573</v>
      </c>
      <c r="H25" s="23">
        <f>'New Formula with HB25-1320'!H25</f>
        <v>1094</v>
      </c>
      <c r="I25" s="23">
        <f>'New Formula with HB25-1320'!I25</f>
        <v>7057.5</v>
      </c>
      <c r="J25" s="23">
        <f>'New Formula with HB25-1320'!J25</f>
        <v>2039</v>
      </c>
      <c r="K25" s="23">
        <f>'New Formula with HB25-1320'!K25</f>
        <v>263</v>
      </c>
      <c r="L25" s="23">
        <f>'New Formula with HB25-1320'!L25</f>
        <v>2102</v>
      </c>
      <c r="M25" s="23">
        <f>'New Formula with HB25-1320'!M25</f>
        <v>933</v>
      </c>
      <c r="N25" s="23">
        <f>'New Formula with HB25-1320'!N25</f>
        <v>49949</v>
      </c>
      <c r="O25" s="23">
        <f>'New Formula with HB25-1320'!O25</f>
        <v>12783.5</v>
      </c>
      <c r="P25" s="23">
        <f>'New Formula with HB25-1320'!P25</f>
        <v>330</v>
      </c>
      <c r="Q25" s="23">
        <f>'New Formula with HB25-1320'!Q25</f>
        <v>36546</v>
      </c>
      <c r="R25" s="23">
        <f>'New Formula with HB25-1320'!R25</f>
        <v>497</v>
      </c>
      <c r="S25" s="23">
        <f>'New Formula with HB25-1320'!S25</f>
        <v>1567.5</v>
      </c>
      <c r="T25" s="23">
        <f>'New Formula with HB25-1320'!T25</f>
        <v>160</v>
      </c>
      <c r="U25" s="23">
        <f>'New Formula with HB25-1320'!U25</f>
        <v>50</v>
      </c>
      <c r="V25" s="23">
        <f>'New Formula with HB25-1320'!V25</f>
        <v>261.5</v>
      </c>
      <c r="W25" s="23">
        <f>'New Formula with HB25-1320'!W25</f>
        <v>58.5</v>
      </c>
      <c r="X25" s="23">
        <f>'New Formula with HB25-1320'!X25</f>
        <v>27</v>
      </c>
      <c r="Y25" s="23">
        <f>'New Formula with HB25-1320'!Y25</f>
        <v>428</v>
      </c>
      <c r="Z25" s="23">
        <f>'New Formula with HB25-1320'!Z25</f>
        <v>227</v>
      </c>
      <c r="AA25" s="23">
        <f>'New Formula with HB25-1320'!AA25</f>
        <v>30394.5</v>
      </c>
      <c r="AB25" s="23">
        <f>'New Formula with HB25-1320'!AB25</f>
        <v>26932</v>
      </c>
      <c r="AC25" s="23">
        <f>'New Formula with HB25-1320'!AC25</f>
        <v>909</v>
      </c>
      <c r="AD25" s="23">
        <f>'New Formula with HB25-1320'!AD25</f>
        <v>1255</v>
      </c>
      <c r="AE25" s="23">
        <f>'New Formula with HB25-1320'!AE25</f>
        <v>94</v>
      </c>
      <c r="AF25" s="23">
        <f>'New Formula with HB25-1320'!AF25</f>
        <v>162.5</v>
      </c>
      <c r="AG25" s="23">
        <f>'New Formula with HB25-1320'!AG25</f>
        <v>590</v>
      </c>
      <c r="AH25" s="23">
        <f>'New Formula with HB25-1320'!AH25</f>
        <v>955</v>
      </c>
      <c r="AI25" s="23">
        <f>'New Formula with HB25-1320'!AI25</f>
        <v>385.5</v>
      </c>
      <c r="AJ25" s="23">
        <f>'New Formula with HB25-1320'!AJ25</f>
        <v>164</v>
      </c>
      <c r="AK25" s="23">
        <f>'New Formula with HB25-1320'!AK25</f>
        <v>159</v>
      </c>
      <c r="AL25" s="23">
        <f>'New Formula with HB25-1320'!AL25</f>
        <v>276</v>
      </c>
      <c r="AM25" s="23">
        <f>'New Formula with HB25-1320'!AM25</f>
        <v>343</v>
      </c>
      <c r="AN25" s="23">
        <f>'New Formula with HB25-1320'!AN25</f>
        <v>309</v>
      </c>
      <c r="AO25" s="23">
        <f>'New Formula with HB25-1320'!AO25</f>
        <v>4127.5</v>
      </c>
      <c r="AP25" s="23">
        <f>'New Formula with HB25-1320'!AP25</f>
        <v>82476.5</v>
      </c>
      <c r="AQ25" s="23">
        <f>'New Formula with HB25-1320'!AQ25</f>
        <v>232</v>
      </c>
      <c r="AR25" s="23">
        <f>'New Formula with HB25-1320'!AR25</f>
        <v>58489.5</v>
      </c>
      <c r="AS25" s="23">
        <f>'New Formula with HB25-1320'!AS25</f>
        <v>6165</v>
      </c>
      <c r="AT25" s="23">
        <f>'New Formula with HB25-1320'!AT25</f>
        <v>2332.5</v>
      </c>
      <c r="AU25" s="23">
        <f>'New Formula with HB25-1320'!AU25</f>
        <v>291</v>
      </c>
      <c r="AV25" s="23">
        <f>'New Formula with HB25-1320'!AV25</f>
        <v>297</v>
      </c>
      <c r="AW25" s="23">
        <f>'New Formula with HB25-1320'!AW25</f>
        <v>256</v>
      </c>
      <c r="AX25" s="23">
        <f>'New Formula with HB25-1320'!AX25</f>
        <v>63</v>
      </c>
      <c r="AY25" s="23">
        <f>'New Formula with HB25-1320'!AY25</f>
        <v>415</v>
      </c>
      <c r="AZ25" s="23">
        <f>'New Formula with HB25-1320'!AZ25</f>
        <v>12050</v>
      </c>
      <c r="BA25" s="23">
        <f>'New Formula with HB25-1320'!BA25</f>
        <v>8756</v>
      </c>
      <c r="BB25" s="23">
        <f>'New Formula with HB25-1320'!BB25</f>
        <v>7341</v>
      </c>
      <c r="BC25" s="23">
        <f>'New Formula with HB25-1320'!BC25</f>
        <v>20943.5</v>
      </c>
      <c r="BD25" s="23">
        <f>'New Formula with HB25-1320'!BD25</f>
        <v>3609.5</v>
      </c>
      <c r="BE25" s="23">
        <f>'New Formula with HB25-1320'!BE25</f>
        <v>1207</v>
      </c>
      <c r="BF25" s="23">
        <f>'New Formula with HB25-1320'!BF25</f>
        <v>24346</v>
      </c>
      <c r="BG25" s="23">
        <f>'New Formula with HB25-1320'!BG25</f>
        <v>884.5</v>
      </c>
      <c r="BH25" s="23">
        <f>'New Formula with HB25-1320'!BH25</f>
        <v>542</v>
      </c>
      <c r="BI25" s="23">
        <f>'New Formula with HB25-1320'!BI25</f>
        <v>253.5</v>
      </c>
      <c r="BJ25" s="23">
        <f>'New Formula with HB25-1320'!BJ25</f>
        <v>6224.5</v>
      </c>
      <c r="BK25" s="23">
        <f>'New Formula with HB25-1320'!BK25</f>
        <v>19735</v>
      </c>
      <c r="BL25" s="23">
        <f>'New Formula with HB25-1320'!BL25</f>
        <v>58</v>
      </c>
      <c r="BM25" s="23">
        <f>'New Formula with HB25-1320'!BM25</f>
        <v>360.5</v>
      </c>
      <c r="BN25" s="23">
        <f>'New Formula with HB25-1320'!BN25</f>
        <v>3019.5</v>
      </c>
      <c r="BO25" s="23">
        <f>'New Formula with HB25-1320'!BO25</f>
        <v>1251</v>
      </c>
      <c r="BP25" s="23">
        <f>'New Formula with HB25-1320'!BP25</f>
        <v>152</v>
      </c>
      <c r="BQ25" s="23">
        <f>'New Formula with HB25-1320'!BQ25</f>
        <v>5653</v>
      </c>
      <c r="BR25" s="23">
        <f>'New Formula with HB25-1320'!BR25</f>
        <v>4483</v>
      </c>
      <c r="BS25" s="23">
        <f>'New Formula with HB25-1320'!BS25</f>
        <v>1106</v>
      </c>
      <c r="BT25" s="23">
        <f>'New Formula with HB25-1320'!BT25</f>
        <v>362</v>
      </c>
      <c r="BU25" s="23">
        <f>'New Formula with HB25-1320'!BU25</f>
        <v>410</v>
      </c>
      <c r="BV25" s="23">
        <f>'New Formula with HB25-1320'!BV25</f>
        <v>1223</v>
      </c>
      <c r="BW25" s="23">
        <f>'New Formula with HB25-1320'!BW25</f>
        <v>1985.5</v>
      </c>
      <c r="BX25" s="23">
        <f>'New Formula with HB25-1320'!BX25</f>
        <v>67</v>
      </c>
      <c r="BY25" s="23">
        <f>'New Formula with HB25-1320'!BY25</f>
        <v>439.5</v>
      </c>
      <c r="BZ25" s="23">
        <f>'New Formula with HB25-1320'!BZ25</f>
        <v>195</v>
      </c>
      <c r="CA25" s="23">
        <f>'New Formula with HB25-1320'!CA25</f>
        <v>139</v>
      </c>
      <c r="CB25" s="23">
        <f>'New Formula with HB25-1320'!CB25</f>
        <v>71260.5</v>
      </c>
      <c r="CC25" s="23">
        <f>'New Formula with HB25-1320'!CC25</f>
        <v>192</v>
      </c>
      <c r="CD25" s="23">
        <f>'New Formula with HB25-1320'!CD25</f>
        <v>23</v>
      </c>
      <c r="CE25" s="23">
        <f>'New Formula with HB25-1320'!CE25</f>
        <v>151</v>
      </c>
      <c r="CF25" s="23">
        <f>'New Formula with HB25-1320'!CF25</f>
        <v>110</v>
      </c>
      <c r="CG25" s="23">
        <f>'New Formula with HB25-1320'!CG25</f>
        <v>201.5</v>
      </c>
      <c r="CH25" s="23">
        <f>'New Formula with HB25-1320'!CH25</f>
        <v>99</v>
      </c>
      <c r="CI25" s="23">
        <f>'New Formula with HB25-1320'!CI25</f>
        <v>691</v>
      </c>
      <c r="CJ25" s="23">
        <f>'New Formula with HB25-1320'!CJ25</f>
        <v>873</v>
      </c>
      <c r="CK25" s="23">
        <f>'New Formula with HB25-1320'!CK25</f>
        <v>4272.5</v>
      </c>
      <c r="CL25" s="23">
        <f>'New Formula with HB25-1320'!CL25</f>
        <v>1244.5</v>
      </c>
      <c r="CM25" s="23">
        <f>'New Formula with HB25-1320'!CM25</f>
        <v>701</v>
      </c>
      <c r="CN25" s="23">
        <f>'New Formula with HB25-1320'!CN25</f>
        <v>28337.5</v>
      </c>
      <c r="CO25" s="23">
        <f>'New Formula with HB25-1320'!CO25</f>
        <v>14308.5</v>
      </c>
      <c r="CP25" s="23">
        <f>'New Formula with HB25-1320'!CP25</f>
        <v>937</v>
      </c>
      <c r="CQ25" s="23">
        <f>'New Formula with HB25-1320'!CQ25</f>
        <v>740</v>
      </c>
      <c r="CR25" s="23">
        <f>'New Formula with HB25-1320'!CR25</f>
        <v>230.5</v>
      </c>
      <c r="CS25" s="23">
        <f>'New Formula with HB25-1320'!CS25</f>
        <v>290</v>
      </c>
      <c r="CT25" s="23">
        <f>'New Formula with HB25-1320'!CT25</f>
        <v>101</v>
      </c>
      <c r="CU25" s="23">
        <f>'New Formula with HB25-1320'!CU25</f>
        <v>73</v>
      </c>
      <c r="CV25" s="23">
        <f>'New Formula with HB25-1320'!CV25</f>
        <v>23.5</v>
      </c>
      <c r="CW25" s="23">
        <f>'New Formula with HB25-1320'!CW25</f>
        <v>205</v>
      </c>
      <c r="CX25" s="23">
        <f>'New Formula with HB25-1320'!CX25</f>
        <v>470.5</v>
      </c>
      <c r="CY25" s="23">
        <f>'New Formula with HB25-1320'!CY25</f>
        <v>29.5</v>
      </c>
      <c r="CZ25" s="23">
        <f>'New Formula with HB25-1320'!CZ25</f>
        <v>1759</v>
      </c>
      <c r="DA25" s="23">
        <f>'New Formula with HB25-1320'!DA25</f>
        <v>201</v>
      </c>
      <c r="DB25" s="23">
        <f>'New Formula with HB25-1320'!DB25</f>
        <v>322.5</v>
      </c>
      <c r="DC25" s="23">
        <f>'New Formula with HB25-1320'!DC25</f>
        <v>182</v>
      </c>
      <c r="DD25" s="23">
        <f>'New Formula with HB25-1320'!DD25</f>
        <v>156</v>
      </c>
      <c r="DE25" s="23">
        <f>'New Formula with HB25-1320'!DE25</f>
        <v>287.5</v>
      </c>
      <c r="DF25" s="23">
        <f>'New Formula with HB25-1320'!DF25</f>
        <v>19273</v>
      </c>
      <c r="DG25" s="23">
        <f>'New Formula with HB25-1320'!DG25</f>
        <v>95</v>
      </c>
      <c r="DH25" s="23">
        <f>'New Formula with HB25-1320'!DH25</f>
        <v>1764</v>
      </c>
      <c r="DI25" s="23">
        <f>'New Formula with HB25-1320'!DI25</f>
        <v>2394.5</v>
      </c>
      <c r="DJ25" s="23">
        <f>'New Formula with HB25-1320'!DJ25</f>
        <v>623</v>
      </c>
      <c r="DK25" s="23">
        <f>'New Formula with HB25-1320'!DK25</f>
        <v>485.5</v>
      </c>
      <c r="DL25" s="23">
        <f>'New Formula with HB25-1320'!DL25</f>
        <v>5690.5</v>
      </c>
      <c r="DM25" s="23">
        <f>'New Formula with HB25-1320'!DM25</f>
        <v>228.5</v>
      </c>
      <c r="DN25" s="23">
        <f>'New Formula with HB25-1320'!DN25</f>
        <v>1263.5</v>
      </c>
      <c r="DO25" s="23">
        <f>'New Formula with HB25-1320'!DO25</f>
        <v>3230</v>
      </c>
      <c r="DP25" s="23">
        <f>'New Formula with HB25-1320'!DP25</f>
        <v>191</v>
      </c>
      <c r="DQ25" s="23">
        <f>'New Formula with HB25-1320'!DQ25</f>
        <v>817</v>
      </c>
      <c r="DR25" s="23">
        <f>'New Formula with HB25-1320'!DR25</f>
        <v>1318.5</v>
      </c>
      <c r="DS25" s="23">
        <f>'New Formula with HB25-1320'!DS25</f>
        <v>589</v>
      </c>
      <c r="DT25" s="23">
        <f>'New Formula with HB25-1320'!DT25</f>
        <v>180.5</v>
      </c>
      <c r="DU25" s="23">
        <f>'New Formula with HB25-1320'!DU25</f>
        <v>355</v>
      </c>
      <c r="DV25" s="23">
        <f>'New Formula with HB25-1320'!DV25</f>
        <v>206.5</v>
      </c>
      <c r="DW25" s="23">
        <f>'New Formula with HB25-1320'!DW25</f>
        <v>301</v>
      </c>
      <c r="DX25" s="23">
        <f>'New Formula with HB25-1320'!DX25</f>
        <v>159</v>
      </c>
      <c r="DY25" s="23">
        <f>'New Formula with HB25-1320'!DY25</f>
        <v>296</v>
      </c>
      <c r="DZ25" s="23">
        <f>'New Formula with HB25-1320'!DZ25</f>
        <v>675</v>
      </c>
      <c r="EA25" s="23">
        <f>'New Formula with HB25-1320'!EA25</f>
        <v>510.5</v>
      </c>
      <c r="EB25" s="23">
        <f>'New Formula with HB25-1320'!EB25</f>
        <v>527</v>
      </c>
      <c r="EC25" s="23">
        <f>'New Formula with HB25-1320'!EC25</f>
        <v>281.5</v>
      </c>
      <c r="ED25" s="23">
        <f>'New Formula with HB25-1320'!ED25</f>
        <v>1523</v>
      </c>
      <c r="EE25" s="23">
        <f>'New Formula with HB25-1320'!EE25</f>
        <v>189</v>
      </c>
      <c r="EF25" s="23">
        <f>'New Formula with HB25-1320'!EF25</f>
        <v>1350</v>
      </c>
      <c r="EG25" s="23">
        <f>'New Formula with HB25-1320'!EG25</f>
        <v>246</v>
      </c>
      <c r="EH25" s="23">
        <f>'New Formula with HB25-1320'!EH25</f>
        <v>250</v>
      </c>
      <c r="EI25" s="23">
        <f>'New Formula with HB25-1320'!EI25</f>
        <v>13862.5</v>
      </c>
      <c r="EJ25" s="23">
        <f>'New Formula with HB25-1320'!EJ25</f>
        <v>10059</v>
      </c>
      <c r="EK25" s="23">
        <f>'New Formula with HB25-1320'!EK25</f>
        <v>686</v>
      </c>
      <c r="EL25" s="23">
        <f>'New Formula with HB25-1320'!EL25</f>
        <v>467.5</v>
      </c>
      <c r="EM25" s="23">
        <f>'New Formula with HB25-1320'!EM25</f>
        <v>373</v>
      </c>
      <c r="EN25" s="23">
        <f>'New Formula with HB25-1320'!EN25</f>
        <v>899</v>
      </c>
      <c r="EO25" s="23">
        <f>'New Formula with HB25-1320'!EO25</f>
        <v>296</v>
      </c>
      <c r="EP25" s="23">
        <f>'New Formula with HB25-1320'!EP25</f>
        <v>417.5</v>
      </c>
      <c r="EQ25" s="23">
        <f>'New Formula with HB25-1320'!EQ25</f>
        <v>2509</v>
      </c>
      <c r="ER25" s="23">
        <f>'New Formula with HB25-1320'!ER25</f>
        <v>310.5</v>
      </c>
      <c r="ES25" s="23">
        <f>'New Formula with HB25-1320'!ES25</f>
        <v>174.5</v>
      </c>
      <c r="ET25" s="23">
        <f>'New Formula with HB25-1320'!ET25</f>
        <v>182</v>
      </c>
      <c r="EU25" s="23">
        <f>'New Formula with HB25-1320'!EU25</f>
        <v>569</v>
      </c>
      <c r="EV25" s="23">
        <f>'New Formula with HB25-1320'!EV25</f>
        <v>71</v>
      </c>
      <c r="EW25" s="23">
        <f>'New Formula with HB25-1320'!EW25</f>
        <v>801</v>
      </c>
      <c r="EX25" s="23">
        <f>'New Formula with HB25-1320'!EX25</f>
        <v>170</v>
      </c>
      <c r="EY25" s="23">
        <f>'New Formula with HB25-1320'!EY25</f>
        <v>216</v>
      </c>
      <c r="EZ25" s="23">
        <f>'New Formula with HB25-1320'!EZ25</f>
        <v>131</v>
      </c>
      <c r="FA25" s="23">
        <f>'New Formula with HB25-1320'!FA25</f>
        <v>3409</v>
      </c>
      <c r="FB25" s="23">
        <f>'New Formula with HB25-1320'!FB25</f>
        <v>266.5</v>
      </c>
      <c r="FC25" s="23">
        <f>'New Formula with HB25-1320'!FC25</f>
        <v>1815</v>
      </c>
      <c r="FD25" s="23">
        <f>'New Formula with HB25-1320'!FD25</f>
        <v>399</v>
      </c>
      <c r="FE25" s="23">
        <f>'New Formula with HB25-1320'!FE25</f>
        <v>82</v>
      </c>
      <c r="FF25" s="23">
        <f>'New Formula with HB25-1320'!FF25</f>
        <v>183</v>
      </c>
      <c r="FG25" s="23">
        <f>'New Formula with HB25-1320'!FG25</f>
        <v>124</v>
      </c>
      <c r="FH25" s="23">
        <f>'New Formula with HB25-1320'!FH25</f>
        <v>68</v>
      </c>
      <c r="FI25" s="23">
        <f>'New Formula with HB25-1320'!FI25</f>
        <v>1691</v>
      </c>
      <c r="FJ25" s="23">
        <f>'New Formula with HB25-1320'!FJ25</f>
        <v>2017</v>
      </c>
      <c r="FK25" s="23">
        <f>'New Formula with HB25-1320'!FK25</f>
        <v>2536</v>
      </c>
      <c r="FL25" s="23">
        <f>'New Formula with HB25-1320'!FL25</f>
        <v>8175.5</v>
      </c>
      <c r="FM25" s="23">
        <f>'New Formula with HB25-1320'!FM25</f>
        <v>3824.5</v>
      </c>
      <c r="FN25" s="23">
        <f>'New Formula with HB25-1320'!FN25</f>
        <v>21727</v>
      </c>
      <c r="FO25" s="23">
        <f>'New Formula with HB25-1320'!FO25</f>
        <v>1082</v>
      </c>
      <c r="FP25" s="23">
        <f>'New Formula with HB25-1320'!FP25</f>
        <v>2224.5</v>
      </c>
      <c r="FQ25" s="23">
        <f>'New Formula with HB25-1320'!FQ25</f>
        <v>956.5</v>
      </c>
      <c r="FR25" s="23">
        <f>'New Formula with HB25-1320'!FR25</f>
        <v>164</v>
      </c>
      <c r="FS25" s="23">
        <f>'New Formula with HB25-1320'!FS25</f>
        <v>168</v>
      </c>
      <c r="FT25" s="23">
        <f>'New Formula with HB25-1320'!FT25</f>
        <v>58</v>
      </c>
      <c r="FU25" s="23">
        <f>'New Formula with HB25-1320'!FU25</f>
        <v>785</v>
      </c>
      <c r="FV25" s="23">
        <f>'New Formula with HB25-1320'!FV25</f>
        <v>691.5</v>
      </c>
      <c r="FW25" s="23">
        <f>'New Formula with HB25-1320'!FW25</f>
        <v>147</v>
      </c>
      <c r="FX25" s="23">
        <f>'New Formula with HB25-1320'!FX25</f>
        <v>57.5</v>
      </c>
      <c r="FY25" s="23"/>
      <c r="FZ25" s="23">
        <f t="shared" si="7"/>
        <v>786298</v>
      </c>
      <c r="GA25" s="23"/>
      <c r="GB25" s="23"/>
      <c r="GC25" s="23"/>
      <c r="GD25" s="23"/>
      <c r="GE25" s="7"/>
      <c r="GF25" s="7"/>
      <c r="GG25" s="7"/>
      <c r="GH25" s="7"/>
      <c r="GI25" s="7"/>
      <c r="GJ25" s="7"/>
      <c r="GK25" s="7"/>
    </row>
    <row r="26" spans="1:207" ht="15.5" x14ac:dyDescent="0.35">
      <c r="A26" s="92" t="s">
        <v>475</v>
      </c>
      <c r="B26" s="36" t="s">
        <v>484</v>
      </c>
      <c r="C26" s="23">
        <f>'New Formula with HB25-1320'!C26</f>
        <v>6372</v>
      </c>
      <c r="D26" s="23">
        <f>'New Formula with HB25-1320'!D26</f>
        <v>34363.5</v>
      </c>
      <c r="E26" s="23">
        <f>'New Formula with HB25-1320'!E26</f>
        <v>5274</v>
      </c>
      <c r="F26" s="23">
        <f>'New Formula with HB25-1320'!F26</f>
        <v>20215.5</v>
      </c>
      <c r="G26" s="23">
        <f>'New Formula with HB25-1320'!G26</f>
        <v>1234</v>
      </c>
      <c r="H26" s="23">
        <f>'New Formula with HB25-1320'!H26</f>
        <v>1129</v>
      </c>
      <c r="I26" s="23">
        <f>'New Formula with HB25-1320'!I26</f>
        <v>7427.5</v>
      </c>
      <c r="J26" s="23">
        <f>'New Formula with HB25-1320'!J26</f>
        <v>2111.5</v>
      </c>
      <c r="K26" s="23">
        <f>'New Formula with HB25-1320'!K26</f>
        <v>249</v>
      </c>
      <c r="L26" s="23">
        <f>'New Formula with HB25-1320'!L26</f>
        <v>2195</v>
      </c>
      <c r="M26" s="23">
        <f>'New Formula with HB25-1320'!M26</f>
        <v>998.5</v>
      </c>
      <c r="N26" s="23">
        <f>'New Formula with HB25-1320'!N26</f>
        <v>50787.5</v>
      </c>
      <c r="O26" s="23">
        <f>'New Formula with HB25-1320'!O26</f>
        <v>13067.5</v>
      </c>
      <c r="P26" s="23">
        <f>'New Formula with HB25-1320'!P26</f>
        <v>303.5</v>
      </c>
      <c r="Q26" s="23">
        <f>'New Formula with HB25-1320'!Q26</f>
        <v>36575</v>
      </c>
      <c r="R26" s="23">
        <f>'New Formula with HB25-1320'!R26</f>
        <v>477.5</v>
      </c>
      <c r="S26" s="23">
        <f>'New Formula with HB25-1320'!S26</f>
        <v>1644</v>
      </c>
      <c r="T26" s="23">
        <f>'New Formula with HB25-1320'!T26</f>
        <v>166.5</v>
      </c>
      <c r="U26" s="23">
        <f>'New Formula with HB25-1320'!U26</f>
        <v>48.5</v>
      </c>
      <c r="V26" s="23">
        <f>'New Formula with HB25-1320'!V26</f>
        <v>265.5</v>
      </c>
      <c r="W26" s="23">
        <f>'New Formula with HB25-1320'!W26</f>
        <v>66</v>
      </c>
      <c r="X26" s="23">
        <f>'New Formula with HB25-1320'!X26</f>
        <v>30</v>
      </c>
      <c r="Y26" s="23">
        <f>'New Formula with HB25-1320'!Y26</f>
        <v>456</v>
      </c>
      <c r="Z26" s="23">
        <f>'New Formula with HB25-1320'!Z26</f>
        <v>235.5</v>
      </c>
      <c r="AA26" s="23">
        <f>'New Formula with HB25-1320'!AA26</f>
        <v>30979.5</v>
      </c>
      <c r="AB26" s="23">
        <f>'New Formula with HB25-1320'!AB26</f>
        <v>27171.5</v>
      </c>
      <c r="AC26" s="23">
        <f>'New Formula with HB25-1320'!AC26</f>
        <v>951</v>
      </c>
      <c r="AD26" s="23">
        <f>'New Formula with HB25-1320'!AD26</f>
        <v>1259.5</v>
      </c>
      <c r="AE26" s="23">
        <f>'New Formula with HB25-1320'!AE26</f>
        <v>92</v>
      </c>
      <c r="AF26" s="23">
        <f>'New Formula with HB25-1320'!AF26</f>
        <v>172</v>
      </c>
      <c r="AG26" s="23">
        <f>'New Formula with HB25-1320'!AG26</f>
        <v>609</v>
      </c>
      <c r="AH26" s="23">
        <f>'New Formula with HB25-1320'!AH26</f>
        <v>991.5</v>
      </c>
      <c r="AI26" s="23">
        <f>'New Formula with HB25-1320'!AI26</f>
        <v>365.5</v>
      </c>
      <c r="AJ26" s="23">
        <f>'New Formula with HB25-1320'!AJ26</f>
        <v>153</v>
      </c>
      <c r="AK26" s="23">
        <f>'New Formula with HB25-1320'!AK26</f>
        <v>166.5</v>
      </c>
      <c r="AL26" s="23">
        <f>'New Formula with HB25-1320'!AL26</f>
        <v>259.5</v>
      </c>
      <c r="AM26" s="23">
        <f>'New Formula with HB25-1320'!AM26</f>
        <v>380</v>
      </c>
      <c r="AN26" s="23">
        <f>'New Formula with HB25-1320'!AN26</f>
        <v>318.5</v>
      </c>
      <c r="AO26" s="23">
        <f>'New Formula with HB25-1320'!AO26</f>
        <v>4241</v>
      </c>
      <c r="AP26" s="23">
        <f>'New Formula with HB25-1320'!AP26</f>
        <v>82330</v>
      </c>
      <c r="AQ26" s="23">
        <f>'New Formula with HB25-1320'!AQ26</f>
        <v>244.5</v>
      </c>
      <c r="AR26" s="23">
        <f>'New Formula with HB25-1320'!AR26</f>
        <v>59455.5</v>
      </c>
      <c r="AS26" s="23">
        <f>'New Formula with HB25-1320'!AS26</f>
        <v>6343.5</v>
      </c>
      <c r="AT26" s="23">
        <f>'New Formula with HB25-1320'!AT26</f>
        <v>2293.5</v>
      </c>
      <c r="AU26" s="23">
        <f>'New Formula with HB25-1320'!AU26</f>
        <v>275</v>
      </c>
      <c r="AV26" s="23">
        <f>'New Formula with HB25-1320'!AV26</f>
        <v>329.5</v>
      </c>
      <c r="AW26" s="23">
        <f>'New Formula with HB25-1320'!AW26</f>
        <v>248.5</v>
      </c>
      <c r="AX26" s="23">
        <f>'New Formula with HB25-1320'!AX26</f>
        <v>69.5</v>
      </c>
      <c r="AY26" s="23">
        <f>'New Formula with HB25-1320'!AY26</f>
        <v>409.5</v>
      </c>
      <c r="AZ26" s="23">
        <f>'New Formula with HB25-1320'!AZ26</f>
        <v>12298.5</v>
      </c>
      <c r="BA26" s="23">
        <f>'New Formula with HB25-1320'!BA26</f>
        <v>9225.5</v>
      </c>
      <c r="BB26" s="23">
        <f>'New Formula with HB25-1320'!BB26</f>
        <v>7727</v>
      </c>
      <c r="BC26" s="23">
        <f>'New Formula with HB25-1320'!BC26</f>
        <v>21009</v>
      </c>
      <c r="BD26" s="23">
        <f>'New Formula with HB25-1320'!BD26</f>
        <v>3622.5</v>
      </c>
      <c r="BE26" s="23">
        <f>'New Formula with HB25-1320'!BE26</f>
        <v>1286</v>
      </c>
      <c r="BF26" s="23">
        <f>'New Formula with HB25-1320'!BF26</f>
        <v>24490.5</v>
      </c>
      <c r="BG26" s="23">
        <f>'New Formula with HB25-1320'!BG26</f>
        <v>894</v>
      </c>
      <c r="BH26" s="23">
        <f>'New Formula with HB25-1320'!BH26</f>
        <v>566</v>
      </c>
      <c r="BI26" s="23">
        <f>'New Formula with HB25-1320'!BI26</f>
        <v>270</v>
      </c>
      <c r="BJ26" s="23">
        <f>'New Formula with HB25-1320'!BJ26</f>
        <v>6299.5</v>
      </c>
      <c r="BK26" s="23">
        <f>'New Formula with HB25-1320'!BK26</f>
        <v>18861.5</v>
      </c>
      <c r="BL26" s="23">
        <f>'New Formula with HB25-1320'!BL26</f>
        <v>75.5</v>
      </c>
      <c r="BM26" s="23">
        <f>'New Formula with HB25-1320'!BM26</f>
        <v>303</v>
      </c>
      <c r="BN26" s="23">
        <f>'New Formula with HB25-1320'!BN26</f>
        <v>3219</v>
      </c>
      <c r="BO26" s="23">
        <f>'New Formula with HB25-1320'!BO26</f>
        <v>1303.5</v>
      </c>
      <c r="BP26" s="23">
        <f>'New Formula with HB25-1320'!BP26</f>
        <v>175</v>
      </c>
      <c r="BQ26" s="23">
        <f>'New Formula with HB25-1320'!BQ26</f>
        <v>5661.5</v>
      </c>
      <c r="BR26" s="23">
        <f>'New Formula with HB25-1320'!BR26</f>
        <v>4525</v>
      </c>
      <c r="BS26" s="23">
        <f>'New Formula with HB25-1320'!BS26</f>
        <v>1123.5</v>
      </c>
      <c r="BT26" s="23">
        <f>'New Formula with HB25-1320'!BT26</f>
        <v>379.5</v>
      </c>
      <c r="BU26" s="23">
        <f>'New Formula with HB25-1320'!BU26</f>
        <v>395.5</v>
      </c>
      <c r="BV26" s="23">
        <f>'New Formula with HB25-1320'!BV26</f>
        <v>1232</v>
      </c>
      <c r="BW26" s="23">
        <f>'New Formula with HB25-1320'!BW26</f>
        <v>1990</v>
      </c>
      <c r="BX26" s="23">
        <f>'New Formula with HB25-1320'!BX26</f>
        <v>72.5</v>
      </c>
      <c r="BY26" s="23">
        <f>'New Formula with HB25-1320'!BY26</f>
        <v>451</v>
      </c>
      <c r="BZ26" s="23">
        <f>'New Formula with HB25-1320'!BZ26</f>
        <v>217</v>
      </c>
      <c r="CA26" s="23">
        <f>'New Formula with HB25-1320'!CA26</f>
        <v>167.5</v>
      </c>
      <c r="CB26" s="23">
        <f>'New Formula with HB25-1320'!CB26</f>
        <v>72924.5</v>
      </c>
      <c r="CC26" s="23">
        <f>'New Formula with HB25-1320'!CC26</f>
        <v>186</v>
      </c>
      <c r="CD26" s="23">
        <f>'New Formula with HB25-1320'!CD26</f>
        <v>35.5</v>
      </c>
      <c r="CE26" s="23">
        <f>'New Formula with HB25-1320'!CE26</f>
        <v>156.5</v>
      </c>
      <c r="CF26" s="23">
        <f>'New Formula with HB25-1320'!CF26</f>
        <v>119</v>
      </c>
      <c r="CG26" s="23">
        <f>'New Formula with HB25-1320'!CG26</f>
        <v>202.5</v>
      </c>
      <c r="CH26" s="23">
        <f>'New Formula with HB25-1320'!CH26</f>
        <v>101.5</v>
      </c>
      <c r="CI26" s="23">
        <f>'New Formula with HB25-1320'!CI26</f>
        <v>715.5</v>
      </c>
      <c r="CJ26" s="23">
        <f>'New Formula with HB25-1320'!CJ26</f>
        <v>900</v>
      </c>
      <c r="CK26" s="23">
        <f>'New Formula with HB25-1320'!CK26</f>
        <v>4395</v>
      </c>
      <c r="CL26" s="23">
        <f>'New Formula with HB25-1320'!CL26</f>
        <v>1269</v>
      </c>
      <c r="CM26" s="23">
        <f>'New Formula with HB25-1320'!CM26</f>
        <v>698</v>
      </c>
      <c r="CN26" s="23">
        <f>'New Formula with HB25-1320'!CN26</f>
        <v>28615</v>
      </c>
      <c r="CO26" s="23">
        <f>'New Formula with HB25-1320'!CO26</f>
        <v>14617</v>
      </c>
      <c r="CP26" s="23">
        <f>'New Formula with HB25-1320'!CP26</f>
        <v>983</v>
      </c>
      <c r="CQ26" s="23">
        <f>'New Formula with HB25-1320'!CQ26</f>
        <v>805</v>
      </c>
      <c r="CR26" s="23">
        <f>'New Formula with HB25-1320'!CR26</f>
        <v>238</v>
      </c>
      <c r="CS26" s="23">
        <f>'New Formula with HB25-1320'!CS26</f>
        <v>308</v>
      </c>
      <c r="CT26" s="23">
        <f>'New Formula with HB25-1320'!CT26</f>
        <v>107.5</v>
      </c>
      <c r="CU26" s="23">
        <f>'New Formula with HB25-1320'!CU26</f>
        <v>69</v>
      </c>
      <c r="CV26" s="23">
        <f>'New Formula with HB25-1320'!CV26</f>
        <v>29.5</v>
      </c>
      <c r="CW26" s="23">
        <f>'New Formula with HB25-1320'!CW26</f>
        <v>195.5</v>
      </c>
      <c r="CX26" s="23">
        <f>'New Formula with HB25-1320'!CX26</f>
        <v>467.5</v>
      </c>
      <c r="CY26" s="23">
        <f>'New Formula with HB25-1320'!CY26</f>
        <v>37</v>
      </c>
      <c r="CZ26" s="23">
        <f>'New Formula with HB25-1320'!CZ26</f>
        <v>1845</v>
      </c>
      <c r="DA26" s="23">
        <f>'New Formula with HB25-1320'!DA26</f>
        <v>203.5</v>
      </c>
      <c r="DB26" s="23">
        <f>'New Formula with HB25-1320'!DB26</f>
        <v>316</v>
      </c>
      <c r="DC26" s="23">
        <f>'New Formula with HB25-1320'!DC26</f>
        <v>162</v>
      </c>
      <c r="DD26" s="23">
        <f>'New Formula with HB25-1320'!DD26</f>
        <v>157</v>
      </c>
      <c r="DE26" s="23">
        <f>'New Formula with HB25-1320'!DE26</f>
        <v>291.5</v>
      </c>
      <c r="DF26" s="23">
        <f>'New Formula with HB25-1320'!DF26</f>
        <v>19957.5</v>
      </c>
      <c r="DG26" s="23">
        <f>'New Formula with HB25-1320'!DG26</f>
        <v>85</v>
      </c>
      <c r="DH26" s="23">
        <f>'New Formula with HB25-1320'!DH26</f>
        <v>1945</v>
      </c>
      <c r="DI26" s="23">
        <f>'New Formula with HB25-1320'!DI26</f>
        <v>2362.5</v>
      </c>
      <c r="DJ26" s="23">
        <f>'New Formula with HB25-1320'!DJ26</f>
        <v>631.5</v>
      </c>
      <c r="DK26" s="23">
        <f>'New Formula with HB25-1320'!DK26</f>
        <v>468</v>
      </c>
      <c r="DL26" s="23">
        <f>'New Formula with HB25-1320'!DL26</f>
        <v>5726</v>
      </c>
      <c r="DM26" s="23">
        <f>'New Formula with HB25-1320'!DM26</f>
        <v>236</v>
      </c>
      <c r="DN26" s="23">
        <f>'New Formula with HB25-1320'!DN26</f>
        <v>1296.5</v>
      </c>
      <c r="DO26" s="23">
        <f>'New Formula with HB25-1320'!DO26</f>
        <v>3203</v>
      </c>
      <c r="DP26" s="23">
        <f>'New Formula with HB25-1320'!DP26</f>
        <v>208.5</v>
      </c>
      <c r="DQ26" s="23">
        <f>'New Formula with HB25-1320'!DQ26</f>
        <v>798</v>
      </c>
      <c r="DR26" s="23">
        <f>'New Formula with HB25-1320'!DR26</f>
        <v>1356.5</v>
      </c>
      <c r="DS26" s="23">
        <f>'New Formula with HB25-1320'!DS26</f>
        <v>632</v>
      </c>
      <c r="DT26" s="23">
        <f>'New Formula with HB25-1320'!DT26</f>
        <v>163</v>
      </c>
      <c r="DU26" s="23">
        <f>'New Formula with HB25-1320'!DU26</f>
        <v>346.5</v>
      </c>
      <c r="DV26" s="23">
        <f>'New Formula with HB25-1320'!DV26</f>
        <v>218</v>
      </c>
      <c r="DW26" s="23">
        <f>'New Formula with HB25-1320'!DW26</f>
        <v>314</v>
      </c>
      <c r="DX26" s="23">
        <f>'New Formula with HB25-1320'!DX26</f>
        <v>160.5</v>
      </c>
      <c r="DY26" s="23">
        <f>'New Formula with HB25-1320'!DY26</f>
        <v>309.5</v>
      </c>
      <c r="DZ26" s="23">
        <f>'New Formula with HB25-1320'!DZ26</f>
        <v>729.5</v>
      </c>
      <c r="EA26" s="23">
        <f>'New Formula with HB25-1320'!EA26</f>
        <v>533.5</v>
      </c>
      <c r="EB26" s="23">
        <f>'New Formula with HB25-1320'!EB26</f>
        <v>556.5</v>
      </c>
      <c r="EC26" s="23">
        <f>'New Formula with HB25-1320'!EC26</f>
        <v>306.5</v>
      </c>
      <c r="ED26" s="23">
        <f>'New Formula with HB25-1320'!ED26</f>
        <v>1552.5</v>
      </c>
      <c r="EE26" s="23">
        <f>'New Formula with HB25-1320'!EE26</f>
        <v>198</v>
      </c>
      <c r="EF26" s="23">
        <f>'New Formula with HB25-1320'!EF26</f>
        <v>1414</v>
      </c>
      <c r="EG26" s="23">
        <f>'New Formula with HB25-1320'!EG26</f>
        <v>252.5</v>
      </c>
      <c r="EH26" s="23">
        <f>'New Formula with HB25-1320'!EH26</f>
        <v>248.5</v>
      </c>
      <c r="EI26" s="23">
        <f>'New Formula with HB25-1320'!EI26</f>
        <v>14340.5</v>
      </c>
      <c r="EJ26" s="23">
        <f>'New Formula with HB25-1320'!EJ26</f>
        <v>10073.5</v>
      </c>
      <c r="EK26" s="23">
        <f>'New Formula with HB25-1320'!EK26</f>
        <v>673.5</v>
      </c>
      <c r="EL26" s="23">
        <f>'New Formula with HB25-1320'!EL26</f>
        <v>457.5</v>
      </c>
      <c r="EM26" s="23">
        <f>'New Formula with HB25-1320'!EM26</f>
        <v>391.5</v>
      </c>
      <c r="EN26" s="23">
        <f>'New Formula with HB25-1320'!EN26</f>
        <v>896.5</v>
      </c>
      <c r="EO26" s="23">
        <f>'New Formula with HB25-1320'!EO26</f>
        <v>322</v>
      </c>
      <c r="EP26" s="23">
        <f>'New Formula with HB25-1320'!EP26</f>
        <v>424.5</v>
      </c>
      <c r="EQ26" s="23">
        <f>'New Formula with HB25-1320'!EQ26</f>
        <v>2592.5</v>
      </c>
      <c r="ER26" s="23">
        <f>'New Formula with HB25-1320'!ER26</f>
        <v>316.5</v>
      </c>
      <c r="ES26" s="23">
        <f>'New Formula with HB25-1320'!ES26</f>
        <v>168.5</v>
      </c>
      <c r="ET26" s="23">
        <f>'New Formula with HB25-1320'!ET26</f>
        <v>166</v>
      </c>
      <c r="EU26" s="23">
        <f>'New Formula with HB25-1320'!EU26</f>
        <v>581</v>
      </c>
      <c r="EV26" s="23">
        <f>'New Formula with HB25-1320'!EV26</f>
        <v>80</v>
      </c>
      <c r="EW26" s="23">
        <f>'New Formula with HB25-1320'!EW26</f>
        <v>871</v>
      </c>
      <c r="EX26" s="23">
        <f>'New Formula with HB25-1320'!EX26</f>
        <v>165.5</v>
      </c>
      <c r="EY26" s="23">
        <f>'New Formula with HB25-1320'!EY26</f>
        <v>208.5</v>
      </c>
      <c r="EZ26" s="23">
        <f>'New Formula with HB25-1320'!EZ26</f>
        <v>114</v>
      </c>
      <c r="FA26" s="23">
        <f>'New Formula with HB25-1320'!FA26</f>
        <v>3486</v>
      </c>
      <c r="FB26" s="23">
        <f>'New Formula with HB25-1320'!FB26</f>
        <v>286.5</v>
      </c>
      <c r="FC26" s="23">
        <f>'New Formula with HB25-1320'!FC26</f>
        <v>1944</v>
      </c>
      <c r="FD26" s="23">
        <f>'New Formula with HB25-1320'!FD26</f>
        <v>415</v>
      </c>
      <c r="FE26" s="23">
        <f>'New Formula with HB25-1320'!FE26</f>
        <v>82</v>
      </c>
      <c r="FF26" s="23">
        <f>'New Formula with HB25-1320'!FF26</f>
        <v>188</v>
      </c>
      <c r="FG26" s="23">
        <f>'New Formula with HB25-1320'!FG26</f>
        <v>124</v>
      </c>
      <c r="FH26" s="23">
        <f>'New Formula with HB25-1320'!FH26</f>
        <v>72</v>
      </c>
      <c r="FI26" s="23">
        <f>'New Formula with HB25-1320'!FI26</f>
        <v>1752</v>
      </c>
      <c r="FJ26" s="23">
        <f>'New Formula with HB25-1320'!FJ26</f>
        <v>1998.5</v>
      </c>
      <c r="FK26" s="23">
        <f>'New Formula with HB25-1320'!FK26</f>
        <v>2612.5</v>
      </c>
      <c r="FL26" s="23">
        <f>'New Formula with HB25-1320'!FL26</f>
        <v>7995.5</v>
      </c>
      <c r="FM26" s="23">
        <f>'New Formula with HB25-1320'!FM26</f>
        <v>3731.5</v>
      </c>
      <c r="FN26" s="23">
        <f>'New Formula with HB25-1320'!FN26</f>
        <v>21573.5</v>
      </c>
      <c r="FO26" s="23">
        <f>'New Formula with HB25-1320'!FO26</f>
        <v>1104</v>
      </c>
      <c r="FP26" s="23">
        <f>'New Formula with HB25-1320'!FP26</f>
        <v>2342</v>
      </c>
      <c r="FQ26" s="23">
        <f>'New Formula with HB25-1320'!FQ26</f>
        <v>994.5</v>
      </c>
      <c r="FR26" s="23">
        <f>'New Formula with HB25-1320'!FR26</f>
        <v>169.5</v>
      </c>
      <c r="FS26" s="23">
        <f>'New Formula with HB25-1320'!FS26</f>
        <v>179</v>
      </c>
      <c r="FT26" s="23">
        <f>'New Formula with HB25-1320'!FT26</f>
        <v>58</v>
      </c>
      <c r="FU26" s="23">
        <f>'New Formula with HB25-1320'!FU26</f>
        <v>832.5</v>
      </c>
      <c r="FV26" s="23">
        <f>'New Formula with HB25-1320'!FV26</f>
        <v>689</v>
      </c>
      <c r="FW26" s="23">
        <f>'New Formula with HB25-1320'!FW26</f>
        <v>156</v>
      </c>
      <c r="FX26" s="23">
        <f>'New Formula with HB25-1320'!FX26</f>
        <v>57.5</v>
      </c>
      <c r="FY26" s="23"/>
      <c r="FZ26" s="23">
        <f t="shared" si="7"/>
        <v>796687.5</v>
      </c>
      <c r="GA26" s="23"/>
      <c r="GB26" s="23"/>
      <c r="GC26" s="23"/>
      <c r="GD26" s="23"/>
      <c r="GE26" s="7"/>
      <c r="GF26" s="7"/>
      <c r="GG26" s="7"/>
      <c r="GH26" s="7"/>
      <c r="GI26" s="7"/>
      <c r="GJ26" s="7"/>
      <c r="GK26" s="7"/>
    </row>
    <row r="27" spans="1:207" ht="15.5" x14ac:dyDescent="0.35">
      <c r="A27" s="92" t="s">
        <v>477</v>
      </c>
      <c r="B27" s="36" t="s">
        <v>752</v>
      </c>
      <c r="C27" s="23">
        <f>IF('New Formula with HB25-1320'!$B$7&lt;4,0,VLOOKUP(C5,PriorYR_FTE2!$A$3:$E$180,5))</f>
        <v>6356.5</v>
      </c>
      <c r="D27" s="23">
        <f>IF('New Formula with HB25-1320'!$B$7&lt;4,0,VLOOKUP(D5,PriorYR_FTE2!$A$3:$E$180,5))</f>
        <v>34775</v>
      </c>
      <c r="E27" s="23">
        <f>IF('New Formula with HB25-1320'!$B$7&lt;4,0,VLOOKUP(E5,PriorYR_FTE2!$A$3:$E$180,5))</f>
        <v>5544</v>
      </c>
      <c r="F27" s="23">
        <f>IF('New Formula with HB25-1320'!$B$7&lt;4,0,VLOOKUP(F5,PriorYR_FTE2!$A$3:$E$180,5))</f>
        <v>19613</v>
      </c>
      <c r="G27" s="23">
        <f>IF('New Formula with HB25-1320'!$B$7&lt;4,0,VLOOKUP(G5,PriorYR_FTE2!$A$3:$E$180,5))</f>
        <v>1207.5</v>
      </c>
      <c r="H27" s="23">
        <f>IF('New Formula with HB25-1320'!$B$7&lt;4,0,VLOOKUP(H5,PriorYR_FTE2!$A$3:$E$180,5))</f>
        <v>1096.5</v>
      </c>
      <c r="I27" s="23">
        <f>IF('New Formula with HB25-1320'!$B$7&lt;4,0,VLOOKUP(I5,PriorYR_FTE2!$A$3:$E$180,5))</f>
        <v>7781</v>
      </c>
      <c r="J27" s="23">
        <f>IF('New Formula with HB25-1320'!$B$7&lt;4,0,VLOOKUP(J5,PriorYR_FTE2!$A$3:$E$180,5))</f>
        <v>2171.5</v>
      </c>
      <c r="K27" s="23">
        <f>IF('New Formula with HB25-1320'!$B$7&lt;4,0,VLOOKUP(K5,PriorYR_FTE2!$A$3:$E$180,5))</f>
        <v>233.5</v>
      </c>
      <c r="L27" s="23">
        <f>IF('New Formula with HB25-1320'!$B$7&lt;4,0,VLOOKUP(L5,PriorYR_FTE2!$A$3:$E$180,5))</f>
        <v>2219.5</v>
      </c>
      <c r="M27" s="23">
        <f>IF('New Formula with HB25-1320'!$B$7&lt;4,0,VLOOKUP(M5,PriorYR_FTE2!$A$3:$E$180,5))</f>
        <v>1047</v>
      </c>
      <c r="N27" s="23">
        <f>IF('New Formula with HB25-1320'!$B$7&lt;4,0,VLOOKUP(N5,PriorYR_FTE2!$A$3:$E$180,5))</f>
        <v>51486.5</v>
      </c>
      <c r="O27" s="23">
        <f>IF('New Formula with HB25-1320'!$B$7&lt;4,0,VLOOKUP(O5,PriorYR_FTE2!$A$3:$E$180,5))</f>
        <v>13342.5</v>
      </c>
      <c r="P27" s="23">
        <f>IF('New Formula with HB25-1320'!$B$7&lt;4,0,VLOOKUP(P5,PriorYR_FTE2!$A$3:$E$180,5))</f>
        <v>270.5</v>
      </c>
      <c r="Q27" s="23">
        <f>IF('New Formula with HB25-1320'!$B$7&lt;4,0,VLOOKUP(Q5,PriorYR_FTE2!$A$3:$E$180,5))</f>
        <v>36070.5</v>
      </c>
      <c r="R27" s="23">
        <f>IF('New Formula with HB25-1320'!$B$7&lt;4,0,VLOOKUP(R5,PriorYR_FTE2!$A$3:$E$180,5))</f>
        <v>474.5</v>
      </c>
      <c r="S27" s="23">
        <f>IF('New Formula with HB25-1320'!$B$7&lt;4,0,VLOOKUP(S5,PriorYR_FTE2!$A$3:$E$180,5))</f>
        <v>1662.5</v>
      </c>
      <c r="T27" s="23">
        <f>IF('New Formula with HB25-1320'!$B$7&lt;4,0,VLOOKUP(T5,PriorYR_FTE2!$A$3:$E$180,5))</f>
        <v>144.5</v>
      </c>
      <c r="U27" s="23">
        <f>IF('New Formula with HB25-1320'!$B$7&lt;4,0,VLOOKUP(U5,PriorYR_FTE2!$A$3:$E$180,5))</f>
        <v>54.5</v>
      </c>
      <c r="V27" s="23">
        <f>IF('New Formula with HB25-1320'!$B$7&lt;4,0,VLOOKUP(V5,PriorYR_FTE2!$A$3:$E$180,5))</f>
        <v>250</v>
      </c>
      <c r="W27" s="23">
        <f>IF('New Formula with HB25-1320'!$B$7&lt;4,0,VLOOKUP(W5,PriorYR_FTE2!$A$3:$E$180,5))</f>
        <v>73.5</v>
      </c>
      <c r="X27" s="23">
        <f>IF('New Formula with HB25-1320'!$B$7&lt;4,0,VLOOKUP(X5,PriorYR_FTE2!$A$3:$E$180,5))</f>
        <v>44</v>
      </c>
      <c r="Y27" s="23">
        <f>IF('New Formula with HB25-1320'!$B$7&lt;4,0,VLOOKUP(Y5,PriorYR_FTE2!$A$3:$E$180,5))</f>
        <v>434</v>
      </c>
      <c r="Z27" s="23">
        <f>IF('New Formula with HB25-1320'!$B$7&lt;4,0,VLOOKUP(Z5,PriorYR_FTE2!$A$3:$E$180,5))</f>
        <v>219</v>
      </c>
      <c r="AA27" s="23">
        <f>IF('New Formula with HB25-1320'!$B$7&lt;4,0,VLOOKUP(AA5,PriorYR_FTE2!$A$3:$E$180,5))</f>
        <v>30848.5</v>
      </c>
      <c r="AB27" s="23">
        <f>IF('New Formula with HB25-1320'!$B$7&lt;4,0,VLOOKUP(AB5,PriorYR_FTE2!$A$3:$E$180,5))</f>
        <v>27335.5</v>
      </c>
      <c r="AC27" s="23">
        <f>IF('New Formula with HB25-1320'!$B$7&lt;4,0,VLOOKUP(AC5,PriorYR_FTE2!$A$3:$E$180,5))</f>
        <v>960</v>
      </c>
      <c r="AD27" s="23">
        <f>IF('New Formula with HB25-1320'!$B$7&lt;4,0,VLOOKUP(AD5,PriorYR_FTE2!$A$3:$E$180,5))</f>
        <v>1252.5</v>
      </c>
      <c r="AE27" s="23">
        <f>IF('New Formula with HB25-1320'!$B$7&lt;4,0,VLOOKUP(AE5,PriorYR_FTE2!$A$3:$E$180,5))</f>
        <v>92.5</v>
      </c>
      <c r="AF27" s="23">
        <f>IF('New Formula with HB25-1320'!$B$7&lt;4,0,VLOOKUP(AF5,PriorYR_FTE2!$A$3:$E$180,5))</f>
        <v>174.5</v>
      </c>
      <c r="AG27" s="23">
        <f>IF('New Formula with HB25-1320'!$B$7&lt;4,0,VLOOKUP(AG5,PriorYR_FTE2!$A$3:$E$180,5))</f>
        <v>632</v>
      </c>
      <c r="AH27" s="23">
        <f>IF('New Formula with HB25-1320'!$B$7&lt;4,0,VLOOKUP(AH5,PriorYR_FTE2!$A$3:$E$180,5))</f>
        <v>1007</v>
      </c>
      <c r="AI27" s="23">
        <f>IF('New Formula with HB25-1320'!$B$7&lt;4,0,VLOOKUP(AI5,PriorYR_FTE2!$A$3:$E$180,5))</f>
        <v>331.5</v>
      </c>
      <c r="AJ27" s="23">
        <f>IF('New Formula with HB25-1320'!$B$7&lt;4,0,VLOOKUP(AJ5,PriorYR_FTE2!$A$3:$E$180,5))</f>
        <v>140.5</v>
      </c>
      <c r="AK27" s="23">
        <f>IF('New Formula with HB25-1320'!$B$7&lt;4,0,VLOOKUP(AK5,PriorYR_FTE2!$A$3:$E$180,5))</f>
        <v>177.5</v>
      </c>
      <c r="AL27" s="23">
        <f>IF('New Formula with HB25-1320'!$B$7&lt;4,0,VLOOKUP(AL5,PriorYR_FTE2!$A$3:$E$180,5))</f>
        <v>237.5</v>
      </c>
      <c r="AM27" s="23">
        <f>IF('New Formula with HB25-1320'!$B$7&lt;4,0,VLOOKUP(AM5,PriorYR_FTE2!$A$3:$E$180,5))</f>
        <v>403</v>
      </c>
      <c r="AN27" s="23">
        <f>IF('New Formula with HB25-1320'!$B$7&lt;4,0,VLOOKUP(AN5,PriorYR_FTE2!$A$3:$E$180,5))</f>
        <v>331.5</v>
      </c>
      <c r="AO27" s="23">
        <f>IF('New Formula with HB25-1320'!$B$7&lt;4,0,VLOOKUP(AO5,PriorYR_FTE2!$A$3:$E$180,5))</f>
        <v>4360.5</v>
      </c>
      <c r="AP27" s="23">
        <f>IF('New Formula with HB25-1320'!$B$7&lt;4,0,VLOOKUP(AP5,PriorYR_FTE2!$A$3:$E$180,5))</f>
        <v>83793</v>
      </c>
      <c r="AQ27" s="23">
        <f>IF('New Formula with HB25-1320'!$B$7&lt;4,0,VLOOKUP(AQ5,PriorYR_FTE2!$A$3:$E$180,5))</f>
        <v>241</v>
      </c>
      <c r="AR27" s="23">
        <f>IF('New Formula with HB25-1320'!$B$7&lt;4,0,VLOOKUP(AR5,PriorYR_FTE2!$A$3:$E$180,5))</f>
        <v>60239.5</v>
      </c>
      <c r="AS27" s="23">
        <f>IF('New Formula with HB25-1320'!$B$7&lt;4,0,VLOOKUP(AS5,PriorYR_FTE2!$A$3:$E$180,5))</f>
        <v>6425.5</v>
      </c>
      <c r="AT27" s="23">
        <f>IF('New Formula with HB25-1320'!$B$7&lt;4,0,VLOOKUP(AT5,PriorYR_FTE2!$A$3:$E$180,5))</f>
        <v>2232</v>
      </c>
      <c r="AU27" s="23">
        <f>IF('New Formula with HB25-1320'!$B$7&lt;4,0,VLOOKUP(AU5,PriorYR_FTE2!$A$3:$E$180,5))</f>
        <v>255</v>
      </c>
      <c r="AV27" s="23">
        <f>IF('New Formula with HB25-1320'!$B$7&lt;4,0,VLOOKUP(AV5,PriorYR_FTE2!$A$3:$E$180,5))</f>
        <v>304</v>
      </c>
      <c r="AW27" s="23">
        <f>IF('New Formula with HB25-1320'!$B$7&lt;4,0,VLOOKUP(AW5,PriorYR_FTE2!$A$3:$E$180,5))</f>
        <v>254</v>
      </c>
      <c r="AX27" s="23">
        <f>IF('New Formula with HB25-1320'!$B$7&lt;4,0,VLOOKUP(AX5,PriorYR_FTE2!$A$3:$E$180,5))</f>
        <v>71.5</v>
      </c>
      <c r="AY27" s="23">
        <f>IF('New Formula with HB25-1320'!$B$7&lt;4,0,VLOOKUP(AY5,PriorYR_FTE2!$A$3:$E$180,5))</f>
        <v>426</v>
      </c>
      <c r="AZ27" s="23">
        <f>IF('New Formula with HB25-1320'!$B$7&lt;4,0,VLOOKUP(AZ5,PriorYR_FTE2!$A$3:$E$180,5))</f>
        <v>12587</v>
      </c>
      <c r="BA27" s="23">
        <f>IF('New Formula with HB25-1320'!$B$7&lt;4,0,VLOOKUP(BA5,PriorYR_FTE2!$A$3:$E$180,5))</f>
        <v>8981</v>
      </c>
      <c r="BB27" s="23">
        <f>IF('New Formula with HB25-1320'!$B$7&lt;4,0,VLOOKUP(BB5,PriorYR_FTE2!$A$3:$E$180,5))</f>
        <v>7862.5</v>
      </c>
      <c r="BC27" s="23">
        <f>IF('New Formula with HB25-1320'!$B$7&lt;4,0,VLOOKUP(BC5,PriorYR_FTE2!$A$3:$E$180,5))</f>
        <v>21479.5</v>
      </c>
      <c r="BD27" s="23">
        <f>IF('New Formula with HB25-1320'!$B$7&lt;4,0,VLOOKUP(BD5,PriorYR_FTE2!$A$3:$E$180,5))</f>
        <v>3545</v>
      </c>
      <c r="BE27" s="23">
        <f>IF('New Formula with HB25-1320'!$B$7&lt;4,0,VLOOKUP(BE5,PriorYR_FTE2!$A$3:$E$180,5))</f>
        <v>1295.5</v>
      </c>
      <c r="BF27" s="23">
        <f>IF('New Formula with HB25-1320'!$B$7&lt;4,0,VLOOKUP(BF5,PriorYR_FTE2!$A$3:$E$180,5))</f>
        <v>24154.5</v>
      </c>
      <c r="BG27" s="23">
        <f>IF('New Formula with HB25-1320'!$B$7&lt;4,0,VLOOKUP(BG5,PriorYR_FTE2!$A$3:$E$180,5))</f>
        <v>891.5</v>
      </c>
      <c r="BH27" s="23">
        <f>IF('New Formula with HB25-1320'!$B$7&lt;4,0,VLOOKUP(BH5,PriorYR_FTE2!$A$3:$E$180,5))</f>
        <v>546.5</v>
      </c>
      <c r="BI27" s="23">
        <f>IF('New Formula with HB25-1320'!$B$7&lt;4,0,VLOOKUP(BI5,PriorYR_FTE2!$A$3:$E$180,5))</f>
        <v>258</v>
      </c>
      <c r="BJ27" s="23">
        <f>IF('New Formula with HB25-1320'!$B$7&lt;4,0,VLOOKUP(BJ5,PriorYR_FTE2!$A$3:$E$180,5))</f>
        <v>6328.5</v>
      </c>
      <c r="BK27" s="23">
        <f>IF('New Formula with HB25-1320'!$B$7&lt;4,0,VLOOKUP(BK5,PriorYR_FTE2!$A$3:$E$180,5))</f>
        <v>18568.5</v>
      </c>
      <c r="BL27" s="23">
        <f>IF('New Formula with HB25-1320'!$B$7&lt;4,0,VLOOKUP(BL5,PriorYR_FTE2!$A$3:$E$180,5))</f>
        <v>104</v>
      </c>
      <c r="BM27" s="23">
        <f>IF('New Formula with HB25-1320'!$B$7&lt;4,0,VLOOKUP(BM5,PriorYR_FTE2!$A$3:$E$180,5))</f>
        <v>288</v>
      </c>
      <c r="BN27" s="23">
        <f>IF('New Formula with HB25-1320'!$B$7&lt;4,0,VLOOKUP(BN5,PriorYR_FTE2!$A$3:$E$180,5))</f>
        <v>3250</v>
      </c>
      <c r="BO27" s="23">
        <f>IF('New Formula with HB25-1320'!$B$7&lt;4,0,VLOOKUP(BO5,PriorYR_FTE2!$A$3:$E$180,5))</f>
        <v>1341</v>
      </c>
      <c r="BP27" s="23">
        <f>IF('New Formula with HB25-1320'!$B$7&lt;4,0,VLOOKUP(BP5,PriorYR_FTE2!$A$3:$E$180,5))</f>
        <v>194</v>
      </c>
      <c r="BQ27" s="23">
        <f>IF('New Formula with HB25-1320'!$B$7&lt;4,0,VLOOKUP(BQ5,PriorYR_FTE2!$A$3:$E$180,5))</f>
        <v>5572.5</v>
      </c>
      <c r="BR27" s="23">
        <f>IF('New Formula with HB25-1320'!$B$7&lt;4,0,VLOOKUP(BR5,PriorYR_FTE2!$A$3:$E$180,5))</f>
        <v>4487</v>
      </c>
      <c r="BS27" s="23">
        <f>IF('New Formula with HB25-1320'!$B$7&lt;4,0,VLOOKUP(BS5,PriorYR_FTE2!$A$3:$E$180,5))</f>
        <v>1138.5</v>
      </c>
      <c r="BT27" s="23">
        <f>IF('New Formula with HB25-1320'!$B$7&lt;4,0,VLOOKUP(BT5,PriorYR_FTE2!$A$3:$E$180,5))</f>
        <v>412.5</v>
      </c>
      <c r="BU27" s="23">
        <f>IF('New Formula with HB25-1320'!$B$7&lt;4,0,VLOOKUP(BU5,PriorYR_FTE2!$A$3:$E$180,5))</f>
        <v>398</v>
      </c>
      <c r="BV27" s="23">
        <f>IF('New Formula with HB25-1320'!$B$7&lt;4,0,VLOOKUP(BV5,PriorYR_FTE2!$A$3:$E$180,5))</f>
        <v>1248.5</v>
      </c>
      <c r="BW27" s="23">
        <f>IF('New Formula with HB25-1320'!$B$7&lt;4,0,VLOOKUP(BW5,PriorYR_FTE2!$A$3:$E$180,5))</f>
        <v>2006.5</v>
      </c>
      <c r="BX27" s="23">
        <f>IF('New Formula with HB25-1320'!$B$7&lt;4,0,VLOOKUP(BX5,PriorYR_FTE2!$A$3:$E$180,5))</f>
        <v>69</v>
      </c>
      <c r="BY27" s="23">
        <f>IF('New Formula with HB25-1320'!$B$7&lt;4,0,VLOOKUP(BY5,PriorYR_FTE2!$A$3:$E$180,5))</f>
        <v>466</v>
      </c>
      <c r="BZ27" s="23">
        <f>IF('New Formula with HB25-1320'!$B$7&lt;4,0,VLOOKUP(BZ5,PriorYR_FTE2!$A$3:$E$180,5))</f>
        <v>199</v>
      </c>
      <c r="CA27" s="23">
        <f>IF('New Formula with HB25-1320'!$B$7&lt;4,0,VLOOKUP(CA5,PriorYR_FTE2!$A$3:$E$180,5))</f>
        <v>153</v>
      </c>
      <c r="CB27" s="23">
        <f>IF('New Formula with HB25-1320'!$B$7&lt;4,0,VLOOKUP(CB5,PriorYR_FTE2!$A$3:$E$180,5))</f>
        <v>73784</v>
      </c>
      <c r="CC27" s="23">
        <f>IF('New Formula with HB25-1320'!$B$7&lt;4,0,VLOOKUP(CC5,PriorYR_FTE2!$A$3:$E$180,5))</f>
        <v>187</v>
      </c>
      <c r="CD27" s="23">
        <f>IF('New Formula with HB25-1320'!$B$7&lt;4,0,VLOOKUP(CD5,PriorYR_FTE2!$A$3:$E$180,5))</f>
        <v>32.5</v>
      </c>
      <c r="CE27" s="23">
        <f>IF('New Formula with HB25-1320'!$B$7&lt;4,0,VLOOKUP(CE5,PriorYR_FTE2!$A$3:$E$180,5))</f>
        <v>125.5</v>
      </c>
      <c r="CF27" s="23">
        <f>IF('New Formula with HB25-1320'!$B$7&lt;4,0,VLOOKUP(CF5,PriorYR_FTE2!$A$3:$E$180,5))</f>
        <v>141.5</v>
      </c>
      <c r="CG27" s="23">
        <f>IF('New Formula with HB25-1320'!$B$7&lt;4,0,VLOOKUP(CG5,PriorYR_FTE2!$A$3:$E$180,5))</f>
        <v>209</v>
      </c>
      <c r="CH27" s="23">
        <f>IF('New Formula with HB25-1320'!$B$7&lt;4,0,VLOOKUP(CH5,PriorYR_FTE2!$A$3:$E$180,5))</f>
        <v>102</v>
      </c>
      <c r="CI27" s="23">
        <f>IF('New Formula with HB25-1320'!$B$7&lt;4,0,VLOOKUP(CI5,PriorYR_FTE2!$A$3:$E$180,5))</f>
        <v>687.5</v>
      </c>
      <c r="CJ27" s="23">
        <f>IF('New Formula with HB25-1320'!$B$7&lt;4,0,VLOOKUP(CJ5,PriorYR_FTE2!$A$3:$E$180,5))</f>
        <v>910.5</v>
      </c>
      <c r="CK27" s="23">
        <f>IF('New Formula with HB25-1320'!$B$7&lt;4,0,VLOOKUP(CK5,PriorYR_FTE2!$A$3:$E$180,5))</f>
        <v>4431.5</v>
      </c>
      <c r="CL27" s="23">
        <f>IF('New Formula with HB25-1320'!$B$7&lt;4,0,VLOOKUP(CL5,PriorYR_FTE2!$A$3:$E$180,5))</f>
        <v>1311.5</v>
      </c>
      <c r="CM27" s="23">
        <f>IF('New Formula with HB25-1320'!$B$7&lt;4,0,VLOOKUP(CM5,PriorYR_FTE2!$A$3:$E$180,5))</f>
        <v>688</v>
      </c>
      <c r="CN27" s="23">
        <f>IF('New Formula with HB25-1320'!$B$7&lt;4,0,VLOOKUP(CN5,PriorYR_FTE2!$A$3:$E$180,5))</f>
        <v>28349</v>
      </c>
      <c r="CO27" s="23">
        <f>IF('New Formula with HB25-1320'!$B$7&lt;4,0,VLOOKUP(CO5,PriorYR_FTE2!$A$3:$E$180,5))</f>
        <v>14746.5</v>
      </c>
      <c r="CP27" s="23">
        <f>IF('New Formula with HB25-1320'!$B$7&lt;4,0,VLOOKUP(CP5,PriorYR_FTE2!$A$3:$E$180,5))</f>
        <v>997</v>
      </c>
      <c r="CQ27" s="23">
        <f>IF('New Formula with HB25-1320'!$B$7&lt;4,0,VLOOKUP(CQ5,PriorYR_FTE2!$A$3:$E$180,5))</f>
        <v>783.5</v>
      </c>
      <c r="CR27" s="23">
        <f>IF('New Formula with HB25-1320'!$B$7&lt;4,0,VLOOKUP(CR5,PriorYR_FTE2!$A$3:$E$180,5))</f>
        <v>214.5</v>
      </c>
      <c r="CS27" s="23">
        <f>IF('New Formula with HB25-1320'!$B$7&lt;4,0,VLOOKUP(CS5,PriorYR_FTE2!$A$3:$E$180,5))</f>
        <v>314</v>
      </c>
      <c r="CT27" s="23">
        <f>IF('New Formula with HB25-1320'!$B$7&lt;4,0,VLOOKUP(CT5,PriorYR_FTE2!$A$3:$E$180,5))</f>
        <v>101.5</v>
      </c>
      <c r="CU27" s="23">
        <f>IF('New Formula with HB25-1320'!$B$7&lt;4,0,VLOOKUP(CU5,PriorYR_FTE2!$A$3:$E$180,5))</f>
        <v>83</v>
      </c>
      <c r="CV27" s="23">
        <f>IF('New Formula with HB25-1320'!$B$7&lt;4,0,VLOOKUP(CV5,PriorYR_FTE2!$A$3:$E$180,5))</f>
        <v>28</v>
      </c>
      <c r="CW27" s="23">
        <f>IF('New Formula with HB25-1320'!$B$7&lt;4,0,VLOOKUP(CW5,PriorYR_FTE2!$A$3:$E$180,5))</f>
        <v>188.5</v>
      </c>
      <c r="CX27" s="23">
        <f>IF('New Formula with HB25-1320'!$B$7&lt;4,0,VLOOKUP(CX5,PriorYR_FTE2!$A$3:$E$180,5))</f>
        <v>454</v>
      </c>
      <c r="CY27" s="23">
        <f>IF('New Formula with HB25-1320'!$B$7&lt;4,0,VLOOKUP(CY5,PriorYR_FTE2!$A$3:$E$180,5))</f>
        <v>36.5</v>
      </c>
      <c r="CZ27" s="23">
        <f>IF('New Formula with HB25-1320'!$B$7&lt;4,0,VLOOKUP(CZ5,PriorYR_FTE2!$A$3:$E$180,5))</f>
        <v>1888</v>
      </c>
      <c r="DA27" s="23">
        <f>IF('New Formula with HB25-1320'!$B$7&lt;4,0,VLOOKUP(DA5,PriorYR_FTE2!$A$3:$E$180,5))</f>
        <v>197</v>
      </c>
      <c r="DB27" s="23">
        <f>IF('New Formula with HB25-1320'!$B$7&lt;4,0,VLOOKUP(DB5,PriorYR_FTE2!$A$3:$E$180,5))</f>
        <v>308.5</v>
      </c>
      <c r="DC27" s="23">
        <f>IF('New Formula with HB25-1320'!$B$7&lt;4,0,VLOOKUP(DC5,PriorYR_FTE2!$A$3:$E$180,5))</f>
        <v>142</v>
      </c>
      <c r="DD27" s="23">
        <f>IF('New Formula with HB25-1320'!$B$7&lt;4,0,VLOOKUP(DD5,PriorYR_FTE2!$A$3:$E$180,5))</f>
        <v>156</v>
      </c>
      <c r="DE27" s="23">
        <f>IF('New Formula with HB25-1320'!$B$7&lt;4,0,VLOOKUP(DE5,PriorYR_FTE2!$A$3:$E$180,5))</f>
        <v>287.5</v>
      </c>
      <c r="DF27" s="23">
        <f>IF('New Formula with HB25-1320'!$B$7&lt;4,0,VLOOKUP(DF5,PriorYR_FTE2!$A$3:$E$180,5))</f>
        <v>20440</v>
      </c>
      <c r="DG27" s="23">
        <f>IF('New Formula with HB25-1320'!$B$7&lt;4,0,VLOOKUP(DG5,PriorYR_FTE2!$A$3:$E$180,5))</f>
        <v>79</v>
      </c>
      <c r="DH27" s="23">
        <f>IF('New Formula with HB25-1320'!$B$7&lt;4,0,VLOOKUP(DH5,PriorYR_FTE2!$A$3:$E$180,5))</f>
        <v>1945</v>
      </c>
      <c r="DI27" s="23">
        <f>IF('New Formula with HB25-1320'!$B$7&lt;4,0,VLOOKUP(DI5,PriorYR_FTE2!$A$3:$E$180,5))</f>
        <v>2491</v>
      </c>
      <c r="DJ27" s="23">
        <f>IF('New Formula with HB25-1320'!$B$7&lt;4,0,VLOOKUP(DJ5,PriorYR_FTE2!$A$3:$E$180,5))</f>
        <v>662.5</v>
      </c>
      <c r="DK27" s="23">
        <f>IF('New Formula with HB25-1320'!$B$7&lt;4,0,VLOOKUP(DK5,PriorYR_FTE2!$A$3:$E$180,5))</f>
        <v>454</v>
      </c>
      <c r="DL27" s="23">
        <f>IF('New Formula with HB25-1320'!$B$7&lt;4,0,VLOOKUP(DL5,PriorYR_FTE2!$A$3:$E$180,5))</f>
        <v>5766</v>
      </c>
      <c r="DM27" s="23">
        <f>IF('New Formula with HB25-1320'!$B$7&lt;4,0,VLOOKUP(DM5,PriorYR_FTE2!$A$3:$E$180,5))</f>
        <v>237</v>
      </c>
      <c r="DN27" s="23">
        <f>IF('New Formula with HB25-1320'!$B$7&lt;4,0,VLOOKUP(DN5,PriorYR_FTE2!$A$3:$E$180,5))</f>
        <v>1321</v>
      </c>
      <c r="DO27" s="23">
        <f>IF('New Formula with HB25-1320'!$B$7&lt;4,0,VLOOKUP(DO5,PriorYR_FTE2!$A$3:$E$180,5))</f>
        <v>3212.5</v>
      </c>
      <c r="DP27" s="23">
        <f>IF('New Formula with HB25-1320'!$B$7&lt;4,0,VLOOKUP(DP5,PriorYR_FTE2!$A$3:$E$180,5))</f>
        <v>203.5</v>
      </c>
      <c r="DQ27" s="23">
        <f>IF('New Formula with HB25-1320'!$B$7&lt;4,0,VLOOKUP(DQ5,PriorYR_FTE2!$A$3:$E$180,5))</f>
        <v>764</v>
      </c>
      <c r="DR27" s="23">
        <f>IF('New Formula with HB25-1320'!$B$7&lt;4,0,VLOOKUP(DR5,PriorYR_FTE2!$A$3:$E$180,5))</f>
        <v>1354</v>
      </c>
      <c r="DS27" s="23">
        <f>IF('New Formula with HB25-1320'!$B$7&lt;4,0,VLOOKUP(DS5,PriorYR_FTE2!$A$3:$E$180,5))</f>
        <v>679.5</v>
      </c>
      <c r="DT27" s="23">
        <f>IF('New Formula with HB25-1320'!$B$7&lt;4,0,VLOOKUP(DT5,PriorYR_FTE2!$A$3:$E$180,5))</f>
        <v>150</v>
      </c>
      <c r="DU27" s="23">
        <f>IF('New Formula with HB25-1320'!$B$7&lt;4,0,VLOOKUP(DU5,PriorYR_FTE2!$A$3:$E$180,5))</f>
        <v>367.5</v>
      </c>
      <c r="DV27" s="23">
        <f>IF('New Formula with HB25-1320'!$B$7&lt;4,0,VLOOKUP(DV5,PriorYR_FTE2!$A$3:$E$180,5))</f>
        <v>217</v>
      </c>
      <c r="DW27" s="23">
        <f>IF('New Formula with HB25-1320'!$B$7&lt;4,0,VLOOKUP(DW5,PriorYR_FTE2!$A$3:$E$180,5))</f>
        <v>311.5</v>
      </c>
      <c r="DX27" s="23">
        <f>IF('New Formula with HB25-1320'!$B$7&lt;4,0,VLOOKUP(DX5,PriorYR_FTE2!$A$3:$E$180,5))</f>
        <v>174</v>
      </c>
      <c r="DY27" s="23">
        <f>IF('New Formula with HB25-1320'!$B$7&lt;4,0,VLOOKUP(DY5,PriorYR_FTE2!$A$3:$E$180,5))</f>
        <v>310.5</v>
      </c>
      <c r="DZ27" s="23">
        <f>IF('New Formula with HB25-1320'!$B$7&lt;4,0,VLOOKUP(DZ5,PriorYR_FTE2!$A$3:$E$180,5))</f>
        <v>759</v>
      </c>
      <c r="EA27" s="23">
        <f>IF('New Formula with HB25-1320'!$B$7&lt;4,0,VLOOKUP(EA5,PriorYR_FTE2!$A$3:$E$180,5))</f>
        <v>525.5</v>
      </c>
      <c r="EB27" s="23">
        <f>IF('New Formula with HB25-1320'!$B$7&lt;4,0,VLOOKUP(EB5,PriorYR_FTE2!$A$3:$E$180,5))</f>
        <v>582</v>
      </c>
      <c r="EC27" s="23">
        <f>IF('New Formula with HB25-1320'!$B$7&lt;4,0,VLOOKUP(EC5,PriorYR_FTE2!$A$3:$E$180,5))</f>
        <v>311</v>
      </c>
      <c r="ED27" s="23">
        <f>IF('New Formula with HB25-1320'!$B$7&lt;4,0,VLOOKUP(ED5,PriorYR_FTE2!$A$3:$E$180,5))</f>
        <v>1635.5</v>
      </c>
      <c r="EE27" s="23">
        <f>IF('New Formula with HB25-1320'!$B$7&lt;4,0,VLOOKUP(EE5,PriorYR_FTE2!$A$3:$E$180,5))</f>
        <v>181</v>
      </c>
      <c r="EF27" s="23">
        <f>IF('New Formula with HB25-1320'!$B$7&lt;4,0,VLOOKUP(EF5,PriorYR_FTE2!$A$3:$E$180,5))</f>
        <v>1471</v>
      </c>
      <c r="EG27" s="23">
        <f>IF('New Formula with HB25-1320'!$B$7&lt;4,0,VLOOKUP(EG5,PriorYR_FTE2!$A$3:$E$180,5))</f>
        <v>247</v>
      </c>
      <c r="EH27" s="23">
        <f>IF('New Formula with HB25-1320'!$B$7&lt;4,0,VLOOKUP(EH5,PriorYR_FTE2!$A$3:$E$180,5))</f>
        <v>242.5</v>
      </c>
      <c r="EI27" s="23">
        <f>IF('New Formula with HB25-1320'!$B$7&lt;4,0,VLOOKUP(EI5,PriorYR_FTE2!$A$3:$E$180,5))</f>
        <v>14421.5</v>
      </c>
      <c r="EJ27" s="23">
        <f>IF('New Formula with HB25-1320'!$B$7&lt;4,0,VLOOKUP(EJ5,PriorYR_FTE2!$A$3:$E$180,5))</f>
        <v>10062.5</v>
      </c>
      <c r="EK27" s="23">
        <f>IF('New Formula with HB25-1320'!$B$7&lt;4,0,VLOOKUP(EK5,PriorYR_FTE2!$A$3:$E$180,5))</f>
        <v>681</v>
      </c>
      <c r="EL27" s="23">
        <f>IF('New Formula with HB25-1320'!$B$7&lt;4,0,VLOOKUP(EL5,PriorYR_FTE2!$A$3:$E$180,5))</f>
        <v>468</v>
      </c>
      <c r="EM27" s="23">
        <f>IF('New Formula with HB25-1320'!$B$7&lt;4,0,VLOOKUP(EM5,PriorYR_FTE2!$A$3:$E$180,5))</f>
        <v>406</v>
      </c>
      <c r="EN27" s="23">
        <f>IF('New Formula with HB25-1320'!$B$7&lt;4,0,VLOOKUP(EN5,PriorYR_FTE2!$A$3:$E$180,5))</f>
        <v>930</v>
      </c>
      <c r="EO27" s="23">
        <f>IF('New Formula with HB25-1320'!$B$7&lt;4,0,VLOOKUP(EO5,PriorYR_FTE2!$A$3:$E$180,5))</f>
        <v>329</v>
      </c>
      <c r="EP27" s="23">
        <f>IF('New Formula with HB25-1320'!$B$7&lt;4,0,VLOOKUP(EP5,PriorYR_FTE2!$A$3:$E$180,5))</f>
        <v>398.5</v>
      </c>
      <c r="EQ27" s="23">
        <f>IF('New Formula with HB25-1320'!$B$7&lt;4,0,VLOOKUP(EQ5,PriorYR_FTE2!$A$3:$E$180,5))</f>
        <v>2589.5</v>
      </c>
      <c r="ER27" s="23">
        <f>IF('New Formula with HB25-1320'!$B$7&lt;4,0,VLOOKUP(ER5,PriorYR_FTE2!$A$3:$E$180,5))</f>
        <v>302</v>
      </c>
      <c r="ES27" s="23">
        <f>IF('New Formula with HB25-1320'!$B$7&lt;4,0,VLOOKUP(ES5,PriorYR_FTE2!$A$3:$E$180,5))</f>
        <v>145.5</v>
      </c>
      <c r="ET27" s="23">
        <f>IF('New Formula with HB25-1320'!$B$7&lt;4,0,VLOOKUP(ET5,PriorYR_FTE2!$A$3:$E$180,5))</f>
        <v>202</v>
      </c>
      <c r="EU27" s="23">
        <f>IF('New Formula with HB25-1320'!$B$7&lt;4,0,VLOOKUP(EU5,PriorYR_FTE2!$A$3:$E$180,5))</f>
        <v>582.5</v>
      </c>
      <c r="EV27" s="23">
        <f>IF('New Formula with HB25-1320'!$B$7&lt;4,0,VLOOKUP(EV5,PriorYR_FTE2!$A$3:$E$180,5))</f>
        <v>74</v>
      </c>
      <c r="EW27" s="23">
        <f>IF('New Formula with HB25-1320'!$B$7&lt;4,0,VLOOKUP(EW5,PriorYR_FTE2!$A$3:$E$180,5))</f>
        <v>879.5</v>
      </c>
      <c r="EX27" s="23">
        <f>IF('New Formula with HB25-1320'!$B$7&lt;4,0,VLOOKUP(EX5,PriorYR_FTE2!$A$3:$E$180,5))</f>
        <v>174.5</v>
      </c>
      <c r="EY27" s="23">
        <f>IF('New Formula with HB25-1320'!$B$7&lt;4,0,VLOOKUP(EY5,PriorYR_FTE2!$A$3:$E$180,5))</f>
        <v>210.5</v>
      </c>
      <c r="EZ27" s="23">
        <f>IF('New Formula with HB25-1320'!$B$7&lt;4,0,VLOOKUP(EZ5,PriorYR_FTE2!$A$3:$E$180,5))</f>
        <v>134.5</v>
      </c>
      <c r="FA27" s="23">
        <f>IF('New Formula with HB25-1320'!$B$7&lt;4,0,VLOOKUP(FA5,PriorYR_FTE2!$A$3:$E$180,5))</f>
        <v>3492</v>
      </c>
      <c r="FB27" s="23">
        <f>IF('New Formula with HB25-1320'!$B$7&lt;4,0,VLOOKUP(FB5,PriorYR_FTE2!$A$3:$E$180,5))</f>
        <v>336</v>
      </c>
      <c r="FC27" s="23">
        <f>IF('New Formula with HB25-1320'!$B$7&lt;4,0,VLOOKUP(FC5,PriorYR_FTE2!$A$3:$E$180,5))</f>
        <v>2023.5</v>
      </c>
      <c r="FD27" s="23">
        <f>IF('New Formula with HB25-1320'!$B$7&lt;4,0,VLOOKUP(FD5,PriorYR_FTE2!$A$3:$E$180,5))</f>
        <v>399.5</v>
      </c>
      <c r="FE27" s="23">
        <f>IF('New Formula with HB25-1320'!$B$7&lt;4,0,VLOOKUP(FE5,PriorYR_FTE2!$A$3:$E$180,5))</f>
        <v>86</v>
      </c>
      <c r="FF27" s="23">
        <f>IF('New Formula with HB25-1320'!$B$7&lt;4,0,VLOOKUP(FF5,PriorYR_FTE2!$A$3:$E$180,5))</f>
        <v>201</v>
      </c>
      <c r="FG27" s="23">
        <f>IF('New Formula with HB25-1320'!$B$7&lt;4,0,VLOOKUP(FG5,PriorYR_FTE2!$A$3:$E$180,5))</f>
        <v>125</v>
      </c>
      <c r="FH27" s="23">
        <f>IF('New Formula with HB25-1320'!$B$7&lt;4,0,VLOOKUP(FH5,PriorYR_FTE2!$A$3:$E$180,5))</f>
        <v>65</v>
      </c>
      <c r="FI27" s="23">
        <f>IF('New Formula with HB25-1320'!$B$7&lt;4,0,VLOOKUP(FI5,PriorYR_FTE2!$A$3:$E$180,5))</f>
        <v>1785</v>
      </c>
      <c r="FJ27" s="23">
        <f>IF('New Formula with HB25-1320'!$B$7&lt;4,0,VLOOKUP(FJ5,PriorYR_FTE2!$A$3:$E$180,5))</f>
        <v>1999.5</v>
      </c>
      <c r="FK27" s="23">
        <f>IF('New Formula with HB25-1320'!$B$7&lt;4,0,VLOOKUP(FK5,PriorYR_FTE2!$A$3:$E$180,5))</f>
        <v>2534</v>
      </c>
      <c r="FL27" s="23">
        <f>IF('New Formula with HB25-1320'!$B$7&lt;4,0,VLOOKUP(FL5,PriorYR_FTE2!$A$3:$E$180,5))</f>
        <v>7895.5</v>
      </c>
      <c r="FM27" s="23">
        <f>IF('New Formula with HB25-1320'!$B$7&lt;4,0,VLOOKUP(FM5,PriorYR_FTE2!$A$3:$E$180,5))</f>
        <v>3662</v>
      </c>
      <c r="FN27" s="23">
        <f>IF('New Formula with HB25-1320'!$B$7&lt;4,0,VLOOKUP(FN5,PriorYR_FTE2!$A$3:$E$180,5))</f>
        <v>21110.5</v>
      </c>
      <c r="FO27" s="23">
        <f>IF('New Formula with HB25-1320'!$B$7&lt;4,0,VLOOKUP(FO5,PriorYR_FTE2!$A$3:$E$180,5))</f>
        <v>1090.5</v>
      </c>
      <c r="FP27" s="23">
        <f>IF('New Formula with HB25-1320'!$B$7&lt;4,0,VLOOKUP(FP5,PriorYR_FTE2!$A$3:$E$180,5))</f>
        <v>2312.5</v>
      </c>
      <c r="FQ27" s="23">
        <f>IF('New Formula with HB25-1320'!$B$7&lt;4,0,VLOOKUP(FQ5,PriorYR_FTE2!$A$3:$E$180,5))</f>
        <v>1016.5</v>
      </c>
      <c r="FR27" s="23">
        <f>IF('New Formula with HB25-1320'!$B$7&lt;4,0,VLOOKUP(FR5,PriorYR_FTE2!$A$3:$E$180,5))</f>
        <v>179</v>
      </c>
      <c r="FS27" s="23">
        <f>IF('New Formula with HB25-1320'!$B$7&lt;4,0,VLOOKUP(FS5,PriorYR_FTE2!$A$3:$E$180,5))</f>
        <v>183</v>
      </c>
      <c r="FT27" s="23">
        <f>IF('New Formula with HB25-1320'!$B$7&lt;4,0,VLOOKUP(FT5,PriorYR_FTE2!$A$3:$E$180,5))</f>
        <v>59.5</v>
      </c>
      <c r="FU27" s="23">
        <f>IF('New Formula with HB25-1320'!$B$7&lt;4,0,VLOOKUP(FU5,PriorYR_FTE2!$A$3:$E$180,5))</f>
        <v>818.5</v>
      </c>
      <c r="FV27" s="23">
        <f>IF('New Formula with HB25-1320'!$B$7&lt;4,0,VLOOKUP(FV5,PriorYR_FTE2!$A$3:$E$180,5))</f>
        <v>700.5</v>
      </c>
      <c r="FW27" s="23">
        <f>IF('New Formula with HB25-1320'!$B$7&lt;4,0,VLOOKUP(FW5,PriorYR_FTE2!$A$3:$E$180,5))</f>
        <v>172.5</v>
      </c>
      <c r="FX27" s="23">
        <f>IF('New Formula with HB25-1320'!$B$7&lt;4,0,VLOOKUP(FX5,PriorYR_FTE2!$A$3:$E$180,5))</f>
        <v>53.5</v>
      </c>
      <c r="FY27" s="23"/>
      <c r="FZ27" s="23">
        <f t="shared" si="7"/>
        <v>801194</v>
      </c>
      <c r="GA27" s="23"/>
      <c r="GB27" s="23"/>
      <c r="GC27" s="23"/>
      <c r="GD27" s="23"/>
      <c r="GE27" s="7"/>
      <c r="GF27" s="7"/>
      <c r="GG27" s="7"/>
      <c r="GH27" s="7"/>
      <c r="GI27" s="7"/>
      <c r="GJ27" s="7"/>
      <c r="GK27" s="7"/>
    </row>
    <row r="28" spans="1:207" ht="15.5" x14ac:dyDescent="0.35">
      <c r="A28" s="92" t="s">
        <v>753</v>
      </c>
      <c r="B28" s="7" t="s">
        <v>486</v>
      </c>
      <c r="C28" s="23">
        <f>'New Formula with HB25-1320'!C27</f>
        <v>0</v>
      </c>
      <c r="D28" s="23">
        <f>'New Formula with HB25-1320'!D27</f>
        <v>268</v>
      </c>
      <c r="E28" s="23">
        <f>'New Formula with HB25-1320'!E27</f>
        <v>49</v>
      </c>
      <c r="F28" s="23">
        <f>'New Formula with HB25-1320'!F27</f>
        <v>0</v>
      </c>
      <c r="G28" s="23">
        <f>'New Formula with HB25-1320'!G27</f>
        <v>0</v>
      </c>
      <c r="H28" s="23">
        <f>'New Formula with HB25-1320'!H27</f>
        <v>0</v>
      </c>
      <c r="I28" s="23">
        <f>'New Formula with HB25-1320'!I27</f>
        <v>0</v>
      </c>
      <c r="J28" s="23">
        <f>'New Formula with HB25-1320'!J27</f>
        <v>555</v>
      </c>
      <c r="K28" s="23">
        <f>'New Formula with HB25-1320'!K27</f>
        <v>0</v>
      </c>
      <c r="L28" s="23">
        <f>'New Formula with HB25-1320'!L27</f>
        <v>0</v>
      </c>
      <c r="M28" s="23">
        <f>'New Formula with HB25-1320'!M27</f>
        <v>0</v>
      </c>
      <c r="N28" s="23">
        <f>'New Formula with HB25-1320'!N27</f>
        <v>131</v>
      </c>
      <c r="O28" s="23">
        <f>'New Formula with HB25-1320'!O27</f>
        <v>37</v>
      </c>
      <c r="P28" s="23">
        <f>'New Formula with HB25-1320'!P27</f>
        <v>0</v>
      </c>
      <c r="Q28" s="23">
        <f>'New Formula with HB25-1320'!Q27</f>
        <v>18</v>
      </c>
      <c r="R28" s="23">
        <f>'New Formula with HB25-1320'!R27</f>
        <v>0</v>
      </c>
      <c r="S28" s="23">
        <f>'New Formula with HB25-1320'!S27</f>
        <v>0</v>
      </c>
      <c r="T28" s="23">
        <f>'New Formula with HB25-1320'!T27</f>
        <v>0</v>
      </c>
      <c r="U28" s="23">
        <f>'New Formula with HB25-1320'!U27</f>
        <v>0</v>
      </c>
      <c r="V28" s="23">
        <f>'New Formula with HB25-1320'!V27</f>
        <v>0</v>
      </c>
      <c r="W28" s="23">
        <f>'New Formula with HB25-1320'!W27</f>
        <v>0</v>
      </c>
      <c r="X28" s="23">
        <f>'New Formula with HB25-1320'!X27</f>
        <v>0</v>
      </c>
      <c r="Y28" s="23">
        <f>'New Formula with HB25-1320'!Y27</f>
        <v>0</v>
      </c>
      <c r="Z28" s="23">
        <f>'New Formula with HB25-1320'!Z27</f>
        <v>0</v>
      </c>
      <c r="AA28" s="23">
        <f>'New Formula with HB25-1320'!AA27</f>
        <v>107</v>
      </c>
      <c r="AB28" s="23">
        <f>'New Formula with HB25-1320'!AB27</f>
        <v>0</v>
      </c>
      <c r="AC28" s="23">
        <f>'New Formula with HB25-1320'!AC27</f>
        <v>0</v>
      </c>
      <c r="AD28" s="23">
        <f>'New Formula with HB25-1320'!AD27</f>
        <v>0</v>
      </c>
      <c r="AE28" s="23">
        <f>'New Formula with HB25-1320'!AE27</f>
        <v>0</v>
      </c>
      <c r="AF28" s="23">
        <f>'New Formula with HB25-1320'!AF27</f>
        <v>0</v>
      </c>
      <c r="AG28" s="23">
        <f>'New Formula with HB25-1320'!AG27</f>
        <v>0</v>
      </c>
      <c r="AH28" s="23">
        <f>'New Formula with HB25-1320'!AH27</f>
        <v>28</v>
      </c>
      <c r="AI28" s="23">
        <f>'New Formula with HB25-1320'!AI27</f>
        <v>0</v>
      </c>
      <c r="AJ28" s="23">
        <f>'New Formula with HB25-1320'!AJ27</f>
        <v>0</v>
      </c>
      <c r="AK28" s="23">
        <f>'New Formula with HB25-1320'!AK27</f>
        <v>0</v>
      </c>
      <c r="AL28" s="23">
        <f>'New Formula with HB25-1320'!AL27</f>
        <v>0</v>
      </c>
      <c r="AM28" s="23">
        <f>'New Formula with HB25-1320'!AM27</f>
        <v>0</v>
      </c>
      <c r="AN28" s="23">
        <f>'New Formula with HB25-1320'!AN27</f>
        <v>0</v>
      </c>
      <c r="AO28" s="23">
        <f>'New Formula with HB25-1320'!AO27</f>
        <v>6</v>
      </c>
      <c r="AP28" s="23">
        <f>'New Formula with HB25-1320'!AP27</f>
        <v>0</v>
      </c>
      <c r="AQ28" s="23">
        <f>'New Formula with HB25-1320'!AQ27</f>
        <v>0</v>
      </c>
      <c r="AR28" s="23">
        <f>'New Formula with HB25-1320'!AR27</f>
        <v>84.5</v>
      </c>
      <c r="AS28" s="23">
        <f>'New Formula with HB25-1320'!AS27</f>
        <v>71.5</v>
      </c>
      <c r="AT28" s="23">
        <f>'New Formula with HB25-1320'!AT27</f>
        <v>0</v>
      </c>
      <c r="AU28" s="23">
        <f>'New Formula with HB25-1320'!AU27</f>
        <v>0</v>
      </c>
      <c r="AV28" s="23">
        <f>'New Formula with HB25-1320'!AV27</f>
        <v>0</v>
      </c>
      <c r="AW28" s="23">
        <f>'New Formula with HB25-1320'!AW27</f>
        <v>0</v>
      </c>
      <c r="AX28" s="23">
        <f>'New Formula with HB25-1320'!AX27</f>
        <v>0</v>
      </c>
      <c r="AY28" s="23">
        <f>'New Formula with HB25-1320'!AY27</f>
        <v>0</v>
      </c>
      <c r="AZ28" s="23">
        <f>'New Formula with HB25-1320'!AZ27</f>
        <v>0</v>
      </c>
      <c r="BA28" s="23">
        <f>'New Formula with HB25-1320'!BA27</f>
        <v>7.5</v>
      </c>
      <c r="BB28" s="23">
        <f>'New Formula with HB25-1320'!BB27</f>
        <v>0</v>
      </c>
      <c r="BC28" s="23">
        <f>'New Formula with HB25-1320'!BC27</f>
        <v>22</v>
      </c>
      <c r="BD28" s="23">
        <f>'New Formula with HB25-1320'!BD27</f>
        <v>0</v>
      </c>
      <c r="BE28" s="23">
        <f>'New Formula with HB25-1320'!BE27</f>
        <v>0</v>
      </c>
      <c r="BF28" s="23">
        <f>'New Formula with HB25-1320'!BF27</f>
        <v>0</v>
      </c>
      <c r="BG28" s="23">
        <f>'New Formula with HB25-1320'!BG27</f>
        <v>0</v>
      </c>
      <c r="BH28" s="23">
        <f>'New Formula with HB25-1320'!BH27</f>
        <v>0</v>
      </c>
      <c r="BI28" s="23">
        <f>'New Formula with HB25-1320'!BI27</f>
        <v>0</v>
      </c>
      <c r="BJ28" s="23">
        <f>'New Formula with HB25-1320'!BJ27</f>
        <v>590.5</v>
      </c>
      <c r="BK28" s="23">
        <f>'New Formula with HB25-1320'!BK27</f>
        <v>0</v>
      </c>
      <c r="BL28" s="23">
        <f>'New Formula with HB25-1320'!BL27</f>
        <v>0</v>
      </c>
      <c r="BM28" s="23">
        <f>'New Formula with HB25-1320'!BM27</f>
        <v>0</v>
      </c>
      <c r="BN28" s="23">
        <f>'New Formula with HB25-1320'!BN27</f>
        <v>0</v>
      </c>
      <c r="BO28" s="23">
        <f>'New Formula with HB25-1320'!BO27</f>
        <v>0</v>
      </c>
      <c r="BP28" s="23">
        <f>'New Formula with HB25-1320'!BP27</f>
        <v>0</v>
      </c>
      <c r="BQ28" s="23">
        <f>'New Formula with HB25-1320'!BQ27</f>
        <v>0</v>
      </c>
      <c r="BR28" s="23">
        <f>'New Formula with HB25-1320'!BR27</f>
        <v>0</v>
      </c>
      <c r="BS28" s="23">
        <f>'New Formula with HB25-1320'!BS27</f>
        <v>0</v>
      </c>
      <c r="BT28" s="23">
        <f>'New Formula with HB25-1320'!BT27</f>
        <v>0</v>
      </c>
      <c r="BU28" s="23">
        <f>'New Formula with HB25-1320'!BU27</f>
        <v>0</v>
      </c>
      <c r="BV28" s="23">
        <f>'New Formula with HB25-1320'!BV27</f>
        <v>0</v>
      </c>
      <c r="BW28" s="23">
        <f>'New Formula with HB25-1320'!BW27</f>
        <v>0</v>
      </c>
      <c r="BX28" s="23">
        <f>'New Formula with HB25-1320'!BX27</f>
        <v>0</v>
      </c>
      <c r="BY28" s="23">
        <f>'New Formula with HB25-1320'!BY27</f>
        <v>0</v>
      </c>
      <c r="BZ28" s="23">
        <f>'New Formula with HB25-1320'!BZ27</f>
        <v>0</v>
      </c>
      <c r="CA28" s="23">
        <f>'New Formula with HB25-1320'!CA27</f>
        <v>0</v>
      </c>
      <c r="CB28" s="23">
        <f>'New Formula with HB25-1320'!CB27</f>
        <v>34</v>
      </c>
      <c r="CC28" s="23">
        <f>'New Formula with HB25-1320'!CC27</f>
        <v>0</v>
      </c>
      <c r="CD28" s="23">
        <f>'New Formula with HB25-1320'!CD27</f>
        <v>0</v>
      </c>
      <c r="CE28" s="23">
        <f>'New Formula with HB25-1320'!CE27</f>
        <v>0</v>
      </c>
      <c r="CF28" s="23">
        <f>'New Formula with HB25-1320'!CF27</f>
        <v>0</v>
      </c>
      <c r="CG28" s="23">
        <f>'New Formula with HB25-1320'!CG27</f>
        <v>0</v>
      </c>
      <c r="CH28" s="23">
        <f>'New Formula with HB25-1320'!CH27</f>
        <v>0</v>
      </c>
      <c r="CI28" s="23">
        <f>'New Formula with HB25-1320'!CI27</f>
        <v>0</v>
      </c>
      <c r="CJ28" s="23">
        <f>'New Formula with HB25-1320'!CJ27</f>
        <v>0</v>
      </c>
      <c r="CK28" s="23">
        <f>'New Formula with HB25-1320'!CK27</f>
        <v>0</v>
      </c>
      <c r="CL28" s="23">
        <f>'New Formula with HB25-1320'!CL27</f>
        <v>0</v>
      </c>
      <c r="CM28" s="23">
        <f>'New Formula with HB25-1320'!CM27</f>
        <v>0</v>
      </c>
      <c r="CN28" s="23">
        <f>'New Formula with HB25-1320'!CN27</f>
        <v>0</v>
      </c>
      <c r="CO28" s="23">
        <f>'New Formula with HB25-1320'!CO27</f>
        <v>8</v>
      </c>
      <c r="CP28" s="23">
        <f>'New Formula with HB25-1320'!CP27</f>
        <v>0</v>
      </c>
      <c r="CQ28" s="23">
        <f>'New Formula with HB25-1320'!CQ27</f>
        <v>0</v>
      </c>
      <c r="CR28" s="23">
        <f>'New Formula with HB25-1320'!CR27</f>
        <v>0</v>
      </c>
      <c r="CS28" s="23">
        <f>'New Formula with HB25-1320'!CS27</f>
        <v>0</v>
      </c>
      <c r="CT28" s="23">
        <f>'New Formula with HB25-1320'!CT27</f>
        <v>0</v>
      </c>
      <c r="CU28" s="23">
        <f>'New Formula with HB25-1320'!CU27</f>
        <v>0</v>
      </c>
      <c r="CV28" s="23">
        <f>'New Formula with HB25-1320'!CV27</f>
        <v>0</v>
      </c>
      <c r="CW28" s="23">
        <f>'New Formula with HB25-1320'!CW27</f>
        <v>0</v>
      </c>
      <c r="CX28" s="23">
        <f>'New Formula with HB25-1320'!CX27</f>
        <v>0</v>
      </c>
      <c r="CY28" s="23">
        <f>'New Formula with HB25-1320'!CY27</f>
        <v>0</v>
      </c>
      <c r="CZ28" s="23">
        <f>'New Formula with HB25-1320'!CZ27</f>
        <v>0</v>
      </c>
      <c r="DA28" s="23">
        <f>'New Formula with HB25-1320'!DA27</f>
        <v>0</v>
      </c>
      <c r="DB28" s="23">
        <f>'New Formula with HB25-1320'!DB27</f>
        <v>0</v>
      </c>
      <c r="DC28" s="23">
        <f>'New Formula with HB25-1320'!DC27</f>
        <v>0</v>
      </c>
      <c r="DD28" s="23">
        <f>'New Formula with HB25-1320'!DD27</f>
        <v>0</v>
      </c>
      <c r="DE28" s="23">
        <f>'New Formula with HB25-1320'!DE27</f>
        <v>0</v>
      </c>
      <c r="DF28" s="23">
        <f>'New Formula with HB25-1320'!DF27</f>
        <v>307</v>
      </c>
      <c r="DG28" s="23">
        <f>'New Formula with HB25-1320'!DG27</f>
        <v>0</v>
      </c>
      <c r="DH28" s="23">
        <f>'New Formula with HB25-1320'!DH27</f>
        <v>0</v>
      </c>
      <c r="DI28" s="23">
        <f>'New Formula with HB25-1320'!DI27</f>
        <v>0</v>
      </c>
      <c r="DJ28" s="23">
        <f>'New Formula with HB25-1320'!DJ27</f>
        <v>0</v>
      </c>
      <c r="DK28" s="23">
        <f>'New Formula with HB25-1320'!DK27</f>
        <v>0</v>
      </c>
      <c r="DL28" s="23">
        <f>'New Formula with HB25-1320'!DL27</f>
        <v>192</v>
      </c>
      <c r="DM28" s="23">
        <f>'New Formula with HB25-1320'!DM27</f>
        <v>0</v>
      </c>
      <c r="DN28" s="23">
        <f>'New Formula with HB25-1320'!DN27</f>
        <v>0</v>
      </c>
      <c r="DO28" s="23">
        <f>'New Formula with HB25-1320'!DO27</f>
        <v>0</v>
      </c>
      <c r="DP28" s="23">
        <f>'New Formula with HB25-1320'!DP27</f>
        <v>0</v>
      </c>
      <c r="DQ28" s="23">
        <f>'New Formula with HB25-1320'!DQ27</f>
        <v>0</v>
      </c>
      <c r="DR28" s="23">
        <f>'New Formula with HB25-1320'!DR27</f>
        <v>0</v>
      </c>
      <c r="DS28" s="23">
        <f>'New Formula with HB25-1320'!DS27</f>
        <v>0</v>
      </c>
      <c r="DT28" s="23">
        <f>'New Formula with HB25-1320'!DT27</f>
        <v>0</v>
      </c>
      <c r="DU28" s="23">
        <f>'New Formula with HB25-1320'!DU27</f>
        <v>0</v>
      </c>
      <c r="DV28" s="23">
        <f>'New Formula with HB25-1320'!DV27</f>
        <v>0</v>
      </c>
      <c r="DW28" s="23">
        <f>'New Formula with HB25-1320'!DW27</f>
        <v>0</v>
      </c>
      <c r="DX28" s="23">
        <f>'New Formula with HB25-1320'!DX27</f>
        <v>0</v>
      </c>
      <c r="DY28" s="23">
        <f>'New Formula with HB25-1320'!DY27</f>
        <v>0</v>
      </c>
      <c r="DZ28" s="23">
        <f>'New Formula with HB25-1320'!DZ27</f>
        <v>0</v>
      </c>
      <c r="EA28" s="23">
        <f>'New Formula with HB25-1320'!EA27</f>
        <v>0</v>
      </c>
      <c r="EB28" s="23">
        <f>'New Formula with HB25-1320'!EB27</f>
        <v>32</v>
      </c>
      <c r="EC28" s="23">
        <f>'New Formula with HB25-1320'!EC27</f>
        <v>0</v>
      </c>
      <c r="ED28" s="23">
        <f>'New Formula with HB25-1320'!ED27</f>
        <v>0</v>
      </c>
      <c r="EE28" s="23">
        <f>'New Formula with HB25-1320'!EE27</f>
        <v>0</v>
      </c>
      <c r="EF28" s="23">
        <f>'New Formula with HB25-1320'!EF27</f>
        <v>0</v>
      </c>
      <c r="EG28" s="23">
        <f>'New Formula with HB25-1320'!EG27</f>
        <v>0</v>
      </c>
      <c r="EH28" s="23">
        <f>'New Formula with HB25-1320'!EH27</f>
        <v>0</v>
      </c>
      <c r="EI28" s="23">
        <f>'New Formula with HB25-1320'!EI27</f>
        <v>272</v>
      </c>
      <c r="EJ28" s="23">
        <f>'New Formula with HB25-1320'!EJ27</f>
        <v>0</v>
      </c>
      <c r="EK28" s="23">
        <f>'New Formula with HB25-1320'!EK27</f>
        <v>0</v>
      </c>
      <c r="EL28" s="23">
        <f>'New Formula with HB25-1320'!EL27</f>
        <v>0</v>
      </c>
      <c r="EM28" s="23">
        <f>'New Formula with HB25-1320'!EM27</f>
        <v>0</v>
      </c>
      <c r="EN28" s="23">
        <f>'New Formula with HB25-1320'!EN27</f>
        <v>0</v>
      </c>
      <c r="EO28" s="23">
        <f>'New Formula with HB25-1320'!EO27</f>
        <v>0</v>
      </c>
      <c r="EP28" s="23">
        <f>'New Formula with HB25-1320'!EP27</f>
        <v>0</v>
      </c>
      <c r="EQ28" s="23">
        <f>'New Formula with HB25-1320'!EQ27</f>
        <v>0</v>
      </c>
      <c r="ER28" s="23">
        <f>'New Formula with HB25-1320'!ER27</f>
        <v>0</v>
      </c>
      <c r="ES28" s="23">
        <f>'New Formula with HB25-1320'!ES27</f>
        <v>0</v>
      </c>
      <c r="ET28" s="23">
        <f>'New Formula with HB25-1320'!ET27</f>
        <v>0</v>
      </c>
      <c r="EU28" s="23">
        <f>'New Formula with HB25-1320'!EU27</f>
        <v>13</v>
      </c>
      <c r="EV28" s="23">
        <f>'New Formula with HB25-1320'!EV27</f>
        <v>0</v>
      </c>
      <c r="EW28" s="23">
        <f>'New Formula with HB25-1320'!EW27</f>
        <v>0</v>
      </c>
      <c r="EX28" s="23">
        <f>'New Formula with HB25-1320'!EX27</f>
        <v>0</v>
      </c>
      <c r="EY28" s="23">
        <f>'New Formula with HB25-1320'!EY27</f>
        <v>0</v>
      </c>
      <c r="EZ28" s="23">
        <f>'New Formula with HB25-1320'!EZ27</f>
        <v>0</v>
      </c>
      <c r="FA28" s="23">
        <f>'New Formula with HB25-1320'!FA27</f>
        <v>0</v>
      </c>
      <c r="FB28" s="23">
        <f>'New Formula with HB25-1320'!FB27</f>
        <v>0</v>
      </c>
      <c r="FC28" s="23">
        <f>'New Formula with HB25-1320'!FC27</f>
        <v>19</v>
      </c>
      <c r="FD28" s="23">
        <f>'New Formula with HB25-1320'!FD27</f>
        <v>0</v>
      </c>
      <c r="FE28" s="23">
        <f>'New Formula with HB25-1320'!FE27</f>
        <v>0</v>
      </c>
      <c r="FF28" s="23">
        <f>'New Formula with HB25-1320'!FF27</f>
        <v>0</v>
      </c>
      <c r="FG28" s="23">
        <f>'New Formula with HB25-1320'!FG27</f>
        <v>0</v>
      </c>
      <c r="FH28" s="23">
        <f>'New Formula with HB25-1320'!FH27</f>
        <v>0</v>
      </c>
      <c r="FI28" s="23">
        <f>'New Formula with HB25-1320'!FI27</f>
        <v>8</v>
      </c>
      <c r="FJ28" s="23">
        <f>'New Formula with HB25-1320'!FJ27</f>
        <v>0</v>
      </c>
      <c r="FK28" s="23">
        <f>'New Formula with HB25-1320'!FK27</f>
        <v>0</v>
      </c>
      <c r="FL28" s="23">
        <f>'New Formula with HB25-1320'!FL27</f>
        <v>600.5</v>
      </c>
      <c r="FM28" s="23">
        <f>'New Formula with HB25-1320'!FM27</f>
        <v>88</v>
      </c>
      <c r="FN28" s="23">
        <f>'New Formula with HB25-1320'!FN27</f>
        <v>0</v>
      </c>
      <c r="FO28" s="23">
        <f>'New Formula with HB25-1320'!FO27</f>
        <v>0</v>
      </c>
      <c r="FP28" s="23">
        <f>'New Formula with HB25-1320'!FP27</f>
        <v>0</v>
      </c>
      <c r="FQ28" s="23">
        <f>'New Formula with HB25-1320'!FQ27</f>
        <v>0</v>
      </c>
      <c r="FR28" s="23">
        <f>'New Formula with HB25-1320'!FR27</f>
        <v>0</v>
      </c>
      <c r="FS28" s="23">
        <f>'New Formula with HB25-1320'!FS27</f>
        <v>0</v>
      </c>
      <c r="FT28" s="23">
        <f>'New Formula with HB25-1320'!FT27</f>
        <v>0</v>
      </c>
      <c r="FU28" s="23">
        <f>'New Formula with HB25-1320'!FU27</f>
        <v>0</v>
      </c>
      <c r="FV28" s="23">
        <f>'New Formula with HB25-1320'!FV27</f>
        <v>0</v>
      </c>
      <c r="FW28" s="23">
        <f>'New Formula with HB25-1320'!FW27</f>
        <v>0</v>
      </c>
      <c r="FX28" s="23">
        <f>'New Formula with HB25-1320'!FX27</f>
        <v>0</v>
      </c>
      <c r="FY28" s="23"/>
      <c r="FZ28" s="23">
        <f t="shared" si="7"/>
        <v>3548.5</v>
      </c>
      <c r="GA28" s="23"/>
      <c r="GB28" s="23"/>
      <c r="GC28" s="23"/>
      <c r="GD28" s="23"/>
      <c r="GE28" s="7"/>
      <c r="GF28" s="7"/>
      <c r="GG28" s="7"/>
      <c r="GH28" s="7"/>
      <c r="GI28" s="7"/>
      <c r="GJ28" s="7"/>
      <c r="GK28" s="7"/>
    </row>
    <row r="29" spans="1:207" ht="15.5" x14ac:dyDescent="0.35">
      <c r="A29" s="12" t="s">
        <v>481</v>
      </c>
      <c r="B29" s="7" t="s">
        <v>488</v>
      </c>
      <c r="C29" s="23">
        <f>'New Formula with HB25-1320'!C28</f>
        <v>1359</v>
      </c>
      <c r="D29" s="23">
        <f>'New Formula with HB25-1320'!D28</f>
        <v>4465</v>
      </c>
      <c r="E29" s="23">
        <f>'New Formula with HB25-1320'!E28</f>
        <v>1525</v>
      </c>
      <c r="F29" s="23">
        <f>'New Formula with HB25-1320'!F28</f>
        <v>2508</v>
      </c>
      <c r="G29" s="23">
        <f>'New Formula with HB25-1320'!G28</f>
        <v>207</v>
      </c>
      <c r="H29" s="23">
        <f>'New Formula with HB25-1320'!H28</f>
        <v>69</v>
      </c>
      <c r="I29" s="23">
        <f>'New Formula with HB25-1320'!I28</f>
        <v>1835</v>
      </c>
      <c r="J29" s="23">
        <f>'New Formula with HB25-1320'!J28</f>
        <v>185</v>
      </c>
      <c r="K29" s="23">
        <f>'New Formula with HB25-1320'!K28</f>
        <v>3</v>
      </c>
      <c r="L29" s="23">
        <f>'New Formula with HB25-1320'!L28</f>
        <v>184</v>
      </c>
      <c r="M29" s="23">
        <f>'New Formula with HB25-1320'!M28</f>
        <v>187</v>
      </c>
      <c r="N29" s="23">
        <f>'New Formula with HB25-1320'!N28</f>
        <v>5452</v>
      </c>
      <c r="O29" s="23">
        <f>'New Formula with HB25-1320'!O28</f>
        <v>401</v>
      </c>
      <c r="P29" s="23">
        <f>'New Formula with HB25-1320'!P28</f>
        <v>31</v>
      </c>
      <c r="Q29" s="23">
        <f>'New Formula with HB25-1320'!Q28</f>
        <v>11916</v>
      </c>
      <c r="R29" s="23">
        <f>'New Formula with HB25-1320'!R28</f>
        <v>108</v>
      </c>
      <c r="S29" s="23">
        <f>'New Formula with HB25-1320'!S28</f>
        <v>50</v>
      </c>
      <c r="T29" s="23">
        <f>'New Formula with HB25-1320'!T28</f>
        <v>0</v>
      </c>
      <c r="U29" s="23">
        <f>'New Formula with HB25-1320'!U28</f>
        <v>0</v>
      </c>
      <c r="V29" s="23">
        <f>'New Formula with HB25-1320'!V28</f>
        <v>0</v>
      </c>
      <c r="W29" s="23">
        <f>'New Formula with HB25-1320'!W28</f>
        <v>0</v>
      </c>
      <c r="X29" s="23">
        <f>'New Formula with HB25-1320'!X28</f>
        <v>0</v>
      </c>
      <c r="Y29" s="23">
        <f>'New Formula with HB25-1320'!Y28</f>
        <v>4</v>
      </c>
      <c r="Z29" s="23">
        <f>'New Formula with HB25-1320'!Z28</f>
        <v>4</v>
      </c>
      <c r="AA29" s="23">
        <f>'New Formula with HB25-1320'!AA28</f>
        <v>2041</v>
      </c>
      <c r="AB29" s="23">
        <f>'New Formula with HB25-1320'!AB28</f>
        <v>1565</v>
      </c>
      <c r="AC29" s="23">
        <f>'New Formula with HB25-1320'!AC28</f>
        <v>32</v>
      </c>
      <c r="AD29" s="23">
        <f>'New Formula with HB25-1320'!AD28</f>
        <v>35</v>
      </c>
      <c r="AE29" s="23">
        <f>'New Formula with HB25-1320'!AE28</f>
        <v>3</v>
      </c>
      <c r="AF29" s="23">
        <f>'New Formula with HB25-1320'!AF28</f>
        <v>6</v>
      </c>
      <c r="AG29" s="23">
        <f>'New Formula with HB25-1320'!AG28</f>
        <v>12</v>
      </c>
      <c r="AH29" s="23">
        <f>'New Formula with HB25-1320'!AH28</f>
        <v>0</v>
      </c>
      <c r="AI29" s="23">
        <f>'New Formula with HB25-1320'!AI28</f>
        <v>3</v>
      </c>
      <c r="AJ29" s="23">
        <f>'New Formula with HB25-1320'!AJ28</f>
        <v>2</v>
      </c>
      <c r="AK29" s="23">
        <f>'New Formula with HB25-1320'!AK28</f>
        <v>1</v>
      </c>
      <c r="AL29" s="23">
        <f>'New Formula with HB25-1320'!AL28</f>
        <v>21</v>
      </c>
      <c r="AM29" s="23">
        <f>'New Formula with HB25-1320'!AM28</f>
        <v>1</v>
      </c>
      <c r="AN29" s="23">
        <f>'New Formula with HB25-1320'!AN28</f>
        <v>0</v>
      </c>
      <c r="AO29" s="23">
        <f>'New Formula with HB25-1320'!AO28</f>
        <v>117</v>
      </c>
      <c r="AP29" s="23">
        <f>'New Formula with HB25-1320'!AP28</f>
        <v>16832</v>
      </c>
      <c r="AQ29" s="23">
        <f>'New Formula with HB25-1320'!AQ28</f>
        <v>0</v>
      </c>
      <c r="AR29" s="23">
        <f>'New Formula with HB25-1320'!AR28</f>
        <v>1715</v>
      </c>
      <c r="AS29" s="23">
        <f>'New Formula with HB25-1320'!AS28</f>
        <v>1141</v>
      </c>
      <c r="AT29" s="23">
        <f>'New Formula with HB25-1320'!AT28</f>
        <v>32</v>
      </c>
      <c r="AU29" s="23">
        <f>'New Formula with HB25-1320'!AU28</f>
        <v>4</v>
      </c>
      <c r="AV29" s="23">
        <f>'New Formula with HB25-1320'!AV28</f>
        <v>3</v>
      </c>
      <c r="AW29" s="23">
        <f>'New Formula with HB25-1320'!AW28</f>
        <v>1</v>
      </c>
      <c r="AX29" s="23">
        <f>'New Formula with HB25-1320'!AX28</f>
        <v>5</v>
      </c>
      <c r="AY29" s="23">
        <f>'New Formula with HB25-1320'!AY28</f>
        <v>5</v>
      </c>
      <c r="AZ29" s="23">
        <f>'New Formula with HB25-1320'!AZ28</f>
        <v>1133</v>
      </c>
      <c r="BA29" s="23">
        <f>'New Formula with HB25-1320'!BA28</f>
        <v>201</v>
      </c>
      <c r="BB29" s="23">
        <f>'New Formula with HB25-1320'!BB28</f>
        <v>184</v>
      </c>
      <c r="BC29" s="23">
        <f>'New Formula with HB25-1320'!BC28</f>
        <v>1622</v>
      </c>
      <c r="BD29" s="23">
        <f>'New Formula with HB25-1320'!BD28</f>
        <v>53</v>
      </c>
      <c r="BE29" s="23">
        <f>'New Formula with HB25-1320'!BE28</f>
        <v>3</v>
      </c>
      <c r="BF29" s="23">
        <f>'New Formula with HB25-1320'!BF28</f>
        <v>448</v>
      </c>
      <c r="BG29" s="23">
        <f>'New Formula with HB25-1320'!BG28</f>
        <v>78</v>
      </c>
      <c r="BH29" s="23">
        <f>'New Formula with HB25-1320'!BH28</f>
        <v>6</v>
      </c>
      <c r="BI29" s="23">
        <f>'New Formula with HB25-1320'!BI28</f>
        <v>15</v>
      </c>
      <c r="BJ29" s="23">
        <f>'New Formula with HB25-1320'!BJ28</f>
        <v>68</v>
      </c>
      <c r="BK29" s="23">
        <f>'New Formula with HB25-1320'!BK28</f>
        <v>681</v>
      </c>
      <c r="BL29" s="23">
        <f>'New Formula with HB25-1320'!BL28</f>
        <v>1</v>
      </c>
      <c r="BM29" s="23">
        <f>'New Formula with HB25-1320'!BM28</f>
        <v>11</v>
      </c>
      <c r="BN29" s="23">
        <f>'New Formula with HB25-1320'!BN28</f>
        <v>11</v>
      </c>
      <c r="BO29" s="23">
        <f>'New Formula with HB25-1320'!BO28</f>
        <v>9</v>
      </c>
      <c r="BP29" s="23">
        <f>'New Formula with HB25-1320'!BP28</f>
        <v>1</v>
      </c>
      <c r="BQ29" s="23">
        <f>'New Formula with HB25-1320'!BQ28</f>
        <v>1133</v>
      </c>
      <c r="BR29" s="23">
        <f>'New Formula with HB25-1320'!BR28</f>
        <v>764</v>
      </c>
      <c r="BS29" s="23">
        <f>'New Formula with HB25-1320'!BS28</f>
        <v>207</v>
      </c>
      <c r="BT29" s="23">
        <f>'New Formula with HB25-1320'!BT28</f>
        <v>2</v>
      </c>
      <c r="BU29" s="23">
        <f>'New Formula with HB25-1320'!BU28</f>
        <v>42</v>
      </c>
      <c r="BV29" s="23">
        <f>'New Formula with HB25-1320'!BV28</f>
        <v>85</v>
      </c>
      <c r="BW29" s="23">
        <f>'New Formula with HB25-1320'!BW28</f>
        <v>214</v>
      </c>
      <c r="BX29" s="23">
        <f>'New Formula with HB25-1320'!BX28</f>
        <v>0</v>
      </c>
      <c r="BY29" s="23">
        <f>'New Formula with HB25-1320'!BY28</f>
        <v>0</v>
      </c>
      <c r="BZ29" s="23">
        <f>'New Formula with HB25-1320'!BZ28</f>
        <v>0</v>
      </c>
      <c r="CA29" s="23">
        <f>'New Formula with HB25-1320'!CA28</f>
        <v>5</v>
      </c>
      <c r="CB29" s="23">
        <f>'New Formula with HB25-1320'!CB28</f>
        <v>2880</v>
      </c>
      <c r="CC29" s="23">
        <f>'New Formula with HB25-1320'!CC28</f>
        <v>0</v>
      </c>
      <c r="CD29" s="23">
        <f>'New Formula with HB25-1320'!CD28</f>
        <v>1</v>
      </c>
      <c r="CE29" s="23">
        <f>'New Formula with HB25-1320'!CE28</f>
        <v>0</v>
      </c>
      <c r="CF29" s="23">
        <f>'New Formula with HB25-1320'!CF28</f>
        <v>0</v>
      </c>
      <c r="CG29" s="23">
        <f>'New Formula with HB25-1320'!CG28</f>
        <v>11</v>
      </c>
      <c r="CH29" s="23">
        <f>'New Formula with HB25-1320'!CH28</f>
        <v>6</v>
      </c>
      <c r="CI29" s="23">
        <f>'New Formula with HB25-1320'!CI28</f>
        <v>63</v>
      </c>
      <c r="CJ29" s="23">
        <f>'New Formula with HB25-1320'!CJ28</f>
        <v>158</v>
      </c>
      <c r="CK29" s="23">
        <f>'New Formula with HB25-1320'!CK28</f>
        <v>168</v>
      </c>
      <c r="CL29" s="23">
        <f>'New Formula with HB25-1320'!CL28</f>
        <v>22</v>
      </c>
      <c r="CM29" s="23">
        <f>'New Formula with HB25-1320'!CM28</f>
        <v>8</v>
      </c>
      <c r="CN29" s="23">
        <f>'New Formula with HB25-1320'!CN28</f>
        <v>1199</v>
      </c>
      <c r="CO29" s="23">
        <f>'New Formula with HB25-1320'!CO28</f>
        <v>377</v>
      </c>
      <c r="CP29" s="23">
        <f>'New Formula with HB25-1320'!CP28</f>
        <v>139</v>
      </c>
      <c r="CQ29" s="23">
        <f>'New Formula with HB25-1320'!CQ28</f>
        <v>3</v>
      </c>
      <c r="CR29" s="23">
        <f>'New Formula with HB25-1320'!CR28</f>
        <v>0</v>
      </c>
      <c r="CS29" s="23">
        <f>'New Formula with HB25-1320'!CS28</f>
        <v>1</v>
      </c>
      <c r="CT29" s="23">
        <f>'New Formula with HB25-1320'!CT28</f>
        <v>1</v>
      </c>
      <c r="CU29" s="23">
        <f>'New Formula with HB25-1320'!CU28</f>
        <v>3</v>
      </c>
      <c r="CV29" s="23">
        <f>'New Formula with HB25-1320'!CV28</f>
        <v>0</v>
      </c>
      <c r="CW29" s="23">
        <f>'New Formula with HB25-1320'!CW28</f>
        <v>1</v>
      </c>
      <c r="CX29" s="23">
        <f>'New Formula with HB25-1320'!CX28</f>
        <v>12</v>
      </c>
      <c r="CY29" s="23">
        <f>'New Formula with HB25-1320'!CY28</f>
        <v>0</v>
      </c>
      <c r="CZ29" s="23">
        <f>'New Formula with HB25-1320'!CZ28</f>
        <v>39</v>
      </c>
      <c r="DA29" s="23">
        <f>'New Formula with HB25-1320'!DA28</f>
        <v>0</v>
      </c>
      <c r="DB29" s="23">
        <f>'New Formula with HB25-1320'!DB28</f>
        <v>7</v>
      </c>
      <c r="DC29" s="23">
        <f>'New Formula with HB25-1320'!DC28</f>
        <v>0</v>
      </c>
      <c r="DD29" s="23">
        <f>'New Formula with HB25-1320'!DD28</f>
        <v>7</v>
      </c>
      <c r="DE29" s="23">
        <f>'New Formula with HB25-1320'!DE28</f>
        <v>1</v>
      </c>
      <c r="DF29" s="23">
        <f>'New Formula with HB25-1320'!DF28</f>
        <v>654</v>
      </c>
      <c r="DG29" s="23">
        <f>'New Formula with HB25-1320'!DG28</f>
        <v>0</v>
      </c>
      <c r="DH29" s="23">
        <f>'New Formula with HB25-1320'!DH28</f>
        <v>120</v>
      </c>
      <c r="DI29" s="23">
        <f>'New Formula with HB25-1320'!DI28</f>
        <v>62</v>
      </c>
      <c r="DJ29" s="23">
        <f>'New Formula with HB25-1320'!DJ28</f>
        <v>9</v>
      </c>
      <c r="DK29" s="23">
        <f>'New Formula with HB25-1320'!DK28</f>
        <v>19</v>
      </c>
      <c r="DL29" s="23">
        <f>'New Formula with HB25-1320'!DL28</f>
        <v>415</v>
      </c>
      <c r="DM29" s="23">
        <f>'New Formula with HB25-1320'!DM28</f>
        <v>0</v>
      </c>
      <c r="DN29" s="23">
        <f>'New Formula with HB25-1320'!DN28</f>
        <v>66</v>
      </c>
      <c r="DO29" s="23">
        <f>'New Formula with HB25-1320'!DO28</f>
        <v>533</v>
      </c>
      <c r="DP29" s="23">
        <f>'New Formula with HB25-1320'!DP28</f>
        <v>0</v>
      </c>
      <c r="DQ29" s="23">
        <f>'New Formula with HB25-1320'!DQ28</f>
        <v>51</v>
      </c>
      <c r="DR29" s="23">
        <f>'New Formula with HB25-1320'!DR28</f>
        <v>17</v>
      </c>
      <c r="DS29" s="23">
        <f>'New Formula with HB25-1320'!DS28</f>
        <v>32</v>
      </c>
      <c r="DT29" s="23">
        <f>'New Formula with HB25-1320'!DT28</f>
        <v>6</v>
      </c>
      <c r="DU29" s="23">
        <f>'New Formula with HB25-1320'!DU28</f>
        <v>3</v>
      </c>
      <c r="DV29" s="23">
        <f>'New Formula with HB25-1320'!DV28</f>
        <v>1</v>
      </c>
      <c r="DW29" s="23">
        <f>'New Formula with HB25-1320'!DW28</f>
        <v>1</v>
      </c>
      <c r="DX29" s="23">
        <f>'New Formula with HB25-1320'!DX28</f>
        <v>1</v>
      </c>
      <c r="DY29" s="23">
        <f>'New Formula with HB25-1320'!DY28</f>
        <v>4</v>
      </c>
      <c r="DZ29" s="23">
        <f>'New Formula with HB25-1320'!DZ28</f>
        <v>0</v>
      </c>
      <c r="EA29" s="23">
        <f>'New Formula with HB25-1320'!EA28</f>
        <v>28</v>
      </c>
      <c r="EB29" s="23">
        <f>'New Formula with HB25-1320'!EB28</f>
        <v>62</v>
      </c>
      <c r="EC29" s="23">
        <f>'New Formula with HB25-1320'!EC28</f>
        <v>9</v>
      </c>
      <c r="ED29" s="23">
        <f>'New Formula with HB25-1320'!ED28</f>
        <v>66</v>
      </c>
      <c r="EE29" s="23">
        <f>'New Formula with HB25-1320'!EE28</f>
        <v>19</v>
      </c>
      <c r="EF29" s="23">
        <f>'New Formula with HB25-1320'!EF28</f>
        <v>71</v>
      </c>
      <c r="EG29" s="23">
        <f>'New Formula with HB25-1320'!EG28</f>
        <v>44</v>
      </c>
      <c r="EH29" s="23">
        <f>'New Formula with HB25-1320'!EH28</f>
        <v>14</v>
      </c>
      <c r="EI29" s="23">
        <f>'New Formula with HB25-1320'!EI28</f>
        <v>421</v>
      </c>
      <c r="EJ29" s="23">
        <f>'New Formula with HB25-1320'!EJ28</f>
        <v>200</v>
      </c>
      <c r="EK29" s="23">
        <f>'New Formula with HB25-1320'!EK28</f>
        <v>17</v>
      </c>
      <c r="EL29" s="23">
        <f>'New Formula with HB25-1320'!EL28</f>
        <v>1</v>
      </c>
      <c r="EM29" s="23">
        <f>'New Formula with HB25-1320'!EM28</f>
        <v>6</v>
      </c>
      <c r="EN29" s="23">
        <f>'New Formula with HB25-1320'!EN28</f>
        <v>10</v>
      </c>
      <c r="EO29" s="23">
        <f>'New Formula with HB25-1320'!EO28</f>
        <v>5</v>
      </c>
      <c r="EP29" s="23">
        <f>'New Formula with HB25-1320'!EP28</f>
        <v>17</v>
      </c>
      <c r="EQ29" s="23">
        <f>'New Formula with HB25-1320'!EQ28</f>
        <v>184</v>
      </c>
      <c r="ER29" s="23">
        <f>'New Formula with HB25-1320'!ER28</f>
        <v>14</v>
      </c>
      <c r="ES29" s="23">
        <f>'New Formula with HB25-1320'!ES28</f>
        <v>3</v>
      </c>
      <c r="ET29" s="23">
        <f>'New Formula with HB25-1320'!ET28</f>
        <v>5</v>
      </c>
      <c r="EU29" s="23">
        <f>'New Formula with HB25-1320'!EU28</f>
        <v>102</v>
      </c>
      <c r="EV29" s="23">
        <f>'New Formula with HB25-1320'!EV28</f>
        <v>6</v>
      </c>
      <c r="EW29" s="23">
        <f>'New Formula with HB25-1320'!EW28</f>
        <v>59</v>
      </c>
      <c r="EX29" s="23">
        <f>'New Formula with HB25-1320'!EX28</f>
        <v>8</v>
      </c>
      <c r="EY29" s="23">
        <f>'New Formula with HB25-1320'!EY28</f>
        <v>17</v>
      </c>
      <c r="EZ29" s="23">
        <f>'New Formula with HB25-1320'!EZ28</f>
        <v>0</v>
      </c>
      <c r="FA29" s="23">
        <f>'New Formula with HB25-1320'!FA28</f>
        <v>611</v>
      </c>
      <c r="FB29" s="23">
        <f>'New Formula with HB25-1320'!FB28</f>
        <v>3</v>
      </c>
      <c r="FC29" s="23">
        <f>'New Formula with HB25-1320'!FC28</f>
        <v>32</v>
      </c>
      <c r="FD29" s="23">
        <f>'New Formula with HB25-1320'!FD28</f>
        <v>4</v>
      </c>
      <c r="FE29" s="23">
        <f>'New Formula with HB25-1320'!FE28</f>
        <v>13</v>
      </c>
      <c r="FF29" s="23">
        <f>'New Formula with HB25-1320'!FF28</f>
        <v>2</v>
      </c>
      <c r="FG29" s="23">
        <f>'New Formula with HB25-1320'!FG28</f>
        <v>3</v>
      </c>
      <c r="FH29" s="23">
        <f>'New Formula with HB25-1320'!FH28</f>
        <v>0</v>
      </c>
      <c r="FI29" s="23">
        <f>'New Formula with HB25-1320'!FI28</f>
        <v>182</v>
      </c>
      <c r="FJ29" s="23">
        <f>'New Formula with HB25-1320'!FJ28</f>
        <v>72</v>
      </c>
      <c r="FK29" s="23">
        <f>'New Formula with HB25-1320'!FK28</f>
        <v>246</v>
      </c>
      <c r="FL29" s="23">
        <f>'New Formula with HB25-1320'!FL28</f>
        <v>195</v>
      </c>
      <c r="FM29" s="23">
        <f>'New Formula with HB25-1320'!FM28</f>
        <v>93</v>
      </c>
      <c r="FN29" s="23">
        <f>'New Formula with HB25-1320'!FN28</f>
        <v>3402</v>
      </c>
      <c r="FO29" s="23">
        <f>'New Formula with HB25-1320'!FO28</f>
        <v>55</v>
      </c>
      <c r="FP29" s="23">
        <f>'New Formula with HB25-1320'!FP28</f>
        <v>325</v>
      </c>
      <c r="FQ29" s="23">
        <f>'New Formula with HB25-1320'!FQ28</f>
        <v>60</v>
      </c>
      <c r="FR29" s="23">
        <f>'New Formula with HB25-1320'!FR28</f>
        <v>1</v>
      </c>
      <c r="FS29" s="23">
        <f>'New Formula with HB25-1320'!FS28</f>
        <v>0</v>
      </c>
      <c r="FT29" s="23">
        <f>'New Formula with HB25-1320'!FT28</f>
        <v>0</v>
      </c>
      <c r="FU29" s="23">
        <f>'New Formula with HB25-1320'!FU28</f>
        <v>137</v>
      </c>
      <c r="FV29" s="23">
        <f>'New Formula with HB25-1320'!FV28</f>
        <v>88</v>
      </c>
      <c r="FW29" s="23">
        <f>'New Formula with HB25-1320'!FW28</f>
        <v>5</v>
      </c>
      <c r="FX29" s="23">
        <f>'New Formula with HB25-1320'!FX28</f>
        <v>0</v>
      </c>
      <c r="FY29" s="23"/>
      <c r="FZ29" s="23">
        <f t="shared" si="7"/>
        <v>75065</v>
      </c>
      <c r="GA29" s="23"/>
      <c r="GB29" s="23"/>
      <c r="GC29" s="23"/>
      <c r="GD29" s="23"/>
      <c r="GE29" s="7"/>
      <c r="GF29" s="7"/>
      <c r="GG29" s="7"/>
      <c r="GH29" s="7"/>
      <c r="GI29" s="7"/>
      <c r="GJ29" s="7"/>
      <c r="GK29" s="7"/>
    </row>
    <row r="30" spans="1:207" ht="15.5" x14ac:dyDescent="0.35">
      <c r="A30" s="12" t="s">
        <v>483</v>
      </c>
      <c r="B30" s="7" t="s">
        <v>492</v>
      </c>
      <c r="C30" s="27">
        <f>'New Formula with HB25-1320'!C30</f>
        <v>0</v>
      </c>
      <c r="D30" s="26">
        <f>'New Formula with HB25-1320'!D30</f>
        <v>4562.5</v>
      </c>
      <c r="E30" s="26">
        <f>'New Formula with HB25-1320'!E30</f>
        <v>643</v>
      </c>
      <c r="F30" s="26">
        <f>'New Formula with HB25-1320'!F30</f>
        <v>907.5</v>
      </c>
      <c r="G30" s="26">
        <f>'New Formula with HB25-1320'!G30</f>
        <v>0</v>
      </c>
      <c r="H30" s="26">
        <f>'New Formula with HB25-1320'!H30</f>
        <v>0</v>
      </c>
      <c r="I30" s="26">
        <f>'New Formula with HB25-1320'!I30</f>
        <v>748</v>
      </c>
      <c r="J30" s="26">
        <f>'New Formula with HB25-1320'!J30</f>
        <v>0</v>
      </c>
      <c r="K30" s="26">
        <f>'New Formula with HB25-1320'!K30</f>
        <v>0</v>
      </c>
      <c r="L30" s="26">
        <f>'New Formula with HB25-1320'!L30</f>
        <v>0</v>
      </c>
      <c r="M30" s="26">
        <f>'New Formula with HB25-1320'!M30</f>
        <v>0</v>
      </c>
      <c r="N30" s="26">
        <f>'New Formula with HB25-1320'!N30</f>
        <v>90</v>
      </c>
      <c r="O30" s="26">
        <f>'New Formula with HB25-1320'!O30</f>
        <v>0</v>
      </c>
      <c r="P30" s="26">
        <f>'New Formula with HB25-1320'!P30</f>
        <v>0</v>
      </c>
      <c r="Q30" s="26">
        <f>'New Formula with HB25-1320'!Q30</f>
        <v>1920</v>
      </c>
      <c r="R30" s="26">
        <f>'New Formula with HB25-1320'!R30</f>
        <v>0</v>
      </c>
      <c r="S30" s="26">
        <f>'New Formula with HB25-1320'!S30</f>
        <v>0</v>
      </c>
      <c r="T30" s="26">
        <f>'New Formula with HB25-1320'!T30</f>
        <v>0</v>
      </c>
      <c r="U30" s="26">
        <f>'New Formula with HB25-1320'!U30</f>
        <v>0</v>
      </c>
      <c r="V30" s="26">
        <f>'New Formula with HB25-1320'!V30</f>
        <v>0</v>
      </c>
      <c r="W30" s="26">
        <f>'New Formula with HB25-1320'!W30</f>
        <v>0</v>
      </c>
      <c r="X30" s="26">
        <f>'New Formula with HB25-1320'!X30</f>
        <v>0</v>
      </c>
      <c r="Y30" s="26">
        <f>'New Formula with HB25-1320'!Y30</f>
        <v>0</v>
      </c>
      <c r="Z30" s="26">
        <f>'New Formula with HB25-1320'!Z30</f>
        <v>0</v>
      </c>
      <c r="AA30" s="26">
        <f>'New Formula with HB25-1320'!AA30</f>
        <v>0</v>
      </c>
      <c r="AB30" s="26">
        <f>'New Formula with HB25-1320'!AB30</f>
        <v>0</v>
      </c>
      <c r="AC30" s="26">
        <f>'New Formula with HB25-1320'!AC30</f>
        <v>0</v>
      </c>
      <c r="AD30" s="26">
        <f>'New Formula with HB25-1320'!AD30</f>
        <v>154</v>
      </c>
      <c r="AE30" s="26">
        <f>'New Formula with HB25-1320'!AE30</f>
        <v>0</v>
      </c>
      <c r="AF30" s="26">
        <f>'New Formula with HB25-1320'!AF30</f>
        <v>0</v>
      </c>
      <c r="AG30" s="26">
        <f>'New Formula with HB25-1320'!AG30</f>
        <v>0</v>
      </c>
      <c r="AH30" s="26">
        <f>'New Formula with HB25-1320'!AH30</f>
        <v>0</v>
      </c>
      <c r="AI30" s="26">
        <f>'New Formula with HB25-1320'!AI30</f>
        <v>0</v>
      </c>
      <c r="AJ30" s="26">
        <f>'New Formula with HB25-1320'!AJ30</f>
        <v>0</v>
      </c>
      <c r="AK30" s="26">
        <f>'New Formula with HB25-1320'!AK30</f>
        <v>0</v>
      </c>
      <c r="AL30" s="26">
        <f>'New Formula with HB25-1320'!AL30</f>
        <v>0</v>
      </c>
      <c r="AM30" s="26">
        <f>'New Formula with HB25-1320'!AM30</f>
        <v>0</v>
      </c>
      <c r="AN30" s="26">
        <f>'New Formula with HB25-1320'!AN30</f>
        <v>0</v>
      </c>
      <c r="AO30" s="26">
        <f>'New Formula with HB25-1320'!AO30</f>
        <v>0</v>
      </c>
      <c r="AP30" s="26">
        <f>'New Formula with HB25-1320'!AP30</f>
        <v>0</v>
      </c>
      <c r="AQ30" s="26">
        <f>'New Formula with HB25-1320'!AQ30</f>
        <v>0</v>
      </c>
      <c r="AR30" s="26">
        <f>'New Formula with HB25-1320'!AR30</f>
        <v>1987.5</v>
      </c>
      <c r="AS30" s="26">
        <f>'New Formula with HB25-1320'!AS30</f>
        <v>293</v>
      </c>
      <c r="AT30" s="26">
        <f>'New Formula with HB25-1320'!AT30</f>
        <v>0</v>
      </c>
      <c r="AU30" s="26">
        <f>'New Formula with HB25-1320'!AU30</f>
        <v>0</v>
      </c>
      <c r="AV30" s="26">
        <f>'New Formula with HB25-1320'!AV30</f>
        <v>0</v>
      </c>
      <c r="AW30" s="26">
        <f>'New Formula with HB25-1320'!AW30</f>
        <v>0</v>
      </c>
      <c r="AX30" s="26">
        <f>'New Formula with HB25-1320'!AX30</f>
        <v>0</v>
      </c>
      <c r="AY30" s="26">
        <f>'New Formula with HB25-1320'!AY30</f>
        <v>0</v>
      </c>
      <c r="AZ30" s="26">
        <f>'New Formula with HB25-1320'!AZ30</f>
        <v>0</v>
      </c>
      <c r="BA30" s="26">
        <f>'New Formula with HB25-1320'!BA30</f>
        <v>0</v>
      </c>
      <c r="BB30" s="26">
        <f>'New Formula with HB25-1320'!BB30</f>
        <v>0</v>
      </c>
      <c r="BC30" s="26">
        <f>'New Formula with HB25-1320'!BC30</f>
        <v>2883.5</v>
      </c>
      <c r="BD30" s="26">
        <f>'New Formula with HB25-1320'!BD30</f>
        <v>0</v>
      </c>
      <c r="BE30" s="26">
        <f>'New Formula with HB25-1320'!BE30</f>
        <v>0</v>
      </c>
      <c r="BF30" s="26">
        <f>'New Formula with HB25-1320'!BF30</f>
        <v>0</v>
      </c>
      <c r="BG30" s="26">
        <f>'New Formula with HB25-1320'!BG30</f>
        <v>0</v>
      </c>
      <c r="BH30" s="26">
        <f>'New Formula with HB25-1320'!BH30</f>
        <v>0</v>
      </c>
      <c r="BI30" s="26">
        <f>'New Formula with HB25-1320'!BI30</f>
        <v>0</v>
      </c>
      <c r="BJ30" s="26">
        <f>'New Formula with HB25-1320'!BJ30</f>
        <v>0</v>
      </c>
      <c r="BK30" s="26">
        <f>'New Formula with HB25-1320'!BK30</f>
        <v>0</v>
      </c>
      <c r="BL30" s="26">
        <f>'New Formula with HB25-1320'!BL30</f>
        <v>0</v>
      </c>
      <c r="BM30" s="26">
        <f>'New Formula with HB25-1320'!BM30</f>
        <v>0</v>
      </c>
      <c r="BN30" s="26">
        <f>'New Formula with HB25-1320'!BN30</f>
        <v>0</v>
      </c>
      <c r="BO30" s="26">
        <f>'New Formula with HB25-1320'!BO30</f>
        <v>0</v>
      </c>
      <c r="BP30" s="26">
        <f>'New Formula with HB25-1320'!BP30</f>
        <v>0</v>
      </c>
      <c r="BQ30" s="26">
        <f>'New Formula with HB25-1320'!BQ30</f>
        <v>177</v>
      </c>
      <c r="BR30" s="26">
        <f>'New Formula with HB25-1320'!BR30</f>
        <v>0</v>
      </c>
      <c r="BS30" s="26">
        <f>'New Formula with HB25-1320'!BS30</f>
        <v>0</v>
      </c>
      <c r="BT30" s="26">
        <f>'New Formula with HB25-1320'!BT30</f>
        <v>0</v>
      </c>
      <c r="BU30" s="26">
        <f>'New Formula with HB25-1320'!BU30</f>
        <v>0</v>
      </c>
      <c r="BV30" s="26">
        <f>'New Formula with HB25-1320'!BV30</f>
        <v>0</v>
      </c>
      <c r="BW30" s="26">
        <f>'New Formula with HB25-1320'!BW30</f>
        <v>0</v>
      </c>
      <c r="BX30" s="26">
        <f>'New Formula with HB25-1320'!BX30</f>
        <v>0</v>
      </c>
      <c r="BY30" s="26">
        <f>'New Formula with HB25-1320'!BY30</f>
        <v>0</v>
      </c>
      <c r="BZ30" s="26">
        <f>'New Formula with HB25-1320'!BZ30</f>
        <v>0</v>
      </c>
      <c r="CA30" s="26">
        <f>'New Formula with HB25-1320'!CA30</f>
        <v>0</v>
      </c>
      <c r="CB30" s="26">
        <f>'New Formula with HB25-1320'!CB30</f>
        <v>827</v>
      </c>
      <c r="CC30" s="26">
        <f>'New Formula with HB25-1320'!CC30</f>
        <v>0</v>
      </c>
      <c r="CD30" s="26">
        <f>'New Formula with HB25-1320'!CD30</f>
        <v>0</v>
      </c>
      <c r="CE30" s="26">
        <f>'New Formula with HB25-1320'!CE30</f>
        <v>0</v>
      </c>
      <c r="CF30" s="26">
        <f>'New Formula with HB25-1320'!CF30</f>
        <v>0</v>
      </c>
      <c r="CG30" s="26">
        <f>'New Formula with HB25-1320'!CG30</f>
        <v>0</v>
      </c>
      <c r="CH30" s="26">
        <f>'New Formula with HB25-1320'!CH30</f>
        <v>0</v>
      </c>
      <c r="CI30" s="26">
        <f>'New Formula with HB25-1320'!CI30</f>
        <v>0</v>
      </c>
      <c r="CJ30" s="26">
        <f>'New Formula with HB25-1320'!CJ30</f>
        <v>0</v>
      </c>
      <c r="CK30" s="26">
        <f>'New Formula with HB25-1320'!CK30</f>
        <v>577.5</v>
      </c>
      <c r="CL30" s="26">
        <f>'New Formula with HB25-1320'!CL30</f>
        <v>0</v>
      </c>
      <c r="CM30" s="26">
        <f>'New Formula with HB25-1320'!CM30</f>
        <v>0</v>
      </c>
      <c r="CN30" s="26">
        <f>'New Formula with HB25-1320'!CN30</f>
        <v>2256</v>
      </c>
      <c r="CO30" s="26">
        <f>'New Formula with HB25-1320'!CO30</f>
        <v>0</v>
      </c>
      <c r="CP30" s="26">
        <f>'New Formula with HB25-1320'!CP30</f>
        <v>0</v>
      </c>
      <c r="CQ30" s="26">
        <f>'New Formula with HB25-1320'!CQ30</f>
        <v>0</v>
      </c>
      <c r="CR30" s="26">
        <f>'New Formula with HB25-1320'!CR30</f>
        <v>0</v>
      </c>
      <c r="CS30" s="26">
        <f>'New Formula with HB25-1320'!CS30</f>
        <v>0</v>
      </c>
      <c r="CT30" s="26">
        <f>'New Formula with HB25-1320'!CT30</f>
        <v>0</v>
      </c>
      <c r="CU30" s="26">
        <f>'New Formula with HB25-1320'!CU30</f>
        <v>0</v>
      </c>
      <c r="CV30" s="26">
        <f>'New Formula with HB25-1320'!CV30</f>
        <v>0</v>
      </c>
      <c r="CW30" s="26">
        <f>'New Formula with HB25-1320'!CW30</f>
        <v>0</v>
      </c>
      <c r="CX30" s="26">
        <f>'New Formula with HB25-1320'!CX30</f>
        <v>0</v>
      </c>
      <c r="CY30" s="26">
        <f>'New Formula with HB25-1320'!CY30</f>
        <v>0</v>
      </c>
      <c r="CZ30" s="26">
        <f>'New Formula with HB25-1320'!CZ30</f>
        <v>0</v>
      </c>
      <c r="DA30" s="26">
        <f>'New Formula with HB25-1320'!DA30</f>
        <v>0</v>
      </c>
      <c r="DB30" s="26">
        <f>'New Formula with HB25-1320'!DB30</f>
        <v>0</v>
      </c>
      <c r="DC30" s="26">
        <f>'New Formula with HB25-1320'!DC30</f>
        <v>0</v>
      </c>
      <c r="DD30" s="26">
        <f>'New Formula with HB25-1320'!DD30</f>
        <v>0</v>
      </c>
      <c r="DE30" s="26">
        <f>'New Formula with HB25-1320'!DE30</f>
        <v>0</v>
      </c>
      <c r="DF30" s="26">
        <f>'New Formula with HB25-1320'!DF30</f>
        <v>1366</v>
      </c>
      <c r="DG30" s="26">
        <f>'New Formula with HB25-1320'!DG30</f>
        <v>0</v>
      </c>
      <c r="DH30" s="26">
        <f>'New Formula with HB25-1320'!DH30</f>
        <v>0</v>
      </c>
      <c r="DI30" s="26">
        <f>'New Formula with HB25-1320'!DI30</f>
        <v>61</v>
      </c>
      <c r="DJ30" s="26">
        <f>'New Formula with HB25-1320'!DJ30</f>
        <v>0</v>
      </c>
      <c r="DK30" s="26">
        <f>'New Formula with HB25-1320'!DK30</f>
        <v>0</v>
      </c>
      <c r="DL30" s="26">
        <f>'New Formula with HB25-1320'!DL30</f>
        <v>0</v>
      </c>
      <c r="DM30" s="26">
        <f>'New Formula with HB25-1320'!DM30</f>
        <v>0</v>
      </c>
      <c r="DN30" s="26">
        <f>'New Formula with HB25-1320'!DN30</f>
        <v>0</v>
      </c>
      <c r="DO30" s="26">
        <f>'New Formula with HB25-1320'!DO30</f>
        <v>0</v>
      </c>
      <c r="DP30" s="26">
        <f>'New Formula with HB25-1320'!DP30</f>
        <v>0</v>
      </c>
      <c r="DQ30" s="26">
        <f>'New Formula with HB25-1320'!DQ30</f>
        <v>0</v>
      </c>
      <c r="DR30" s="26">
        <f>'New Formula with HB25-1320'!DR30</f>
        <v>0</v>
      </c>
      <c r="DS30" s="26">
        <f>'New Formula with HB25-1320'!DS30</f>
        <v>0</v>
      </c>
      <c r="DT30" s="26">
        <f>'New Formula with HB25-1320'!DT30</f>
        <v>0</v>
      </c>
      <c r="DU30" s="26">
        <f>'New Formula with HB25-1320'!DU30</f>
        <v>0</v>
      </c>
      <c r="DV30" s="26">
        <f>'New Formula with HB25-1320'!DV30</f>
        <v>0</v>
      </c>
      <c r="DW30" s="26">
        <f>'New Formula with HB25-1320'!DW30</f>
        <v>0</v>
      </c>
      <c r="DX30" s="26">
        <f>'New Formula with HB25-1320'!DX30</f>
        <v>0</v>
      </c>
      <c r="DY30" s="26">
        <f>'New Formula with HB25-1320'!DY30</f>
        <v>0</v>
      </c>
      <c r="DZ30" s="26">
        <f>'New Formula with HB25-1320'!DZ30</f>
        <v>0</v>
      </c>
      <c r="EA30" s="26">
        <f>'New Formula with HB25-1320'!EA30</f>
        <v>20</v>
      </c>
      <c r="EB30" s="26">
        <f>'New Formula with HB25-1320'!EB30</f>
        <v>0</v>
      </c>
      <c r="EC30" s="26">
        <f>'New Formula with HB25-1320'!EC30</f>
        <v>0</v>
      </c>
      <c r="ED30" s="26">
        <f>'New Formula with HB25-1320'!ED30</f>
        <v>0</v>
      </c>
      <c r="EE30" s="26">
        <f>'New Formula with HB25-1320'!EE30</f>
        <v>0</v>
      </c>
      <c r="EF30" s="26">
        <f>'New Formula with HB25-1320'!EF30</f>
        <v>0</v>
      </c>
      <c r="EG30" s="26">
        <f>'New Formula with HB25-1320'!EG30</f>
        <v>0</v>
      </c>
      <c r="EH30" s="26">
        <f>'New Formula with HB25-1320'!EH30</f>
        <v>0</v>
      </c>
      <c r="EI30" s="26">
        <f>'New Formula with HB25-1320'!EI30</f>
        <v>0</v>
      </c>
      <c r="EJ30" s="26">
        <f>'New Formula with HB25-1320'!EJ30</f>
        <v>0</v>
      </c>
      <c r="EK30" s="26">
        <f>'New Formula with HB25-1320'!EK30</f>
        <v>0</v>
      </c>
      <c r="EL30" s="26">
        <f>'New Formula with HB25-1320'!EL30</f>
        <v>0</v>
      </c>
      <c r="EM30" s="26">
        <f>'New Formula with HB25-1320'!EM30</f>
        <v>0</v>
      </c>
      <c r="EN30" s="26">
        <f>'New Formula with HB25-1320'!EN30</f>
        <v>0</v>
      </c>
      <c r="EO30" s="26">
        <f>'New Formula with HB25-1320'!EO30</f>
        <v>0</v>
      </c>
      <c r="EP30" s="26">
        <f>'New Formula with HB25-1320'!EP30</f>
        <v>0</v>
      </c>
      <c r="EQ30" s="26">
        <f>'New Formula with HB25-1320'!EQ30</f>
        <v>103</v>
      </c>
      <c r="ER30" s="26">
        <f>'New Formula with HB25-1320'!ER30</f>
        <v>0</v>
      </c>
      <c r="ES30" s="26">
        <f>'New Formula with HB25-1320'!ES30</f>
        <v>0</v>
      </c>
      <c r="ET30" s="26">
        <f>'New Formula with HB25-1320'!ET30</f>
        <v>0</v>
      </c>
      <c r="EU30" s="26">
        <f>'New Formula with HB25-1320'!EU30</f>
        <v>0</v>
      </c>
      <c r="EV30" s="26">
        <f>'New Formula with HB25-1320'!EV30</f>
        <v>0</v>
      </c>
      <c r="EW30" s="26">
        <f>'New Formula with HB25-1320'!EW30</f>
        <v>0</v>
      </c>
      <c r="EX30" s="26">
        <f>'New Formula with HB25-1320'!EX30</f>
        <v>0</v>
      </c>
      <c r="EY30" s="26">
        <f>'New Formula with HB25-1320'!EY30</f>
        <v>0</v>
      </c>
      <c r="EZ30" s="26">
        <f>'New Formula with HB25-1320'!EZ30</f>
        <v>0</v>
      </c>
      <c r="FA30" s="26">
        <f>'New Formula with HB25-1320'!FA30</f>
        <v>0</v>
      </c>
      <c r="FB30" s="26">
        <f>'New Formula with HB25-1320'!FB30</f>
        <v>0</v>
      </c>
      <c r="FC30" s="26">
        <f>'New Formula with HB25-1320'!FC30</f>
        <v>0</v>
      </c>
      <c r="FD30" s="26">
        <f>'New Formula with HB25-1320'!FD30</f>
        <v>0</v>
      </c>
      <c r="FE30" s="26">
        <f>'New Formula with HB25-1320'!FE30</f>
        <v>0</v>
      </c>
      <c r="FF30" s="26">
        <f>'New Formula with HB25-1320'!FF30</f>
        <v>0</v>
      </c>
      <c r="FG30" s="26">
        <f>'New Formula with HB25-1320'!FG30</f>
        <v>0</v>
      </c>
      <c r="FH30" s="26">
        <f>'New Formula with HB25-1320'!FH30</f>
        <v>0</v>
      </c>
      <c r="FI30" s="26">
        <f>'New Formula with HB25-1320'!FI30</f>
        <v>0</v>
      </c>
      <c r="FJ30" s="26">
        <f>'New Formula with HB25-1320'!FJ30</f>
        <v>0</v>
      </c>
      <c r="FK30" s="26">
        <f>'New Formula with HB25-1320'!FK30</f>
        <v>0</v>
      </c>
      <c r="FL30" s="26">
        <f>'New Formula with HB25-1320'!FL30</f>
        <v>0</v>
      </c>
      <c r="FM30" s="26">
        <f>'New Formula with HB25-1320'!FM30</f>
        <v>0</v>
      </c>
      <c r="FN30" s="26">
        <f>'New Formula with HB25-1320'!FN30</f>
        <v>0</v>
      </c>
      <c r="FO30" s="26">
        <f>'New Formula with HB25-1320'!FO30</f>
        <v>0</v>
      </c>
      <c r="FP30" s="26">
        <f>'New Formula with HB25-1320'!FP30</f>
        <v>0</v>
      </c>
      <c r="FQ30" s="26">
        <f>'New Formula with HB25-1320'!FQ30</f>
        <v>0</v>
      </c>
      <c r="FR30" s="26">
        <f>'New Formula with HB25-1320'!FR30</f>
        <v>0</v>
      </c>
      <c r="FS30" s="26">
        <f>'New Formula with HB25-1320'!FS30</f>
        <v>0</v>
      </c>
      <c r="FT30" s="26">
        <f>'New Formula with HB25-1320'!FT30</f>
        <v>0</v>
      </c>
      <c r="FU30" s="26">
        <f>'New Formula with HB25-1320'!FU30</f>
        <v>0</v>
      </c>
      <c r="FV30" s="26">
        <f>'New Formula with HB25-1320'!FV30</f>
        <v>0</v>
      </c>
      <c r="FW30" s="26">
        <f>'New Formula with HB25-1320'!FW30</f>
        <v>0</v>
      </c>
      <c r="FX30" s="26">
        <f>'New Formula with HB25-1320'!FX30</f>
        <v>0</v>
      </c>
      <c r="FY30" s="23"/>
      <c r="FZ30" s="23">
        <f t="shared" si="7"/>
        <v>19576.5</v>
      </c>
      <c r="GA30" s="23"/>
      <c r="GB30" s="23"/>
      <c r="GC30" s="23"/>
      <c r="GD30" s="23"/>
      <c r="GE30" s="7"/>
      <c r="GF30" s="7"/>
      <c r="GG30" s="7"/>
      <c r="GH30" s="7"/>
      <c r="GI30" s="7"/>
      <c r="GJ30" s="7"/>
      <c r="GK30" s="7"/>
    </row>
    <row r="31" spans="1:207" ht="15.5" x14ac:dyDescent="0.35">
      <c r="A31" s="12" t="s">
        <v>754</v>
      </c>
      <c r="B31" s="7" t="s">
        <v>494</v>
      </c>
      <c r="C31" s="37">
        <f>'New Formula with HB25-1320'!C31</f>
        <v>0</v>
      </c>
      <c r="D31" s="23">
        <f>'New Formula with HB25-1320'!D31</f>
        <v>363</v>
      </c>
      <c r="E31" s="23">
        <f>'New Formula with HB25-1320'!E31</f>
        <v>52</v>
      </c>
      <c r="F31" s="23">
        <f>'New Formula with HB25-1320'!F31</f>
        <v>114.5</v>
      </c>
      <c r="G31" s="23">
        <f>'New Formula with HB25-1320'!G31</f>
        <v>0</v>
      </c>
      <c r="H31" s="23">
        <f>'New Formula with HB25-1320'!H31</f>
        <v>0</v>
      </c>
      <c r="I31" s="23">
        <f>'New Formula with HB25-1320'!I31</f>
        <v>71</v>
      </c>
      <c r="J31" s="23">
        <f>'New Formula with HB25-1320'!J31</f>
        <v>0</v>
      </c>
      <c r="K31" s="23">
        <f>'New Formula with HB25-1320'!K31</f>
        <v>0</v>
      </c>
      <c r="L31" s="23">
        <f>'New Formula with HB25-1320'!L31</f>
        <v>0</v>
      </c>
      <c r="M31" s="23">
        <f>'New Formula with HB25-1320'!M31</f>
        <v>0</v>
      </c>
      <c r="N31" s="23">
        <f>'New Formula with HB25-1320'!N31</f>
        <v>0</v>
      </c>
      <c r="O31" s="23">
        <f>'New Formula with HB25-1320'!O31</f>
        <v>0</v>
      </c>
      <c r="P31" s="23">
        <f>'New Formula with HB25-1320'!P31</f>
        <v>0</v>
      </c>
      <c r="Q31" s="23">
        <f>'New Formula with HB25-1320'!Q31</f>
        <v>173</v>
      </c>
      <c r="R31" s="23">
        <f>'New Formula with HB25-1320'!R31</f>
        <v>0</v>
      </c>
      <c r="S31" s="23">
        <f>'New Formula with HB25-1320'!S31</f>
        <v>0</v>
      </c>
      <c r="T31" s="23">
        <f>'New Formula with HB25-1320'!T31</f>
        <v>0</v>
      </c>
      <c r="U31" s="23">
        <f>'New Formula with HB25-1320'!U31</f>
        <v>0</v>
      </c>
      <c r="V31" s="23">
        <f>'New Formula with HB25-1320'!V31</f>
        <v>0</v>
      </c>
      <c r="W31" s="23">
        <f>'New Formula with HB25-1320'!W31</f>
        <v>0</v>
      </c>
      <c r="X31" s="23">
        <f>'New Formula with HB25-1320'!X31</f>
        <v>0</v>
      </c>
      <c r="Y31" s="23">
        <f>'New Formula with HB25-1320'!Y31</f>
        <v>0</v>
      </c>
      <c r="Z31" s="23">
        <f>'New Formula with HB25-1320'!Z31</f>
        <v>0</v>
      </c>
      <c r="AA31" s="23">
        <f>'New Formula with HB25-1320'!AA31</f>
        <v>0</v>
      </c>
      <c r="AB31" s="23">
        <f>'New Formula with HB25-1320'!AB31</f>
        <v>0</v>
      </c>
      <c r="AC31" s="23">
        <f>'New Formula with HB25-1320'!AC31</f>
        <v>0</v>
      </c>
      <c r="AD31" s="23">
        <f>'New Formula with HB25-1320'!AD31</f>
        <v>16</v>
      </c>
      <c r="AE31" s="23">
        <f>'New Formula with HB25-1320'!AE31</f>
        <v>0</v>
      </c>
      <c r="AF31" s="23">
        <f>'New Formula with HB25-1320'!AF31</f>
        <v>0</v>
      </c>
      <c r="AG31" s="23">
        <f>'New Formula with HB25-1320'!AG31</f>
        <v>0</v>
      </c>
      <c r="AH31" s="23">
        <f>'New Formula with HB25-1320'!AH31</f>
        <v>0</v>
      </c>
      <c r="AI31" s="23">
        <f>'New Formula with HB25-1320'!AI31</f>
        <v>0</v>
      </c>
      <c r="AJ31" s="23">
        <f>'New Formula with HB25-1320'!AJ31</f>
        <v>0</v>
      </c>
      <c r="AK31" s="23">
        <f>'New Formula with HB25-1320'!AK31</f>
        <v>0</v>
      </c>
      <c r="AL31" s="23">
        <f>'New Formula with HB25-1320'!AL31</f>
        <v>0</v>
      </c>
      <c r="AM31" s="23">
        <f>'New Formula with HB25-1320'!AM31</f>
        <v>0</v>
      </c>
      <c r="AN31" s="23">
        <f>'New Formula with HB25-1320'!AN31</f>
        <v>0</v>
      </c>
      <c r="AO31" s="23">
        <f>'New Formula with HB25-1320'!AO31</f>
        <v>0</v>
      </c>
      <c r="AP31" s="23">
        <f>'New Formula with HB25-1320'!AP31</f>
        <v>0</v>
      </c>
      <c r="AQ31" s="23">
        <f>'New Formula with HB25-1320'!AQ31</f>
        <v>0</v>
      </c>
      <c r="AR31" s="23">
        <f>'New Formula with HB25-1320'!AR31</f>
        <v>76</v>
      </c>
      <c r="AS31" s="23">
        <f>'New Formula with HB25-1320'!AS31</f>
        <v>23</v>
      </c>
      <c r="AT31" s="23">
        <f>'New Formula with HB25-1320'!AT31</f>
        <v>0</v>
      </c>
      <c r="AU31" s="23">
        <f>'New Formula with HB25-1320'!AU31</f>
        <v>0</v>
      </c>
      <c r="AV31" s="23">
        <f>'New Formula with HB25-1320'!AV31</f>
        <v>0</v>
      </c>
      <c r="AW31" s="23">
        <f>'New Formula with HB25-1320'!AW31</f>
        <v>0</v>
      </c>
      <c r="AX31" s="23">
        <f>'New Formula with HB25-1320'!AX31</f>
        <v>0</v>
      </c>
      <c r="AY31" s="23">
        <f>'New Formula with HB25-1320'!AY31</f>
        <v>0</v>
      </c>
      <c r="AZ31" s="23">
        <f>'New Formula with HB25-1320'!AZ31</f>
        <v>0</v>
      </c>
      <c r="BA31" s="23">
        <f>'New Formula with HB25-1320'!BA31</f>
        <v>0</v>
      </c>
      <c r="BB31" s="23">
        <f>'New Formula with HB25-1320'!BB31</f>
        <v>0</v>
      </c>
      <c r="BC31" s="23">
        <f>'New Formula with HB25-1320'!BC31</f>
        <v>278.5</v>
      </c>
      <c r="BD31" s="23">
        <f>'New Formula with HB25-1320'!BD31</f>
        <v>0</v>
      </c>
      <c r="BE31" s="23">
        <f>'New Formula with HB25-1320'!BE31</f>
        <v>0</v>
      </c>
      <c r="BF31" s="23">
        <f>'New Formula with HB25-1320'!BF31</f>
        <v>0</v>
      </c>
      <c r="BG31" s="23">
        <f>'New Formula with HB25-1320'!BG31</f>
        <v>0</v>
      </c>
      <c r="BH31" s="23">
        <f>'New Formula with HB25-1320'!BH31</f>
        <v>0</v>
      </c>
      <c r="BI31" s="23">
        <f>'New Formula with HB25-1320'!BI31</f>
        <v>0</v>
      </c>
      <c r="BJ31" s="23">
        <f>'New Formula with HB25-1320'!BJ31</f>
        <v>0</v>
      </c>
      <c r="BK31" s="23">
        <f>'New Formula with HB25-1320'!BK31</f>
        <v>0</v>
      </c>
      <c r="BL31" s="23">
        <f>'New Formula with HB25-1320'!BL31</f>
        <v>0</v>
      </c>
      <c r="BM31" s="23">
        <f>'New Formula with HB25-1320'!BM31</f>
        <v>0</v>
      </c>
      <c r="BN31" s="23">
        <f>'New Formula with HB25-1320'!BN31</f>
        <v>0</v>
      </c>
      <c r="BO31" s="23">
        <f>'New Formula with HB25-1320'!BO31</f>
        <v>0</v>
      </c>
      <c r="BP31" s="23">
        <f>'New Formula with HB25-1320'!BP31</f>
        <v>0</v>
      </c>
      <c r="BQ31" s="23">
        <f>'New Formula with HB25-1320'!BQ31</f>
        <v>15</v>
      </c>
      <c r="BR31" s="23">
        <f>'New Formula with HB25-1320'!BR31</f>
        <v>0</v>
      </c>
      <c r="BS31" s="23">
        <f>'New Formula with HB25-1320'!BS31</f>
        <v>0</v>
      </c>
      <c r="BT31" s="23">
        <f>'New Formula with HB25-1320'!BT31</f>
        <v>0</v>
      </c>
      <c r="BU31" s="23">
        <f>'New Formula with HB25-1320'!BU31</f>
        <v>0</v>
      </c>
      <c r="BV31" s="23">
        <f>'New Formula with HB25-1320'!BV31</f>
        <v>0</v>
      </c>
      <c r="BW31" s="23">
        <f>'New Formula with HB25-1320'!BW31</f>
        <v>0</v>
      </c>
      <c r="BX31" s="23">
        <f>'New Formula with HB25-1320'!BX31</f>
        <v>0</v>
      </c>
      <c r="BY31" s="23">
        <f>'New Formula with HB25-1320'!BY31</f>
        <v>0</v>
      </c>
      <c r="BZ31" s="23">
        <f>'New Formula with HB25-1320'!BZ31</f>
        <v>0</v>
      </c>
      <c r="CA31" s="23">
        <f>'New Formula with HB25-1320'!CA31</f>
        <v>0</v>
      </c>
      <c r="CB31" s="23">
        <f>'New Formula with HB25-1320'!CB31</f>
        <v>50</v>
      </c>
      <c r="CC31" s="23">
        <f>'New Formula with HB25-1320'!CC31</f>
        <v>0</v>
      </c>
      <c r="CD31" s="23">
        <f>'New Formula with HB25-1320'!CD31</f>
        <v>0</v>
      </c>
      <c r="CE31" s="23">
        <f>'New Formula with HB25-1320'!CE31</f>
        <v>0</v>
      </c>
      <c r="CF31" s="23">
        <f>'New Formula with HB25-1320'!CF31</f>
        <v>0</v>
      </c>
      <c r="CG31" s="23">
        <f>'New Formula with HB25-1320'!CG31</f>
        <v>0</v>
      </c>
      <c r="CH31" s="23">
        <f>'New Formula with HB25-1320'!CH31</f>
        <v>0</v>
      </c>
      <c r="CI31" s="23">
        <f>'New Formula with HB25-1320'!CI31</f>
        <v>0</v>
      </c>
      <c r="CJ31" s="23">
        <f>'New Formula with HB25-1320'!CJ31</f>
        <v>0</v>
      </c>
      <c r="CK31" s="23">
        <f>'New Formula with HB25-1320'!CK31</f>
        <v>1.5</v>
      </c>
      <c r="CL31" s="23">
        <f>'New Formula with HB25-1320'!CL31</f>
        <v>0</v>
      </c>
      <c r="CM31" s="23">
        <f>'New Formula with HB25-1320'!CM31</f>
        <v>0</v>
      </c>
      <c r="CN31" s="23">
        <f>'New Formula with HB25-1320'!CN31</f>
        <v>125</v>
      </c>
      <c r="CO31" s="23">
        <f>'New Formula with HB25-1320'!CO31</f>
        <v>0</v>
      </c>
      <c r="CP31" s="23">
        <f>'New Formula with HB25-1320'!CP31</f>
        <v>0</v>
      </c>
      <c r="CQ31" s="23">
        <f>'New Formula with HB25-1320'!CQ31</f>
        <v>0</v>
      </c>
      <c r="CR31" s="23">
        <f>'New Formula with HB25-1320'!CR31</f>
        <v>0</v>
      </c>
      <c r="CS31" s="23">
        <f>'New Formula with HB25-1320'!CS31</f>
        <v>0</v>
      </c>
      <c r="CT31" s="23">
        <f>'New Formula with HB25-1320'!CT31</f>
        <v>0</v>
      </c>
      <c r="CU31" s="23">
        <f>'New Formula with HB25-1320'!CU31</f>
        <v>0</v>
      </c>
      <c r="CV31" s="23">
        <f>'New Formula with HB25-1320'!CV31</f>
        <v>0</v>
      </c>
      <c r="CW31" s="23">
        <f>'New Formula with HB25-1320'!CW31</f>
        <v>0</v>
      </c>
      <c r="CX31" s="23">
        <f>'New Formula with HB25-1320'!CX31</f>
        <v>0</v>
      </c>
      <c r="CY31" s="23">
        <f>'New Formula with HB25-1320'!CY31</f>
        <v>0</v>
      </c>
      <c r="CZ31" s="23">
        <f>'New Formula with HB25-1320'!CZ31</f>
        <v>0</v>
      </c>
      <c r="DA31" s="23">
        <f>'New Formula with HB25-1320'!DA31</f>
        <v>0</v>
      </c>
      <c r="DB31" s="23">
        <f>'New Formula with HB25-1320'!DB31</f>
        <v>0</v>
      </c>
      <c r="DC31" s="23">
        <f>'New Formula with HB25-1320'!DC31</f>
        <v>0</v>
      </c>
      <c r="DD31" s="23">
        <f>'New Formula with HB25-1320'!DD31</f>
        <v>0</v>
      </c>
      <c r="DE31" s="23">
        <f>'New Formula with HB25-1320'!DE31</f>
        <v>0</v>
      </c>
      <c r="DF31" s="23">
        <f>'New Formula with HB25-1320'!DF31</f>
        <v>161</v>
      </c>
      <c r="DG31" s="23">
        <f>'New Formula with HB25-1320'!DG31</f>
        <v>0</v>
      </c>
      <c r="DH31" s="23">
        <f>'New Formula with HB25-1320'!DH31</f>
        <v>0</v>
      </c>
      <c r="DI31" s="23">
        <f>'New Formula with HB25-1320'!DI31</f>
        <v>7</v>
      </c>
      <c r="DJ31" s="23">
        <f>'New Formula with HB25-1320'!DJ31</f>
        <v>0</v>
      </c>
      <c r="DK31" s="23">
        <f>'New Formula with HB25-1320'!DK31</f>
        <v>0</v>
      </c>
      <c r="DL31" s="23">
        <f>'New Formula with HB25-1320'!DL31</f>
        <v>0</v>
      </c>
      <c r="DM31" s="23">
        <f>'New Formula with HB25-1320'!DM31</f>
        <v>0</v>
      </c>
      <c r="DN31" s="23">
        <f>'New Formula with HB25-1320'!DN31</f>
        <v>0</v>
      </c>
      <c r="DO31" s="23">
        <f>'New Formula with HB25-1320'!DO31</f>
        <v>0</v>
      </c>
      <c r="DP31" s="23">
        <f>'New Formula with HB25-1320'!DP31</f>
        <v>0</v>
      </c>
      <c r="DQ31" s="23">
        <f>'New Formula with HB25-1320'!DQ31</f>
        <v>0</v>
      </c>
      <c r="DR31" s="23">
        <f>'New Formula with HB25-1320'!DR31</f>
        <v>0</v>
      </c>
      <c r="DS31" s="23">
        <f>'New Formula with HB25-1320'!DS31</f>
        <v>0</v>
      </c>
      <c r="DT31" s="23">
        <f>'New Formula with HB25-1320'!DT31</f>
        <v>0</v>
      </c>
      <c r="DU31" s="23">
        <f>'New Formula with HB25-1320'!DU31</f>
        <v>0</v>
      </c>
      <c r="DV31" s="23">
        <f>'New Formula with HB25-1320'!DV31</f>
        <v>0</v>
      </c>
      <c r="DW31" s="23">
        <f>'New Formula with HB25-1320'!DW31</f>
        <v>0</v>
      </c>
      <c r="DX31" s="23">
        <f>'New Formula with HB25-1320'!DX31</f>
        <v>0</v>
      </c>
      <c r="DY31" s="23">
        <f>'New Formula with HB25-1320'!DY31</f>
        <v>0</v>
      </c>
      <c r="DZ31" s="23">
        <f>'New Formula with HB25-1320'!DZ31</f>
        <v>0</v>
      </c>
      <c r="EA31" s="23">
        <f>'New Formula with HB25-1320'!EA31</f>
        <v>0</v>
      </c>
      <c r="EB31" s="23">
        <f>'New Formula with HB25-1320'!EB31</f>
        <v>0</v>
      </c>
      <c r="EC31" s="23">
        <f>'New Formula with HB25-1320'!EC31</f>
        <v>0</v>
      </c>
      <c r="ED31" s="23">
        <f>'New Formula with HB25-1320'!ED31</f>
        <v>0</v>
      </c>
      <c r="EE31" s="23">
        <f>'New Formula with HB25-1320'!EE31</f>
        <v>0</v>
      </c>
      <c r="EF31" s="23">
        <f>'New Formula with HB25-1320'!EF31</f>
        <v>0</v>
      </c>
      <c r="EG31" s="23">
        <f>'New Formula with HB25-1320'!EG31</f>
        <v>0</v>
      </c>
      <c r="EH31" s="23">
        <f>'New Formula with HB25-1320'!EH31</f>
        <v>0</v>
      </c>
      <c r="EI31" s="23">
        <f>'New Formula with HB25-1320'!EI31</f>
        <v>0</v>
      </c>
      <c r="EJ31" s="23">
        <f>'New Formula with HB25-1320'!EJ31</f>
        <v>0</v>
      </c>
      <c r="EK31" s="23">
        <f>'New Formula with HB25-1320'!EK31</f>
        <v>0</v>
      </c>
      <c r="EL31" s="23">
        <f>'New Formula with HB25-1320'!EL31</f>
        <v>0</v>
      </c>
      <c r="EM31" s="23">
        <f>'New Formula with HB25-1320'!EM31</f>
        <v>0</v>
      </c>
      <c r="EN31" s="23">
        <f>'New Formula with HB25-1320'!EN31</f>
        <v>0</v>
      </c>
      <c r="EO31" s="23">
        <f>'New Formula with HB25-1320'!EO31</f>
        <v>0</v>
      </c>
      <c r="EP31" s="23">
        <f>'New Formula with HB25-1320'!EP31</f>
        <v>0</v>
      </c>
      <c r="EQ31" s="23">
        <f>'New Formula with HB25-1320'!EQ31</f>
        <v>21</v>
      </c>
      <c r="ER31" s="23">
        <f>'New Formula with HB25-1320'!ER31</f>
        <v>0</v>
      </c>
      <c r="ES31" s="23">
        <f>'New Formula with HB25-1320'!ES31</f>
        <v>0</v>
      </c>
      <c r="ET31" s="23">
        <f>'New Formula with HB25-1320'!ET31</f>
        <v>0</v>
      </c>
      <c r="EU31" s="23">
        <f>'New Formula with HB25-1320'!EU31</f>
        <v>0</v>
      </c>
      <c r="EV31" s="23">
        <f>'New Formula with HB25-1320'!EV31</f>
        <v>0</v>
      </c>
      <c r="EW31" s="23">
        <f>'New Formula with HB25-1320'!EW31</f>
        <v>0</v>
      </c>
      <c r="EX31" s="23">
        <f>'New Formula with HB25-1320'!EX31</f>
        <v>0</v>
      </c>
      <c r="EY31" s="23">
        <f>'New Formula with HB25-1320'!EY31</f>
        <v>0</v>
      </c>
      <c r="EZ31" s="23">
        <f>'New Formula with HB25-1320'!EZ31</f>
        <v>0</v>
      </c>
      <c r="FA31" s="23">
        <f>'New Formula with HB25-1320'!FA31</f>
        <v>0</v>
      </c>
      <c r="FB31" s="23">
        <f>'New Formula with HB25-1320'!FB31</f>
        <v>0</v>
      </c>
      <c r="FC31" s="23">
        <f>'New Formula with HB25-1320'!FC31</f>
        <v>0</v>
      </c>
      <c r="FD31" s="23">
        <f>'New Formula with HB25-1320'!FD31</f>
        <v>0</v>
      </c>
      <c r="FE31" s="23">
        <f>'New Formula with HB25-1320'!FE31</f>
        <v>0</v>
      </c>
      <c r="FF31" s="23">
        <f>'New Formula with HB25-1320'!FF31</f>
        <v>0</v>
      </c>
      <c r="FG31" s="23">
        <f>'New Formula with HB25-1320'!FG31</f>
        <v>0</v>
      </c>
      <c r="FH31" s="23">
        <f>'New Formula with HB25-1320'!FH31</f>
        <v>0</v>
      </c>
      <c r="FI31" s="23">
        <f>'New Formula with HB25-1320'!FI31</f>
        <v>0</v>
      </c>
      <c r="FJ31" s="23">
        <f>'New Formula with HB25-1320'!FJ31</f>
        <v>0</v>
      </c>
      <c r="FK31" s="23">
        <f>'New Formula with HB25-1320'!FK31</f>
        <v>0</v>
      </c>
      <c r="FL31" s="23">
        <f>'New Formula with HB25-1320'!FL31</f>
        <v>0</v>
      </c>
      <c r="FM31" s="23">
        <f>'New Formula with HB25-1320'!FM31</f>
        <v>0</v>
      </c>
      <c r="FN31" s="23">
        <f>'New Formula with HB25-1320'!FN31</f>
        <v>0</v>
      </c>
      <c r="FO31" s="23">
        <f>'New Formula with HB25-1320'!FO31</f>
        <v>0</v>
      </c>
      <c r="FP31" s="23">
        <f>'New Formula with HB25-1320'!FP31</f>
        <v>0</v>
      </c>
      <c r="FQ31" s="23">
        <f>'New Formula with HB25-1320'!FQ31</f>
        <v>0</v>
      </c>
      <c r="FR31" s="23">
        <f>'New Formula with HB25-1320'!FR31</f>
        <v>0</v>
      </c>
      <c r="FS31" s="23">
        <f>'New Formula with HB25-1320'!FS31</f>
        <v>0</v>
      </c>
      <c r="FT31" s="23">
        <f>'New Formula with HB25-1320'!FT31</f>
        <v>0</v>
      </c>
      <c r="FU31" s="23">
        <f>'New Formula with HB25-1320'!FU31</f>
        <v>0</v>
      </c>
      <c r="FV31" s="23">
        <f>'New Formula with HB25-1320'!FV31</f>
        <v>0</v>
      </c>
      <c r="FW31" s="23">
        <f>'New Formula with HB25-1320'!FW31</f>
        <v>0</v>
      </c>
      <c r="FX31" s="23">
        <f>'New Formula with HB25-1320'!FX31</f>
        <v>0</v>
      </c>
      <c r="FY31" s="23"/>
      <c r="FZ31" s="23">
        <f t="shared" si="7"/>
        <v>1547.5</v>
      </c>
      <c r="GA31" s="23"/>
      <c r="GB31" s="23"/>
      <c r="GC31" s="23"/>
      <c r="GD31" s="23"/>
      <c r="GE31" s="7"/>
      <c r="GF31" s="7"/>
      <c r="GG31" s="7"/>
      <c r="GH31" s="7"/>
      <c r="GI31" s="7"/>
      <c r="GJ31" s="7"/>
      <c r="GK31" s="7"/>
    </row>
    <row r="32" spans="1:207" ht="15.5" x14ac:dyDescent="0.35">
      <c r="A32" s="12" t="s">
        <v>755</v>
      </c>
      <c r="B32" s="7" t="s">
        <v>496</v>
      </c>
      <c r="C32" s="37">
        <f>'New Formula with HB25-1320'!C32</f>
        <v>0</v>
      </c>
      <c r="D32" s="23">
        <f>'New Formula with HB25-1320'!D32</f>
        <v>0</v>
      </c>
      <c r="E32" s="23">
        <f>'New Formula with HB25-1320'!E32</f>
        <v>0</v>
      </c>
      <c r="F32" s="23">
        <f>'New Formula with HB25-1320'!F32</f>
        <v>0</v>
      </c>
      <c r="G32" s="23">
        <f>'New Formula with HB25-1320'!G32</f>
        <v>0</v>
      </c>
      <c r="H32" s="23">
        <f>'New Formula with HB25-1320'!H32</f>
        <v>0</v>
      </c>
      <c r="I32" s="23">
        <f>'New Formula with HB25-1320'!I32</f>
        <v>0</v>
      </c>
      <c r="J32" s="23">
        <f>'New Formula with HB25-1320'!J32</f>
        <v>0</v>
      </c>
      <c r="K32" s="23">
        <f>'New Formula with HB25-1320'!K32</f>
        <v>0</v>
      </c>
      <c r="L32" s="23">
        <f>'New Formula with HB25-1320'!L32</f>
        <v>0</v>
      </c>
      <c r="M32" s="23">
        <f>'New Formula with HB25-1320'!M32</f>
        <v>0</v>
      </c>
      <c r="N32" s="23">
        <f>'New Formula with HB25-1320'!N32</f>
        <v>0</v>
      </c>
      <c r="O32" s="23">
        <f>'New Formula with HB25-1320'!O32</f>
        <v>0</v>
      </c>
      <c r="P32" s="23">
        <f>'New Formula with HB25-1320'!P32</f>
        <v>0</v>
      </c>
      <c r="Q32" s="23">
        <f>'New Formula with HB25-1320'!Q32</f>
        <v>0</v>
      </c>
      <c r="R32" s="23">
        <f>'New Formula with HB25-1320'!R32</f>
        <v>0</v>
      </c>
      <c r="S32" s="23">
        <f>'New Formula with HB25-1320'!S32</f>
        <v>0</v>
      </c>
      <c r="T32" s="23">
        <f>'New Formula with HB25-1320'!T32</f>
        <v>0</v>
      </c>
      <c r="U32" s="23">
        <f>'New Formula with HB25-1320'!U32</f>
        <v>0</v>
      </c>
      <c r="V32" s="23">
        <f>'New Formula with HB25-1320'!V32</f>
        <v>0</v>
      </c>
      <c r="W32" s="23">
        <f>'New Formula with HB25-1320'!W32</f>
        <v>0</v>
      </c>
      <c r="X32" s="23">
        <f>'New Formula with HB25-1320'!X32</f>
        <v>0</v>
      </c>
      <c r="Y32" s="23">
        <f>'New Formula with HB25-1320'!Y32</f>
        <v>0</v>
      </c>
      <c r="Z32" s="23">
        <f>'New Formula with HB25-1320'!Z32</f>
        <v>0</v>
      </c>
      <c r="AA32" s="23">
        <f>'New Formula with HB25-1320'!AA32</f>
        <v>0</v>
      </c>
      <c r="AB32" s="23">
        <f>'New Formula with HB25-1320'!AB32</f>
        <v>0</v>
      </c>
      <c r="AC32" s="23">
        <f>'New Formula with HB25-1320'!AC32</f>
        <v>0</v>
      </c>
      <c r="AD32" s="23">
        <f>'New Formula with HB25-1320'!AD32</f>
        <v>0</v>
      </c>
      <c r="AE32" s="23">
        <f>'New Formula with HB25-1320'!AE32</f>
        <v>0</v>
      </c>
      <c r="AF32" s="23">
        <f>'New Formula with HB25-1320'!AF32</f>
        <v>0</v>
      </c>
      <c r="AG32" s="23">
        <f>'New Formula with HB25-1320'!AG32</f>
        <v>0</v>
      </c>
      <c r="AH32" s="23">
        <f>'New Formula with HB25-1320'!AH32</f>
        <v>0</v>
      </c>
      <c r="AI32" s="23">
        <f>'New Formula with HB25-1320'!AI32</f>
        <v>0</v>
      </c>
      <c r="AJ32" s="23">
        <f>'New Formula with HB25-1320'!AJ32</f>
        <v>0</v>
      </c>
      <c r="AK32" s="23">
        <f>'New Formula with HB25-1320'!AK32</f>
        <v>0</v>
      </c>
      <c r="AL32" s="23">
        <f>'New Formula with HB25-1320'!AL32</f>
        <v>0</v>
      </c>
      <c r="AM32" s="23">
        <f>'New Formula with HB25-1320'!AM32</f>
        <v>0</v>
      </c>
      <c r="AN32" s="23">
        <f>'New Formula with HB25-1320'!AN32</f>
        <v>0</v>
      </c>
      <c r="AO32" s="23">
        <f>'New Formula with HB25-1320'!AO32</f>
        <v>0</v>
      </c>
      <c r="AP32" s="23">
        <f>'New Formula with HB25-1320'!AP32</f>
        <v>0</v>
      </c>
      <c r="AQ32" s="23">
        <f>'New Formula with HB25-1320'!AQ32</f>
        <v>0</v>
      </c>
      <c r="AR32" s="23">
        <f>'New Formula with HB25-1320'!AR32</f>
        <v>0</v>
      </c>
      <c r="AS32" s="23">
        <f>'New Formula with HB25-1320'!AS32</f>
        <v>0</v>
      </c>
      <c r="AT32" s="23">
        <f>'New Formula with HB25-1320'!AT32</f>
        <v>0</v>
      </c>
      <c r="AU32" s="23">
        <f>'New Formula with HB25-1320'!AU32</f>
        <v>0</v>
      </c>
      <c r="AV32" s="23">
        <f>'New Formula with HB25-1320'!AV32</f>
        <v>0</v>
      </c>
      <c r="AW32" s="23">
        <f>'New Formula with HB25-1320'!AW32</f>
        <v>0</v>
      </c>
      <c r="AX32" s="23">
        <f>'New Formula with HB25-1320'!AX32</f>
        <v>0</v>
      </c>
      <c r="AY32" s="23">
        <f>'New Formula with HB25-1320'!AY32</f>
        <v>0</v>
      </c>
      <c r="AZ32" s="23">
        <f>'New Formula with HB25-1320'!AZ32</f>
        <v>0</v>
      </c>
      <c r="BA32" s="23">
        <f>'New Formula with HB25-1320'!BA32</f>
        <v>0</v>
      </c>
      <c r="BB32" s="23">
        <f>'New Formula with HB25-1320'!BB32</f>
        <v>0</v>
      </c>
      <c r="BC32" s="23">
        <f>'New Formula with HB25-1320'!BC32</f>
        <v>0</v>
      </c>
      <c r="BD32" s="23">
        <f>'New Formula with HB25-1320'!BD32</f>
        <v>0</v>
      </c>
      <c r="BE32" s="23">
        <f>'New Formula with HB25-1320'!BE32</f>
        <v>0</v>
      </c>
      <c r="BF32" s="23">
        <f>'New Formula with HB25-1320'!BF32</f>
        <v>0</v>
      </c>
      <c r="BG32" s="23">
        <f>'New Formula with HB25-1320'!BG32</f>
        <v>0</v>
      </c>
      <c r="BH32" s="23">
        <f>'New Formula with HB25-1320'!BH32</f>
        <v>0</v>
      </c>
      <c r="BI32" s="23">
        <f>'New Formula with HB25-1320'!BI32</f>
        <v>0</v>
      </c>
      <c r="BJ32" s="23">
        <f>'New Formula with HB25-1320'!BJ32</f>
        <v>0</v>
      </c>
      <c r="BK32" s="23">
        <f>'New Formula with HB25-1320'!BK32</f>
        <v>0</v>
      </c>
      <c r="BL32" s="23">
        <f>'New Formula with HB25-1320'!BL32</f>
        <v>0</v>
      </c>
      <c r="BM32" s="23">
        <f>'New Formula with HB25-1320'!BM32</f>
        <v>0</v>
      </c>
      <c r="BN32" s="23">
        <f>'New Formula with HB25-1320'!BN32</f>
        <v>0</v>
      </c>
      <c r="BO32" s="23">
        <f>'New Formula with HB25-1320'!BO32</f>
        <v>0</v>
      </c>
      <c r="BP32" s="23">
        <f>'New Formula with HB25-1320'!BP32</f>
        <v>0</v>
      </c>
      <c r="BQ32" s="23">
        <f>'New Formula with HB25-1320'!BQ32</f>
        <v>0</v>
      </c>
      <c r="BR32" s="23">
        <f>'New Formula with HB25-1320'!BR32</f>
        <v>0</v>
      </c>
      <c r="BS32" s="23">
        <f>'New Formula with HB25-1320'!BS32</f>
        <v>0</v>
      </c>
      <c r="BT32" s="23">
        <f>'New Formula with HB25-1320'!BT32</f>
        <v>0</v>
      </c>
      <c r="BU32" s="23">
        <f>'New Formula with HB25-1320'!BU32</f>
        <v>0</v>
      </c>
      <c r="BV32" s="23">
        <f>'New Formula with HB25-1320'!BV32</f>
        <v>0</v>
      </c>
      <c r="BW32" s="23">
        <f>'New Formula with HB25-1320'!BW32</f>
        <v>0</v>
      </c>
      <c r="BX32" s="23">
        <f>'New Formula with HB25-1320'!BX32</f>
        <v>0</v>
      </c>
      <c r="BY32" s="23">
        <f>'New Formula with HB25-1320'!BY32</f>
        <v>0</v>
      </c>
      <c r="BZ32" s="23">
        <f>'New Formula with HB25-1320'!BZ32</f>
        <v>0</v>
      </c>
      <c r="CA32" s="23">
        <f>'New Formula with HB25-1320'!CA32</f>
        <v>0</v>
      </c>
      <c r="CB32" s="23">
        <f>'New Formula with HB25-1320'!CB32</f>
        <v>0</v>
      </c>
      <c r="CC32" s="23">
        <f>'New Formula with HB25-1320'!CC32</f>
        <v>0</v>
      </c>
      <c r="CD32" s="23">
        <f>'New Formula with HB25-1320'!CD32</f>
        <v>0</v>
      </c>
      <c r="CE32" s="23">
        <f>'New Formula with HB25-1320'!CE32</f>
        <v>0</v>
      </c>
      <c r="CF32" s="23">
        <f>'New Formula with HB25-1320'!CF32</f>
        <v>0</v>
      </c>
      <c r="CG32" s="23">
        <f>'New Formula with HB25-1320'!CG32</f>
        <v>0</v>
      </c>
      <c r="CH32" s="23">
        <f>'New Formula with HB25-1320'!CH32</f>
        <v>0</v>
      </c>
      <c r="CI32" s="23">
        <f>'New Formula with HB25-1320'!CI32</f>
        <v>0</v>
      </c>
      <c r="CJ32" s="23">
        <f>'New Formula with HB25-1320'!CJ32</f>
        <v>0</v>
      </c>
      <c r="CK32" s="23">
        <f>'New Formula with HB25-1320'!CK32</f>
        <v>0</v>
      </c>
      <c r="CL32" s="23">
        <f>'New Formula with HB25-1320'!CL32</f>
        <v>0</v>
      </c>
      <c r="CM32" s="23">
        <f>'New Formula with HB25-1320'!CM32</f>
        <v>0</v>
      </c>
      <c r="CN32" s="23">
        <f>'New Formula with HB25-1320'!CN32</f>
        <v>0</v>
      </c>
      <c r="CO32" s="23">
        <f>'New Formula with HB25-1320'!CO32</f>
        <v>0</v>
      </c>
      <c r="CP32" s="23">
        <f>'New Formula with HB25-1320'!CP32</f>
        <v>0</v>
      </c>
      <c r="CQ32" s="23">
        <f>'New Formula with HB25-1320'!CQ32</f>
        <v>0</v>
      </c>
      <c r="CR32" s="23">
        <f>'New Formula with HB25-1320'!CR32</f>
        <v>0</v>
      </c>
      <c r="CS32" s="23">
        <f>'New Formula with HB25-1320'!CS32</f>
        <v>0</v>
      </c>
      <c r="CT32" s="23">
        <f>'New Formula with HB25-1320'!CT32</f>
        <v>0</v>
      </c>
      <c r="CU32" s="23">
        <f>'New Formula with HB25-1320'!CU32</f>
        <v>0</v>
      </c>
      <c r="CV32" s="23">
        <f>'New Formula with HB25-1320'!CV32</f>
        <v>0</v>
      </c>
      <c r="CW32" s="23">
        <f>'New Formula with HB25-1320'!CW32</f>
        <v>0</v>
      </c>
      <c r="CX32" s="23">
        <f>'New Formula with HB25-1320'!CX32</f>
        <v>0</v>
      </c>
      <c r="CY32" s="23">
        <f>'New Formula with HB25-1320'!CY32</f>
        <v>0</v>
      </c>
      <c r="CZ32" s="23">
        <f>'New Formula with HB25-1320'!CZ32</f>
        <v>0</v>
      </c>
      <c r="DA32" s="23">
        <f>'New Formula with HB25-1320'!DA32</f>
        <v>0</v>
      </c>
      <c r="DB32" s="23">
        <f>'New Formula with HB25-1320'!DB32</f>
        <v>0</v>
      </c>
      <c r="DC32" s="23">
        <f>'New Formula with HB25-1320'!DC32</f>
        <v>0</v>
      </c>
      <c r="DD32" s="23">
        <f>'New Formula with HB25-1320'!DD32</f>
        <v>0</v>
      </c>
      <c r="DE32" s="23">
        <f>'New Formula with HB25-1320'!DE32</f>
        <v>0</v>
      </c>
      <c r="DF32" s="23">
        <f>'New Formula with HB25-1320'!DF32</f>
        <v>0</v>
      </c>
      <c r="DG32" s="23">
        <f>'New Formula with HB25-1320'!DG32</f>
        <v>0</v>
      </c>
      <c r="DH32" s="23">
        <f>'New Formula with HB25-1320'!DH32</f>
        <v>0</v>
      </c>
      <c r="DI32" s="23">
        <f>'New Formula with HB25-1320'!DI32</f>
        <v>0</v>
      </c>
      <c r="DJ32" s="23">
        <f>'New Formula with HB25-1320'!DJ32</f>
        <v>0</v>
      </c>
      <c r="DK32" s="23">
        <f>'New Formula with HB25-1320'!DK32</f>
        <v>0</v>
      </c>
      <c r="DL32" s="23">
        <f>'New Formula with HB25-1320'!DL32</f>
        <v>0</v>
      </c>
      <c r="DM32" s="23">
        <f>'New Formula with HB25-1320'!DM32</f>
        <v>0</v>
      </c>
      <c r="DN32" s="23">
        <f>'New Formula with HB25-1320'!DN32</f>
        <v>0</v>
      </c>
      <c r="DO32" s="23">
        <f>'New Formula with HB25-1320'!DO32</f>
        <v>0</v>
      </c>
      <c r="DP32" s="23">
        <f>'New Formula with HB25-1320'!DP32</f>
        <v>0</v>
      </c>
      <c r="DQ32" s="23">
        <f>'New Formula with HB25-1320'!DQ32</f>
        <v>0</v>
      </c>
      <c r="DR32" s="23">
        <f>'New Formula with HB25-1320'!DR32</f>
        <v>0</v>
      </c>
      <c r="DS32" s="23">
        <f>'New Formula with HB25-1320'!DS32</f>
        <v>0</v>
      </c>
      <c r="DT32" s="23">
        <f>'New Formula with HB25-1320'!DT32</f>
        <v>0</v>
      </c>
      <c r="DU32" s="23">
        <f>'New Formula with HB25-1320'!DU32</f>
        <v>0</v>
      </c>
      <c r="DV32" s="23">
        <f>'New Formula with HB25-1320'!DV32</f>
        <v>0</v>
      </c>
      <c r="DW32" s="23">
        <f>'New Formula with HB25-1320'!DW32</f>
        <v>0</v>
      </c>
      <c r="DX32" s="23">
        <f>'New Formula with HB25-1320'!DX32</f>
        <v>0</v>
      </c>
      <c r="DY32" s="23">
        <f>'New Formula with HB25-1320'!DY32</f>
        <v>0</v>
      </c>
      <c r="DZ32" s="23">
        <f>'New Formula with HB25-1320'!DZ32</f>
        <v>0</v>
      </c>
      <c r="EA32" s="23">
        <f>'New Formula with HB25-1320'!EA32</f>
        <v>0</v>
      </c>
      <c r="EB32" s="23">
        <f>'New Formula with HB25-1320'!EB32</f>
        <v>0</v>
      </c>
      <c r="EC32" s="23">
        <f>'New Formula with HB25-1320'!EC32</f>
        <v>0</v>
      </c>
      <c r="ED32" s="23">
        <f>'New Formula with HB25-1320'!ED32</f>
        <v>0</v>
      </c>
      <c r="EE32" s="23">
        <f>'New Formula with HB25-1320'!EE32</f>
        <v>0</v>
      </c>
      <c r="EF32" s="23">
        <f>'New Formula with HB25-1320'!EF32</f>
        <v>0</v>
      </c>
      <c r="EG32" s="23">
        <f>'New Formula with HB25-1320'!EG32</f>
        <v>0</v>
      </c>
      <c r="EH32" s="23">
        <f>'New Formula with HB25-1320'!EH32</f>
        <v>0</v>
      </c>
      <c r="EI32" s="23">
        <f>'New Formula with HB25-1320'!EI32</f>
        <v>0</v>
      </c>
      <c r="EJ32" s="23">
        <f>'New Formula with HB25-1320'!EJ32</f>
        <v>0</v>
      </c>
      <c r="EK32" s="23">
        <f>'New Formula with HB25-1320'!EK32</f>
        <v>0</v>
      </c>
      <c r="EL32" s="23">
        <f>'New Formula with HB25-1320'!EL32</f>
        <v>0</v>
      </c>
      <c r="EM32" s="23">
        <f>'New Formula with HB25-1320'!EM32</f>
        <v>0</v>
      </c>
      <c r="EN32" s="23">
        <f>'New Formula with HB25-1320'!EN32</f>
        <v>0</v>
      </c>
      <c r="EO32" s="23">
        <f>'New Formula with HB25-1320'!EO32</f>
        <v>0</v>
      </c>
      <c r="EP32" s="23">
        <f>'New Formula with HB25-1320'!EP32</f>
        <v>0</v>
      </c>
      <c r="EQ32" s="23">
        <f>'New Formula with HB25-1320'!EQ32</f>
        <v>0</v>
      </c>
      <c r="ER32" s="23">
        <f>'New Formula with HB25-1320'!ER32</f>
        <v>0</v>
      </c>
      <c r="ES32" s="23">
        <f>'New Formula with HB25-1320'!ES32</f>
        <v>0</v>
      </c>
      <c r="ET32" s="23">
        <f>'New Formula with HB25-1320'!ET32</f>
        <v>0</v>
      </c>
      <c r="EU32" s="23">
        <f>'New Formula with HB25-1320'!EU32</f>
        <v>0</v>
      </c>
      <c r="EV32" s="23">
        <f>'New Formula with HB25-1320'!EV32</f>
        <v>0</v>
      </c>
      <c r="EW32" s="23">
        <f>'New Formula with HB25-1320'!EW32</f>
        <v>0</v>
      </c>
      <c r="EX32" s="23">
        <f>'New Formula with HB25-1320'!EX32</f>
        <v>0</v>
      </c>
      <c r="EY32" s="23">
        <f>'New Formula with HB25-1320'!EY32</f>
        <v>0</v>
      </c>
      <c r="EZ32" s="23">
        <f>'New Formula with HB25-1320'!EZ32</f>
        <v>0</v>
      </c>
      <c r="FA32" s="23">
        <f>'New Formula with HB25-1320'!FA32</f>
        <v>0</v>
      </c>
      <c r="FB32" s="23">
        <f>'New Formula with HB25-1320'!FB32</f>
        <v>0</v>
      </c>
      <c r="FC32" s="23">
        <f>'New Formula with HB25-1320'!FC32</f>
        <v>0</v>
      </c>
      <c r="FD32" s="23">
        <f>'New Formula with HB25-1320'!FD32</f>
        <v>0</v>
      </c>
      <c r="FE32" s="23">
        <f>'New Formula with HB25-1320'!FE32</f>
        <v>0</v>
      </c>
      <c r="FF32" s="23">
        <f>'New Formula with HB25-1320'!FF32</f>
        <v>0</v>
      </c>
      <c r="FG32" s="23">
        <f>'New Formula with HB25-1320'!FG32</f>
        <v>0</v>
      </c>
      <c r="FH32" s="23">
        <f>'New Formula with HB25-1320'!FH32</f>
        <v>0</v>
      </c>
      <c r="FI32" s="23">
        <f>'New Formula with HB25-1320'!FI32</f>
        <v>0</v>
      </c>
      <c r="FJ32" s="23">
        <f>'New Formula with HB25-1320'!FJ32</f>
        <v>0</v>
      </c>
      <c r="FK32" s="23">
        <f>'New Formula with HB25-1320'!FK32</f>
        <v>0</v>
      </c>
      <c r="FL32" s="23">
        <f>'New Formula with HB25-1320'!FL32</f>
        <v>0</v>
      </c>
      <c r="FM32" s="23">
        <f>'New Formula with HB25-1320'!FM32</f>
        <v>0</v>
      </c>
      <c r="FN32" s="23">
        <f>'New Formula with HB25-1320'!FN32</f>
        <v>0</v>
      </c>
      <c r="FO32" s="23">
        <f>'New Formula with HB25-1320'!FO32</f>
        <v>0</v>
      </c>
      <c r="FP32" s="23">
        <f>'New Formula with HB25-1320'!FP32</f>
        <v>0</v>
      </c>
      <c r="FQ32" s="23">
        <f>'New Formula with HB25-1320'!FQ32</f>
        <v>0</v>
      </c>
      <c r="FR32" s="23">
        <f>'New Formula with HB25-1320'!FR32</f>
        <v>0</v>
      </c>
      <c r="FS32" s="23">
        <f>'New Formula with HB25-1320'!FS32</f>
        <v>0</v>
      </c>
      <c r="FT32" s="23">
        <f>'New Formula with HB25-1320'!FT32</f>
        <v>0</v>
      </c>
      <c r="FU32" s="23">
        <f>'New Formula with HB25-1320'!FU32</f>
        <v>0</v>
      </c>
      <c r="FV32" s="23">
        <f>'New Formula with HB25-1320'!FV32</f>
        <v>0</v>
      </c>
      <c r="FW32" s="23">
        <f>'New Formula with HB25-1320'!FW32</f>
        <v>0</v>
      </c>
      <c r="FX32" s="23">
        <f>'New Formula with HB25-1320'!FX32</f>
        <v>0</v>
      </c>
      <c r="FY32" s="23"/>
      <c r="FZ32" s="23">
        <f t="shared" si="7"/>
        <v>0</v>
      </c>
      <c r="GA32" s="23"/>
      <c r="GB32" s="23"/>
      <c r="GC32" s="23"/>
      <c r="GD32" s="23"/>
      <c r="GE32" s="7"/>
      <c r="GF32" s="7"/>
      <c r="GG32" s="7"/>
      <c r="GH32" s="7"/>
      <c r="GI32" s="7"/>
      <c r="GJ32" s="7"/>
      <c r="GK32" s="7"/>
    </row>
    <row r="33" spans="1:207" ht="15.5" x14ac:dyDescent="0.35">
      <c r="A33" s="12" t="s">
        <v>485</v>
      </c>
      <c r="B33" s="7" t="s">
        <v>498</v>
      </c>
      <c r="C33" s="26">
        <f>'New Formula with HB25-1320'!C33</f>
        <v>0</v>
      </c>
      <c r="D33" s="26">
        <f>'New Formula with HB25-1320'!D33</f>
        <v>0</v>
      </c>
      <c r="E33" s="26">
        <f>'New Formula with HB25-1320'!E33</f>
        <v>0</v>
      </c>
      <c r="F33" s="26">
        <f>'New Formula with HB25-1320'!F33</f>
        <v>0</v>
      </c>
      <c r="G33" s="26">
        <f>'New Formula with HB25-1320'!G33</f>
        <v>0</v>
      </c>
      <c r="H33" s="26">
        <f>'New Formula with HB25-1320'!H33</f>
        <v>0</v>
      </c>
      <c r="I33" s="26">
        <f>'New Formula with HB25-1320'!I33</f>
        <v>0</v>
      </c>
      <c r="J33" s="26">
        <f>'New Formula with HB25-1320'!J33</f>
        <v>0</v>
      </c>
      <c r="K33" s="26">
        <f>'New Formula with HB25-1320'!K33</f>
        <v>0</v>
      </c>
      <c r="L33" s="26">
        <f>'New Formula with HB25-1320'!L33</f>
        <v>0</v>
      </c>
      <c r="M33" s="26">
        <f>'New Formula with HB25-1320'!M33</f>
        <v>0</v>
      </c>
      <c r="N33" s="26">
        <f>'New Formula with HB25-1320'!N33</f>
        <v>0</v>
      </c>
      <c r="O33" s="26">
        <f>'New Formula with HB25-1320'!O33</f>
        <v>0</v>
      </c>
      <c r="P33" s="26">
        <f>'New Formula with HB25-1320'!P33</f>
        <v>0</v>
      </c>
      <c r="Q33" s="26">
        <f>'New Formula with HB25-1320'!Q33</f>
        <v>0</v>
      </c>
      <c r="R33" s="26">
        <f>'New Formula with HB25-1320'!R33</f>
        <v>0</v>
      </c>
      <c r="S33" s="26">
        <f>'New Formula with HB25-1320'!S33</f>
        <v>0</v>
      </c>
      <c r="T33" s="26">
        <f>'New Formula with HB25-1320'!T33</f>
        <v>0</v>
      </c>
      <c r="U33" s="26">
        <f>'New Formula with HB25-1320'!U33</f>
        <v>0</v>
      </c>
      <c r="V33" s="26">
        <f>'New Formula with HB25-1320'!V33</f>
        <v>0</v>
      </c>
      <c r="W33" s="26">
        <f>'New Formula with HB25-1320'!W33</f>
        <v>0</v>
      </c>
      <c r="X33" s="26">
        <f>'New Formula with HB25-1320'!X33</f>
        <v>0</v>
      </c>
      <c r="Y33" s="26">
        <f>'New Formula with HB25-1320'!Y33</f>
        <v>0</v>
      </c>
      <c r="Z33" s="26">
        <f>'New Formula with HB25-1320'!Z33</f>
        <v>0</v>
      </c>
      <c r="AA33" s="26">
        <f>'New Formula with HB25-1320'!AA33</f>
        <v>0</v>
      </c>
      <c r="AB33" s="26">
        <f>'New Formula with HB25-1320'!AB33</f>
        <v>0</v>
      </c>
      <c r="AC33" s="26">
        <f>'New Formula with HB25-1320'!AC33</f>
        <v>0</v>
      </c>
      <c r="AD33" s="26">
        <f>'New Formula with HB25-1320'!AD33</f>
        <v>0</v>
      </c>
      <c r="AE33" s="26">
        <f>'New Formula with HB25-1320'!AE33</f>
        <v>0</v>
      </c>
      <c r="AF33" s="26">
        <f>'New Formula with HB25-1320'!AF33</f>
        <v>0</v>
      </c>
      <c r="AG33" s="26">
        <f>'New Formula with HB25-1320'!AG33</f>
        <v>0</v>
      </c>
      <c r="AH33" s="26">
        <f>'New Formula with HB25-1320'!AH33</f>
        <v>0</v>
      </c>
      <c r="AI33" s="26">
        <f>'New Formula with HB25-1320'!AI33</f>
        <v>0</v>
      </c>
      <c r="AJ33" s="26">
        <f>'New Formula with HB25-1320'!AJ33</f>
        <v>0</v>
      </c>
      <c r="AK33" s="26">
        <f>'New Formula with HB25-1320'!AK33</f>
        <v>0</v>
      </c>
      <c r="AL33" s="26">
        <f>'New Formula with HB25-1320'!AL33</f>
        <v>0</v>
      </c>
      <c r="AM33" s="26">
        <f>'New Formula with HB25-1320'!AM33</f>
        <v>0</v>
      </c>
      <c r="AN33" s="26">
        <f>'New Formula with HB25-1320'!AN33</f>
        <v>0</v>
      </c>
      <c r="AO33" s="26">
        <f>'New Formula with HB25-1320'!AO33</f>
        <v>0</v>
      </c>
      <c r="AP33" s="26">
        <f>'New Formula with HB25-1320'!AP33</f>
        <v>0</v>
      </c>
      <c r="AQ33" s="26">
        <f>'New Formula with HB25-1320'!AQ33</f>
        <v>0</v>
      </c>
      <c r="AR33" s="26">
        <f>'New Formula with HB25-1320'!AR33</f>
        <v>0</v>
      </c>
      <c r="AS33" s="26">
        <f>'New Formula with HB25-1320'!AS33</f>
        <v>0</v>
      </c>
      <c r="AT33" s="26">
        <f>'New Formula with HB25-1320'!AT33</f>
        <v>0</v>
      </c>
      <c r="AU33" s="26">
        <f>'New Formula with HB25-1320'!AU33</f>
        <v>0</v>
      </c>
      <c r="AV33" s="26">
        <f>'New Formula with HB25-1320'!AV33</f>
        <v>0</v>
      </c>
      <c r="AW33" s="26">
        <f>'New Formula with HB25-1320'!AW33</f>
        <v>0</v>
      </c>
      <c r="AX33" s="26">
        <f>'New Formula with HB25-1320'!AX33</f>
        <v>0</v>
      </c>
      <c r="AY33" s="26">
        <f>'New Formula with HB25-1320'!AY33</f>
        <v>0</v>
      </c>
      <c r="AZ33" s="26">
        <f>'New Formula with HB25-1320'!AZ33</f>
        <v>0</v>
      </c>
      <c r="BA33" s="26">
        <f>'New Formula with HB25-1320'!BA33</f>
        <v>0</v>
      </c>
      <c r="BB33" s="26">
        <f>'New Formula with HB25-1320'!BB33</f>
        <v>0</v>
      </c>
      <c r="BC33" s="26">
        <f>'New Formula with HB25-1320'!BC33</f>
        <v>0</v>
      </c>
      <c r="BD33" s="26">
        <f>'New Formula with HB25-1320'!BD33</f>
        <v>0</v>
      </c>
      <c r="BE33" s="26">
        <f>'New Formula with HB25-1320'!BE33</f>
        <v>0</v>
      </c>
      <c r="BF33" s="26">
        <f>'New Formula with HB25-1320'!BF33</f>
        <v>0</v>
      </c>
      <c r="BG33" s="26">
        <f>'New Formula with HB25-1320'!BG33</f>
        <v>0</v>
      </c>
      <c r="BH33" s="26">
        <f>'New Formula with HB25-1320'!BH33</f>
        <v>0</v>
      </c>
      <c r="BI33" s="26">
        <f>'New Formula with HB25-1320'!BI33</f>
        <v>0</v>
      </c>
      <c r="BJ33" s="26">
        <f>'New Formula with HB25-1320'!BJ33</f>
        <v>0</v>
      </c>
      <c r="BK33" s="26">
        <f>'New Formula with HB25-1320'!BK33</f>
        <v>0</v>
      </c>
      <c r="BL33" s="26">
        <f>'New Formula with HB25-1320'!BL33</f>
        <v>0</v>
      </c>
      <c r="BM33" s="26">
        <f>'New Formula with HB25-1320'!BM33</f>
        <v>0</v>
      </c>
      <c r="BN33" s="26">
        <f>'New Formula with HB25-1320'!BN33</f>
        <v>0</v>
      </c>
      <c r="BO33" s="26">
        <f>'New Formula with HB25-1320'!BO33</f>
        <v>0</v>
      </c>
      <c r="BP33" s="26">
        <f>'New Formula with HB25-1320'!BP33</f>
        <v>0</v>
      </c>
      <c r="BQ33" s="26">
        <f>'New Formula with HB25-1320'!BQ33</f>
        <v>0</v>
      </c>
      <c r="BR33" s="26">
        <f>'New Formula with HB25-1320'!BR33</f>
        <v>0</v>
      </c>
      <c r="BS33" s="26">
        <f>'New Formula with HB25-1320'!BS33</f>
        <v>0</v>
      </c>
      <c r="BT33" s="26">
        <f>'New Formula with HB25-1320'!BT33</f>
        <v>0</v>
      </c>
      <c r="BU33" s="26">
        <f>'New Formula with HB25-1320'!BU33</f>
        <v>0</v>
      </c>
      <c r="BV33" s="26">
        <f>'New Formula with HB25-1320'!BV33</f>
        <v>0</v>
      </c>
      <c r="BW33" s="26">
        <f>'New Formula with HB25-1320'!BW33</f>
        <v>0</v>
      </c>
      <c r="BX33" s="26">
        <f>'New Formula with HB25-1320'!BX33</f>
        <v>0</v>
      </c>
      <c r="BY33" s="26">
        <f>'New Formula with HB25-1320'!BY33</f>
        <v>0</v>
      </c>
      <c r="BZ33" s="26">
        <f>'New Formula with HB25-1320'!BZ33</f>
        <v>0</v>
      </c>
      <c r="CA33" s="26">
        <f>'New Formula with HB25-1320'!CA33</f>
        <v>0</v>
      </c>
      <c r="CB33" s="26">
        <f>'New Formula with HB25-1320'!CB33</f>
        <v>0</v>
      </c>
      <c r="CC33" s="26">
        <f>'New Formula with HB25-1320'!CC33</f>
        <v>0</v>
      </c>
      <c r="CD33" s="26">
        <f>'New Formula with HB25-1320'!CD33</f>
        <v>0</v>
      </c>
      <c r="CE33" s="26">
        <f>'New Formula with HB25-1320'!CE33</f>
        <v>0</v>
      </c>
      <c r="CF33" s="26">
        <f>'New Formula with HB25-1320'!CF33</f>
        <v>0</v>
      </c>
      <c r="CG33" s="26">
        <f>'New Formula with HB25-1320'!CG33</f>
        <v>0</v>
      </c>
      <c r="CH33" s="26">
        <f>'New Formula with HB25-1320'!CH33</f>
        <v>0</v>
      </c>
      <c r="CI33" s="26">
        <f>'New Formula with HB25-1320'!CI33</f>
        <v>0</v>
      </c>
      <c r="CJ33" s="26">
        <f>'New Formula with HB25-1320'!CJ33</f>
        <v>0</v>
      </c>
      <c r="CK33" s="26">
        <f>'New Formula with HB25-1320'!CK33</f>
        <v>0</v>
      </c>
      <c r="CL33" s="26">
        <f>'New Formula with HB25-1320'!CL33</f>
        <v>0</v>
      </c>
      <c r="CM33" s="26">
        <f>'New Formula with HB25-1320'!CM33</f>
        <v>0</v>
      </c>
      <c r="CN33" s="26">
        <f>'New Formula with HB25-1320'!CN33</f>
        <v>408</v>
      </c>
      <c r="CO33" s="26">
        <f>'New Formula with HB25-1320'!CO33</f>
        <v>0</v>
      </c>
      <c r="CP33" s="26">
        <f>'New Formula with HB25-1320'!CP33</f>
        <v>0</v>
      </c>
      <c r="CQ33" s="26">
        <f>'New Formula with HB25-1320'!CQ33</f>
        <v>0</v>
      </c>
      <c r="CR33" s="26">
        <f>'New Formula with HB25-1320'!CR33</f>
        <v>0</v>
      </c>
      <c r="CS33" s="26">
        <f>'New Formula with HB25-1320'!CS33</f>
        <v>0</v>
      </c>
      <c r="CT33" s="26">
        <f>'New Formula with HB25-1320'!CT33</f>
        <v>0</v>
      </c>
      <c r="CU33" s="26">
        <f>'New Formula with HB25-1320'!CU33</f>
        <v>0</v>
      </c>
      <c r="CV33" s="26">
        <f>'New Formula with HB25-1320'!CV33</f>
        <v>0</v>
      </c>
      <c r="CW33" s="26">
        <f>'New Formula with HB25-1320'!CW33</f>
        <v>0</v>
      </c>
      <c r="CX33" s="26">
        <f>'New Formula with HB25-1320'!CX33</f>
        <v>0</v>
      </c>
      <c r="CY33" s="26">
        <f>'New Formula with HB25-1320'!CY33</f>
        <v>0</v>
      </c>
      <c r="CZ33" s="26">
        <f>'New Formula with HB25-1320'!CZ33</f>
        <v>0</v>
      </c>
      <c r="DA33" s="26">
        <f>'New Formula with HB25-1320'!DA33</f>
        <v>0</v>
      </c>
      <c r="DB33" s="26">
        <f>'New Formula with HB25-1320'!DB33</f>
        <v>0</v>
      </c>
      <c r="DC33" s="26">
        <f>'New Formula with HB25-1320'!DC33</f>
        <v>0</v>
      </c>
      <c r="DD33" s="26">
        <f>'New Formula with HB25-1320'!DD33</f>
        <v>0</v>
      </c>
      <c r="DE33" s="26">
        <f>'New Formula with HB25-1320'!DE33</f>
        <v>0</v>
      </c>
      <c r="DF33" s="26">
        <f>'New Formula with HB25-1320'!DF33</f>
        <v>0</v>
      </c>
      <c r="DG33" s="26">
        <f>'New Formula with HB25-1320'!DG33</f>
        <v>0</v>
      </c>
      <c r="DH33" s="26">
        <f>'New Formula with HB25-1320'!DH33</f>
        <v>0</v>
      </c>
      <c r="DI33" s="26">
        <f>'New Formula with HB25-1320'!DI33</f>
        <v>0</v>
      </c>
      <c r="DJ33" s="26">
        <f>'New Formula with HB25-1320'!DJ33</f>
        <v>0</v>
      </c>
      <c r="DK33" s="26">
        <f>'New Formula with HB25-1320'!DK33</f>
        <v>0</v>
      </c>
      <c r="DL33" s="26">
        <f>'New Formula with HB25-1320'!DL33</f>
        <v>0</v>
      </c>
      <c r="DM33" s="26">
        <f>'New Formula with HB25-1320'!DM33</f>
        <v>0</v>
      </c>
      <c r="DN33" s="26">
        <f>'New Formula with HB25-1320'!DN33</f>
        <v>0</v>
      </c>
      <c r="DO33" s="26">
        <f>'New Formula with HB25-1320'!DO33</f>
        <v>0</v>
      </c>
      <c r="DP33" s="26">
        <f>'New Formula with HB25-1320'!DP33</f>
        <v>0</v>
      </c>
      <c r="DQ33" s="26">
        <f>'New Formula with HB25-1320'!DQ33</f>
        <v>0</v>
      </c>
      <c r="DR33" s="26">
        <f>'New Formula with HB25-1320'!DR33</f>
        <v>0</v>
      </c>
      <c r="DS33" s="26">
        <f>'New Formula with HB25-1320'!DS33</f>
        <v>0</v>
      </c>
      <c r="DT33" s="26">
        <f>'New Formula with HB25-1320'!DT33</f>
        <v>0</v>
      </c>
      <c r="DU33" s="26">
        <f>'New Formula with HB25-1320'!DU33</f>
        <v>0</v>
      </c>
      <c r="DV33" s="26">
        <f>'New Formula with HB25-1320'!DV33</f>
        <v>0</v>
      </c>
      <c r="DW33" s="26">
        <f>'New Formula with HB25-1320'!DW33</f>
        <v>0</v>
      </c>
      <c r="DX33" s="26">
        <f>'New Formula with HB25-1320'!DX33</f>
        <v>0</v>
      </c>
      <c r="DY33" s="26">
        <f>'New Formula with HB25-1320'!DY33</f>
        <v>0</v>
      </c>
      <c r="DZ33" s="26">
        <f>'New Formula with HB25-1320'!DZ33</f>
        <v>0</v>
      </c>
      <c r="EA33" s="26">
        <f>'New Formula with HB25-1320'!EA33</f>
        <v>0</v>
      </c>
      <c r="EB33" s="26">
        <f>'New Formula with HB25-1320'!EB33</f>
        <v>0</v>
      </c>
      <c r="EC33" s="26">
        <f>'New Formula with HB25-1320'!EC33</f>
        <v>0</v>
      </c>
      <c r="ED33" s="26">
        <f>'New Formula with HB25-1320'!ED33</f>
        <v>0</v>
      </c>
      <c r="EE33" s="26">
        <f>'New Formula with HB25-1320'!EE33</f>
        <v>0</v>
      </c>
      <c r="EF33" s="26">
        <f>'New Formula with HB25-1320'!EF33</f>
        <v>0</v>
      </c>
      <c r="EG33" s="26">
        <f>'New Formula with HB25-1320'!EG33</f>
        <v>0</v>
      </c>
      <c r="EH33" s="26">
        <f>'New Formula with HB25-1320'!EH33</f>
        <v>0</v>
      </c>
      <c r="EI33" s="26">
        <f>'New Formula with HB25-1320'!EI33</f>
        <v>0</v>
      </c>
      <c r="EJ33" s="26">
        <f>'New Formula with HB25-1320'!EJ33</f>
        <v>0</v>
      </c>
      <c r="EK33" s="26">
        <f>'New Formula with HB25-1320'!EK33</f>
        <v>0</v>
      </c>
      <c r="EL33" s="26">
        <f>'New Formula with HB25-1320'!EL33</f>
        <v>0</v>
      </c>
      <c r="EM33" s="26">
        <f>'New Formula with HB25-1320'!EM33</f>
        <v>0</v>
      </c>
      <c r="EN33" s="26">
        <f>'New Formula with HB25-1320'!EN33</f>
        <v>0</v>
      </c>
      <c r="EO33" s="26">
        <f>'New Formula with HB25-1320'!EO33</f>
        <v>0</v>
      </c>
      <c r="EP33" s="26">
        <f>'New Formula with HB25-1320'!EP33</f>
        <v>0</v>
      </c>
      <c r="EQ33" s="26">
        <f>'New Formula with HB25-1320'!EQ33</f>
        <v>0</v>
      </c>
      <c r="ER33" s="26">
        <f>'New Formula with HB25-1320'!ER33</f>
        <v>0</v>
      </c>
      <c r="ES33" s="26">
        <f>'New Formula with HB25-1320'!ES33</f>
        <v>0</v>
      </c>
      <c r="ET33" s="26">
        <f>'New Formula with HB25-1320'!ET33</f>
        <v>0</v>
      </c>
      <c r="EU33" s="26">
        <f>'New Formula with HB25-1320'!EU33</f>
        <v>0</v>
      </c>
      <c r="EV33" s="26">
        <f>'New Formula with HB25-1320'!EV33</f>
        <v>0</v>
      </c>
      <c r="EW33" s="26">
        <f>'New Formula with HB25-1320'!EW33</f>
        <v>0</v>
      </c>
      <c r="EX33" s="26">
        <f>'New Formula with HB25-1320'!EX33</f>
        <v>0</v>
      </c>
      <c r="EY33" s="26">
        <f>'New Formula with HB25-1320'!EY33</f>
        <v>0</v>
      </c>
      <c r="EZ33" s="26">
        <f>'New Formula with HB25-1320'!EZ33</f>
        <v>0</v>
      </c>
      <c r="FA33" s="26">
        <f>'New Formula with HB25-1320'!FA33</f>
        <v>0</v>
      </c>
      <c r="FB33" s="26">
        <f>'New Formula with HB25-1320'!FB33</f>
        <v>0</v>
      </c>
      <c r="FC33" s="26">
        <f>'New Formula with HB25-1320'!FC33</f>
        <v>0</v>
      </c>
      <c r="FD33" s="26">
        <f>'New Formula with HB25-1320'!FD33</f>
        <v>0</v>
      </c>
      <c r="FE33" s="26">
        <f>'New Formula with HB25-1320'!FE33</f>
        <v>0</v>
      </c>
      <c r="FF33" s="26">
        <f>'New Formula with HB25-1320'!FF33</f>
        <v>0</v>
      </c>
      <c r="FG33" s="26">
        <f>'New Formula with HB25-1320'!FG33</f>
        <v>0</v>
      </c>
      <c r="FH33" s="26">
        <f>'New Formula with HB25-1320'!FH33</f>
        <v>0</v>
      </c>
      <c r="FI33" s="26">
        <f>'New Formula with HB25-1320'!FI33</f>
        <v>0</v>
      </c>
      <c r="FJ33" s="26">
        <f>'New Formula with HB25-1320'!FJ33</f>
        <v>0</v>
      </c>
      <c r="FK33" s="26">
        <f>'New Formula with HB25-1320'!FK33</f>
        <v>0</v>
      </c>
      <c r="FL33" s="26">
        <f>'New Formula with HB25-1320'!FL33</f>
        <v>0</v>
      </c>
      <c r="FM33" s="26">
        <f>'New Formula with HB25-1320'!FM33</f>
        <v>0</v>
      </c>
      <c r="FN33" s="26">
        <f>'New Formula with HB25-1320'!FN33</f>
        <v>0</v>
      </c>
      <c r="FO33" s="26">
        <f>'New Formula with HB25-1320'!FO33</f>
        <v>0</v>
      </c>
      <c r="FP33" s="26">
        <f>'New Formula with HB25-1320'!FP33</f>
        <v>0</v>
      </c>
      <c r="FQ33" s="26">
        <f>'New Formula with HB25-1320'!FQ33</f>
        <v>0</v>
      </c>
      <c r="FR33" s="26">
        <f>'New Formula with HB25-1320'!FR33</f>
        <v>0</v>
      </c>
      <c r="FS33" s="26">
        <f>'New Formula with HB25-1320'!FS33</f>
        <v>0</v>
      </c>
      <c r="FT33" s="26">
        <f>'New Formula with HB25-1320'!FT33</f>
        <v>0</v>
      </c>
      <c r="FU33" s="26">
        <f>'New Formula with HB25-1320'!FU33</f>
        <v>0</v>
      </c>
      <c r="FV33" s="26">
        <f>'New Formula with HB25-1320'!FV33</f>
        <v>0</v>
      </c>
      <c r="FW33" s="26">
        <f>'New Formula with HB25-1320'!FW33</f>
        <v>0</v>
      </c>
      <c r="FX33" s="26">
        <f>'New Formula with HB25-1320'!FX33</f>
        <v>0</v>
      </c>
      <c r="FY33" s="26">
        <v>0</v>
      </c>
      <c r="FZ33" s="23">
        <f t="shared" si="7"/>
        <v>408</v>
      </c>
      <c r="GA33" s="26"/>
      <c r="GB33" s="23"/>
      <c r="GC33" s="23"/>
      <c r="GD33" s="23"/>
      <c r="GE33" s="7"/>
      <c r="GF33" s="7"/>
      <c r="GG33" s="7"/>
      <c r="GH33" s="7"/>
      <c r="GI33" s="7"/>
      <c r="GJ33" s="7"/>
      <c r="GK33" s="7"/>
    </row>
    <row r="34" spans="1:207" ht="15.5" x14ac:dyDescent="0.35">
      <c r="A34" s="12" t="s">
        <v>756</v>
      </c>
      <c r="B34" s="7" t="s">
        <v>757</v>
      </c>
      <c r="C34" s="26">
        <f>'New Formula with HB25-1320'!C34</f>
        <v>0</v>
      </c>
      <c r="D34" s="26">
        <f>'New Formula with HB25-1320'!D34</f>
        <v>0</v>
      </c>
      <c r="E34" s="26">
        <f>'New Formula with HB25-1320'!E34</f>
        <v>0</v>
      </c>
      <c r="F34" s="26">
        <f>'New Formula with HB25-1320'!F34</f>
        <v>0</v>
      </c>
      <c r="G34" s="26">
        <f>'New Formula with HB25-1320'!G34</f>
        <v>0</v>
      </c>
      <c r="H34" s="26">
        <f>'New Formula with HB25-1320'!H34</f>
        <v>0</v>
      </c>
      <c r="I34" s="26">
        <f>'New Formula with HB25-1320'!I34</f>
        <v>0</v>
      </c>
      <c r="J34" s="26">
        <f>'New Formula with HB25-1320'!J34</f>
        <v>0</v>
      </c>
      <c r="K34" s="26">
        <f>'New Formula with HB25-1320'!K34</f>
        <v>0</v>
      </c>
      <c r="L34" s="26">
        <f>'New Formula with HB25-1320'!L34</f>
        <v>0</v>
      </c>
      <c r="M34" s="26">
        <f>'New Formula with HB25-1320'!M34</f>
        <v>0</v>
      </c>
      <c r="N34" s="26">
        <f>'New Formula with HB25-1320'!N34</f>
        <v>0</v>
      </c>
      <c r="O34" s="26">
        <f>'New Formula with HB25-1320'!O34</f>
        <v>0</v>
      </c>
      <c r="P34" s="26">
        <f>'New Formula with HB25-1320'!P34</f>
        <v>0</v>
      </c>
      <c r="Q34" s="26">
        <f>'New Formula with HB25-1320'!Q34</f>
        <v>1</v>
      </c>
      <c r="R34" s="26">
        <f>'New Formula with HB25-1320'!R34</f>
        <v>0</v>
      </c>
      <c r="S34" s="26">
        <f>'New Formula with HB25-1320'!S34</f>
        <v>0</v>
      </c>
      <c r="T34" s="26">
        <f>'New Formula with HB25-1320'!T34</f>
        <v>0</v>
      </c>
      <c r="U34" s="26">
        <f>'New Formula with HB25-1320'!U34</f>
        <v>0</v>
      </c>
      <c r="V34" s="26">
        <f>'New Formula with HB25-1320'!V34</f>
        <v>0</v>
      </c>
      <c r="W34" s="26">
        <f>'New Formula with HB25-1320'!W34</f>
        <v>0</v>
      </c>
      <c r="X34" s="26">
        <f>'New Formula with HB25-1320'!X34</f>
        <v>0</v>
      </c>
      <c r="Y34" s="26">
        <f>'New Formula with HB25-1320'!Y34</f>
        <v>0</v>
      </c>
      <c r="Z34" s="26">
        <f>'New Formula with HB25-1320'!Z34</f>
        <v>0</v>
      </c>
      <c r="AA34" s="26">
        <f>'New Formula with HB25-1320'!AA34</f>
        <v>0</v>
      </c>
      <c r="AB34" s="26">
        <f>'New Formula with HB25-1320'!AB34</f>
        <v>0</v>
      </c>
      <c r="AC34" s="26">
        <f>'New Formula with HB25-1320'!AC34</f>
        <v>0</v>
      </c>
      <c r="AD34" s="26">
        <f>'New Formula with HB25-1320'!AD34</f>
        <v>0</v>
      </c>
      <c r="AE34" s="26">
        <f>'New Formula with HB25-1320'!AE34</f>
        <v>0</v>
      </c>
      <c r="AF34" s="26">
        <f>'New Formula with HB25-1320'!AF34</f>
        <v>0</v>
      </c>
      <c r="AG34" s="26">
        <f>'New Formula with HB25-1320'!AG34</f>
        <v>0</v>
      </c>
      <c r="AH34" s="26">
        <f>'New Formula with HB25-1320'!AH34</f>
        <v>0</v>
      </c>
      <c r="AI34" s="26">
        <f>'New Formula with HB25-1320'!AI34</f>
        <v>0</v>
      </c>
      <c r="AJ34" s="26">
        <f>'New Formula with HB25-1320'!AJ34</f>
        <v>0</v>
      </c>
      <c r="AK34" s="26">
        <f>'New Formula with HB25-1320'!AK34</f>
        <v>0</v>
      </c>
      <c r="AL34" s="26">
        <f>'New Formula with HB25-1320'!AL34</f>
        <v>0</v>
      </c>
      <c r="AM34" s="26">
        <f>'New Formula with HB25-1320'!AM34</f>
        <v>0</v>
      </c>
      <c r="AN34" s="26">
        <f>'New Formula with HB25-1320'!AN34</f>
        <v>0</v>
      </c>
      <c r="AO34" s="26">
        <f>'New Formula with HB25-1320'!AO34</f>
        <v>0</v>
      </c>
      <c r="AP34" s="26">
        <f>'New Formula with HB25-1320'!AP34</f>
        <v>0</v>
      </c>
      <c r="AQ34" s="26">
        <f>'New Formula with HB25-1320'!AQ34</f>
        <v>0</v>
      </c>
      <c r="AR34" s="26">
        <f>'New Formula with HB25-1320'!AR34</f>
        <v>0</v>
      </c>
      <c r="AS34" s="26">
        <f>'New Formula with HB25-1320'!AS34</f>
        <v>0</v>
      </c>
      <c r="AT34" s="26">
        <f>'New Formula with HB25-1320'!AT34</f>
        <v>0</v>
      </c>
      <c r="AU34" s="26">
        <f>'New Formula with HB25-1320'!AU34</f>
        <v>0</v>
      </c>
      <c r="AV34" s="26">
        <f>'New Formula with HB25-1320'!AV34</f>
        <v>0</v>
      </c>
      <c r="AW34" s="26">
        <f>'New Formula with HB25-1320'!AW34</f>
        <v>0</v>
      </c>
      <c r="AX34" s="26">
        <f>'New Formula with HB25-1320'!AX34</f>
        <v>0</v>
      </c>
      <c r="AY34" s="26">
        <f>'New Formula with HB25-1320'!AY34</f>
        <v>0</v>
      </c>
      <c r="AZ34" s="26">
        <f>'New Formula with HB25-1320'!AZ34</f>
        <v>0</v>
      </c>
      <c r="BA34" s="26">
        <f>'New Formula with HB25-1320'!BA34</f>
        <v>0</v>
      </c>
      <c r="BB34" s="26">
        <f>'New Formula with HB25-1320'!BB34</f>
        <v>0</v>
      </c>
      <c r="BC34" s="26">
        <f>'New Formula with HB25-1320'!BC34</f>
        <v>0</v>
      </c>
      <c r="BD34" s="26">
        <f>'New Formula with HB25-1320'!BD34</f>
        <v>0</v>
      </c>
      <c r="BE34" s="26">
        <f>'New Formula with HB25-1320'!BE34</f>
        <v>0</v>
      </c>
      <c r="BF34" s="26">
        <f>'New Formula with HB25-1320'!BF34</f>
        <v>0</v>
      </c>
      <c r="BG34" s="26">
        <f>'New Formula with HB25-1320'!BG34</f>
        <v>0</v>
      </c>
      <c r="BH34" s="26">
        <f>'New Formula with HB25-1320'!BH34</f>
        <v>0</v>
      </c>
      <c r="BI34" s="26">
        <f>'New Formula with HB25-1320'!BI34</f>
        <v>0</v>
      </c>
      <c r="BJ34" s="26">
        <f>'New Formula with HB25-1320'!BJ34</f>
        <v>0</v>
      </c>
      <c r="BK34" s="26">
        <f>'New Formula with HB25-1320'!BK34</f>
        <v>0</v>
      </c>
      <c r="BL34" s="26">
        <f>'New Formula with HB25-1320'!BL34</f>
        <v>0</v>
      </c>
      <c r="BM34" s="26">
        <f>'New Formula with HB25-1320'!BM34</f>
        <v>0</v>
      </c>
      <c r="BN34" s="26">
        <f>'New Formula with HB25-1320'!BN34</f>
        <v>0</v>
      </c>
      <c r="BO34" s="26">
        <f>'New Formula with HB25-1320'!BO34</f>
        <v>0</v>
      </c>
      <c r="BP34" s="26">
        <f>'New Formula with HB25-1320'!BP34</f>
        <v>0</v>
      </c>
      <c r="BQ34" s="26">
        <f>'New Formula with HB25-1320'!BQ34</f>
        <v>0</v>
      </c>
      <c r="BR34" s="26">
        <f>'New Formula with HB25-1320'!BR34</f>
        <v>0</v>
      </c>
      <c r="BS34" s="26">
        <f>'New Formula with HB25-1320'!BS34</f>
        <v>0</v>
      </c>
      <c r="BT34" s="26">
        <f>'New Formula with HB25-1320'!BT34</f>
        <v>0</v>
      </c>
      <c r="BU34" s="26">
        <f>'New Formula with HB25-1320'!BU34</f>
        <v>0</v>
      </c>
      <c r="BV34" s="26">
        <f>'New Formula with HB25-1320'!BV34</f>
        <v>0</v>
      </c>
      <c r="BW34" s="26">
        <f>'New Formula with HB25-1320'!BW34</f>
        <v>0</v>
      </c>
      <c r="BX34" s="26">
        <f>'New Formula with HB25-1320'!BX34</f>
        <v>0</v>
      </c>
      <c r="BY34" s="26">
        <f>'New Formula with HB25-1320'!BY34</f>
        <v>0</v>
      </c>
      <c r="BZ34" s="26">
        <f>'New Formula with HB25-1320'!BZ34</f>
        <v>0</v>
      </c>
      <c r="CA34" s="26">
        <f>'New Formula with HB25-1320'!CA34</f>
        <v>0</v>
      </c>
      <c r="CB34" s="26">
        <f>'New Formula with HB25-1320'!CB34</f>
        <v>0</v>
      </c>
      <c r="CC34" s="26">
        <f>'New Formula with HB25-1320'!CC34</f>
        <v>0</v>
      </c>
      <c r="CD34" s="26">
        <f>'New Formula with HB25-1320'!CD34</f>
        <v>0</v>
      </c>
      <c r="CE34" s="26">
        <f>'New Formula with HB25-1320'!CE34</f>
        <v>0</v>
      </c>
      <c r="CF34" s="26">
        <f>'New Formula with HB25-1320'!CF34</f>
        <v>0</v>
      </c>
      <c r="CG34" s="26">
        <f>'New Formula with HB25-1320'!CG34</f>
        <v>0</v>
      </c>
      <c r="CH34" s="26">
        <f>'New Formula with HB25-1320'!CH34</f>
        <v>0</v>
      </c>
      <c r="CI34" s="26">
        <f>'New Formula with HB25-1320'!CI34</f>
        <v>0</v>
      </c>
      <c r="CJ34" s="26">
        <f>'New Formula with HB25-1320'!CJ34</f>
        <v>0</v>
      </c>
      <c r="CK34" s="26">
        <f>'New Formula with HB25-1320'!CK34</f>
        <v>0</v>
      </c>
      <c r="CL34" s="26">
        <f>'New Formula with HB25-1320'!CL34</f>
        <v>0</v>
      </c>
      <c r="CM34" s="26">
        <f>'New Formula with HB25-1320'!CM34</f>
        <v>0</v>
      </c>
      <c r="CN34" s="26">
        <f>'New Formula with HB25-1320'!CN34</f>
        <v>0</v>
      </c>
      <c r="CO34" s="26">
        <f>'New Formula with HB25-1320'!CO34</f>
        <v>0</v>
      </c>
      <c r="CP34" s="26">
        <f>'New Formula with HB25-1320'!CP34</f>
        <v>0</v>
      </c>
      <c r="CQ34" s="26">
        <f>'New Formula with HB25-1320'!CQ34</f>
        <v>0</v>
      </c>
      <c r="CR34" s="26">
        <f>'New Formula with HB25-1320'!CR34</f>
        <v>0</v>
      </c>
      <c r="CS34" s="26">
        <f>'New Formula with HB25-1320'!CS34</f>
        <v>0</v>
      </c>
      <c r="CT34" s="26">
        <f>'New Formula with HB25-1320'!CT34</f>
        <v>0</v>
      </c>
      <c r="CU34" s="26">
        <f>'New Formula with HB25-1320'!CU34</f>
        <v>0</v>
      </c>
      <c r="CV34" s="26">
        <f>'New Formula with HB25-1320'!CV34</f>
        <v>0</v>
      </c>
      <c r="CW34" s="26">
        <f>'New Formula with HB25-1320'!CW34</f>
        <v>0</v>
      </c>
      <c r="CX34" s="26">
        <f>'New Formula with HB25-1320'!CX34</f>
        <v>0</v>
      </c>
      <c r="CY34" s="26">
        <f>'New Formula with HB25-1320'!CY34</f>
        <v>0</v>
      </c>
      <c r="CZ34" s="26">
        <f>'New Formula with HB25-1320'!CZ34</f>
        <v>0</v>
      </c>
      <c r="DA34" s="26">
        <f>'New Formula with HB25-1320'!DA34</f>
        <v>0</v>
      </c>
      <c r="DB34" s="26">
        <f>'New Formula with HB25-1320'!DB34</f>
        <v>0</v>
      </c>
      <c r="DC34" s="26">
        <f>'New Formula with HB25-1320'!DC34</f>
        <v>0</v>
      </c>
      <c r="DD34" s="26">
        <f>'New Formula with HB25-1320'!DD34</f>
        <v>0</v>
      </c>
      <c r="DE34" s="26">
        <f>'New Formula with HB25-1320'!DE34</f>
        <v>0</v>
      </c>
      <c r="DF34" s="26">
        <f>'New Formula with HB25-1320'!DF34</f>
        <v>0</v>
      </c>
      <c r="DG34" s="26">
        <f>'New Formula with HB25-1320'!DG34</f>
        <v>0</v>
      </c>
      <c r="DH34" s="26">
        <f>'New Formula with HB25-1320'!DH34</f>
        <v>0</v>
      </c>
      <c r="DI34" s="26">
        <f>'New Formula with HB25-1320'!DI34</f>
        <v>0</v>
      </c>
      <c r="DJ34" s="26">
        <f>'New Formula with HB25-1320'!DJ34</f>
        <v>0</v>
      </c>
      <c r="DK34" s="26">
        <f>'New Formula with HB25-1320'!DK34</f>
        <v>0</v>
      </c>
      <c r="DL34" s="26">
        <f>'New Formula with HB25-1320'!DL34</f>
        <v>0</v>
      </c>
      <c r="DM34" s="26">
        <f>'New Formula with HB25-1320'!DM34</f>
        <v>0</v>
      </c>
      <c r="DN34" s="26">
        <f>'New Formula with HB25-1320'!DN34</f>
        <v>0</v>
      </c>
      <c r="DO34" s="26">
        <f>'New Formula with HB25-1320'!DO34</f>
        <v>0</v>
      </c>
      <c r="DP34" s="26">
        <f>'New Formula with HB25-1320'!DP34</f>
        <v>0</v>
      </c>
      <c r="DQ34" s="26">
        <f>'New Formula with HB25-1320'!DQ34</f>
        <v>0</v>
      </c>
      <c r="DR34" s="26">
        <f>'New Formula with HB25-1320'!DR34</f>
        <v>0</v>
      </c>
      <c r="DS34" s="26">
        <f>'New Formula with HB25-1320'!DS34</f>
        <v>0</v>
      </c>
      <c r="DT34" s="26">
        <f>'New Formula with HB25-1320'!DT34</f>
        <v>0</v>
      </c>
      <c r="DU34" s="26">
        <f>'New Formula with HB25-1320'!DU34</f>
        <v>0</v>
      </c>
      <c r="DV34" s="26">
        <f>'New Formula with HB25-1320'!DV34</f>
        <v>0</v>
      </c>
      <c r="DW34" s="26">
        <f>'New Formula with HB25-1320'!DW34</f>
        <v>0</v>
      </c>
      <c r="DX34" s="26">
        <f>'New Formula with HB25-1320'!DX34</f>
        <v>0</v>
      </c>
      <c r="DY34" s="26">
        <f>'New Formula with HB25-1320'!DY34</f>
        <v>0</v>
      </c>
      <c r="DZ34" s="26">
        <f>'New Formula with HB25-1320'!DZ34</f>
        <v>0</v>
      </c>
      <c r="EA34" s="26">
        <f>'New Formula with HB25-1320'!EA34</f>
        <v>0</v>
      </c>
      <c r="EB34" s="26">
        <f>'New Formula with HB25-1320'!EB34</f>
        <v>0</v>
      </c>
      <c r="EC34" s="26">
        <f>'New Formula with HB25-1320'!EC34</f>
        <v>0</v>
      </c>
      <c r="ED34" s="26">
        <f>'New Formula with HB25-1320'!ED34</f>
        <v>0</v>
      </c>
      <c r="EE34" s="26">
        <f>'New Formula with HB25-1320'!EE34</f>
        <v>0</v>
      </c>
      <c r="EF34" s="26">
        <f>'New Formula with HB25-1320'!EF34</f>
        <v>0</v>
      </c>
      <c r="EG34" s="26">
        <f>'New Formula with HB25-1320'!EG34</f>
        <v>0</v>
      </c>
      <c r="EH34" s="26">
        <f>'New Formula with HB25-1320'!EH34</f>
        <v>0</v>
      </c>
      <c r="EI34" s="26">
        <f>'New Formula with HB25-1320'!EI34</f>
        <v>0</v>
      </c>
      <c r="EJ34" s="26">
        <f>'New Formula with HB25-1320'!EJ34</f>
        <v>0</v>
      </c>
      <c r="EK34" s="26">
        <f>'New Formula with HB25-1320'!EK34</f>
        <v>0</v>
      </c>
      <c r="EL34" s="26">
        <f>'New Formula with HB25-1320'!EL34</f>
        <v>0</v>
      </c>
      <c r="EM34" s="26">
        <f>'New Formula with HB25-1320'!EM34</f>
        <v>0</v>
      </c>
      <c r="EN34" s="26">
        <f>'New Formula with HB25-1320'!EN34</f>
        <v>0</v>
      </c>
      <c r="EO34" s="26">
        <f>'New Formula with HB25-1320'!EO34</f>
        <v>0</v>
      </c>
      <c r="EP34" s="26">
        <f>'New Formula with HB25-1320'!EP34</f>
        <v>0</v>
      </c>
      <c r="EQ34" s="26">
        <f>'New Formula with HB25-1320'!EQ34</f>
        <v>0</v>
      </c>
      <c r="ER34" s="26">
        <f>'New Formula with HB25-1320'!ER34</f>
        <v>0</v>
      </c>
      <c r="ES34" s="26">
        <f>'New Formula with HB25-1320'!ES34</f>
        <v>0</v>
      </c>
      <c r="ET34" s="26">
        <f>'New Formula with HB25-1320'!ET34</f>
        <v>0</v>
      </c>
      <c r="EU34" s="26">
        <f>'New Formula with HB25-1320'!EU34</f>
        <v>0</v>
      </c>
      <c r="EV34" s="26">
        <f>'New Formula with HB25-1320'!EV34</f>
        <v>0</v>
      </c>
      <c r="EW34" s="26">
        <f>'New Formula with HB25-1320'!EW34</f>
        <v>0</v>
      </c>
      <c r="EX34" s="26">
        <f>'New Formula with HB25-1320'!EX34</f>
        <v>0</v>
      </c>
      <c r="EY34" s="26">
        <f>'New Formula with HB25-1320'!EY34</f>
        <v>0</v>
      </c>
      <c r="EZ34" s="26">
        <f>'New Formula with HB25-1320'!EZ34</f>
        <v>0</v>
      </c>
      <c r="FA34" s="26">
        <f>'New Formula with HB25-1320'!FA34</f>
        <v>0</v>
      </c>
      <c r="FB34" s="26">
        <f>'New Formula with HB25-1320'!FB34</f>
        <v>0</v>
      </c>
      <c r="FC34" s="26">
        <f>'New Formula with HB25-1320'!FC34</f>
        <v>0</v>
      </c>
      <c r="FD34" s="26">
        <f>'New Formula with HB25-1320'!FD34</f>
        <v>0</v>
      </c>
      <c r="FE34" s="26">
        <f>'New Formula with HB25-1320'!FE34</f>
        <v>0</v>
      </c>
      <c r="FF34" s="26">
        <f>'New Formula with HB25-1320'!FF34</f>
        <v>0</v>
      </c>
      <c r="FG34" s="26">
        <f>'New Formula with HB25-1320'!FG34</f>
        <v>0</v>
      </c>
      <c r="FH34" s="26">
        <f>'New Formula with HB25-1320'!FH34</f>
        <v>0</v>
      </c>
      <c r="FI34" s="26">
        <f>'New Formula with HB25-1320'!FI34</f>
        <v>0</v>
      </c>
      <c r="FJ34" s="26">
        <f>'New Formula with HB25-1320'!FJ34</f>
        <v>0</v>
      </c>
      <c r="FK34" s="26">
        <f>'New Formula with HB25-1320'!FK34</f>
        <v>0</v>
      </c>
      <c r="FL34" s="26">
        <f>'New Formula with HB25-1320'!FL34</f>
        <v>0</v>
      </c>
      <c r="FM34" s="26">
        <f>'New Formula with HB25-1320'!FM34</f>
        <v>0</v>
      </c>
      <c r="FN34" s="26">
        <f>'New Formula with HB25-1320'!FN34</f>
        <v>0</v>
      </c>
      <c r="FO34" s="26">
        <f>'New Formula with HB25-1320'!FO34</f>
        <v>0</v>
      </c>
      <c r="FP34" s="26">
        <f>'New Formula with HB25-1320'!FP34</f>
        <v>0</v>
      </c>
      <c r="FQ34" s="26">
        <f>'New Formula with HB25-1320'!FQ34</f>
        <v>0</v>
      </c>
      <c r="FR34" s="26">
        <f>'New Formula with HB25-1320'!FR34</f>
        <v>0</v>
      </c>
      <c r="FS34" s="26">
        <f>'New Formula with HB25-1320'!FS34</f>
        <v>0</v>
      </c>
      <c r="FT34" s="26">
        <f>'New Formula with HB25-1320'!FT34</f>
        <v>0</v>
      </c>
      <c r="FU34" s="26">
        <f>'New Formula with HB25-1320'!FU34</f>
        <v>0</v>
      </c>
      <c r="FV34" s="26">
        <f>'New Formula with HB25-1320'!FV34</f>
        <v>0</v>
      </c>
      <c r="FW34" s="26">
        <f>'New Formula with HB25-1320'!FW34</f>
        <v>0</v>
      </c>
      <c r="FX34" s="26">
        <f>'New Formula with HB25-1320'!FX34</f>
        <v>0</v>
      </c>
      <c r="FY34" s="26"/>
      <c r="FZ34" s="23">
        <f t="shared" si="7"/>
        <v>1</v>
      </c>
      <c r="GA34" s="26"/>
      <c r="GB34" s="23"/>
      <c r="GC34" s="23"/>
      <c r="GD34" s="23"/>
      <c r="GE34" s="7"/>
      <c r="GF34" s="7"/>
      <c r="GG34" s="7"/>
      <c r="GH34" s="7"/>
      <c r="GI34" s="7"/>
      <c r="GJ34" s="7"/>
      <c r="GK34" s="7"/>
    </row>
    <row r="35" spans="1:207" ht="15.5" x14ac:dyDescent="0.35">
      <c r="A35" s="12" t="s">
        <v>758</v>
      </c>
      <c r="B35" s="7" t="s">
        <v>502</v>
      </c>
      <c r="C35" s="23">
        <f>'New Formula with HB25-1320'!C35</f>
        <v>0</v>
      </c>
      <c r="D35" s="23">
        <f>'New Formula with HB25-1320'!D35</f>
        <v>23</v>
      </c>
      <c r="E35" s="23">
        <f>'New Formula with HB25-1320'!E35</f>
        <v>0</v>
      </c>
      <c r="F35" s="23">
        <f>'New Formula with HB25-1320'!F35</f>
        <v>0</v>
      </c>
      <c r="G35" s="23">
        <f>'New Formula with HB25-1320'!G35</f>
        <v>0</v>
      </c>
      <c r="H35" s="23">
        <f>'New Formula with HB25-1320'!H35</f>
        <v>0</v>
      </c>
      <c r="I35" s="23">
        <f>'New Formula with HB25-1320'!I35</f>
        <v>0</v>
      </c>
      <c r="J35" s="23">
        <f>'New Formula with HB25-1320'!J35</f>
        <v>0</v>
      </c>
      <c r="K35" s="23">
        <f>'New Formula with HB25-1320'!K35</f>
        <v>0</v>
      </c>
      <c r="L35" s="23">
        <f>'New Formula with HB25-1320'!L35</f>
        <v>0</v>
      </c>
      <c r="M35" s="23">
        <f>'New Formula with HB25-1320'!M35</f>
        <v>0</v>
      </c>
      <c r="N35" s="23">
        <f>'New Formula with HB25-1320'!N35</f>
        <v>0</v>
      </c>
      <c r="O35" s="23">
        <f>'New Formula with HB25-1320'!O35</f>
        <v>0</v>
      </c>
      <c r="P35" s="23">
        <f>'New Formula with HB25-1320'!P35</f>
        <v>0</v>
      </c>
      <c r="Q35" s="23">
        <f>'New Formula with HB25-1320'!Q35</f>
        <v>0</v>
      </c>
      <c r="R35" s="23">
        <f>'New Formula with HB25-1320'!R35</f>
        <v>0</v>
      </c>
      <c r="S35" s="23">
        <f>'New Formula with HB25-1320'!S35</f>
        <v>0</v>
      </c>
      <c r="T35" s="23">
        <f>'New Formula with HB25-1320'!T35</f>
        <v>0</v>
      </c>
      <c r="U35" s="23">
        <f>'New Formula with HB25-1320'!U35</f>
        <v>0</v>
      </c>
      <c r="V35" s="23">
        <f>'New Formula with HB25-1320'!V35</f>
        <v>0</v>
      </c>
      <c r="W35" s="23">
        <f>'New Formula with HB25-1320'!W35</f>
        <v>0</v>
      </c>
      <c r="X35" s="23">
        <f>'New Formula with HB25-1320'!X35</f>
        <v>0</v>
      </c>
      <c r="Y35" s="23">
        <f>'New Formula with HB25-1320'!Y35</f>
        <v>0</v>
      </c>
      <c r="Z35" s="23">
        <f>'New Formula with HB25-1320'!Z35</f>
        <v>0</v>
      </c>
      <c r="AA35" s="23">
        <f>'New Formula with HB25-1320'!AA35</f>
        <v>0</v>
      </c>
      <c r="AB35" s="23">
        <f>'New Formula with HB25-1320'!AB35</f>
        <v>0</v>
      </c>
      <c r="AC35" s="23">
        <f>'New Formula with HB25-1320'!AC35</f>
        <v>0</v>
      </c>
      <c r="AD35" s="23">
        <f>'New Formula with HB25-1320'!AD35</f>
        <v>0</v>
      </c>
      <c r="AE35" s="23">
        <f>'New Formula with HB25-1320'!AE35</f>
        <v>0</v>
      </c>
      <c r="AF35" s="23">
        <f>'New Formula with HB25-1320'!AF35</f>
        <v>0</v>
      </c>
      <c r="AG35" s="23">
        <f>'New Formula with HB25-1320'!AG35</f>
        <v>0</v>
      </c>
      <c r="AH35" s="23">
        <f>'New Formula with HB25-1320'!AH35</f>
        <v>0</v>
      </c>
      <c r="AI35" s="23">
        <f>'New Formula with HB25-1320'!AI35</f>
        <v>0</v>
      </c>
      <c r="AJ35" s="23">
        <f>'New Formula with HB25-1320'!AJ35</f>
        <v>0</v>
      </c>
      <c r="AK35" s="23">
        <f>'New Formula with HB25-1320'!AK35</f>
        <v>0</v>
      </c>
      <c r="AL35" s="23">
        <f>'New Formula with HB25-1320'!AL35</f>
        <v>0</v>
      </c>
      <c r="AM35" s="23">
        <f>'New Formula with HB25-1320'!AM35</f>
        <v>0</v>
      </c>
      <c r="AN35" s="23">
        <f>'New Formula with HB25-1320'!AN35</f>
        <v>0</v>
      </c>
      <c r="AO35" s="23">
        <f>'New Formula with HB25-1320'!AO35</f>
        <v>0</v>
      </c>
      <c r="AP35" s="23">
        <f>'New Formula with HB25-1320'!AP35</f>
        <v>0</v>
      </c>
      <c r="AQ35" s="23">
        <f>'New Formula with HB25-1320'!AQ35</f>
        <v>0</v>
      </c>
      <c r="AR35" s="23">
        <f>'New Formula with HB25-1320'!AR35</f>
        <v>0</v>
      </c>
      <c r="AS35" s="23">
        <f>'New Formula with HB25-1320'!AS35</f>
        <v>0</v>
      </c>
      <c r="AT35" s="23">
        <f>'New Formula with HB25-1320'!AT35</f>
        <v>0</v>
      </c>
      <c r="AU35" s="23">
        <f>'New Formula with HB25-1320'!AU35</f>
        <v>0</v>
      </c>
      <c r="AV35" s="23">
        <f>'New Formula with HB25-1320'!AV35</f>
        <v>0</v>
      </c>
      <c r="AW35" s="23">
        <f>'New Formula with HB25-1320'!AW35</f>
        <v>0</v>
      </c>
      <c r="AX35" s="23">
        <f>'New Formula with HB25-1320'!AX35</f>
        <v>0</v>
      </c>
      <c r="AY35" s="23">
        <f>'New Formula with HB25-1320'!AY35</f>
        <v>0</v>
      </c>
      <c r="AZ35" s="23">
        <f>'New Formula with HB25-1320'!AZ35</f>
        <v>0</v>
      </c>
      <c r="BA35" s="23">
        <f>'New Formula with HB25-1320'!BA35</f>
        <v>0</v>
      </c>
      <c r="BB35" s="23">
        <f>'New Formula with HB25-1320'!BB35</f>
        <v>0</v>
      </c>
      <c r="BC35" s="23">
        <f>'New Formula with HB25-1320'!BC35</f>
        <v>0</v>
      </c>
      <c r="BD35" s="23">
        <f>'New Formula with HB25-1320'!BD35</f>
        <v>0</v>
      </c>
      <c r="BE35" s="23">
        <f>'New Formula with HB25-1320'!BE35</f>
        <v>0</v>
      </c>
      <c r="BF35" s="23">
        <f>'New Formula with HB25-1320'!BF35</f>
        <v>0</v>
      </c>
      <c r="BG35" s="23">
        <f>'New Formula with HB25-1320'!BG35</f>
        <v>0</v>
      </c>
      <c r="BH35" s="23">
        <f>'New Formula with HB25-1320'!BH35</f>
        <v>0</v>
      </c>
      <c r="BI35" s="23">
        <f>'New Formula with HB25-1320'!BI35</f>
        <v>0</v>
      </c>
      <c r="BJ35" s="23">
        <f>'New Formula with HB25-1320'!BJ35</f>
        <v>0</v>
      </c>
      <c r="BK35" s="23">
        <f>'New Formula with HB25-1320'!BK35</f>
        <v>0</v>
      </c>
      <c r="BL35" s="23">
        <f>'New Formula with HB25-1320'!BL35</f>
        <v>0</v>
      </c>
      <c r="BM35" s="23">
        <f>'New Formula with HB25-1320'!BM35</f>
        <v>0</v>
      </c>
      <c r="BN35" s="23">
        <f>'New Formula with HB25-1320'!BN35</f>
        <v>0</v>
      </c>
      <c r="BO35" s="23">
        <f>'New Formula with HB25-1320'!BO35</f>
        <v>0</v>
      </c>
      <c r="BP35" s="23">
        <f>'New Formula with HB25-1320'!BP35</f>
        <v>0</v>
      </c>
      <c r="BQ35" s="23">
        <f>'New Formula with HB25-1320'!BQ35</f>
        <v>0</v>
      </c>
      <c r="BR35" s="23">
        <f>'New Formula with HB25-1320'!BR35</f>
        <v>0</v>
      </c>
      <c r="BS35" s="23">
        <f>'New Formula with HB25-1320'!BS35</f>
        <v>0</v>
      </c>
      <c r="BT35" s="23">
        <f>'New Formula with HB25-1320'!BT35</f>
        <v>0</v>
      </c>
      <c r="BU35" s="23">
        <f>'New Formula with HB25-1320'!BU35</f>
        <v>0</v>
      </c>
      <c r="BV35" s="23">
        <f>'New Formula with HB25-1320'!BV35</f>
        <v>0</v>
      </c>
      <c r="BW35" s="23">
        <f>'New Formula with HB25-1320'!BW35</f>
        <v>0</v>
      </c>
      <c r="BX35" s="23">
        <f>'New Formula with HB25-1320'!BX35</f>
        <v>0</v>
      </c>
      <c r="BY35" s="23">
        <f>'New Formula with HB25-1320'!BY35</f>
        <v>0</v>
      </c>
      <c r="BZ35" s="23">
        <f>'New Formula with HB25-1320'!BZ35</f>
        <v>0</v>
      </c>
      <c r="CA35" s="23">
        <f>'New Formula with HB25-1320'!CA35</f>
        <v>0</v>
      </c>
      <c r="CB35" s="23">
        <f>'New Formula with HB25-1320'!CB35</f>
        <v>0</v>
      </c>
      <c r="CC35" s="23">
        <f>'New Formula with HB25-1320'!CC35</f>
        <v>0</v>
      </c>
      <c r="CD35" s="23">
        <f>'New Formula with HB25-1320'!CD35</f>
        <v>0</v>
      </c>
      <c r="CE35" s="23">
        <f>'New Formula with HB25-1320'!CE35</f>
        <v>0</v>
      </c>
      <c r="CF35" s="23">
        <f>'New Formula with HB25-1320'!CF35</f>
        <v>0</v>
      </c>
      <c r="CG35" s="23">
        <f>'New Formula with HB25-1320'!CG35</f>
        <v>0</v>
      </c>
      <c r="CH35" s="23">
        <f>'New Formula with HB25-1320'!CH35</f>
        <v>0</v>
      </c>
      <c r="CI35" s="23">
        <f>'New Formula with HB25-1320'!CI35</f>
        <v>0</v>
      </c>
      <c r="CJ35" s="23">
        <f>'New Formula with HB25-1320'!CJ35</f>
        <v>0</v>
      </c>
      <c r="CK35" s="23">
        <f>'New Formula with HB25-1320'!CK35</f>
        <v>0</v>
      </c>
      <c r="CL35" s="23">
        <f>'New Formula with HB25-1320'!CL35</f>
        <v>0</v>
      </c>
      <c r="CM35" s="23">
        <f>'New Formula with HB25-1320'!CM35</f>
        <v>0</v>
      </c>
      <c r="CN35" s="23">
        <f>'New Formula with HB25-1320'!CN35</f>
        <v>0</v>
      </c>
      <c r="CO35" s="23">
        <f>'New Formula with HB25-1320'!CO35</f>
        <v>0</v>
      </c>
      <c r="CP35" s="23">
        <f>'New Formula with HB25-1320'!CP35</f>
        <v>0</v>
      </c>
      <c r="CQ35" s="23">
        <f>'New Formula with HB25-1320'!CQ35</f>
        <v>0</v>
      </c>
      <c r="CR35" s="23">
        <f>'New Formula with HB25-1320'!CR35</f>
        <v>0</v>
      </c>
      <c r="CS35" s="23">
        <f>'New Formula with HB25-1320'!CS35</f>
        <v>0</v>
      </c>
      <c r="CT35" s="23">
        <f>'New Formula with HB25-1320'!CT35</f>
        <v>0</v>
      </c>
      <c r="CU35" s="23">
        <f>'New Formula with HB25-1320'!CU35</f>
        <v>0</v>
      </c>
      <c r="CV35" s="23">
        <f>'New Formula with HB25-1320'!CV35</f>
        <v>0</v>
      </c>
      <c r="CW35" s="23">
        <f>'New Formula with HB25-1320'!CW35</f>
        <v>0</v>
      </c>
      <c r="CX35" s="23">
        <f>'New Formula with HB25-1320'!CX35</f>
        <v>0</v>
      </c>
      <c r="CY35" s="23">
        <f>'New Formula with HB25-1320'!CY35</f>
        <v>0</v>
      </c>
      <c r="CZ35" s="23">
        <f>'New Formula with HB25-1320'!CZ35</f>
        <v>0</v>
      </c>
      <c r="DA35" s="23">
        <f>'New Formula with HB25-1320'!DA35</f>
        <v>0</v>
      </c>
      <c r="DB35" s="23">
        <f>'New Formula with HB25-1320'!DB35</f>
        <v>0</v>
      </c>
      <c r="DC35" s="23">
        <f>'New Formula with HB25-1320'!DC35</f>
        <v>0</v>
      </c>
      <c r="DD35" s="23">
        <f>'New Formula with HB25-1320'!DD35</f>
        <v>0</v>
      </c>
      <c r="DE35" s="23">
        <f>'New Formula with HB25-1320'!DE35</f>
        <v>0</v>
      </c>
      <c r="DF35" s="23">
        <f>'New Formula with HB25-1320'!DF35</f>
        <v>0</v>
      </c>
      <c r="DG35" s="23">
        <f>'New Formula with HB25-1320'!DG35</f>
        <v>0</v>
      </c>
      <c r="DH35" s="23">
        <f>'New Formula with HB25-1320'!DH35</f>
        <v>0</v>
      </c>
      <c r="DI35" s="23">
        <f>'New Formula with HB25-1320'!DI35</f>
        <v>0</v>
      </c>
      <c r="DJ35" s="23">
        <f>'New Formula with HB25-1320'!DJ35</f>
        <v>0</v>
      </c>
      <c r="DK35" s="23">
        <f>'New Formula with HB25-1320'!DK35</f>
        <v>0</v>
      </c>
      <c r="DL35" s="23">
        <f>'New Formula with HB25-1320'!DL35</f>
        <v>0</v>
      </c>
      <c r="DM35" s="23">
        <f>'New Formula with HB25-1320'!DM35</f>
        <v>0</v>
      </c>
      <c r="DN35" s="23">
        <f>'New Formula with HB25-1320'!DN35</f>
        <v>0</v>
      </c>
      <c r="DO35" s="23">
        <f>'New Formula with HB25-1320'!DO35</f>
        <v>0</v>
      </c>
      <c r="DP35" s="23">
        <f>'New Formula with HB25-1320'!DP35</f>
        <v>0</v>
      </c>
      <c r="DQ35" s="23">
        <f>'New Formula with HB25-1320'!DQ35</f>
        <v>0</v>
      </c>
      <c r="DR35" s="23">
        <f>'New Formula with HB25-1320'!DR35</f>
        <v>0</v>
      </c>
      <c r="DS35" s="23">
        <f>'New Formula with HB25-1320'!DS35</f>
        <v>0</v>
      </c>
      <c r="DT35" s="23">
        <f>'New Formula with HB25-1320'!DT35</f>
        <v>0</v>
      </c>
      <c r="DU35" s="23">
        <f>'New Formula with HB25-1320'!DU35</f>
        <v>0</v>
      </c>
      <c r="DV35" s="23">
        <f>'New Formula with HB25-1320'!DV35</f>
        <v>0</v>
      </c>
      <c r="DW35" s="23">
        <f>'New Formula with HB25-1320'!DW35</f>
        <v>0</v>
      </c>
      <c r="DX35" s="23">
        <f>'New Formula with HB25-1320'!DX35</f>
        <v>0</v>
      </c>
      <c r="DY35" s="23">
        <f>'New Formula with HB25-1320'!DY35</f>
        <v>0</v>
      </c>
      <c r="DZ35" s="23">
        <f>'New Formula with HB25-1320'!DZ35</f>
        <v>0</v>
      </c>
      <c r="EA35" s="23">
        <f>'New Formula with HB25-1320'!EA35</f>
        <v>0</v>
      </c>
      <c r="EB35" s="23">
        <f>'New Formula with HB25-1320'!EB35</f>
        <v>0</v>
      </c>
      <c r="EC35" s="23">
        <f>'New Formula with HB25-1320'!EC35</f>
        <v>0</v>
      </c>
      <c r="ED35" s="23">
        <f>'New Formula with HB25-1320'!ED35</f>
        <v>0</v>
      </c>
      <c r="EE35" s="23">
        <f>'New Formula with HB25-1320'!EE35</f>
        <v>0</v>
      </c>
      <c r="EF35" s="23">
        <f>'New Formula with HB25-1320'!EF35</f>
        <v>0</v>
      </c>
      <c r="EG35" s="23">
        <f>'New Formula with HB25-1320'!EG35</f>
        <v>0</v>
      </c>
      <c r="EH35" s="23">
        <f>'New Formula with HB25-1320'!EH35</f>
        <v>0</v>
      </c>
      <c r="EI35" s="23">
        <f>'New Formula with HB25-1320'!EI35</f>
        <v>0</v>
      </c>
      <c r="EJ35" s="23">
        <f>'New Formula with HB25-1320'!EJ35</f>
        <v>0</v>
      </c>
      <c r="EK35" s="23">
        <f>'New Formula with HB25-1320'!EK35</f>
        <v>0</v>
      </c>
      <c r="EL35" s="23">
        <f>'New Formula with HB25-1320'!EL35</f>
        <v>0</v>
      </c>
      <c r="EM35" s="23">
        <f>'New Formula with HB25-1320'!EM35</f>
        <v>0</v>
      </c>
      <c r="EN35" s="23">
        <f>'New Formula with HB25-1320'!EN35</f>
        <v>0</v>
      </c>
      <c r="EO35" s="23">
        <f>'New Formula with HB25-1320'!EO35</f>
        <v>0</v>
      </c>
      <c r="EP35" s="23">
        <f>'New Formula with HB25-1320'!EP35</f>
        <v>0</v>
      </c>
      <c r="EQ35" s="23">
        <f>'New Formula with HB25-1320'!EQ35</f>
        <v>0</v>
      </c>
      <c r="ER35" s="23">
        <f>'New Formula with HB25-1320'!ER35</f>
        <v>0</v>
      </c>
      <c r="ES35" s="23">
        <f>'New Formula with HB25-1320'!ES35</f>
        <v>0</v>
      </c>
      <c r="ET35" s="23">
        <f>'New Formula with HB25-1320'!ET35</f>
        <v>0</v>
      </c>
      <c r="EU35" s="23">
        <f>'New Formula with HB25-1320'!EU35</f>
        <v>0</v>
      </c>
      <c r="EV35" s="23">
        <f>'New Formula with HB25-1320'!EV35</f>
        <v>0</v>
      </c>
      <c r="EW35" s="23">
        <f>'New Formula with HB25-1320'!EW35</f>
        <v>0</v>
      </c>
      <c r="EX35" s="23">
        <f>'New Formula with HB25-1320'!EX35</f>
        <v>0</v>
      </c>
      <c r="EY35" s="23">
        <f>'New Formula with HB25-1320'!EY35</f>
        <v>0</v>
      </c>
      <c r="EZ35" s="23">
        <f>'New Formula with HB25-1320'!EZ35</f>
        <v>0</v>
      </c>
      <c r="FA35" s="23">
        <f>'New Formula with HB25-1320'!FA35</f>
        <v>0</v>
      </c>
      <c r="FB35" s="23">
        <f>'New Formula with HB25-1320'!FB35</f>
        <v>0</v>
      </c>
      <c r="FC35" s="23">
        <f>'New Formula with HB25-1320'!FC35</f>
        <v>0</v>
      </c>
      <c r="FD35" s="23">
        <f>'New Formula with HB25-1320'!FD35</f>
        <v>0</v>
      </c>
      <c r="FE35" s="23">
        <f>'New Formula with HB25-1320'!FE35</f>
        <v>0</v>
      </c>
      <c r="FF35" s="23">
        <f>'New Formula with HB25-1320'!FF35</f>
        <v>0</v>
      </c>
      <c r="FG35" s="23">
        <f>'New Formula with HB25-1320'!FG35</f>
        <v>0</v>
      </c>
      <c r="FH35" s="23">
        <f>'New Formula with HB25-1320'!FH35</f>
        <v>0</v>
      </c>
      <c r="FI35" s="23">
        <f>'New Formula with HB25-1320'!FI35</f>
        <v>0</v>
      </c>
      <c r="FJ35" s="23">
        <f>'New Formula with HB25-1320'!FJ35</f>
        <v>0</v>
      </c>
      <c r="FK35" s="23">
        <f>'New Formula with HB25-1320'!FK35</f>
        <v>0</v>
      </c>
      <c r="FL35" s="23">
        <f>'New Formula with HB25-1320'!FL35</f>
        <v>0</v>
      </c>
      <c r="FM35" s="23">
        <f>'New Formula with HB25-1320'!FM35</f>
        <v>0</v>
      </c>
      <c r="FN35" s="23">
        <f>'New Formula with HB25-1320'!FN35</f>
        <v>0</v>
      </c>
      <c r="FO35" s="23">
        <f>'New Formula with HB25-1320'!FO35</f>
        <v>0</v>
      </c>
      <c r="FP35" s="23">
        <f>'New Formula with HB25-1320'!FP35</f>
        <v>0</v>
      </c>
      <c r="FQ35" s="23">
        <f>'New Formula with HB25-1320'!FQ35</f>
        <v>0</v>
      </c>
      <c r="FR35" s="23">
        <f>'New Formula with HB25-1320'!FR35</f>
        <v>0</v>
      </c>
      <c r="FS35" s="23">
        <f>'New Formula with HB25-1320'!FS35</f>
        <v>0</v>
      </c>
      <c r="FT35" s="23">
        <f>'New Formula with HB25-1320'!FT35</f>
        <v>0</v>
      </c>
      <c r="FU35" s="23">
        <f>'New Formula with HB25-1320'!FU35</f>
        <v>0</v>
      </c>
      <c r="FV35" s="23">
        <f>'New Formula with HB25-1320'!FV35</f>
        <v>0</v>
      </c>
      <c r="FW35" s="23">
        <f>'New Formula with HB25-1320'!FW35</f>
        <v>0</v>
      </c>
      <c r="FX35" s="23">
        <f>'New Formula with HB25-1320'!FX35</f>
        <v>0</v>
      </c>
      <c r="FY35" s="23">
        <v>0</v>
      </c>
      <c r="FZ35" s="23">
        <f t="shared" si="7"/>
        <v>23</v>
      </c>
      <c r="GA35" s="23"/>
      <c r="GB35" s="23"/>
      <c r="GC35" s="23"/>
      <c r="GD35" s="23"/>
      <c r="GE35" s="7"/>
      <c r="GF35" s="7"/>
      <c r="GG35" s="7"/>
      <c r="GH35" s="7"/>
      <c r="GI35" s="7"/>
      <c r="GJ35" s="7"/>
      <c r="GK35" s="7"/>
    </row>
    <row r="36" spans="1:207" ht="15.5" x14ac:dyDescent="0.35">
      <c r="A36" s="12" t="s">
        <v>487</v>
      </c>
      <c r="B36" s="7" t="s">
        <v>759</v>
      </c>
      <c r="C36" s="23">
        <v>0</v>
      </c>
      <c r="D36" s="23">
        <v>110.40000000000009</v>
      </c>
      <c r="E36" s="23">
        <v>19.700000000000045</v>
      </c>
      <c r="F36" s="23">
        <v>25.799999999999955</v>
      </c>
      <c r="G36" s="23">
        <v>0</v>
      </c>
      <c r="H36" s="23">
        <v>0</v>
      </c>
      <c r="I36" s="23">
        <v>2.1999999999999886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41.3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19.799999999999955</v>
      </c>
      <c r="AS36" s="23">
        <v>7.3000000000000114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81.599999999999966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0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75.599999999999994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7.7999999999999545</v>
      </c>
      <c r="CC36" s="23">
        <v>0</v>
      </c>
      <c r="CD36" s="23">
        <v>0</v>
      </c>
      <c r="CE36" s="23">
        <v>0</v>
      </c>
      <c r="CF36" s="23">
        <v>0</v>
      </c>
      <c r="CG36" s="23">
        <v>0</v>
      </c>
      <c r="CH36" s="23">
        <v>0</v>
      </c>
      <c r="CI36" s="23">
        <v>0</v>
      </c>
      <c r="CJ36" s="23">
        <v>0</v>
      </c>
      <c r="CK36" s="23">
        <v>4.6999999999999886</v>
      </c>
      <c r="CL36" s="23">
        <v>0</v>
      </c>
      <c r="CM36" s="23">
        <v>0</v>
      </c>
      <c r="CN36" s="23">
        <v>99.000000000000114</v>
      </c>
      <c r="CO36" s="23">
        <v>0</v>
      </c>
      <c r="CP36" s="23">
        <v>0</v>
      </c>
      <c r="CQ36" s="23">
        <v>0</v>
      </c>
      <c r="CR36" s="23">
        <v>0</v>
      </c>
      <c r="CS36" s="23">
        <v>0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3">
        <v>0</v>
      </c>
      <c r="CZ36" s="23">
        <v>0</v>
      </c>
      <c r="DA36" s="23">
        <v>0</v>
      </c>
      <c r="DB36" s="23">
        <v>0</v>
      </c>
      <c r="DC36" s="23">
        <v>0</v>
      </c>
      <c r="DD36" s="23">
        <v>0</v>
      </c>
      <c r="DE36" s="23">
        <v>0</v>
      </c>
      <c r="DF36" s="23">
        <v>17</v>
      </c>
      <c r="DG36" s="23">
        <v>0</v>
      </c>
      <c r="DH36" s="23">
        <v>0</v>
      </c>
      <c r="DI36" s="23">
        <v>18.200000000000003</v>
      </c>
      <c r="DJ36" s="23">
        <v>0</v>
      </c>
      <c r="DK36" s="23">
        <v>0</v>
      </c>
      <c r="DL36" s="23">
        <v>0</v>
      </c>
      <c r="DM36" s="23">
        <v>0</v>
      </c>
      <c r="DN36" s="23">
        <v>0</v>
      </c>
      <c r="DO36" s="23">
        <v>0</v>
      </c>
      <c r="DP36" s="23">
        <v>0</v>
      </c>
      <c r="DQ36" s="23">
        <v>0</v>
      </c>
      <c r="DR36" s="23">
        <v>0</v>
      </c>
      <c r="DS36" s="23">
        <v>0</v>
      </c>
      <c r="DT36" s="23">
        <v>0</v>
      </c>
      <c r="DU36" s="23">
        <v>0</v>
      </c>
      <c r="DV36" s="23">
        <v>0</v>
      </c>
      <c r="DW36" s="23">
        <v>0</v>
      </c>
      <c r="DX36" s="23">
        <v>0</v>
      </c>
      <c r="DY36" s="23">
        <v>0</v>
      </c>
      <c r="DZ36" s="23">
        <v>0</v>
      </c>
      <c r="EA36" s="23">
        <v>0</v>
      </c>
      <c r="EB36" s="23">
        <v>0</v>
      </c>
      <c r="EC36" s="23">
        <v>0</v>
      </c>
      <c r="ED36" s="23">
        <v>0</v>
      </c>
      <c r="EE36" s="23">
        <v>0</v>
      </c>
      <c r="EF36" s="23">
        <v>0</v>
      </c>
      <c r="EG36" s="23">
        <v>0</v>
      </c>
      <c r="EH36" s="23">
        <v>0</v>
      </c>
      <c r="EI36" s="23">
        <v>0</v>
      </c>
      <c r="EJ36" s="23">
        <v>0</v>
      </c>
      <c r="EK36" s="23">
        <v>0</v>
      </c>
      <c r="EL36" s="23">
        <v>0</v>
      </c>
      <c r="EM36" s="23">
        <v>0</v>
      </c>
      <c r="EN36" s="23">
        <v>0</v>
      </c>
      <c r="EO36" s="23">
        <v>0</v>
      </c>
      <c r="EP36" s="23">
        <v>0</v>
      </c>
      <c r="EQ36" s="23">
        <v>0</v>
      </c>
      <c r="ER36" s="23">
        <v>0</v>
      </c>
      <c r="ES36" s="23">
        <v>0</v>
      </c>
      <c r="ET36" s="23">
        <v>0</v>
      </c>
      <c r="EU36" s="23">
        <v>0</v>
      </c>
      <c r="EV36" s="23">
        <v>0</v>
      </c>
      <c r="EW36" s="23">
        <v>0</v>
      </c>
      <c r="EX36" s="23">
        <v>0</v>
      </c>
      <c r="EY36" s="23">
        <v>0</v>
      </c>
      <c r="EZ36" s="23">
        <v>0</v>
      </c>
      <c r="FA36" s="23">
        <v>0</v>
      </c>
      <c r="FB36" s="23">
        <v>0</v>
      </c>
      <c r="FC36" s="23">
        <v>0</v>
      </c>
      <c r="FD36" s="23">
        <v>0</v>
      </c>
      <c r="FE36" s="23">
        <v>0</v>
      </c>
      <c r="FF36" s="23">
        <v>0</v>
      </c>
      <c r="FG36" s="23">
        <v>0</v>
      </c>
      <c r="FH36" s="23">
        <v>0</v>
      </c>
      <c r="FI36" s="23">
        <v>0</v>
      </c>
      <c r="FJ36" s="23">
        <v>0</v>
      </c>
      <c r="FK36" s="23">
        <v>0</v>
      </c>
      <c r="FL36" s="23">
        <v>0</v>
      </c>
      <c r="FM36" s="23">
        <v>0</v>
      </c>
      <c r="FN36" s="23">
        <v>0</v>
      </c>
      <c r="FO36" s="23">
        <v>0</v>
      </c>
      <c r="FP36" s="23">
        <v>0</v>
      </c>
      <c r="FQ36" s="23">
        <v>0</v>
      </c>
      <c r="FR36" s="23">
        <v>0</v>
      </c>
      <c r="FS36" s="23">
        <v>0</v>
      </c>
      <c r="FT36" s="23">
        <v>0</v>
      </c>
      <c r="FU36" s="23">
        <v>0</v>
      </c>
      <c r="FV36" s="23">
        <v>0</v>
      </c>
      <c r="FW36" s="23">
        <v>0</v>
      </c>
      <c r="FX36" s="23">
        <v>0</v>
      </c>
      <c r="FY36" s="23"/>
      <c r="FZ36" s="23">
        <f t="shared" si="7"/>
        <v>530.40000000000009</v>
      </c>
      <c r="GA36" s="23"/>
      <c r="GB36" s="23"/>
      <c r="GC36" s="23"/>
      <c r="GD36" s="23"/>
      <c r="GE36" s="7"/>
      <c r="GF36" s="7"/>
      <c r="GG36" s="7"/>
      <c r="GH36" s="7"/>
      <c r="GI36" s="7"/>
      <c r="GJ36" s="7"/>
      <c r="GK36" s="7"/>
    </row>
    <row r="37" spans="1:207" ht="15.5" x14ac:dyDescent="0.35">
      <c r="A37" s="12"/>
      <c r="B37" s="7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23"/>
      <c r="FZ37" s="23"/>
      <c r="GA37" s="23"/>
      <c r="GB37" s="23"/>
      <c r="GC37" s="23"/>
      <c r="GD37" s="23"/>
      <c r="GE37" s="7"/>
      <c r="GF37" s="7"/>
      <c r="GG37" s="7"/>
      <c r="GH37" s="7"/>
      <c r="GI37" s="7"/>
      <c r="GJ37" s="7"/>
      <c r="GK37" s="7"/>
    </row>
    <row r="38" spans="1:207" ht="15.5" x14ac:dyDescent="0.35">
      <c r="A38" s="45"/>
      <c r="B38" s="5" t="s">
        <v>760</v>
      </c>
      <c r="C38" s="94">
        <f ca="1">GA337</f>
        <v>11028.65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23"/>
      <c r="GA38" s="23"/>
      <c r="GB38" s="23"/>
      <c r="GC38" s="23"/>
      <c r="GD38" s="23"/>
      <c r="GE38" s="7"/>
      <c r="GF38" s="7"/>
      <c r="GG38" s="7"/>
      <c r="GH38" s="7"/>
      <c r="GI38" s="7"/>
      <c r="GJ38" s="7"/>
      <c r="GK38" s="7"/>
    </row>
    <row r="39" spans="1:207" ht="15.5" x14ac:dyDescent="0.35">
      <c r="A39" s="12" t="s">
        <v>487</v>
      </c>
      <c r="B39" s="7" t="s">
        <v>761</v>
      </c>
      <c r="C39" s="7">
        <f>B4</f>
        <v>8691.7999999999993</v>
      </c>
      <c r="D39" s="7">
        <f t="shared" ref="D39:FX39" si="8">$C$39</f>
        <v>8691.7999999999993</v>
      </c>
      <c r="E39" s="7">
        <f t="shared" si="8"/>
        <v>8691.7999999999993</v>
      </c>
      <c r="F39" s="7">
        <f t="shared" si="8"/>
        <v>8691.7999999999993</v>
      </c>
      <c r="G39" s="7">
        <f t="shared" si="8"/>
        <v>8691.7999999999993</v>
      </c>
      <c r="H39" s="7">
        <f t="shared" si="8"/>
        <v>8691.7999999999993</v>
      </c>
      <c r="I39" s="7">
        <f t="shared" si="8"/>
        <v>8691.7999999999993</v>
      </c>
      <c r="J39" s="7">
        <f t="shared" si="8"/>
        <v>8691.7999999999993</v>
      </c>
      <c r="K39" s="7">
        <f t="shared" si="8"/>
        <v>8691.7999999999993</v>
      </c>
      <c r="L39" s="7">
        <f t="shared" si="8"/>
        <v>8691.7999999999993</v>
      </c>
      <c r="M39" s="7">
        <f t="shared" si="8"/>
        <v>8691.7999999999993</v>
      </c>
      <c r="N39" s="7">
        <f t="shared" si="8"/>
        <v>8691.7999999999993</v>
      </c>
      <c r="O39" s="7">
        <f t="shared" si="8"/>
        <v>8691.7999999999993</v>
      </c>
      <c r="P39" s="7">
        <f t="shared" si="8"/>
        <v>8691.7999999999993</v>
      </c>
      <c r="Q39" s="7">
        <f t="shared" si="8"/>
        <v>8691.7999999999993</v>
      </c>
      <c r="R39" s="7">
        <f t="shared" si="8"/>
        <v>8691.7999999999993</v>
      </c>
      <c r="S39" s="7">
        <f t="shared" si="8"/>
        <v>8691.7999999999993</v>
      </c>
      <c r="T39" s="7">
        <f t="shared" si="8"/>
        <v>8691.7999999999993</v>
      </c>
      <c r="U39" s="7">
        <f t="shared" si="8"/>
        <v>8691.7999999999993</v>
      </c>
      <c r="V39" s="7">
        <f t="shared" si="8"/>
        <v>8691.7999999999993</v>
      </c>
      <c r="W39" s="7">
        <f t="shared" si="8"/>
        <v>8691.7999999999993</v>
      </c>
      <c r="X39" s="7">
        <f t="shared" si="8"/>
        <v>8691.7999999999993</v>
      </c>
      <c r="Y39" s="7">
        <f t="shared" si="8"/>
        <v>8691.7999999999993</v>
      </c>
      <c r="Z39" s="7">
        <f t="shared" si="8"/>
        <v>8691.7999999999993</v>
      </c>
      <c r="AA39" s="7">
        <f t="shared" si="8"/>
        <v>8691.7999999999993</v>
      </c>
      <c r="AB39" s="7">
        <f t="shared" si="8"/>
        <v>8691.7999999999993</v>
      </c>
      <c r="AC39" s="7">
        <f t="shared" si="8"/>
        <v>8691.7999999999993</v>
      </c>
      <c r="AD39" s="7">
        <f t="shared" si="8"/>
        <v>8691.7999999999993</v>
      </c>
      <c r="AE39" s="7">
        <f t="shared" si="8"/>
        <v>8691.7999999999993</v>
      </c>
      <c r="AF39" s="7">
        <f t="shared" si="8"/>
        <v>8691.7999999999993</v>
      </c>
      <c r="AG39" s="7">
        <f t="shared" si="8"/>
        <v>8691.7999999999993</v>
      </c>
      <c r="AH39" s="7">
        <f t="shared" si="8"/>
        <v>8691.7999999999993</v>
      </c>
      <c r="AI39" s="7">
        <f t="shared" si="8"/>
        <v>8691.7999999999993</v>
      </c>
      <c r="AJ39" s="7">
        <f t="shared" si="8"/>
        <v>8691.7999999999993</v>
      </c>
      <c r="AK39" s="7">
        <f t="shared" si="8"/>
        <v>8691.7999999999993</v>
      </c>
      <c r="AL39" s="7">
        <f t="shared" si="8"/>
        <v>8691.7999999999993</v>
      </c>
      <c r="AM39" s="7">
        <f t="shared" si="8"/>
        <v>8691.7999999999993</v>
      </c>
      <c r="AN39" s="7">
        <f t="shared" si="8"/>
        <v>8691.7999999999993</v>
      </c>
      <c r="AO39" s="7">
        <f t="shared" si="8"/>
        <v>8691.7999999999993</v>
      </c>
      <c r="AP39" s="7">
        <f t="shared" si="8"/>
        <v>8691.7999999999993</v>
      </c>
      <c r="AQ39" s="7">
        <f t="shared" si="8"/>
        <v>8691.7999999999993</v>
      </c>
      <c r="AR39" s="7">
        <f t="shared" si="8"/>
        <v>8691.7999999999993</v>
      </c>
      <c r="AS39" s="7">
        <f t="shared" si="8"/>
        <v>8691.7999999999993</v>
      </c>
      <c r="AT39" s="7">
        <f t="shared" si="8"/>
        <v>8691.7999999999993</v>
      </c>
      <c r="AU39" s="7">
        <f t="shared" si="8"/>
        <v>8691.7999999999993</v>
      </c>
      <c r="AV39" s="7">
        <f t="shared" si="8"/>
        <v>8691.7999999999993</v>
      </c>
      <c r="AW39" s="7">
        <f t="shared" si="8"/>
        <v>8691.7999999999993</v>
      </c>
      <c r="AX39" s="7">
        <f t="shared" si="8"/>
        <v>8691.7999999999993</v>
      </c>
      <c r="AY39" s="7">
        <f t="shared" si="8"/>
        <v>8691.7999999999993</v>
      </c>
      <c r="AZ39" s="7">
        <f t="shared" si="8"/>
        <v>8691.7999999999993</v>
      </c>
      <c r="BA39" s="7">
        <f t="shared" si="8"/>
        <v>8691.7999999999993</v>
      </c>
      <c r="BB39" s="7">
        <f t="shared" si="8"/>
        <v>8691.7999999999993</v>
      </c>
      <c r="BC39" s="7">
        <f t="shared" si="8"/>
        <v>8691.7999999999993</v>
      </c>
      <c r="BD39" s="7">
        <f t="shared" si="8"/>
        <v>8691.7999999999993</v>
      </c>
      <c r="BE39" s="7">
        <f t="shared" si="8"/>
        <v>8691.7999999999993</v>
      </c>
      <c r="BF39" s="7">
        <f t="shared" si="8"/>
        <v>8691.7999999999993</v>
      </c>
      <c r="BG39" s="7">
        <f t="shared" si="8"/>
        <v>8691.7999999999993</v>
      </c>
      <c r="BH39" s="7">
        <f t="shared" si="8"/>
        <v>8691.7999999999993</v>
      </c>
      <c r="BI39" s="7">
        <f t="shared" si="8"/>
        <v>8691.7999999999993</v>
      </c>
      <c r="BJ39" s="7">
        <f t="shared" si="8"/>
        <v>8691.7999999999993</v>
      </c>
      <c r="BK39" s="7">
        <f t="shared" si="8"/>
        <v>8691.7999999999993</v>
      </c>
      <c r="BL39" s="7">
        <f t="shared" si="8"/>
        <v>8691.7999999999993</v>
      </c>
      <c r="BM39" s="7">
        <f t="shared" si="8"/>
        <v>8691.7999999999993</v>
      </c>
      <c r="BN39" s="7">
        <f t="shared" si="8"/>
        <v>8691.7999999999993</v>
      </c>
      <c r="BO39" s="7">
        <f t="shared" si="8"/>
        <v>8691.7999999999993</v>
      </c>
      <c r="BP39" s="7">
        <f t="shared" si="8"/>
        <v>8691.7999999999993</v>
      </c>
      <c r="BQ39" s="7">
        <f t="shared" si="8"/>
        <v>8691.7999999999993</v>
      </c>
      <c r="BR39" s="7">
        <f t="shared" si="8"/>
        <v>8691.7999999999993</v>
      </c>
      <c r="BS39" s="7">
        <f t="shared" si="8"/>
        <v>8691.7999999999993</v>
      </c>
      <c r="BT39" s="7">
        <f t="shared" si="8"/>
        <v>8691.7999999999993</v>
      </c>
      <c r="BU39" s="7">
        <f t="shared" si="8"/>
        <v>8691.7999999999993</v>
      </c>
      <c r="BV39" s="7">
        <f t="shared" si="8"/>
        <v>8691.7999999999993</v>
      </c>
      <c r="BW39" s="7">
        <f t="shared" si="8"/>
        <v>8691.7999999999993</v>
      </c>
      <c r="BX39" s="7">
        <f t="shared" si="8"/>
        <v>8691.7999999999993</v>
      </c>
      <c r="BY39" s="7">
        <f t="shared" si="8"/>
        <v>8691.7999999999993</v>
      </c>
      <c r="BZ39" s="7">
        <f t="shared" si="8"/>
        <v>8691.7999999999993</v>
      </c>
      <c r="CA39" s="7">
        <f t="shared" si="8"/>
        <v>8691.7999999999993</v>
      </c>
      <c r="CB39" s="7">
        <f t="shared" si="8"/>
        <v>8691.7999999999993</v>
      </c>
      <c r="CC39" s="7">
        <f t="shared" si="8"/>
        <v>8691.7999999999993</v>
      </c>
      <c r="CD39" s="7">
        <f t="shared" si="8"/>
        <v>8691.7999999999993</v>
      </c>
      <c r="CE39" s="7">
        <f t="shared" si="8"/>
        <v>8691.7999999999993</v>
      </c>
      <c r="CF39" s="7">
        <f t="shared" si="8"/>
        <v>8691.7999999999993</v>
      </c>
      <c r="CG39" s="7">
        <f t="shared" si="8"/>
        <v>8691.7999999999993</v>
      </c>
      <c r="CH39" s="7">
        <f t="shared" si="8"/>
        <v>8691.7999999999993</v>
      </c>
      <c r="CI39" s="7">
        <f t="shared" si="8"/>
        <v>8691.7999999999993</v>
      </c>
      <c r="CJ39" s="7">
        <f t="shared" si="8"/>
        <v>8691.7999999999993</v>
      </c>
      <c r="CK39" s="7">
        <f t="shared" si="8"/>
        <v>8691.7999999999993</v>
      </c>
      <c r="CL39" s="7">
        <f t="shared" si="8"/>
        <v>8691.7999999999993</v>
      </c>
      <c r="CM39" s="7">
        <f t="shared" si="8"/>
        <v>8691.7999999999993</v>
      </c>
      <c r="CN39" s="7">
        <f t="shared" si="8"/>
        <v>8691.7999999999993</v>
      </c>
      <c r="CO39" s="7">
        <f t="shared" si="8"/>
        <v>8691.7999999999993</v>
      </c>
      <c r="CP39" s="7">
        <f t="shared" si="8"/>
        <v>8691.7999999999993</v>
      </c>
      <c r="CQ39" s="7">
        <f t="shared" si="8"/>
        <v>8691.7999999999993</v>
      </c>
      <c r="CR39" s="7">
        <f t="shared" si="8"/>
        <v>8691.7999999999993</v>
      </c>
      <c r="CS39" s="7">
        <f t="shared" si="8"/>
        <v>8691.7999999999993</v>
      </c>
      <c r="CT39" s="7">
        <f t="shared" si="8"/>
        <v>8691.7999999999993</v>
      </c>
      <c r="CU39" s="7">
        <f t="shared" si="8"/>
        <v>8691.7999999999993</v>
      </c>
      <c r="CV39" s="7">
        <f t="shared" si="8"/>
        <v>8691.7999999999993</v>
      </c>
      <c r="CW39" s="7">
        <f t="shared" si="8"/>
        <v>8691.7999999999993</v>
      </c>
      <c r="CX39" s="7">
        <f t="shared" si="8"/>
        <v>8691.7999999999993</v>
      </c>
      <c r="CY39" s="7">
        <f t="shared" si="8"/>
        <v>8691.7999999999993</v>
      </c>
      <c r="CZ39" s="7">
        <f t="shared" si="8"/>
        <v>8691.7999999999993</v>
      </c>
      <c r="DA39" s="7">
        <f t="shared" si="8"/>
        <v>8691.7999999999993</v>
      </c>
      <c r="DB39" s="7">
        <f t="shared" si="8"/>
        <v>8691.7999999999993</v>
      </c>
      <c r="DC39" s="7">
        <f t="shared" si="8"/>
        <v>8691.7999999999993</v>
      </c>
      <c r="DD39" s="7">
        <f t="shared" si="8"/>
        <v>8691.7999999999993</v>
      </c>
      <c r="DE39" s="7">
        <f t="shared" si="8"/>
        <v>8691.7999999999993</v>
      </c>
      <c r="DF39" s="7">
        <f t="shared" si="8"/>
        <v>8691.7999999999993</v>
      </c>
      <c r="DG39" s="7">
        <f t="shared" si="8"/>
        <v>8691.7999999999993</v>
      </c>
      <c r="DH39" s="7">
        <f t="shared" si="8"/>
        <v>8691.7999999999993</v>
      </c>
      <c r="DI39" s="7">
        <f t="shared" si="8"/>
        <v>8691.7999999999993</v>
      </c>
      <c r="DJ39" s="7">
        <f t="shared" si="8"/>
        <v>8691.7999999999993</v>
      </c>
      <c r="DK39" s="7">
        <f t="shared" si="8"/>
        <v>8691.7999999999993</v>
      </c>
      <c r="DL39" s="7">
        <f t="shared" si="8"/>
        <v>8691.7999999999993</v>
      </c>
      <c r="DM39" s="7">
        <f t="shared" si="8"/>
        <v>8691.7999999999993</v>
      </c>
      <c r="DN39" s="7">
        <f t="shared" si="8"/>
        <v>8691.7999999999993</v>
      </c>
      <c r="DO39" s="7">
        <f t="shared" si="8"/>
        <v>8691.7999999999993</v>
      </c>
      <c r="DP39" s="7">
        <f t="shared" si="8"/>
        <v>8691.7999999999993</v>
      </c>
      <c r="DQ39" s="7">
        <f t="shared" si="8"/>
        <v>8691.7999999999993</v>
      </c>
      <c r="DR39" s="7">
        <f t="shared" si="8"/>
        <v>8691.7999999999993</v>
      </c>
      <c r="DS39" s="7">
        <f t="shared" si="8"/>
        <v>8691.7999999999993</v>
      </c>
      <c r="DT39" s="7">
        <f t="shared" si="8"/>
        <v>8691.7999999999993</v>
      </c>
      <c r="DU39" s="7">
        <f t="shared" si="8"/>
        <v>8691.7999999999993</v>
      </c>
      <c r="DV39" s="7">
        <f t="shared" si="8"/>
        <v>8691.7999999999993</v>
      </c>
      <c r="DW39" s="7">
        <f t="shared" si="8"/>
        <v>8691.7999999999993</v>
      </c>
      <c r="DX39" s="7">
        <f t="shared" si="8"/>
        <v>8691.7999999999993</v>
      </c>
      <c r="DY39" s="7">
        <f t="shared" si="8"/>
        <v>8691.7999999999993</v>
      </c>
      <c r="DZ39" s="7">
        <f t="shared" si="8"/>
        <v>8691.7999999999993</v>
      </c>
      <c r="EA39" s="7">
        <f t="shared" si="8"/>
        <v>8691.7999999999993</v>
      </c>
      <c r="EB39" s="7">
        <f t="shared" si="8"/>
        <v>8691.7999999999993</v>
      </c>
      <c r="EC39" s="7">
        <f t="shared" si="8"/>
        <v>8691.7999999999993</v>
      </c>
      <c r="ED39" s="7">
        <f t="shared" si="8"/>
        <v>8691.7999999999993</v>
      </c>
      <c r="EE39" s="7">
        <f t="shared" si="8"/>
        <v>8691.7999999999993</v>
      </c>
      <c r="EF39" s="7">
        <f t="shared" si="8"/>
        <v>8691.7999999999993</v>
      </c>
      <c r="EG39" s="7">
        <f t="shared" si="8"/>
        <v>8691.7999999999993</v>
      </c>
      <c r="EH39" s="7">
        <f t="shared" si="8"/>
        <v>8691.7999999999993</v>
      </c>
      <c r="EI39" s="7">
        <f t="shared" si="8"/>
        <v>8691.7999999999993</v>
      </c>
      <c r="EJ39" s="7">
        <f t="shared" si="8"/>
        <v>8691.7999999999993</v>
      </c>
      <c r="EK39" s="7">
        <f t="shared" si="8"/>
        <v>8691.7999999999993</v>
      </c>
      <c r="EL39" s="7">
        <f t="shared" si="8"/>
        <v>8691.7999999999993</v>
      </c>
      <c r="EM39" s="7">
        <f t="shared" si="8"/>
        <v>8691.7999999999993</v>
      </c>
      <c r="EN39" s="7">
        <f t="shared" si="8"/>
        <v>8691.7999999999993</v>
      </c>
      <c r="EO39" s="7">
        <f t="shared" si="8"/>
        <v>8691.7999999999993</v>
      </c>
      <c r="EP39" s="7">
        <f t="shared" si="8"/>
        <v>8691.7999999999993</v>
      </c>
      <c r="EQ39" s="7">
        <f t="shared" si="8"/>
        <v>8691.7999999999993</v>
      </c>
      <c r="ER39" s="7">
        <f t="shared" si="8"/>
        <v>8691.7999999999993</v>
      </c>
      <c r="ES39" s="7">
        <f t="shared" si="8"/>
        <v>8691.7999999999993</v>
      </c>
      <c r="ET39" s="7">
        <f t="shared" si="8"/>
        <v>8691.7999999999993</v>
      </c>
      <c r="EU39" s="7">
        <f t="shared" si="8"/>
        <v>8691.7999999999993</v>
      </c>
      <c r="EV39" s="7">
        <f t="shared" si="8"/>
        <v>8691.7999999999993</v>
      </c>
      <c r="EW39" s="7">
        <f t="shared" si="8"/>
        <v>8691.7999999999993</v>
      </c>
      <c r="EX39" s="7">
        <f t="shared" si="8"/>
        <v>8691.7999999999993</v>
      </c>
      <c r="EY39" s="7">
        <f t="shared" si="8"/>
        <v>8691.7999999999993</v>
      </c>
      <c r="EZ39" s="7">
        <f t="shared" si="8"/>
        <v>8691.7999999999993</v>
      </c>
      <c r="FA39" s="7">
        <f t="shared" si="8"/>
        <v>8691.7999999999993</v>
      </c>
      <c r="FB39" s="7">
        <f t="shared" si="8"/>
        <v>8691.7999999999993</v>
      </c>
      <c r="FC39" s="7">
        <f t="shared" si="8"/>
        <v>8691.7999999999993</v>
      </c>
      <c r="FD39" s="7">
        <f t="shared" si="8"/>
        <v>8691.7999999999993</v>
      </c>
      <c r="FE39" s="7">
        <f t="shared" si="8"/>
        <v>8691.7999999999993</v>
      </c>
      <c r="FF39" s="7">
        <f t="shared" si="8"/>
        <v>8691.7999999999993</v>
      </c>
      <c r="FG39" s="7">
        <f t="shared" si="8"/>
        <v>8691.7999999999993</v>
      </c>
      <c r="FH39" s="7">
        <f t="shared" si="8"/>
        <v>8691.7999999999993</v>
      </c>
      <c r="FI39" s="7">
        <f t="shared" si="8"/>
        <v>8691.7999999999993</v>
      </c>
      <c r="FJ39" s="7">
        <f t="shared" si="8"/>
        <v>8691.7999999999993</v>
      </c>
      <c r="FK39" s="7">
        <f t="shared" si="8"/>
        <v>8691.7999999999993</v>
      </c>
      <c r="FL39" s="7">
        <f t="shared" si="8"/>
        <v>8691.7999999999993</v>
      </c>
      <c r="FM39" s="7">
        <f t="shared" si="8"/>
        <v>8691.7999999999993</v>
      </c>
      <c r="FN39" s="7">
        <f t="shared" si="8"/>
        <v>8691.7999999999993</v>
      </c>
      <c r="FO39" s="7">
        <f t="shared" si="8"/>
        <v>8691.7999999999993</v>
      </c>
      <c r="FP39" s="7">
        <f t="shared" si="8"/>
        <v>8691.7999999999993</v>
      </c>
      <c r="FQ39" s="7">
        <f t="shared" si="8"/>
        <v>8691.7999999999993</v>
      </c>
      <c r="FR39" s="7">
        <f t="shared" si="8"/>
        <v>8691.7999999999993</v>
      </c>
      <c r="FS39" s="7">
        <f t="shared" si="8"/>
        <v>8691.7999999999993</v>
      </c>
      <c r="FT39" s="7">
        <f t="shared" si="8"/>
        <v>8691.7999999999993</v>
      </c>
      <c r="FU39" s="7">
        <f t="shared" si="8"/>
        <v>8691.7999999999993</v>
      </c>
      <c r="FV39" s="7">
        <f t="shared" si="8"/>
        <v>8691.7999999999993</v>
      </c>
      <c r="FW39" s="7">
        <f t="shared" si="8"/>
        <v>8691.7999999999993</v>
      </c>
      <c r="FX39" s="7">
        <f t="shared" si="8"/>
        <v>8691.7999999999993</v>
      </c>
      <c r="FY39" s="7"/>
      <c r="FZ39" s="23"/>
      <c r="GA39" s="23"/>
      <c r="GB39" s="23"/>
      <c r="GC39" s="23"/>
      <c r="GD39" s="23"/>
      <c r="GE39" s="7"/>
      <c r="GF39" s="7"/>
      <c r="GG39" s="7"/>
      <c r="GH39" s="7"/>
      <c r="GI39" s="7"/>
      <c r="GJ39" s="7"/>
      <c r="GK39" s="7"/>
    </row>
    <row r="40" spans="1:207" ht="15.5" x14ac:dyDescent="0.35">
      <c r="A40" s="12" t="s">
        <v>489</v>
      </c>
      <c r="B40" s="7" t="s">
        <v>762</v>
      </c>
      <c r="C40" s="94">
        <v>11028.65</v>
      </c>
      <c r="D40" s="7">
        <f t="shared" ref="D40:FX40" si="9">$C$40</f>
        <v>11028.65</v>
      </c>
      <c r="E40" s="7">
        <f t="shared" si="9"/>
        <v>11028.65</v>
      </c>
      <c r="F40" s="7">
        <f t="shared" si="9"/>
        <v>11028.65</v>
      </c>
      <c r="G40" s="7">
        <f t="shared" si="9"/>
        <v>11028.65</v>
      </c>
      <c r="H40" s="7">
        <f t="shared" si="9"/>
        <v>11028.65</v>
      </c>
      <c r="I40" s="7">
        <f t="shared" si="9"/>
        <v>11028.65</v>
      </c>
      <c r="J40" s="7">
        <f t="shared" si="9"/>
        <v>11028.65</v>
      </c>
      <c r="K40" s="7">
        <f t="shared" si="9"/>
        <v>11028.65</v>
      </c>
      <c r="L40" s="7">
        <f t="shared" si="9"/>
        <v>11028.65</v>
      </c>
      <c r="M40" s="7">
        <f t="shared" si="9"/>
        <v>11028.65</v>
      </c>
      <c r="N40" s="7">
        <f t="shared" si="9"/>
        <v>11028.65</v>
      </c>
      <c r="O40" s="7">
        <f t="shared" si="9"/>
        <v>11028.65</v>
      </c>
      <c r="P40" s="7">
        <f t="shared" si="9"/>
        <v>11028.65</v>
      </c>
      <c r="Q40" s="7">
        <f t="shared" si="9"/>
        <v>11028.65</v>
      </c>
      <c r="R40" s="7">
        <f t="shared" si="9"/>
        <v>11028.65</v>
      </c>
      <c r="S40" s="7">
        <f t="shared" si="9"/>
        <v>11028.65</v>
      </c>
      <c r="T40" s="7">
        <f t="shared" si="9"/>
        <v>11028.65</v>
      </c>
      <c r="U40" s="7">
        <f t="shared" si="9"/>
        <v>11028.65</v>
      </c>
      <c r="V40" s="7">
        <f t="shared" si="9"/>
        <v>11028.65</v>
      </c>
      <c r="W40" s="7">
        <f t="shared" si="9"/>
        <v>11028.65</v>
      </c>
      <c r="X40" s="7">
        <f t="shared" si="9"/>
        <v>11028.65</v>
      </c>
      <c r="Y40" s="7">
        <f t="shared" si="9"/>
        <v>11028.65</v>
      </c>
      <c r="Z40" s="7">
        <f t="shared" si="9"/>
        <v>11028.65</v>
      </c>
      <c r="AA40" s="7">
        <f t="shared" si="9"/>
        <v>11028.65</v>
      </c>
      <c r="AB40" s="7">
        <f t="shared" si="9"/>
        <v>11028.65</v>
      </c>
      <c r="AC40" s="7">
        <f t="shared" si="9"/>
        <v>11028.65</v>
      </c>
      <c r="AD40" s="7">
        <f t="shared" si="9"/>
        <v>11028.65</v>
      </c>
      <c r="AE40" s="7">
        <f t="shared" si="9"/>
        <v>11028.65</v>
      </c>
      <c r="AF40" s="7">
        <f t="shared" si="9"/>
        <v>11028.65</v>
      </c>
      <c r="AG40" s="7">
        <f t="shared" si="9"/>
        <v>11028.65</v>
      </c>
      <c r="AH40" s="7">
        <f t="shared" si="9"/>
        <v>11028.65</v>
      </c>
      <c r="AI40" s="7">
        <f t="shared" si="9"/>
        <v>11028.65</v>
      </c>
      <c r="AJ40" s="7">
        <f t="shared" si="9"/>
        <v>11028.65</v>
      </c>
      <c r="AK40" s="7">
        <f t="shared" si="9"/>
        <v>11028.65</v>
      </c>
      <c r="AL40" s="7">
        <f t="shared" si="9"/>
        <v>11028.65</v>
      </c>
      <c r="AM40" s="7">
        <f t="shared" si="9"/>
        <v>11028.65</v>
      </c>
      <c r="AN40" s="7">
        <f t="shared" si="9"/>
        <v>11028.65</v>
      </c>
      <c r="AO40" s="7">
        <f t="shared" si="9"/>
        <v>11028.65</v>
      </c>
      <c r="AP40" s="7">
        <f t="shared" si="9"/>
        <v>11028.65</v>
      </c>
      <c r="AQ40" s="7">
        <f t="shared" si="9"/>
        <v>11028.65</v>
      </c>
      <c r="AR40" s="7">
        <f t="shared" si="9"/>
        <v>11028.65</v>
      </c>
      <c r="AS40" s="7">
        <f t="shared" si="9"/>
        <v>11028.65</v>
      </c>
      <c r="AT40" s="7">
        <f t="shared" si="9"/>
        <v>11028.65</v>
      </c>
      <c r="AU40" s="7">
        <f t="shared" si="9"/>
        <v>11028.65</v>
      </c>
      <c r="AV40" s="7">
        <f t="shared" si="9"/>
        <v>11028.65</v>
      </c>
      <c r="AW40" s="7">
        <f t="shared" si="9"/>
        <v>11028.65</v>
      </c>
      <c r="AX40" s="7">
        <f t="shared" si="9"/>
        <v>11028.65</v>
      </c>
      <c r="AY40" s="7">
        <f t="shared" si="9"/>
        <v>11028.65</v>
      </c>
      <c r="AZ40" s="7">
        <f t="shared" si="9"/>
        <v>11028.65</v>
      </c>
      <c r="BA40" s="7">
        <f t="shared" si="9"/>
        <v>11028.65</v>
      </c>
      <c r="BB40" s="7">
        <f t="shared" si="9"/>
        <v>11028.65</v>
      </c>
      <c r="BC40" s="7">
        <f t="shared" si="9"/>
        <v>11028.65</v>
      </c>
      <c r="BD40" s="7">
        <f t="shared" si="9"/>
        <v>11028.65</v>
      </c>
      <c r="BE40" s="7">
        <f t="shared" si="9"/>
        <v>11028.65</v>
      </c>
      <c r="BF40" s="7">
        <f t="shared" si="9"/>
        <v>11028.65</v>
      </c>
      <c r="BG40" s="7">
        <f t="shared" si="9"/>
        <v>11028.65</v>
      </c>
      <c r="BH40" s="7">
        <f t="shared" si="9"/>
        <v>11028.65</v>
      </c>
      <c r="BI40" s="7">
        <f t="shared" si="9"/>
        <v>11028.65</v>
      </c>
      <c r="BJ40" s="7">
        <f t="shared" si="9"/>
        <v>11028.65</v>
      </c>
      <c r="BK40" s="7">
        <f t="shared" si="9"/>
        <v>11028.65</v>
      </c>
      <c r="BL40" s="7">
        <f t="shared" si="9"/>
        <v>11028.65</v>
      </c>
      <c r="BM40" s="7">
        <f t="shared" si="9"/>
        <v>11028.65</v>
      </c>
      <c r="BN40" s="7">
        <f t="shared" si="9"/>
        <v>11028.65</v>
      </c>
      <c r="BO40" s="7">
        <f t="shared" si="9"/>
        <v>11028.65</v>
      </c>
      <c r="BP40" s="7">
        <f t="shared" si="9"/>
        <v>11028.65</v>
      </c>
      <c r="BQ40" s="7">
        <f t="shared" si="9"/>
        <v>11028.65</v>
      </c>
      <c r="BR40" s="7">
        <f t="shared" si="9"/>
        <v>11028.65</v>
      </c>
      <c r="BS40" s="7">
        <f t="shared" si="9"/>
        <v>11028.65</v>
      </c>
      <c r="BT40" s="7">
        <f t="shared" si="9"/>
        <v>11028.65</v>
      </c>
      <c r="BU40" s="7">
        <f t="shared" si="9"/>
        <v>11028.65</v>
      </c>
      <c r="BV40" s="7">
        <f t="shared" si="9"/>
        <v>11028.65</v>
      </c>
      <c r="BW40" s="7">
        <f t="shared" si="9"/>
        <v>11028.65</v>
      </c>
      <c r="BX40" s="7">
        <f t="shared" si="9"/>
        <v>11028.65</v>
      </c>
      <c r="BY40" s="7">
        <f t="shared" si="9"/>
        <v>11028.65</v>
      </c>
      <c r="BZ40" s="7">
        <f t="shared" si="9"/>
        <v>11028.65</v>
      </c>
      <c r="CA40" s="7">
        <f t="shared" si="9"/>
        <v>11028.65</v>
      </c>
      <c r="CB40" s="7">
        <f t="shared" si="9"/>
        <v>11028.65</v>
      </c>
      <c r="CC40" s="7">
        <f t="shared" si="9"/>
        <v>11028.65</v>
      </c>
      <c r="CD40" s="7">
        <f t="shared" si="9"/>
        <v>11028.65</v>
      </c>
      <c r="CE40" s="7">
        <f t="shared" si="9"/>
        <v>11028.65</v>
      </c>
      <c r="CF40" s="7">
        <f t="shared" si="9"/>
        <v>11028.65</v>
      </c>
      <c r="CG40" s="7">
        <f t="shared" si="9"/>
        <v>11028.65</v>
      </c>
      <c r="CH40" s="7">
        <f t="shared" si="9"/>
        <v>11028.65</v>
      </c>
      <c r="CI40" s="7">
        <f t="shared" si="9"/>
        <v>11028.65</v>
      </c>
      <c r="CJ40" s="7">
        <f t="shared" si="9"/>
        <v>11028.65</v>
      </c>
      <c r="CK40" s="7">
        <f t="shared" si="9"/>
        <v>11028.65</v>
      </c>
      <c r="CL40" s="7">
        <f t="shared" si="9"/>
        <v>11028.65</v>
      </c>
      <c r="CM40" s="7">
        <f t="shared" si="9"/>
        <v>11028.65</v>
      </c>
      <c r="CN40" s="7">
        <f t="shared" si="9"/>
        <v>11028.65</v>
      </c>
      <c r="CO40" s="7">
        <f t="shared" si="9"/>
        <v>11028.65</v>
      </c>
      <c r="CP40" s="7">
        <f t="shared" si="9"/>
        <v>11028.65</v>
      </c>
      <c r="CQ40" s="7">
        <f t="shared" si="9"/>
        <v>11028.65</v>
      </c>
      <c r="CR40" s="7">
        <f t="shared" si="9"/>
        <v>11028.65</v>
      </c>
      <c r="CS40" s="7">
        <f t="shared" si="9"/>
        <v>11028.65</v>
      </c>
      <c r="CT40" s="7">
        <f t="shared" si="9"/>
        <v>11028.65</v>
      </c>
      <c r="CU40" s="7">
        <f t="shared" si="9"/>
        <v>11028.65</v>
      </c>
      <c r="CV40" s="7">
        <f t="shared" si="9"/>
        <v>11028.65</v>
      </c>
      <c r="CW40" s="7">
        <f t="shared" si="9"/>
        <v>11028.65</v>
      </c>
      <c r="CX40" s="7">
        <f t="shared" si="9"/>
        <v>11028.65</v>
      </c>
      <c r="CY40" s="7">
        <f t="shared" si="9"/>
        <v>11028.65</v>
      </c>
      <c r="CZ40" s="7">
        <f t="shared" si="9"/>
        <v>11028.65</v>
      </c>
      <c r="DA40" s="7">
        <f t="shared" si="9"/>
        <v>11028.65</v>
      </c>
      <c r="DB40" s="7">
        <f t="shared" si="9"/>
        <v>11028.65</v>
      </c>
      <c r="DC40" s="7">
        <f t="shared" si="9"/>
        <v>11028.65</v>
      </c>
      <c r="DD40" s="7">
        <f t="shared" si="9"/>
        <v>11028.65</v>
      </c>
      <c r="DE40" s="7">
        <f t="shared" si="9"/>
        <v>11028.65</v>
      </c>
      <c r="DF40" s="7">
        <f t="shared" si="9"/>
        <v>11028.65</v>
      </c>
      <c r="DG40" s="7">
        <f t="shared" si="9"/>
        <v>11028.65</v>
      </c>
      <c r="DH40" s="7">
        <f t="shared" si="9"/>
        <v>11028.65</v>
      </c>
      <c r="DI40" s="7">
        <f t="shared" si="9"/>
        <v>11028.65</v>
      </c>
      <c r="DJ40" s="7">
        <f t="shared" si="9"/>
        <v>11028.65</v>
      </c>
      <c r="DK40" s="7">
        <f t="shared" si="9"/>
        <v>11028.65</v>
      </c>
      <c r="DL40" s="7">
        <f t="shared" si="9"/>
        <v>11028.65</v>
      </c>
      <c r="DM40" s="7">
        <f t="shared" si="9"/>
        <v>11028.65</v>
      </c>
      <c r="DN40" s="7">
        <f t="shared" si="9"/>
        <v>11028.65</v>
      </c>
      <c r="DO40" s="7">
        <f t="shared" si="9"/>
        <v>11028.65</v>
      </c>
      <c r="DP40" s="7">
        <f t="shared" si="9"/>
        <v>11028.65</v>
      </c>
      <c r="DQ40" s="7">
        <f t="shared" si="9"/>
        <v>11028.65</v>
      </c>
      <c r="DR40" s="7">
        <f t="shared" si="9"/>
        <v>11028.65</v>
      </c>
      <c r="DS40" s="7">
        <f t="shared" si="9"/>
        <v>11028.65</v>
      </c>
      <c r="DT40" s="7">
        <f t="shared" si="9"/>
        <v>11028.65</v>
      </c>
      <c r="DU40" s="7">
        <f t="shared" si="9"/>
        <v>11028.65</v>
      </c>
      <c r="DV40" s="7">
        <f t="shared" si="9"/>
        <v>11028.65</v>
      </c>
      <c r="DW40" s="7">
        <f t="shared" si="9"/>
        <v>11028.65</v>
      </c>
      <c r="DX40" s="7">
        <f t="shared" si="9"/>
        <v>11028.65</v>
      </c>
      <c r="DY40" s="7">
        <f t="shared" si="9"/>
        <v>11028.65</v>
      </c>
      <c r="DZ40" s="7">
        <f t="shared" si="9"/>
        <v>11028.65</v>
      </c>
      <c r="EA40" s="7">
        <f t="shared" si="9"/>
        <v>11028.65</v>
      </c>
      <c r="EB40" s="7">
        <f t="shared" si="9"/>
        <v>11028.65</v>
      </c>
      <c r="EC40" s="7">
        <f t="shared" si="9"/>
        <v>11028.65</v>
      </c>
      <c r="ED40" s="7">
        <f t="shared" si="9"/>
        <v>11028.65</v>
      </c>
      <c r="EE40" s="7">
        <f t="shared" si="9"/>
        <v>11028.65</v>
      </c>
      <c r="EF40" s="7">
        <f t="shared" si="9"/>
        <v>11028.65</v>
      </c>
      <c r="EG40" s="7">
        <f t="shared" si="9"/>
        <v>11028.65</v>
      </c>
      <c r="EH40" s="7">
        <f t="shared" si="9"/>
        <v>11028.65</v>
      </c>
      <c r="EI40" s="7">
        <f t="shared" si="9"/>
        <v>11028.65</v>
      </c>
      <c r="EJ40" s="7">
        <f t="shared" si="9"/>
        <v>11028.65</v>
      </c>
      <c r="EK40" s="7">
        <f t="shared" si="9"/>
        <v>11028.65</v>
      </c>
      <c r="EL40" s="7">
        <f t="shared" si="9"/>
        <v>11028.65</v>
      </c>
      <c r="EM40" s="7">
        <f t="shared" si="9"/>
        <v>11028.65</v>
      </c>
      <c r="EN40" s="7">
        <f t="shared" si="9"/>
        <v>11028.65</v>
      </c>
      <c r="EO40" s="7">
        <f t="shared" si="9"/>
        <v>11028.65</v>
      </c>
      <c r="EP40" s="7">
        <f t="shared" si="9"/>
        <v>11028.65</v>
      </c>
      <c r="EQ40" s="7">
        <f t="shared" si="9"/>
        <v>11028.65</v>
      </c>
      <c r="ER40" s="7">
        <f t="shared" si="9"/>
        <v>11028.65</v>
      </c>
      <c r="ES40" s="7">
        <f t="shared" si="9"/>
        <v>11028.65</v>
      </c>
      <c r="ET40" s="7">
        <f t="shared" si="9"/>
        <v>11028.65</v>
      </c>
      <c r="EU40" s="7">
        <f t="shared" si="9"/>
        <v>11028.65</v>
      </c>
      <c r="EV40" s="7">
        <f t="shared" si="9"/>
        <v>11028.65</v>
      </c>
      <c r="EW40" s="7">
        <f t="shared" si="9"/>
        <v>11028.65</v>
      </c>
      <c r="EX40" s="7">
        <f t="shared" si="9"/>
        <v>11028.65</v>
      </c>
      <c r="EY40" s="7">
        <f t="shared" si="9"/>
        <v>11028.65</v>
      </c>
      <c r="EZ40" s="7">
        <f t="shared" si="9"/>
        <v>11028.65</v>
      </c>
      <c r="FA40" s="7">
        <f t="shared" si="9"/>
        <v>11028.65</v>
      </c>
      <c r="FB40" s="7">
        <f t="shared" si="9"/>
        <v>11028.65</v>
      </c>
      <c r="FC40" s="7">
        <f t="shared" si="9"/>
        <v>11028.65</v>
      </c>
      <c r="FD40" s="7">
        <f t="shared" si="9"/>
        <v>11028.65</v>
      </c>
      <c r="FE40" s="7">
        <f t="shared" si="9"/>
        <v>11028.65</v>
      </c>
      <c r="FF40" s="7">
        <f t="shared" si="9"/>
        <v>11028.65</v>
      </c>
      <c r="FG40" s="7">
        <f t="shared" si="9"/>
        <v>11028.65</v>
      </c>
      <c r="FH40" s="7">
        <f t="shared" si="9"/>
        <v>11028.65</v>
      </c>
      <c r="FI40" s="7">
        <f t="shared" si="9"/>
        <v>11028.65</v>
      </c>
      <c r="FJ40" s="7">
        <f t="shared" si="9"/>
        <v>11028.65</v>
      </c>
      <c r="FK40" s="7">
        <f t="shared" si="9"/>
        <v>11028.65</v>
      </c>
      <c r="FL40" s="7">
        <f t="shared" si="9"/>
        <v>11028.65</v>
      </c>
      <c r="FM40" s="7">
        <f t="shared" si="9"/>
        <v>11028.65</v>
      </c>
      <c r="FN40" s="7">
        <f t="shared" si="9"/>
        <v>11028.65</v>
      </c>
      <c r="FO40" s="7">
        <f t="shared" si="9"/>
        <v>11028.65</v>
      </c>
      <c r="FP40" s="7">
        <f t="shared" si="9"/>
        <v>11028.65</v>
      </c>
      <c r="FQ40" s="7">
        <f t="shared" si="9"/>
        <v>11028.65</v>
      </c>
      <c r="FR40" s="7">
        <f t="shared" si="9"/>
        <v>11028.65</v>
      </c>
      <c r="FS40" s="7">
        <f t="shared" si="9"/>
        <v>11028.65</v>
      </c>
      <c r="FT40" s="7">
        <f t="shared" si="9"/>
        <v>11028.65</v>
      </c>
      <c r="FU40" s="7">
        <f t="shared" si="9"/>
        <v>11028.65</v>
      </c>
      <c r="FV40" s="7">
        <f t="shared" si="9"/>
        <v>11028.65</v>
      </c>
      <c r="FW40" s="7">
        <f t="shared" si="9"/>
        <v>11028.65</v>
      </c>
      <c r="FX40" s="7">
        <f t="shared" si="9"/>
        <v>11028.65</v>
      </c>
      <c r="FY40" s="7"/>
      <c r="FZ40" s="53">
        <f t="shared" ref="FZ40:FZ41" si="10">AVERAGE(C40:FX40)</f>
        <v>11028.649999999965</v>
      </c>
      <c r="GA40" s="23"/>
      <c r="GB40" s="23"/>
      <c r="GC40" s="23"/>
      <c r="GD40" s="23"/>
      <c r="GE40" s="7"/>
      <c r="GF40" s="7"/>
      <c r="GG40" s="7"/>
      <c r="GH40" s="7"/>
      <c r="GI40" s="7"/>
      <c r="GJ40" s="7"/>
      <c r="GK40" s="7"/>
    </row>
    <row r="41" spans="1:207" ht="15.5" x14ac:dyDescent="0.35">
      <c r="A41" s="12" t="s">
        <v>763</v>
      </c>
      <c r="B41" s="7" t="s">
        <v>764</v>
      </c>
      <c r="C41" s="94">
        <f>B5</f>
        <v>10480</v>
      </c>
      <c r="D41" s="7">
        <f t="shared" ref="D41:FX41" si="11">$C$41</f>
        <v>10480</v>
      </c>
      <c r="E41" s="7">
        <f t="shared" si="11"/>
        <v>10480</v>
      </c>
      <c r="F41" s="7">
        <f t="shared" si="11"/>
        <v>10480</v>
      </c>
      <c r="G41" s="7">
        <f t="shared" si="11"/>
        <v>10480</v>
      </c>
      <c r="H41" s="7">
        <f t="shared" si="11"/>
        <v>10480</v>
      </c>
      <c r="I41" s="7">
        <f t="shared" si="11"/>
        <v>10480</v>
      </c>
      <c r="J41" s="7">
        <f t="shared" si="11"/>
        <v>10480</v>
      </c>
      <c r="K41" s="7">
        <f t="shared" si="11"/>
        <v>10480</v>
      </c>
      <c r="L41" s="7">
        <f t="shared" si="11"/>
        <v>10480</v>
      </c>
      <c r="M41" s="7">
        <f t="shared" si="11"/>
        <v>10480</v>
      </c>
      <c r="N41" s="7">
        <f t="shared" si="11"/>
        <v>10480</v>
      </c>
      <c r="O41" s="7">
        <f t="shared" si="11"/>
        <v>10480</v>
      </c>
      <c r="P41" s="7">
        <f t="shared" si="11"/>
        <v>10480</v>
      </c>
      <c r="Q41" s="7">
        <f t="shared" si="11"/>
        <v>10480</v>
      </c>
      <c r="R41" s="7">
        <f t="shared" si="11"/>
        <v>10480</v>
      </c>
      <c r="S41" s="7">
        <f t="shared" si="11"/>
        <v>10480</v>
      </c>
      <c r="T41" s="7">
        <f t="shared" si="11"/>
        <v>10480</v>
      </c>
      <c r="U41" s="7">
        <f t="shared" si="11"/>
        <v>10480</v>
      </c>
      <c r="V41" s="7">
        <f t="shared" si="11"/>
        <v>10480</v>
      </c>
      <c r="W41" s="7">
        <f t="shared" si="11"/>
        <v>10480</v>
      </c>
      <c r="X41" s="7">
        <f t="shared" si="11"/>
        <v>10480</v>
      </c>
      <c r="Y41" s="7">
        <f t="shared" si="11"/>
        <v>10480</v>
      </c>
      <c r="Z41" s="7">
        <f t="shared" si="11"/>
        <v>10480</v>
      </c>
      <c r="AA41" s="7">
        <f t="shared" si="11"/>
        <v>10480</v>
      </c>
      <c r="AB41" s="7">
        <f t="shared" si="11"/>
        <v>10480</v>
      </c>
      <c r="AC41" s="7">
        <f t="shared" si="11"/>
        <v>10480</v>
      </c>
      <c r="AD41" s="7">
        <f t="shared" si="11"/>
        <v>10480</v>
      </c>
      <c r="AE41" s="7">
        <f t="shared" si="11"/>
        <v>10480</v>
      </c>
      <c r="AF41" s="7">
        <f t="shared" si="11"/>
        <v>10480</v>
      </c>
      <c r="AG41" s="7">
        <f t="shared" si="11"/>
        <v>10480</v>
      </c>
      <c r="AH41" s="7">
        <f t="shared" si="11"/>
        <v>10480</v>
      </c>
      <c r="AI41" s="7">
        <f t="shared" si="11"/>
        <v>10480</v>
      </c>
      <c r="AJ41" s="7">
        <f t="shared" si="11"/>
        <v>10480</v>
      </c>
      <c r="AK41" s="7">
        <f t="shared" si="11"/>
        <v>10480</v>
      </c>
      <c r="AL41" s="7">
        <f t="shared" si="11"/>
        <v>10480</v>
      </c>
      <c r="AM41" s="7">
        <f t="shared" si="11"/>
        <v>10480</v>
      </c>
      <c r="AN41" s="7">
        <f t="shared" si="11"/>
        <v>10480</v>
      </c>
      <c r="AO41" s="7">
        <f t="shared" si="11"/>
        <v>10480</v>
      </c>
      <c r="AP41" s="7">
        <f t="shared" si="11"/>
        <v>10480</v>
      </c>
      <c r="AQ41" s="7">
        <f t="shared" si="11"/>
        <v>10480</v>
      </c>
      <c r="AR41" s="7">
        <f t="shared" si="11"/>
        <v>10480</v>
      </c>
      <c r="AS41" s="7">
        <f t="shared" si="11"/>
        <v>10480</v>
      </c>
      <c r="AT41" s="7">
        <f t="shared" si="11"/>
        <v>10480</v>
      </c>
      <c r="AU41" s="7">
        <f t="shared" si="11"/>
        <v>10480</v>
      </c>
      <c r="AV41" s="7">
        <f t="shared" si="11"/>
        <v>10480</v>
      </c>
      <c r="AW41" s="7">
        <f t="shared" si="11"/>
        <v>10480</v>
      </c>
      <c r="AX41" s="7">
        <f t="shared" si="11"/>
        <v>10480</v>
      </c>
      <c r="AY41" s="7">
        <f t="shared" si="11"/>
        <v>10480</v>
      </c>
      <c r="AZ41" s="7">
        <f t="shared" si="11"/>
        <v>10480</v>
      </c>
      <c r="BA41" s="7">
        <f t="shared" si="11"/>
        <v>10480</v>
      </c>
      <c r="BB41" s="7">
        <f t="shared" si="11"/>
        <v>10480</v>
      </c>
      <c r="BC41" s="7">
        <f t="shared" si="11"/>
        <v>10480</v>
      </c>
      <c r="BD41" s="7">
        <f t="shared" si="11"/>
        <v>10480</v>
      </c>
      <c r="BE41" s="7">
        <f t="shared" si="11"/>
        <v>10480</v>
      </c>
      <c r="BF41" s="7">
        <f t="shared" si="11"/>
        <v>10480</v>
      </c>
      <c r="BG41" s="7">
        <f t="shared" si="11"/>
        <v>10480</v>
      </c>
      <c r="BH41" s="7">
        <f t="shared" si="11"/>
        <v>10480</v>
      </c>
      <c r="BI41" s="7">
        <f t="shared" si="11"/>
        <v>10480</v>
      </c>
      <c r="BJ41" s="7">
        <f t="shared" si="11"/>
        <v>10480</v>
      </c>
      <c r="BK41" s="7">
        <f t="shared" si="11"/>
        <v>10480</v>
      </c>
      <c r="BL41" s="7">
        <f t="shared" si="11"/>
        <v>10480</v>
      </c>
      <c r="BM41" s="7">
        <f t="shared" si="11"/>
        <v>10480</v>
      </c>
      <c r="BN41" s="7">
        <f t="shared" si="11"/>
        <v>10480</v>
      </c>
      <c r="BO41" s="7">
        <f t="shared" si="11"/>
        <v>10480</v>
      </c>
      <c r="BP41" s="7">
        <f t="shared" si="11"/>
        <v>10480</v>
      </c>
      <c r="BQ41" s="7">
        <f t="shared" si="11"/>
        <v>10480</v>
      </c>
      <c r="BR41" s="7">
        <f t="shared" si="11"/>
        <v>10480</v>
      </c>
      <c r="BS41" s="7">
        <f t="shared" si="11"/>
        <v>10480</v>
      </c>
      <c r="BT41" s="7">
        <f t="shared" si="11"/>
        <v>10480</v>
      </c>
      <c r="BU41" s="7">
        <f t="shared" si="11"/>
        <v>10480</v>
      </c>
      <c r="BV41" s="7">
        <f t="shared" si="11"/>
        <v>10480</v>
      </c>
      <c r="BW41" s="7">
        <f t="shared" si="11"/>
        <v>10480</v>
      </c>
      <c r="BX41" s="7">
        <f t="shared" si="11"/>
        <v>10480</v>
      </c>
      <c r="BY41" s="7">
        <f t="shared" si="11"/>
        <v>10480</v>
      </c>
      <c r="BZ41" s="7">
        <f t="shared" si="11"/>
        <v>10480</v>
      </c>
      <c r="CA41" s="7">
        <f t="shared" si="11"/>
        <v>10480</v>
      </c>
      <c r="CB41" s="7">
        <f t="shared" si="11"/>
        <v>10480</v>
      </c>
      <c r="CC41" s="7">
        <f t="shared" si="11"/>
        <v>10480</v>
      </c>
      <c r="CD41" s="7">
        <f t="shared" si="11"/>
        <v>10480</v>
      </c>
      <c r="CE41" s="7">
        <f t="shared" si="11"/>
        <v>10480</v>
      </c>
      <c r="CF41" s="7">
        <f t="shared" si="11"/>
        <v>10480</v>
      </c>
      <c r="CG41" s="7">
        <f t="shared" si="11"/>
        <v>10480</v>
      </c>
      <c r="CH41" s="7">
        <f t="shared" si="11"/>
        <v>10480</v>
      </c>
      <c r="CI41" s="7">
        <f t="shared" si="11"/>
        <v>10480</v>
      </c>
      <c r="CJ41" s="7">
        <f t="shared" si="11"/>
        <v>10480</v>
      </c>
      <c r="CK41" s="7">
        <f t="shared" si="11"/>
        <v>10480</v>
      </c>
      <c r="CL41" s="7">
        <f t="shared" si="11"/>
        <v>10480</v>
      </c>
      <c r="CM41" s="7">
        <f t="shared" si="11"/>
        <v>10480</v>
      </c>
      <c r="CN41" s="7">
        <f t="shared" si="11"/>
        <v>10480</v>
      </c>
      <c r="CO41" s="7">
        <f t="shared" si="11"/>
        <v>10480</v>
      </c>
      <c r="CP41" s="7">
        <f t="shared" si="11"/>
        <v>10480</v>
      </c>
      <c r="CQ41" s="7">
        <f t="shared" si="11"/>
        <v>10480</v>
      </c>
      <c r="CR41" s="7">
        <f t="shared" si="11"/>
        <v>10480</v>
      </c>
      <c r="CS41" s="7">
        <f t="shared" si="11"/>
        <v>10480</v>
      </c>
      <c r="CT41" s="7">
        <f t="shared" si="11"/>
        <v>10480</v>
      </c>
      <c r="CU41" s="7">
        <f t="shared" si="11"/>
        <v>10480</v>
      </c>
      <c r="CV41" s="7">
        <f t="shared" si="11"/>
        <v>10480</v>
      </c>
      <c r="CW41" s="7">
        <f t="shared" si="11"/>
        <v>10480</v>
      </c>
      <c r="CX41" s="7">
        <f t="shared" si="11"/>
        <v>10480</v>
      </c>
      <c r="CY41" s="7">
        <f t="shared" si="11"/>
        <v>10480</v>
      </c>
      <c r="CZ41" s="7">
        <f t="shared" si="11"/>
        <v>10480</v>
      </c>
      <c r="DA41" s="7">
        <f t="shared" si="11"/>
        <v>10480</v>
      </c>
      <c r="DB41" s="7">
        <f t="shared" si="11"/>
        <v>10480</v>
      </c>
      <c r="DC41" s="7">
        <f t="shared" si="11"/>
        <v>10480</v>
      </c>
      <c r="DD41" s="7">
        <f t="shared" si="11"/>
        <v>10480</v>
      </c>
      <c r="DE41" s="7">
        <f t="shared" si="11"/>
        <v>10480</v>
      </c>
      <c r="DF41" s="7">
        <f t="shared" si="11"/>
        <v>10480</v>
      </c>
      <c r="DG41" s="7">
        <f t="shared" si="11"/>
        <v>10480</v>
      </c>
      <c r="DH41" s="7">
        <f t="shared" si="11"/>
        <v>10480</v>
      </c>
      <c r="DI41" s="7">
        <f t="shared" si="11"/>
        <v>10480</v>
      </c>
      <c r="DJ41" s="7">
        <f t="shared" si="11"/>
        <v>10480</v>
      </c>
      <c r="DK41" s="7">
        <f t="shared" si="11"/>
        <v>10480</v>
      </c>
      <c r="DL41" s="7">
        <f t="shared" si="11"/>
        <v>10480</v>
      </c>
      <c r="DM41" s="7">
        <f t="shared" si="11"/>
        <v>10480</v>
      </c>
      <c r="DN41" s="7">
        <f t="shared" si="11"/>
        <v>10480</v>
      </c>
      <c r="DO41" s="7">
        <f t="shared" si="11"/>
        <v>10480</v>
      </c>
      <c r="DP41" s="7">
        <f t="shared" si="11"/>
        <v>10480</v>
      </c>
      <c r="DQ41" s="7">
        <f t="shared" si="11"/>
        <v>10480</v>
      </c>
      <c r="DR41" s="7">
        <f t="shared" si="11"/>
        <v>10480</v>
      </c>
      <c r="DS41" s="7">
        <f t="shared" si="11"/>
        <v>10480</v>
      </c>
      <c r="DT41" s="7">
        <f t="shared" si="11"/>
        <v>10480</v>
      </c>
      <c r="DU41" s="7">
        <f t="shared" si="11"/>
        <v>10480</v>
      </c>
      <c r="DV41" s="7">
        <f t="shared" si="11"/>
        <v>10480</v>
      </c>
      <c r="DW41" s="7">
        <f t="shared" si="11"/>
        <v>10480</v>
      </c>
      <c r="DX41" s="7">
        <f t="shared" si="11"/>
        <v>10480</v>
      </c>
      <c r="DY41" s="7">
        <f t="shared" si="11"/>
        <v>10480</v>
      </c>
      <c r="DZ41" s="7">
        <f t="shared" si="11"/>
        <v>10480</v>
      </c>
      <c r="EA41" s="7">
        <f t="shared" si="11"/>
        <v>10480</v>
      </c>
      <c r="EB41" s="7">
        <f t="shared" si="11"/>
        <v>10480</v>
      </c>
      <c r="EC41" s="7">
        <f t="shared" si="11"/>
        <v>10480</v>
      </c>
      <c r="ED41" s="7">
        <f t="shared" si="11"/>
        <v>10480</v>
      </c>
      <c r="EE41" s="7">
        <f t="shared" si="11"/>
        <v>10480</v>
      </c>
      <c r="EF41" s="7">
        <f t="shared" si="11"/>
        <v>10480</v>
      </c>
      <c r="EG41" s="7">
        <f t="shared" si="11"/>
        <v>10480</v>
      </c>
      <c r="EH41" s="7">
        <f t="shared" si="11"/>
        <v>10480</v>
      </c>
      <c r="EI41" s="7">
        <f t="shared" si="11"/>
        <v>10480</v>
      </c>
      <c r="EJ41" s="7">
        <f t="shared" si="11"/>
        <v>10480</v>
      </c>
      <c r="EK41" s="7">
        <f t="shared" si="11"/>
        <v>10480</v>
      </c>
      <c r="EL41" s="7">
        <f t="shared" si="11"/>
        <v>10480</v>
      </c>
      <c r="EM41" s="7">
        <f t="shared" si="11"/>
        <v>10480</v>
      </c>
      <c r="EN41" s="7">
        <f t="shared" si="11"/>
        <v>10480</v>
      </c>
      <c r="EO41" s="7">
        <f t="shared" si="11"/>
        <v>10480</v>
      </c>
      <c r="EP41" s="7">
        <f t="shared" si="11"/>
        <v>10480</v>
      </c>
      <c r="EQ41" s="7">
        <f t="shared" si="11"/>
        <v>10480</v>
      </c>
      <c r="ER41" s="7">
        <f t="shared" si="11"/>
        <v>10480</v>
      </c>
      <c r="ES41" s="7">
        <f t="shared" si="11"/>
        <v>10480</v>
      </c>
      <c r="ET41" s="7">
        <f t="shared" si="11"/>
        <v>10480</v>
      </c>
      <c r="EU41" s="7">
        <f t="shared" si="11"/>
        <v>10480</v>
      </c>
      <c r="EV41" s="7">
        <f t="shared" si="11"/>
        <v>10480</v>
      </c>
      <c r="EW41" s="7">
        <f t="shared" si="11"/>
        <v>10480</v>
      </c>
      <c r="EX41" s="7">
        <f t="shared" si="11"/>
        <v>10480</v>
      </c>
      <c r="EY41" s="7">
        <f t="shared" si="11"/>
        <v>10480</v>
      </c>
      <c r="EZ41" s="7">
        <f t="shared" si="11"/>
        <v>10480</v>
      </c>
      <c r="FA41" s="7">
        <f t="shared" si="11"/>
        <v>10480</v>
      </c>
      <c r="FB41" s="7">
        <f t="shared" si="11"/>
        <v>10480</v>
      </c>
      <c r="FC41" s="7">
        <f t="shared" si="11"/>
        <v>10480</v>
      </c>
      <c r="FD41" s="7">
        <f t="shared" si="11"/>
        <v>10480</v>
      </c>
      <c r="FE41" s="7">
        <f t="shared" si="11"/>
        <v>10480</v>
      </c>
      <c r="FF41" s="7">
        <f t="shared" si="11"/>
        <v>10480</v>
      </c>
      <c r="FG41" s="7">
        <f t="shared" si="11"/>
        <v>10480</v>
      </c>
      <c r="FH41" s="7">
        <f t="shared" si="11"/>
        <v>10480</v>
      </c>
      <c r="FI41" s="7">
        <f t="shared" si="11"/>
        <v>10480</v>
      </c>
      <c r="FJ41" s="7">
        <f t="shared" si="11"/>
        <v>10480</v>
      </c>
      <c r="FK41" s="7">
        <f t="shared" si="11"/>
        <v>10480</v>
      </c>
      <c r="FL41" s="7">
        <f t="shared" si="11"/>
        <v>10480</v>
      </c>
      <c r="FM41" s="7">
        <f t="shared" si="11"/>
        <v>10480</v>
      </c>
      <c r="FN41" s="7">
        <f t="shared" si="11"/>
        <v>10480</v>
      </c>
      <c r="FO41" s="7">
        <f t="shared" si="11"/>
        <v>10480</v>
      </c>
      <c r="FP41" s="7">
        <f t="shared" si="11"/>
        <v>10480</v>
      </c>
      <c r="FQ41" s="7">
        <f t="shared" si="11"/>
        <v>10480</v>
      </c>
      <c r="FR41" s="7">
        <f t="shared" si="11"/>
        <v>10480</v>
      </c>
      <c r="FS41" s="7">
        <f t="shared" si="11"/>
        <v>10480</v>
      </c>
      <c r="FT41" s="7">
        <f t="shared" si="11"/>
        <v>10480</v>
      </c>
      <c r="FU41" s="7">
        <f t="shared" si="11"/>
        <v>10480</v>
      </c>
      <c r="FV41" s="7">
        <f t="shared" si="11"/>
        <v>10480</v>
      </c>
      <c r="FW41" s="7">
        <f t="shared" si="11"/>
        <v>10480</v>
      </c>
      <c r="FX41" s="7">
        <f t="shared" si="11"/>
        <v>10480</v>
      </c>
      <c r="FY41" s="7"/>
      <c r="FZ41" s="53">
        <f t="shared" si="10"/>
        <v>10480</v>
      </c>
      <c r="GA41" s="23"/>
      <c r="GB41" s="23"/>
      <c r="GC41" s="23"/>
      <c r="GD41" s="23"/>
      <c r="GE41" s="7"/>
      <c r="GF41" s="7"/>
      <c r="GG41" s="7"/>
      <c r="GH41" s="7"/>
      <c r="GI41" s="7"/>
      <c r="GJ41" s="7"/>
      <c r="GK41" s="7"/>
    </row>
    <row r="42" spans="1:207" ht="15.5" x14ac:dyDescent="0.35">
      <c r="A42" s="12" t="s">
        <v>491</v>
      </c>
      <c r="B42" s="7" t="s">
        <v>765</v>
      </c>
      <c r="C42" s="95">
        <v>1.226</v>
      </c>
      <c r="D42" s="95">
        <v>1.226</v>
      </c>
      <c r="E42" s="95">
        <v>1.2150000000000001</v>
      </c>
      <c r="F42" s="95">
        <v>1.216</v>
      </c>
      <c r="G42" s="95">
        <v>1.2170000000000001</v>
      </c>
      <c r="H42" s="95">
        <v>1.208</v>
      </c>
      <c r="I42" s="95">
        <v>1.216</v>
      </c>
      <c r="J42" s="95">
        <v>1.1319999999999999</v>
      </c>
      <c r="K42" s="95">
        <v>1.111</v>
      </c>
      <c r="L42" s="95">
        <v>1.244</v>
      </c>
      <c r="M42" s="95">
        <v>1.244</v>
      </c>
      <c r="N42" s="95">
        <v>1.266</v>
      </c>
      <c r="O42" s="95">
        <v>1.236</v>
      </c>
      <c r="P42" s="95">
        <v>1.216</v>
      </c>
      <c r="Q42" s="95">
        <v>1.2450000000000001</v>
      </c>
      <c r="R42" s="95">
        <v>1.216</v>
      </c>
      <c r="S42" s="95">
        <v>1.1839999999999999</v>
      </c>
      <c r="T42" s="95">
        <v>1.0840000000000001</v>
      </c>
      <c r="U42" s="95">
        <v>1.075</v>
      </c>
      <c r="V42" s="95">
        <v>1.083</v>
      </c>
      <c r="W42" s="95">
        <v>1.075</v>
      </c>
      <c r="X42" s="95">
        <v>1.0740000000000001</v>
      </c>
      <c r="Y42" s="95">
        <v>1.073</v>
      </c>
      <c r="Z42" s="95">
        <v>1.054</v>
      </c>
      <c r="AA42" s="95">
        <v>1.2350000000000001</v>
      </c>
      <c r="AB42" s="95">
        <v>1.2649999999999999</v>
      </c>
      <c r="AC42" s="95">
        <v>1.177</v>
      </c>
      <c r="AD42" s="95">
        <v>1.157</v>
      </c>
      <c r="AE42" s="95">
        <v>1.0669999999999999</v>
      </c>
      <c r="AF42" s="95">
        <v>1.121</v>
      </c>
      <c r="AG42" s="95">
        <v>1.216</v>
      </c>
      <c r="AH42" s="95">
        <v>1.111</v>
      </c>
      <c r="AI42" s="95">
        <v>1.1020000000000001</v>
      </c>
      <c r="AJ42" s="95">
        <v>1.115</v>
      </c>
      <c r="AK42" s="95">
        <v>1.091</v>
      </c>
      <c r="AL42" s="95">
        <v>1.103</v>
      </c>
      <c r="AM42" s="95">
        <v>1.113</v>
      </c>
      <c r="AN42" s="95">
        <v>1.1459999999999999</v>
      </c>
      <c r="AO42" s="95">
        <v>1.194</v>
      </c>
      <c r="AP42" s="95">
        <v>1.246</v>
      </c>
      <c r="AQ42" s="95">
        <v>1.17</v>
      </c>
      <c r="AR42" s="95">
        <v>1.246</v>
      </c>
      <c r="AS42" s="95">
        <v>1.32</v>
      </c>
      <c r="AT42" s="95">
        <v>1.248</v>
      </c>
      <c r="AU42" s="95">
        <v>1.216</v>
      </c>
      <c r="AV42" s="95">
        <v>1.2030000000000001</v>
      </c>
      <c r="AW42" s="95">
        <v>1.2050000000000001</v>
      </c>
      <c r="AX42" s="95">
        <v>1.1739999999999999</v>
      </c>
      <c r="AY42" s="95">
        <v>1.2050000000000001</v>
      </c>
      <c r="AZ42" s="95">
        <v>1.2090000000000001</v>
      </c>
      <c r="BA42" s="95">
        <v>1.18</v>
      </c>
      <c r="BB42" s="95">
        <v>1.19</v>
      </c>
      <c r="BC42" s="95">
        <v>1.208</v>
      </c>
      <c r="BD42" s="95">
        <v>1.2110000000000001</v>
      </c>
      <c r="BE42" s="95">
        <v>1.2090000000000001</v>
      </c>
      <c r="BF42" s="95">
        <v>1.218</v>
      </c>
      <c r="BG42" s="95">
        <v>1.196</v>
      </c>
      <c r="BH42" s="95">
        <v>1.2070000000000001</v>
      </c>
      <c r="BI42" s="95">
        <v>1.18</v>
      </c>
      <c r="BJ42" s="95">
        <v>1.23</v>
      </c>
      <c r="BK42" s="95">
        <v>1.21</v>
      </c>
      <c r="BL42" s="95">
        <v>1.165</v>
      </c>
      <c r="BM42" s="95">
        <v>1.1679999999999999</v>
      </c>
      <c r="BN42" s="95">
        <v>1.155</v>
      </c>
      <c r="BO42" s="95">
        <v>1.139</v>
      </c>
      <c r="BP42" s="95">
        <v>1.1259999999999999</v>
      </c>
      <c r="BQ42" s="95">
        <v>1.3089999999999999</v>
      </c>
      <c r="BR42" s="95">
        <v>1.206</v>
      </c>
      <c r="BS42" s="95">
        <v>1.2150000000000001</v>
      </c>
      <c r="BT42" s="95">
        <v>1.236</v>
      </c>
      <c r="BU42" s="95">
        <v>1.238</v>
      </c>
      <c r="BV42" s="95">
        <v>1.19</v>
      </c>
      <c r="BW42" s="95">
        <v>1.2190000000000001</v>
      </c>
      <c r="BX42" s="95">
        <v>1.2170000000000001</v>
      </c>
      <c r="BY42" s="95">
        <v>1.085</v>
      </c>
      <c r="BZ42" s="95">
        <v>1.0669999999999999</v>
      </c>
      <c r="CA42" s="95">
        <v>1.165</v>
      </c>
      <c r="CB42" s="95">
        <v>1.234</v>
      </c>
      <c r="CC42" s="95">
        <v>1.0649999999999999</v>
      </c>
      <c r="CD42" s="95">
        <v>1.0449999999999999</v>
      </c>
      <c r="CE42" s="95">
        <v>1.0760000000000001</v>
      </c>
      <c r="CF42" s="95">
        <v>1.0369999999999999</v>
      </c>
      <c r="CG42" s="95">
        <v>1.077</v>
      </c>
      <c r="CH42" s="95">
        <v>1.077</v>
      </c>
      <c r="CI42" s="95">
        <v>1.0780000000000001</v>
      </c>
      <c r="CJ42" s="95">
        <v>1.1890000000000001</v>
      </c>
      <c r="CK42" s="95">
        <v>1.256</v>
      </c>
      <c r="CL42" s="95">
        <v>1.236</v>
      </c>
      <c r="CM42" s="95">
        <v>1.2250000000000001</v>
      </c>
      <c r="CN42" s="95">
        <v>1.1859999999999999</v>
      </c>
      <c r="CO42" s="95">
        <v>1.1870000000000001</v>
      </c>
      <c r="CP42" s="95">
        <v>1.224</v>
      </c>
      <c r="CQ42" s="95">
        <v>1.1619999999999999</v>
      </c>
      <c r="CR42" s="95">
        <v>1.113</v>
      </c>
      <c r="CS42" s="95">
        <v>1.1220000000000001</v>
      </c>
      <c r="CT42" s="95">
        <v>1.073</v>
      </c>
      <c r="CU42" s="95">
        <v>1.016</v>
      </c>
      <c r="CV42" s="95">
        <v>1.0149999999999999</v>
      </c>
      <c r="CW42" s="95">
        <v>1.1160000000000001</v>
      </c>
      <c r="CX42" s="95">
        <v>1.1459999999999999</v>
      </c>
      <c r="CY42" s="95">
        <v>1.0860000000000001</v>
      </c>
      <c r="CZ42" s="95">
        <v>1.161</v>
      </c>
      <c r="DA42" s="95">
        <v>1.1220000000000001</v>
      </c>
      <c r="DB42" s="95">
        <v>1.1519999999999999</v>
      </c>
      <c r="DC42" s="95">
        <v>1.133</v>
      </c>
      <c r="DD42" s="95">
        <v>1.1279999999999999</v>
      </c>
      <c r="DE42" s="95">
        <v>1.1459999999999999</v>
      </c>
      <c r="DF42" s="95">
        <v>1.1459999999999999</v>
      </c>
      <c r="DG42" s="95">
        <v>1.153</v>
      </c>
      <c r="DH42" s="95">
        <v>1.1359999999999999</v>
      </c>
      <c r="DI42" s="95">
        <v>1.1499999999999999</v>
      </c>
      <c r="DJ42" s="95">
        <v>1.1599999999999999</v>
      </c>
      <c r="DK42" s="95">
        <v>1.1479999999999999</v>
      </c>
      <c r="DL42" s="95">
        <v>1.2270000000000001</v>
      </c>
      <c r="DM42" s="95">
        <v>1.2030000000000001</v>
      </c>
      <c r="DN42" s="95">
        <v>1.1890000000000001</v>
      </c>
      <c r="DO42" s="95">
        <v>1.196</v>
      </c>
      <c r="DP42" s="95">
        <v>1.1759999999999999</v>
      </c>
      <c r="DQ42" s="95">
        <v>1.1719999999999999</v>
      </c>
      <c r="DR42" s="95">
        <v>1.145</v>
      </c>
      <c r="DS42" s="95">
        <v>1.1339999999999999</v>
      </c>
      <c r="DT42" s="95">
        <v>1.133</v>
      </c>
      <c r="DU42" s="95">
        <v>1.125</v>
      </c>
      <c r="DV42" s="95">
        <v>1.1220000000000001</v>
      </c>
      <c r="DW42" s="95">
        <v>1.133</v>
      </c>
      <c r="DX42" s="95">
        <v>1.3109999999999999</v>
      </c>
      <c r="DY42" s="95">
        <v>1.2869999999999999</v>
      </c>
      <c r="DZ42" s="95">
        <v>1.2390000000000001</v>
      </c>
      <c r="EA42" s="95">
        <v>1.2150000000000001</v>
      </c>
      <c r="EB42" s="95">
        <v>1.1180000000000001</v>
      </c>
      <c r="EC42" s="95">
        <v>1.075</v>
      </c>
      <c r="ED42" s="95">
        <v>1.6519999999999999</v>
      </c>
      <c r="EE42" s="95">
        <v>1.0740000000000001</v>
      </c>
      <c r="EF42" s="95">
        <v>1.133</v>
      </c>
      <c r="EG42" s="95">
        <v>1.0429999999999999</v>
      </c>
      <c r="EH42" s="95">
        <v>1.073</v>
      </c>
      <c r="EI42" s="95">
        <v>1.1779999999999999</v>
      </c>
      <c r="EJ42" s="95">
        <v>1.1659999999999999</v>
      </c>
      <c r="EK42" s="95">
        <v>1.1279999999999999</v>
      </c>
      <c r="EL42" s="95">
        <v>1.105</v>
      </c>
      <c r="EM42" s="95">
        <v>1.1220000000000001</v>
      </c>
      <c r="EN42" s="95">
        <v>1.123</v>
      </c>
      <c r="EO42" s="95">
        <v>1.113</v>
      </c>
      <c r="EP42" s="95">
        <v>1.2490000000000001</v>
      </c>
      <c r="EQ42" s="95">
        <v>1.272</v>
      </c>
      <c r="ER42" s="95">
        <v>1.248</v>
      </c>
      <c r="ES42" s="95">
        <v>1.0820000000000001</v>
      </c>
      <c r="ET42" s="95">
        <v>1.1060000000000001</v>
      </c>
      <c r="EU42" s="95">
        <v>1.0920000000000001</v>
      </c>
      <c r="EV42" s="95">
        <v>1.18</v>
      </c>
      <c r="EW42" s="95">
        <v>1.5960000000000001</v>
      </c>
      <c r="EX42" s="95">
        <v>1.232</v>
      </c>
      <c r="EY42" s="95">
        <v>1.117</v>
      </c>
      <c r="EZ42" s="95">
        <v>1.1040000000000001</v>
      </c>
      <c r="FA42" s="95">
        <v>1.321</v>
      </c>
      <c r="FB42" s="95">
        <v>1.1459999999999999</v>
      </c>
      <c r="FC42" s="95">
        <v>1.1950000000000001</v>
      </c>
      <c r="FD42" s="95">
        <v>1.145</v>
      </c>
      <c r="FE42" s="95">
        <v>1.1160000000000001</v>
      </c>
      <c r="FF42" s="95">
        <v>1.1339999999999999</v>
      </c>
      <c r="FG42" s="95">
        <v>1.1439999999999999</v>
      </c>
      <c r="FH42" s="95">
        <v>1.1080000000000001</v>
      </c>
      <c r="FI42" s="95">
        <v>1.1759999999999999</v>
      </c>
      <c r="FJ42" s="95">
        <v>1.167</v>
      </c>
      <c r="FK42" s="95">
        <v>1.1870000000000001</v>
      </c>
      <c r="FL42" s="95">
        <v>1.175</v>
      </c>
      <c r="FM42" s="95">
        <v>1.177</v>
      </c>
      <c r="FN42" s="95">
        <v>1.1850000000000001</v>
      </c>
      <c r="FO42" s="95">
        <v>1.177</v>
      </c>
      <c r="FP42" s="95">
        <v>1.206</v>
      </c>
      <c r="FQ42" s="95">
        <v>1.167</v>
      </c>
      <c r="FR42" s="95">
        <v>1.149</v>
      </c>
      <c r="FS42" s="95">
        <v>1.145</v>
      </c>
      <c r="FT42" s="95">
        <v>1.1459999999999999</v>
      </c>
      <c r="FU42" s="95">
        <v>1.1950000000000001</v>
      </c>
      <c r="FV42" s="95">
        <v>1.147</v>
      </c>
      <c r="FW42" s="95">
        <v>1.147</v>
      </c>
      <c r="FX42" s="95">
        <v>1.196</v>
      </c>
      <c r="FY42" s="65"/>
      <c r="FZ42" s="23"/>
      <c r="GA42" s="23"/>
      <c r="GB42" s="23"/>
      <c r="GC42" s="23"/>
      <c r="GD42" s="23"/>
      <c r="GE42" s="7"/>
      <c r="GF42" s="7"/>
      <c r="GG42" s="7"/>
      <c r="GH42" s="7"/>
      <c r="GI42" s="7"/>
      <c r="GJ42" s="7"/>
      <c r="GK42" s="7"/>
    </row>
    <row r="43" spans="1:207" ht="15.5" x14ac:dyDescent="0.35">
      <c r="A43" s="12" t="s">
        <v>493</v>
      </c>
      <c r="B43" s="7" t="s">
        <v>766</v>
      </c>
      <c r="C43" s="65">
        <v>0.12</v>
      </c>
      <c r="D43" s="65">
        <v>0.12</v>
      </c>
      <c r="E43" s="65">
        <v>0.12</v>
      </c>
      <c r="F43" s="65">
        <v>0.12</v>
      </c>
      <c r="G43" s="65">
        <v>0.12</v>
      </c>
      <c r="H43" s="65">
        <v>0.12</v>
      </c>
      <c r="I43" s="65">
        <v>0.12</v>
      </c>
      <c r="J43" s="65">
        <v>0.12</v>
      </c>
      <c r="K43" s="65">
        <v>0.12</v>
      </c>
      <c r="L43" s="65">
        <v>0.12</v>
      </c>
      <c r="M43" s="65">
        <v>0.12</v>
      </c>
      <c r="N43" s="65">
        <v>0.12</v>
      </c>
      <c r="O43" s="65">
        <v>0.12</v>
      </c>
      <c r="P43" s="65">
        <v>0.12</v>
      </c>
      <c r="Q43" s="65">
        <v>0.12</v>
      </c>
      <c r="R43" s="65">
        <v>0.12</v>
      </c>
      <c r="S43" s="65">
        <v>0.12</v>
      </c>
      <c r="T43" s="65">
        <v>0.12</v>
      </c>
      <c r="U43" s="65">
        <v>0.12</v>
      </c>
      <c r="V43" s="65">
        <v>0.12</v>
      </c>
      <c r="W43" s="65">
        <v>0.12</v>
      </c>
      <c r="X43" s="65">
        <v>0.12</v>
      </c>
      <c r="Y43" s="65">
        <v>0.12</v>
      </c>
      <c r="Z43" s="65">
        <v>0.12</v>
      </c>
      <c r="AA43" s="65">
        <v>0.12</v>
      </c>
      <c r="AB43" s="65">
        <v>0.12</v>
      </c>
      <c r="AC43" s="65">
        <v>0.12</v>
      </c>
      <c r="AD43" s="65">
        <v>0.12</v>
      </c>
      <c r="AE43" s="65">
        <v>0.12</v>
      </c>
      <c r="AF43" s="65">
        <v>0.12</v>
      </c>
      <c r="AG43" s="65">
        <v>0.12</v>
      </c>
      <c r="AH43" s="65">
        <v>0.12</v>
      </c>
      <c r="AI43" s="65">
        <v>0.12</v>
      </c>
      <c r="AJ43" s="65">
        <v>0.12</v>
      </c>
      <c r="AK43" s="65">
        <v>0.12</v>
      </c>
      <c r="AL43" s="65">
        <v>0.12</v>
      </c>
      <c r="AM43" s="65">
        <v>0.12</v>
      </c>
      <c r="AN43" s="65">
        <v>0.12</v>
      </c>
      <c r="AO43" s="65">
        <v>0.12</v>
      </c>
      <c r="AP43" s="65">
        <v>0.12</v>
      </c>
      <c r="AQ43" s="65">
        <v>0.12</v>
      </c>
      <c r="AR43" s="65">
        <v>0.12</v>
      </c>
      <c r="AS43" s="65">
        <v>0.12</v>
      </c>
      <c r="AT43" s="65">
        <v>0.12</v>
      </c>
      <c r="AU43" s="65">
        <v>0.12</v>
      </c>
      <c r="AV43" s="65">
        <v>0.12</v>
      </c>
      <c r="AW43" s="65">
        <v>0.12</v>
      </c>
      <c r="AX43" s="65">
        <v>0.12</v>
      </c>
      <c r="AY43" s="65">
        <v>0.12</v>
      </c>
      <c r="AZ43" s="65">
        <v>0.12</v>
      </c>
      <c r="BA43" s="65">
        <v>0.12</v>
      </c>
      <c r="BB43" s="65">
        <v>0.12</v>
      </c>
      <c r="BC43" s="65">
        <v>0.12</v>
      </c>
      <c r="BD43" s="65">
        <v>0.12</v>
      </c>
      <c r="BE43" s="65">
        <v>0.12</v>
      </c>
      <c r="BF43" s="65">
        <v>0.12</v>
      </c>
      <c r="BG43" s="65">
        <v>0.12</v>
      </c>
      <c r="BH43" s="65">
        <v>0.12</v>
      </c>
      <c r="BI43" s="65">
        <v>0.12</v>
      </c>
      <c r="BJ43" s="65">
        <v>0.12</v>
      </c>
      <c r="BK43" s="65">
        <v>0.12</v>
      </c>
      <c r="BL43" s="65">
        <v>0.12</v>
      </c>
      <c r="BM43" s="65">
        <v>0.12</v>
      </c>
      <c r="BN43" s="65">
        <v>0.12</v>
      </c>
      <c r="BO43" s="65">
        <v>0.12</v>
      </c>
      <c r="BP43" s="65">
        <v>0.12</v>
      </c>
      <c r="BQ43" s="65">
        <v>0.12</v>
      </c>
      <c r="BR43" s="65">
        <v>0.12</v>
      </c>
      <c r="BS43" s="65">
        <v>0.12</v>
      </c>
      <c r="BT43" s="65">
        <v>0.12</v>
      </c>
      <c r="BU43" s="65">
        <v>0.12</v>
      </c>
      <c r="BV43" s="65">
        <v>0.12</v>
      </c>
      <c r="BW43" s="65">
        <v>0.12</v>
      </c>
      <c r="BX43" s="65">
        <v>0.12</v>
      </c>
      <c r="BY43" s="65">
        <v>0.12</v>
      </c>
      <c r="BZ43" s="65">
        <v>0.12</v>
      </c>
      <c r="CA43" s="65">
        <v>0.12</v>
      </c>
      <c r="CB43" s="65">
        <v>0.12</v>
      </c>
      <c r="CC43" s="65">
        <v>0.12</v>
      </c>
      <c r="CD43" s="65">
        <v>0.12</v>
      </c>
      <c r="CE43" s="65">
        <v>0.12</v>
      </c>
      <c r="CF43" s="65">
        <v>0.12</v>
      </c>
      <c r="CG43" s="65">
        <v>0.12</v>
      </c>
      <c r="CH43" s="65">
        <v>0.12</v>
      </c>
      <c r="CI43" s="65">
        <v>0.12</v>
      </c>
      <c r="CJ43" s="65">
        <v>0.12</v>
      </c>
      <c r="CK43" s="65">
        <v>0.12</v>
      </c>
      <c r="CL43" s="65">
        <v>0.12</v>
      </c>
      <c r="CM43" s="65">
        <v>0.12</v>
      </c>
      <c r="CN43" s="65">
        <v>0.12</v>
      </c>
      <c r="CO43" s="65">
        <v>0.12</v>
      </c>
      <c r="CP43" s="65">
        <v>0.12</v>
      </c>
      <c r="CQ43" s="65">
        <v>0.12</v>
      </c>
      <c r="CR43" s="65">
        <v>0.12</v>
      </c>
      <c r="CS43" s="65">
        <v>0.12</v>
      </c>
      <c r="CT43" s="65">
        <v>0.12</v>
      </c>
      <c r="CU43" s="65">
        <v>0.12</v>
      </c>
      <c r="CV43" s="65">
        <v>0.12</v>
      </c>
      <c r="CW43" s="65">
        <v>0.12</v>
      </c>
      <c r="CX43" s="65">
        <v>0.12</v>
      </c>
      <c r="CY43" s="65">
        <v>0.12</v>
      </c>
      <c r="CZ43" s="65">
        <v>0.12</v>
      </c>
      <c r="DA43" s="65">
        <v>0.12</v>
      </c>
      <c r="DB43" s="65">
        <v>0.12</v>
      </c>
      <c r="DC43" s="65">
        <v>0.12</v>
      </c>
      <c r="DD43" s="65">
        <v>0.12</v>
      </c>
      <c r="DE43" s="65">
        <v>0.12</v>
      </c>
      <c r="DF43" s="65">
        <v>0.12</v>
      </c>
      <c r="DG43" s="65">
        <v>0.12</v>
      </c>
      <c r="DH43" s="65">
        <v>0.12</v>
      </c>
      <c r="DI43" s="65">
        <v>0.12</v>
      </c>
      <c r="DJ43" s="65">
        <v>0.12</v>
      </c>
      <c r="DK43" s="65">
        <v>0.12</v>
      </c>
      <c r="DL43" s="65">
        <v>0.12</v>
      </c>
      <c r="DM43" s="65">
        <v>0.12</v>
      </c>
      <c r="DN43" s="65">
        <v>0.12</v>
      </c>
      <c r="DO43" s="65">
        <v>0.12</v>
      </c>
      <c r="DP43" s="65">
        <v>0.12</v>
      </c>
      <c r="DQ43" s="65">
        <v>0.12</v>
      </c>
      <c r="DR43" s="65">
        <v>0.12</v>
      </c>
      <c r="DS43" s="65">
        <v>0.12</v>
      </c>
      <c r="DT43" s="65">
        <v>0.12</v>
      </c>
      <c r="DU43" s="65">
        <v>0.12</v>
      </c>
      <c r="DV43" s="65">
        <v>0.12</v>
      </c>
      <c r="DW43" s="65">
        <v>0.12</v>
      </c>
      <c r="DX43" s="65">
        <v>0.12</v>
      </c>
      <c r="DY43" s="65">
        <v>0.12</v>
      </c>
      <c r="DZ43" s="65">
        <v>0.12</v>
      </c>
      <c r="EA43" s="65">
        <v>0.12</v>
      </c>
      <c r="EB43" s="65">
        <v>0.12</v>
      </c>
      <c r="EC43" s="65">
        <v>0.12</v>
      </c>
      <c r="ED43" s="65">
        <v>0.12</v>
      </c>
      <c r="EE43" s="65">
        <v>0.12</v>
      </c>
      <c r="EF43" s="65">
        <v>0.12</v>
      </c>
      <c r="EG43" s="65">
        <v>0.12</v>
      </c>
      <c r="EH43" s="65">
        <v>0.12</v>
      </c>
      <c r="EI43" s="65">
        <v>0.12</v>
      </c>
      <c r="EJ43" s="65">
        <v>0.12</v>
      </c>
      <c r="EK43" s="65">
        <v>0.12</v>
      </c>
      <c r="EL43" s="65">
        <v>0.12</v>
      </c>
      <c r="EM43" s="65">
        <v>0.12</v>
      </c>
      <c r="EN43" s="65">
        <v>0.12</v>
      </c>
      <c r="EO43" s="65">
        <v>0.12</v>
      </c>
      <c r="EP43" s="65">
        <v>0.12</v>
      </c>
      <c r="EQ43" s="65">
        <v>0.12</v>
      </c>
      <c r="ER43" s="65">
        <v>0.12</v>
      </c>
      <c r="ES43" s="65">
        <v>0.12</v>
      </c>
      <c r="ET43" s="65">
        <v>0.12</v>
      </c>
      <c r="EU43" s="65">
        <v>0.12</v>
      </c>
      <c r="EV43" s="65">
        <v>0.12</v>
      </c>
      <c r="EW43" s="65">
        <v>0.12</v>
      </c>
      <c r="EX43" s="65">
        <v>0.12</v>
      </c>
      <c r="EY43" s="65">
        <v>0.12</v>
      </c>
      <c r="EZ43" s="65">
        <v>0.12</v>
      </c>
      <c r="FA43" s="65">
        <v>0.12</v>
      </c>
      <c r="FB43" s="65">
        <v>0.12</v>
      </c>
      <c r="FC43" s="65">
        <v>0.12</v>
      </c>
      <c r="FD43" s="65">
        <v>0.12</v>
      </c>
      <c r="FE43" s="65">
        <v>0.12</v>
      </c>
      <c r="FF43" s="65">
        <v>0.12</v>
      </c>
      <c r="FG43" s="65">
        <v>0.12</v>
      </c>
      <c r="FH43" s="65">
        <v>0.12</v>
      </c>
      <c r="FI43" s="65">
        <v>0.12</v>
      </c>
      <c r="FJ43" s="65">
        <v>0.12</v>
      </c>
      <c r="FK43" s="65">
        <v>0.12</v>
      </c>
      <c r="FL43" s="65">
        <v>0.12</v>
      </c>
      <c r="FM43" s="65">
        <v>0.12</v>
      </c>
      <c r="FN43" s="65">
        <v>0.12</v>
      </c>
      <c r="FO43" s="65">
        <v>0.12</v>
      </c>
      <c r="FP43" s="65">
        <v>0.12</v>
      </c>
      <c r="FQ43" s="65">
        <v>0.12</v>
      </c>
      <c r="FR43" s="65">
        <v>0.12</v>
      </c>
      <c r="FS43" s="65">
        <v>0.12</v>
      </c>
      <c r="FT43" s="65">
        <v>0.12</v>
      </c>
      <c r="FU43" s="65">
        <v>0.12</v>
      </c>
      <c r="FV43" s="65">
        <v>0.12</v>
      </c>
      <c r="FW43" s="65">
        <v>0.12</v>
      </c>
      <c r="FX43" s="65">
        <v>0.12</v>
      </c>
      <c r="FY43" s="65"/>
      <c r="FZ43" s="23"/>
      <c r="GA43" s="23"/>
      <c r="GB43" s="23"/>
      <c r="GC43" s="23"/>
      <c r="GD43" s="23"/>
      <c r="GE43" s="7"/>
      <c r="GF43" s="7"/>
      <c r="GG43" s="7"/>
      <c r="GH43" s="7"/>
      <c r="GI43" s="7"/>
      <c r="GJ43" s="7"/>
      <c r="GK43" s="7"/>
    </row>
    <row r="44" spans="1:207" ht="15.5" x14ac:dyDescent="0.35">
      <c r="A44" s="12" t="s">
        <v>497</v>
      </c>
      <c r="B44" s="7" t="s">
        <v>767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0</v>
      </c>
      <c r="FN44" s="7">
        <v>0</v>
      </c>
      <c r="FO44" s="7">
        <v>0</v>
      </c>
      <c r="FP44" s="7">
        <v>0</v>
      </c>
      <c r="FQ44" s="7">
        <v>0</v>
      </c>
      <c r="FR44" s="7">
        <v>0</v>
      </c>
      <c r="FS44" s="7">
        <v>0</v>
      </c>
      <c r="FT44" s="7">
        <v>0</v>
      </c>
      <c r="FU44" s="7">
        <v>0</v>
      </c>
      <c r="FV44" s="7">
        <v>0</v>
      </c>
      <c r="FW44" s="7">
        <v>0</v>
      </c>
      <c r="FX44" s="7">
        <v>0</v>
      </c>
      <c r="FY44" s="7"/>
      <c r="FZ44" s="23"/>
      <c r="GA44" s="23"/>
      <c r="GB44" s="23"/>
      <c r="GC44" s="23"/>
      <c r="GD44" s="23"/>
      <c r="GE44" s="7"/>
      <c r="GF44" s="7"/>
      <c r="GG44" s="7"/>
      <c r="GH44" s="7"/>
      <c r="GI44" s="7"/>
      <c r="GJ44" s="7"/>
      <c r="GK44" s="7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</row>
    <row r="45" spans="1:207" ht="15.5" x14ac:dyDescent="0.35">
      <c r="A45" s="7"/>
      <c r="B45" s="7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39"/>
      <c r="GA45" s="39"/>
      <c r="GB45" s="23"/>
      <c r="GC45" s="23"/>
      <c r="GD45" s="23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</row>
    <row r="46" spans="1:207" ht="15.5" x14ac:dyDescent="0.35">
      <c r="A46" s="7"/>
      <c r="B46" s="5" t="s">
        <v>505</v>
      </c>
      <c r="C46" s="45">
        <f t="shared" ref="C46:FX46" si="12">C49*1000</f>
        <v>27</v>
      </c>
      <c r="D46" s="45">
        <f t="shared" si="12"/>
        <v>27</v>
      </c>
      <c r="E46" s="45">
        <f t="shared" si="12"/>
        <v>27</v>
      </c>
      <c r="F46" s="45">
        <f t="shared" si="12"/>
        <v>27</v>
      </c>
      <c r="G46" s="45">
        <f t="shared" si="12"/>
        <v>25.265000000000001</v>
      </c>
      <c r="H46" s="45">
        <f t="shared" si="12"/>
        <v>27</v>
      </c>
      <c r="I46" s="45">
        <f t="shared" si="12"/>
        <v>27</v>
      </c>
      <c r="J46" s="45">
        <f t="shared" si="12"/>
        <v>27</v>
      </c>
      <c r="K46" s="45">
        <f t="shared" si="12"/>
        <v>27</v>
      </c>
      <c r="L46" s="45">
        <f t="shared" si="12"/>
        <v>26.895</v>
      </c>
      <c r="M46" s="45">
        <f t="shared" si="12"/>
        <v>25.946999999999999</v>
      </c>
      <c r="N46" s="45">
        <f t="shared" si="12"/>
        <v>18.756</v>
      </c>
      <c r="O46" s="45">
        <f t="shared" si="12"/>
        <v>27</v>
      </c>
      <c r="P46" s="45">
        <f t="shared" si="12"/>
        <v>27</v>
      </c>
      <c r="Q46" s="45">
        <f t="shared" si="12"/>
        <v>27</v>
      </c>
      <c r="R46" s="45">
        <f t="shared" si="12"/>
        <v>27</v>
      </c>
      <c r="S46" s="45">
        <f t="shared" si="12"/>
        <v>26.013999999999999</v>
      </c>
      <c r="T46" s="45">
        <f t="shared" si="12"/>
        <v>24.300999999999998</v>
      </c>
      <c r="U46" s="45">
        <f t="shared" si="12"/>
        <v>23.800999999999998</v>
      </c>
      <c r="V46" s="45">
        <f t="shared" si="12"/>
        <v>27</v>
      </c>
      <c r="W46" s="45">
        <f t="shared" si="12"/>
        <v>27</v>
      </c>
      <c r="X46" s="45">
        <f t="shared" si="12"/>
        <v>15.755999999999998</v>
      </c>
      <c r="Y46" s="45">
        <f t="shared" si="12"/>
        <v>24.498000000000001</v>
      </c>
      <c r="Z46" s="45">
        <f t="shared" si="12"/>
        <v>23.59</v>
      </c>
      <c r="AA46" s="45">
        <f t="shared" si="12"/>
        <v>27</v>
      </c>
      <c r="AB46" s="45">
        <f t="shared" si="12"/>
        <v>27</v>
      </c>
      <c r="AC46" s="45">
        <f t="shared" si="12"/>
        <v>20.981999999999999</v>
      </c>
      <c r="AD46" s="45">
        <f t="shared" si="12"/>
        <v>19.693000000000001</v>
      </c>
      <c r="AE46" s="45">
        <f t="shared" si="12"/>
        <v>12.814</v>
      </c>
      <c r="AF46" s="45">
        <f t="shared" si="12"/>
        <v>11.673999999999999</v>
      </c>
      <c r="AG46" s="45">
        <f t="shared" si="12"/>
        <v>12.484999999999999</v>
      </c>
      <c r="AH46" s="45">
        <f t="shared" si="12"/>
        <v>22.123000000000001</v>
      </c>
      <c r="AI46" s="45">
        <f t="shared" si="12"/>
        <v>27</v>
      </c>
      <c r="AJ46" s="45">
        <f t="shared" si="12"/>
        <v>23.788</v>
      </c>
      <c r="AK46" s="45">
        <f t="shared" si="12"/>
        <v>21.28</v>
      </c>
      <c r="AL46" s="45">
        <f t="shared" si="12"/>
        <v>27</v>
      </c>
      <c r="AM46" s="45">
        <f t="shared" si="12"/>
        <v>21.449000000000002</v>
      </c>
      <c r="AN46" s="45">
        <f t="shared" si="12"/>
        <v>27</v>
      </c>
      <c r="AO46" s="45">
        <f t="shared" si="12"/>
        <v>27</v>
      </c>
      <c r="AP46" s="45">
        <f t="shared" si="12"/>
        <v>27</v>
      </c>
      <c r="AQ46" s="45">
        <f t="shared" si="12"/>
        <v>18.684999999999999</v>
      </c>
      <c r="AR46" s="45">
        <f t="shared" si="12"/>
        <v>27</v>
      </c>
      <c r="AS46" s="45">
        <f t="shared" si="12"/>
        <v>12.138</v>
      </c>
      <c r="AT46" s="45">
        <f t="shared" si="12"/>
        <v>27</v>
      </c>
      <c r="AU46" s="45">
        <f t="shared" si="12"/>
        <v>24.187999999999999</v>
      </c>
      <c r="AV46" s="45">
        <f t="shared" si="12"/>
        <v>27</v>
      </c>
      <c r="AW46" s="45">
        <f t="shared" si="12"/>
        <v>24.431000000000001</v>
      </c>
      <c r="AX46" s="45">
        <f t="shared" si="12"/>
        <v>21.797999999999998</v>
      </c>
      <c r="AY46" s="45">
        <f t="shared" si="12"/>
        <v>27</v>
      </c>
      <c r="AZ46" s="45">
        <f t="shared" si="12"/>
        <v>15.72</v>
      </c>
      <c r="BA46" s="45">
        <f t="shared" si="12"/>
        <v>26.893999999999998</v>
      </c>
      <c r="BB46" s="45">
        <f t="shared" si="12"/>
        <v>24.684000000000001</v>
      </c>
      <c r="BC46" s="45">
        <f t="shared" si="12"/>
        <v>20.715</v>
      </c>
      <c r="BD46" s="45">
        <f t="shared" si="12"/>
        <v>27</v>
      </c>
      <c r="BE46" s="45">
        <f t="shared" si="12"/>
        <v>27</v>
      </c>
      <c r="BF46" s="45">
        <f t="shared" si="12"/>
        <v>27</v>
      </c>
      <c r="BG46" s="45">
        <f t="shared" si="12"/>
        <v>27</v>
      </c>
      <c r="BH46" s="45">
        <f t="shared" si="12"/>
        <v>26.419</v>
      </c>
      <c r="BI46" s="45">
        <f t="shared" si="12"/>
        <v>13.433</v>
      </c>
      <c r="BJ46" s="45">
        <f t="shared" si="12"/>
        <v>27</v>
      </c>
      <c r="BK46" s="45">
        <f t="shared" si="12"/>
        <v>27</v>
      </c>
      <c r="BL46" s="45">
        <f t="shared" si="12"/>
        <v>27</v>
      </c>
      <c r="BM46" s="45">
        <f t="shared" si="12"/>
        <v>25.834</v>
      </c>
      <c r="BN46" s="45">
        <f t="shared" si="12"/>
        <v>27</v>
      </c>
      <c r="BO46" s="45">
        <f t="shared" si="12"/>
        <v>20.202999999999999</v>
      </c>
      <c r="BP46" s="45">
        <f t="shared" si="12"/>
        <v>26.702000000000002</v>
      </c>
      <c r="BQ46" s="45">
        <f t="shared" si="12"/>
        <v>26.759</v>
      </c>
      <c r="BR46" s="45">
        <f t="shared" si="12"/>
        <v>9.6999999999999993</v>
      </c>
      <c r="BS46" s="45">
        <f t="shared" si="12"/>
        <v>4.3949999999999996</v>
      </c>
      <c r="BT46" s="45">
        <f t="shared" si="12"/>
        <v>6.6509999999999998</v>
      </c>
      <c r="BU46" s="45">
        <f t="shared" si="12"/>
        <v>13.811</v>
      </c>
      <c r="BV46" s="45">
        <f t="shared" si="12"/>
        <v>10.33</v>
      </c>
      <c r="BW46" s="45">
        <f t="shared" si="12"/>
        <v>15.736000000000001</v>
      </c>
      <c r="BX46" s="45">
        <f t="shared" si="12"/>
        <v>19.067</v>
      </c>
      <c r="BY46" s="45">
        <f t="shared" si="12"/>
        <v>27</v>
      </c>
      <c r="BZ46" s="45">
        <f t="shared" si="12"/>
        <v>27</v>
      </c>
      <c r="CA46" s="45">
        <f t="shared" si="12"/>
        <v>23.041</v>
      </c>
      <c r="CB46" s="45">
        <f t="shared" si="12"/>
        <v>27</v>
      </c>
      <c r="CC46" s="45">
        <f t="shared" si="12"/>
        <v>27</v>
      </c>
      <c r="CD46" s="45">
        <f t="shared" si="12"/>
        <v>24.52</v>
      </c>
      <c r="CE46" s="45">
        <f t="shared" si="12"/>
        <v>27</v>
      </c>
      <c r="CF46" s="45">
        <f t="shared" si="12"/>
        <v>24.334</v>
      </c>
      <c r="CG46" s="45">
        <f t="shared" si="12"/>
        <v>27</v>
      </c>
      <c r="CH46" s="45">
        <f t="shared" si="12"/>
        <v>27</v>
      </c>
      <c r="CI46" s="45">
        <f t="shared" si="12"/>
        <v>27</v>
      </c>
      <c r="CJ46" s="45">
        <f t="shared" si="12"/>
        <v>26.513999999999999</v>
      </c>
      <c r="CK46" s="45">
        <f t="shared" si="12"/>
        <v>11.601000000000001</v>
      </c>
      <c r="CL46" s="45">
        <f t="shared" si="12"/>
        <v>13.228999999999999</v>
      </c>
      <c r="CM46" s="45">
        <f t="shared" si="12"/>
        <v>7.274</v>
      </c>
      <c r="CN46" s="45">
        <f t="shared" si="12"/>
        <v>27</v>
      </c>
      <c r="CO46" s="45">
        <f t="shared" si="12"/>
        <v>27</v>
      </c>
      <c r="CP46" s="45">
        <f t="shared" si="12"/>
        <v>18.135999999999999</v>
      </c>
      <c r="CQ46" s="45">
        <f t="shared" si="12"/>
        <v>17.427</v>
      </c>
      <c r="CR46" s="45">
        <f t="shared" si="12"/>
        <v>4.1689999999999996</v>
      </c>
      <c r="CS46" s="45">
        <f t="shared" si="12"/>
        <v>27</v>
      </c>
      <c r="CT46" s="45">
        <f t="shared" si="12"/>
        <v>13.52</v>
      </c>
      <c r="CU46" s="45">
        <f t="shared" si="12"/>
        <v>24.616</v>
      </c>
      <c r="CV46" s="45">
        <f t="shared" si="12"/>
        <v>15.979000000000001</v>
      </c>
      <c r="CW46" s="45">
        <f t="shared" si="12"/>
        <v>17.379000000000001</v>
      </c>
      <c r="CX46" s="45">
        <f t="shared" si="12"/>
        <v>26.824000000000002</v>
      </c>
      <c r="CY46" s="45">
        <f t="shared" si="12"/>
        <v>27</v>
      </c>
      <c r="CZ46" s="45">
        <f t="shared" si="12"/>
        <v>27</v>
      </c>
      <c r="DA46" s="45">
        <f t="shared" si="12"/>
        <v>27</v>
      </c>
      <c r="DB46" s="45">
        <f t="shared" si="12"/>
        <v>27</v>
      </c>
      <c r="DC46" s="45">
        <f t="shared" si="12"/>
        <v>22.417999999999999</v>
      </c>
      <c r="DD46" s="45">
        <f t="shared" si="12"/>
        <v>3.43</v>
      </c>
      <c r="DE46" s="45">
        <f t="shared" si="12"/>
        <v>11.895</v>
      </c>
      <c r="DF46" s="45">
        <f t="shared" si="12"/>
        <v>27</v>
      </c>
      <c r="DG46" s="45">
        <f t="shared" si="12"/>
        <v>25.452999999999999</v>
      </c>
      <c r="DH46" s="45">
        <f t="shared" si="12"/>
        <v>25.515999999999998</v>
      </c>
      <c r="DI46" s="45">
        <f t="shared" si="12"/>
        <v>23.844999999999999</v>
      </c>
      <c r="DJ46" s="45">
        <f t="shared" si="12"/>
        <v>25.882999999999999</v>
      </c>
      <c r="DK46" s="45">
        <f t="shared" si="12"/>
        <v>20.658000000000001</v>
      </c>
      <c r="DL46" s="45">
        <f t="shared" si="12"/>
        <v>26.966999999999999</v>
      </c>
      <c r="DM46" s="45">
        <f t="shared" si="12"/>
        <v>24.899000000000001</v>
      </c>
      <c r="DN46" s="45">
        <f t="shared" si="12"/>
        <v>27</v>
      </c>
      <c r="DO46" s="45">
        <f t="shared" si="12"/>
        <v>27</v>
      </c>
      <c r="DP46" s="45">
        <f t="shared" si="12"/>
        <v>27</v>
      </c>
      <c r="DQ46" s="45">
        <f t="shared" si="12"/>
        <v>22.202000000000002</v>
      </c>
      <c r="DR46" s="45">
        <f t="shared" si="12"/>
        <v>27</v>
      </c>
      <c r="DS46" s="45">
        <f t="shared" si="12"/>
        <v>27</v>
      </c>
      <c r="DT46" s="45">
        <f t="shared" si="12"/>
        <v>26.728999999999999</v>
      </c>
      <c r="DU46" s="45">
        <f t="shared" si="12"/>
        <v>27</v>
      </c>
      <c r="DV46" s="45">
        <f t="shared" si="12"/>
        <v>27</v>
      </c>
      <c r="DW46" s="45">
        <f t="shared" si="12"/>
        <v>26.997</v>
      </c>
      <c r="DX46" s="45">
        <f t="shared" si="12"/>
        <v>23.931000000000001</v>
      </c>
      <c r="DY46" s="45">
        <f t="shared" si="12"/>
        <v>17.928000000000001</v>
      </c>
      <c r="DZ46" s="45">
        <f t="shared" si="12"/>
        <v>22.661999999999999</v>
      </c>
      <c r="EA46" s="45">
        <f t="shared" si="12"/>
        <v>11.192</v>
      </c>
      <c r="EB46" s="45">
        <f t="shared" si="12"/>
        <v>27</v>
      </c>
      <c r="EC46" s="45">
        <f t="shared" si="12"/>
        <v>27</v>
      </c>
      <c r="ED46" s="45">
        <f t="shared" si="12"/>
        <v>4.0839999999999996</v>
      </c>
      <c r="EE46" s="45">
        <f t="shared" si="12"/>
        <v>27</v>
      </c>
      <c r="EF46" s="45">
        <f t="shared" si="12"/>
        <v>24.594999999999999</v>
      </c>
      <c r="EG46" s="45">
        <f t="shared" si="12"/>
        <v>27</v>
      </c>
      <c r="EH46" s="45">
        <f t="shared" si="12"/>
        <v>27</v>
      </c>
      <c r="EI46" s="45">
        <f t="shared" si="12"/>
        <v>27</v>
      </c>
      <c r="EJ46" s="45">
        <f t="shared" si="12"/>
        <v>27</v>
      </c>
      <c r="EK46" s="45">
        <f t="shared" si="12"/>
        <v>5.7670000000000003</v>
      </c>
      <c r="EL46" s="45">
        <f t="shared" si="12"/>
        <v>6.1429999999999998</v>
      </c>
      <c r="EM46" s="45">
        <f t="shared" si="12"/>
        <v>21.308</v>
      </c>
      <c r="EN46" s="45">
        <f t="shared" si="12"/>
        <v>27</v>
      </c>
      <c r="EO46" s="45">
        <f t="shared" si="12"/>
        <v>27</v>
      </c>
      <c r="EP46" s="45">
        <f t="shared" si="12"/>
        <v>25.585999999999999</v>
      </c>
      <c r="EQ46" s="45">
        <f t="shared" si="12"/>
        <v>5.593</v>
      </c>
      <c r="ER46" s="45">
        <f t="shared" si="12"/>
        <v>21.283000000000001</v>
      </c>
      <c r="ES46" s="45">
        <f t="shared" si="12"/>
        <v>27</v>
      </c>
      <c r="ET46" s="45">
        <f t="shared" si="12"/>
        <v>27</v>
      </c>
      <c r="EU46" s="45">
        <f t="shared" si="12"/>
        <v>27</v>
      </c>
      <c r="EV46" s="45">
        <f t="shared" si="12"/>
        <v>15.009</v>
      </c>
      <c r="EW46" s="45">
        <f t="shared" si="12"/>
        <v>7.2809999999999997</v>
      </c>
      <c r="EX46" s="45">
        <f t="shared" si="12"/>
        <v>8.91</v>
      </c>
      <c r="EY46" s="45">
        <f t="shared" si="12"/>
        <v>27</v>
      </c>
      <c r="EZ46" s="45">
        <f t="shared" si="12"/>
        <v>27</v>
      </c>
      <c r="FA46" s="45">
        <f t="shared" si="12"/>
        <v>10.666</v>
      </c>
      <c r="FB46" s="45">
        <f t="shared" si="12"/>
        <v>9.6240000000000006</v>
      </c>
      <c r="FC46" s="45">
        <f t="shared" si="12"/>
        <v>27</v>
      </c>
      <c r="FD46" s="45">
        <f t="shared" si="12"/>
        <v>27</v>
      </c>
      <c r="FE46" s="45">
        <f t="shared" si="12"/>
        <v>19.181000000000001</v>
      </c>
      <c r="FF46" s="45">
        <f t="shared" si="12"/>
        <v>27</v>
      </c>
      <c r="FG46" s="45">
        <f t="shared" si="12"/>
        <v>27</v>
      </c>
      <c r="FH46" s="45">
        <f t="shared" si="12"/>
        <v>24.771999999999998</v>
      </c>
      <c r="FI46" s="45">
        <f t="shared" si="12"/>
        <v>9.6389999999999993</v>
      </c>
      <c r="FJ46" s="45">
        <f t="shared" si="12"/>
        <v>22.207999999999998</v>
      </c>
      <c r="FK46" s="45">
        <f t="shared" si="12"/>
        <v>10.845000000000001</v>
      </c>
      <c r="FL46" s="45">
        <f t="shared" si="12"/>
        <v>27</v>
      </c>
      <c r="FM46" s="45">
        <f t="shared" si="12"/>
        <v>23.414000000000001</v>
      </c>
      <c r="FN46" s="45">
        <f t="shared" si="12"/>
        <v>27</v>
      </c>
      <c r="FO46" s="45">
        <f t="shared" si="12"/>
        <v>4.2009999999999996</v>
      </c>
      <c r="FP46" s="45">
        <f t="shared" si="12"/>
        <v>12.143000000000001</v>
      </c>
      <c r="FQ46" s="45">
        <f t="shared" si="12"/>
        <v>21.88</v>
      </c>
      <c r="FR46" s="45">
        <f t="shared" si="12"/>
        <v>5.9359999999999999</v>
      </c>
      <c r="FS46" s="45">
        <f t="shared" si="12"/>
        <v>5.0679999999999996</v>
      </c>
      <c r="FT46" s="45">
        <f t="shared" si="12"/>
        <v>3.3940000000000001</v>
      </c>
      <c r="FU46" s="45">
        <f t="shared" si="12"/>
        <v>23.344999999999999</v>
      </c>
      <c r="FV46" s="45">
        <f t="shared" si="12"/>
        <v>20.032</v>
      </c>
      <c r="FW46" s="45">
        <f t="shared" si="12"/>
        <v>26.498000000000001</v>
      </c>
      <c r="FX46" s="45">
        <f t="shared" si="12"/>
        <v>24.675000000000001</v>
      </c>
      <c r="FY46" s="7"/>
      <c r="FZ46" s="39"/>
      <c r="GA46" s="40"/>
      <c r="GB46" s="23"/>
      <c r="GC46" s="23"/>
      <c r="GD46" s="23"/>
      <c r="GE46" s="7"/>
      <c r="GF46" s="7"/>
      <c r="GG46" s="7"/>
      <c r="GH46" s="7"/>
      <c r="GI46" s="7"/>
      <c r="GJ46" s="7"/>
      <c r="GK46" s="7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</row>
    <row r="47" spans="1:207" ht="15.5" x14ac:dyDescent="0.35">
      <c r="A47" s="41" t="s">
        <v>509</v>
      </c>
      <c r="B47" s="40" t="s">
        <v>506</v>
      </c>
      <c r="C47" s="42">
        <f>'New Formula with HB25-1320'!C40</f>
        <v>2560686.85</v>
      </c>
      <c r="D47" s="43">
        <v>6068580.4500000002</v>
      </c>
      <c r="E47" s="43">
        <v>1444121.25</v>
      </c>
      <c r="F47" s="43">
        <v>2186086.4300000002</v>
      </c>
      <c r="G47" s="43">
        <v>428862.04</v>
      </c>
      <c r="H47" s="43">
        <v>184982.61</v>
      </c>
      <c r="I47" s="43">
        <v>1809421.81</v>
      </c>
      <c r="J47" s="43">
        <v>600359.41</v>
      </c>
      <c r="K47" s="43">
        <v>149409.51999999999</v>
      </c>
      <c r="L47" s="43">
        <v>1285932.06</v>
      </c>
      <c r="M47" s="43">
        <v>495734.92</v>
      </c>
      <c r="N47" s="43">
        <v>12893543.369999999</v>
      </c>
      <c r="O47" s="43">
        <v>5184910.91</v>
      </c>
      <c r="P47" s="43">
        <v>98033.26</v>
      </c>
      <c r="Q47" s="43">
        <v>6984070.2400000002</v>
      </c>
      <c r="R47" s="43">
        <v>117387.96</v>
      </c>
      <c r="S47" s="43">
        <v>941027.17</v>
      </c>
      <c r="T47" s="43">
        <v>50774.68</v>
      </c>
      <c r="U47" s="43">
        <v>51513.32</v>
      </c>
      <c r="V47" s="43">
        <v>91452.54</v>
      </c>
      <c r="W47" s="43">
        <v>20485.07</v>
      </c>
      <c r="X47" s="43">
        <v>23503.47</v>
      </c>
      <c r="Y47" s="43">
        <v>145352.82</v>
      </c>
      <c r="Z47" s="43">
        <v>63731.5</v>
      </c>
      <c r="AA47" s="43">
        <v>6802241.46</v>
      </c>
      <c r="AB47" s="43">
        <v>12251040.92</v>
      </c>
      <c r="AC47" s="43">
        <v>578302.21</v>
      </c>
      <c r="AD47" s="43">
        <v>703196.53</v>
      </c>
      <c r="AE47" s="43">
        <v>48617.120000000003</v>
      </c>
      <c r="AF47" s="43">
        <v>86811.59</v>
      </c>
      <c r="AG47" s="43">
        <v>322958.38</v>
      </c>
      <c r="AH47" s="43">
        <v>172657.77</v>
      </c>
      <c r="AI47" s="43">
        <v>53122.47</v>
      </c>
      <c r="AJ47" s="43">
        <v>128163.01</v>
      </c>
      <c r="AK47" s="43">
        <v>74603.09</v>
      </c>
      <c r="AL47" s="43">
        <v>98388.41</v>
      </c>
      <c r="AM47" s="43">
        <v>115377.55</v>
      </c>
      <c r="AN47" s="43">
        <v>413990.07</v>
      </c>
      <c r="AO47" s="43">
        <v>1676936.43</v>
      </c>
      <c r="AP47" s="43">
        <v>37700132.310000002</v>
      </c>
      <c r="AQ47" s="43">
        <v>97428.55</v>
      </c>
      <c r="AR47" s="43">
        <v>21880966.199999999</v>
      </c>
      <c r="AS47" s="43">
        <v>2513262.4</v>
      </c>
      <c r="AT47" s="43">
        <v>1167107.3600000001</v>
      </c>
      <c r="AU47" s="43">
        <v>178802.57</v>
      </c>
      <c r="AV47" s="43">
        <v>179035.75</v>
      </c>
      <c r="AW47" s="43">
        <v>102589.94</v>
      </c>
      <c r="AX47" s="43">
        <v>78396.2</v>
      </c>
      <c r="AY47" s="43">
        <v>127245.96</v>
      </c>
      <c r="AZ47" s="43">
        <v>1512386.73</v>
      </c>
      <c r="BA47" s="43">
        <v>2187937.56</v>
      </c>
      <c r="BB47" s="43">
        <v>485771.55</v>
      </c>
      <c r="BC47" s="43">
        <v>8539684.5500000007</v>
      </c>
      <c r="BD47" s="43">
        <v>1409316.74</v>
      </c>
      <c r="BE47" s="43">
        <v>425098.36</v>
      </c>
      <c r="BF47" s="43">
        <v>6979427.0599999996</v>
      </c>
      <c r="BG47" s="43">
        <v>115579.55</v>
      </c>
      <c r="BH47" s="43">
        <v>147663.12</v>
      </c>
      <c r="BI47" s="43">
        <v>55868.160000000003</v>
      </c>
      <c r="BJ47" s="43">
        <v>1934186.26</v>
      </c>
      <c r="BK47" s="43">
        <v>1031173.03</v>
      </c>
      <c r="BL47" s="43">
        <v>18195.330000000002</v>
      </c>
      <c r="BM47" s="43">
        <v>91995.89</v>
      </c>
      <c r="BN47" s="43">
        <v>1139858.77</v>
      </c>
      <c r="BO47" s="43">
        <v>396388.6</v>
      </c>
      <c r="BP47" s="43">
        <v>245997.25</v>
      </c>
      <c r="BQ47" s="43">
        <v>1733716.34</v>
      </c>
      <c r="BR47" s="43">
        <v>459017.22</v>
      </c>
      <c r="BS47" s="43">
        <v>258944.15</v>
      </c>
      <c r="BT47" s="43">
        <v>149392.14000000001</v>
      </c>
      <c r="BU47" s="43">
        <v>109362.84</v>
      </c>
      <c r="BV47" s="43">
        <v>817601.21</v>
      </c>
      <c r="BW47" s="43">
        <v>711654.23</v>
      </c>
      <c r="BX47" s="43">
        <v>99943.77</v>
      </c>
      <c r="BY47" s="43">
        <v>193396.48000000001</v>
      </c>
      <c r="BZ47" s="43">
        <v>99867.18</v>
      </c>
      <c r="CA47" s="43">
        <v>394616.81</v>
      </c>
      <c r="CB47" s="43">
        <v>24768877.350000001</v>
      </c>
      <c r="CC47" s="43">
        <v>91062.73</v>
      </c>
      <c r="CD47" s="43">
        <v>72919.69</v>
      </c>
      <c r="CE47" s="43">
        <v>104487.79</v>
      </c>
      <c r="CF47" s="43">
        <v>86249.23</v>
      </c>
      <c r="CG47" s="43">
        <v>74426.7</v>
      </c>
      <c r="CH47" s="43">
        <v>33444.1</v>
      </c>
      <c r="CI47" s="43">
        <v>320790.64</v>
      </c>
      <c r="CJ47" s="43">
        <v>313858.84000000003</v>
      </c>
      <c r="CK47" s="43">
        <v>1519908.61</v>
      </c>
      <c r="CL47" s="43">
        <v>233618.03</v>
      </c>
      <c r="CM47" s="43">
        <v>113893.58</v>
      </c>
      <c r="CN47" s="43">
        <v>8605084.4100000001</v>
      </c>
      <c r="CO47" s="43">
        <v>5153394.09</v>
      </c>
      <c r="CP47" s="43">
        <v>734189.06</v>
      </c>
      <c r="CQ47" s="43">
        <v>386426.67</v>
      </c>
      <c r="CR47" s="43">
        <v>80485.73</v>
      </c>
      <c r="CS47" s="43">
        <v>248224.67</v>
      </c>
      <c r="CT47" s="43">
        <v>85958.85</v>
      </c>
      <c r="CU47" s="43">
        <v>58359.59</v>
      </c>
      <c r="CV47" s="43">
        <v>47858.69</v>
      </c>
      <c r="CW47" s="7">
        <v>134115.63</v>
      </c>
      <c r="CX47" s="43">
        <v>243713.34</v>
      </c>
      <c r="CY47" s="43">
        <v>18970.75</v>
      </c>
      <c r="CZ47" s="43">
        <v>629899.39</v>
      </c>
      <c r="DA47" s="43">
        <v>123499.93</v>
      </c>
      <c r="DB47" s="43">
        <v>101395.44</v>
      </c>
      <c r="DC47" s="43">
        <v>112080.46</v>
      </c>
      <c r="DD47" s="43">
        <v>97944.92</v>
      </c>
      <c r="DE47" s="43">
        <v>288400.14</v>
      </c>
      <c r="DF47" s="43">
        <v>7817551.8200000003</v>
      </c>
      <c r="DG47" s="43">
        <v>118174.05</v>
      </c>
      <c r="DH47" s="43">
        <v>1002544.97</v>
      </c>
      <c r="DI47" s="43">
        <v>1169415.45</v>
      </c>
      <c r="DJ47" s="43">
        <v>169846.5</v>
      </c>
      <c r="DK47" s="43">
        <v>88144.5</v>
      </c>
      <c r="DL47" s="43">
        <v>2420056.54</v>
      </c>
      <c r="DM47" s="43">
        <v>77790.55</v>
      </c>
      <c r="DN47" s="43">
        <v>628414.66</v>
      </c>
      <c r="DO47" s="43">
        <v>761258.72</v>
      </c>
      <c r="DP47" s="43">
        <v>77422.7</v>
      </c>
      <c r="DQ47" s="43">
        <v>409714.16</v>
      </c>
      <c r="DR47" s="43">
        <v>475735.48</v>
      </c>
      <c r="DS47" s="43">
        <v>198489</v>
      </c>
      <c r="DT47" s="43">
        <v>53085.02</v>
      </c>
      <c r="DU47" s="43">
        <v>128255.13</v>
      </c>
      <c r="DV47" s="43">
        <v>49041.63</v>
      </c>
      <c r="DW47" s="43">
        <v>105819.77</v>
      </c>
      <c r="DX47" s="43">
        <v>165524.42000000001</v>
      </c>
      <c r="DY47" s="43">
        <v>211849.28</v>
      </c>
      <c r="DZ47" s="43">
        <v>440337.14</v>
      </c>
      <c r="EA47" s="43">
        <v>606678.97</v>
      </c>
      <c r="EB47" s="43">
        <v>264983.83</v>
      </c>
      <c r="EC47" s="43">
        <v>112196.29</v>
      </c>
      <c r="ED47" s="43">
        <v>606490.69999999995</v>
      </c>
      <c r="EE47" s="43">
        <v>69368.460000000006</v>
      </c>
      <c r="EF47" s="43">
        <v>327633.84999999998</v>
      </c>
      <c r="EG47" s="43">
        <v>120677.96</v>
      </c>
      <c r="EH47" s="43">
        <v>51207.78</v>
      </c>
      <c r="EI47" s="43">
        <v>3323220.8</v>
      </c>
      <c r="EJ47" s="43">
        <v>2056399.34</v>
      </c>
      <c r="EK47" s="43">
        <v>137117.85</v>
      </c>
      <c r="EL47" s="43">
        <v>36713.550000000003</v>
      </c>
      <c r="EM47" s="43">
        <v>247634.55</v>
      </c>
      <c r="EN47" s="43">
        <v>285190.57</v>
      </c>
      <c r="EO47" s="43">
        <v>144936.91</v>
      </c>
      <c r="EP47" s="43">
        <v>223170.3</v>
      </c>
      <c r="EQ47" s="43">
        <v>1024267.5</v>
      </c>
      <c r="ER47" s="43">
        <v>209171.85</v>
      </c>
      <c r="ES47" s="43">
        <v>106678.02</v>
      </c>
      <c r="ET47" s="43">
        <v>133939.82999999999</v>
      </c>
      <c r="EU47" s="43">
        <v>189375.43</v>
      </c>
      <c r="EV47" s="43">
        <v>43464.959999999999</v>
      </c>
      <c r="EW47" s="43">
        <v>341846.47</v>
      </c>
      <c r="EX47" s="43">
        <v>19788.41</v>
      </c>
      <c r="EY47" s="43">
        <v>106184.84</v>
      </c>
      <c r="EZ47" s="43">
        <v>92250.34</v>
      </c>
      <c r="FA47" s="43">
        <v>1567984.63</v>
      </c>
      <c r="FB47" s="43">
        <v>469609.63</v>
      </c>
      <c r="FC47" s="43">
        <v>926616</v>
      </c>
      <c r="FD47" s="43">
        <v>157711.57</v>
      </c>
      <c r="FE47" s="43">
        <v>64813.09</v>
      </c>
      <c r="FF47" s="43">
        <v>70542.399999999994</v>
      </c>
      <c r="FG47" s="43">
        <v>71488.67</v>
      </c>
      <c r="FH47" s="43">
        <v>112198.64</v>
      </c>
      <c r="FI47" s="43">
        <v>558618.73</v>
      </c>
      <c r="FJ47" s="43">
        <v>861473.15</v>
      </c>
      <c r="FK47" s="43">
        <v>927120.98</v>
      </c>
      <c r="FL47" s="43">
        <v>1829177.87</v>
      </c>
      <c r="FM47" s="43">
        <v>532404.37</v>
      </c>
      <c r="FN47" s="43">
        <v>3532207.73</v>
      </c>
      <c r="FO47" s="43">
        <v>629176.46</v>
      </c>
      <c r="FP47" s="43">
        <v>752042.46</v>
      </c>
      <c r="FQ47" s="43">
        <v>409839.03</v>
      </c>
      <c r="FR47" s="43">
        <v>177143.45</v>
      </c>
      <c r="FS47" s="43">
        <v>72860.350000000006</v>
      </c>
      <c r="FT47" s="43">
        <v>109456.97</v>
      </c>
      <c r="FU47" s="43">
        <v>297429.19</v>
      </c>
      <c r="FV47" s="43">
        <v>195022.78</v>
      </c>
      <c r="FW47" s="43">
        <v>48430.720000000001</v>
      </c>
      <c r="FX47" s="43">
        <v>39107.11</v>
      </c>
      <c r="FY47" s="40"/>
      <c r="FZ47" s="39">
        <f t="shared" ref="FZ47:FZ48" si="13">SUM(C47:FX47)</f>
        <v>249920454.66999993</v>
      </c>
      <c r="GA47" s="7"/>
      <c r="GB47" s="40"/>
      <c r="GC47" s="40"/>
      <c r="GD47" s="40"/>
      <c r="GE47" s="40"/>
      <c r="GF47" s="40"/>
      <c r="GG47" s="40"/>
      <c r="GH47" s="40"/>
      <c r="GI47" s="40"/>
      <c r="GJ47" s="40"/>
      <c r="GK47" s="40"/>
    </row>
    <row r="48" spans="1:207" ht="15.5" x14ac:dyDescent="0.35">
      <c r="A48" s="12" t="s">
        <v>511</v>
      </c>
      <c r="B48" s="7" t="s">
        <v>508</v>
      </c>
      <c r="C48" s="42">
        <f>'New Formula with HB25-1320'!C41</f>
        <v>1243601606.6496468</v>
      </c>
      <c r="D48" s="43">
        <v>4520376063.8174219</v>
      </c>
      <c r="E48" s="43">
        <v>1224119509.3321149</v>
      </c>
      <c r="F48" s="43">
        <v>3308074988.8981552</v>
      </c>
      <c r="G48" s="43">
        <v>573852597.72417617</v>
      </c>
      <c r="H48" s="43">
        <v>145655715.13624379</v>
      </c>
      <c r="I48" s="43">
        <v>1182351464.602762</v>
      </c>
      <c r="J48" s="43">
        <v>194881997.34144619</v>
      </c>
      <c r="K48" s="43">
        <v>51576022.11863175</v>
      </c>
      <c r="L48" s="43">
        <v>892187374.23643827</v>
      </c>
      <c r="M48" s="43">
        <v>327433433.58006012</v>
      </c>
      <c r="N48" s="43">
        <v>9590444923.7217064</v>
      </c>
      <c r="O48" s="43">
        <v>2732456943.5970211</v>
      </c>
      <c r="P48" s="43">
        <v>57259418.744442552</v>
      </c>
      <c r="Q48" s="43">
        <v>5762916876.5843554</v>
      </c>
      <c r="R48" s="43">
        <v>75923079.148940355</v>
      </c>
      <c r="S48" s="43">
        <v>607579178.51332831</v>
      </c>
      <c r="T48" s="43">
        <v>27185477.323791571</v>
      </c>
      <c r="U48" s="43">
        <v>31073581.949525453</v>
      </c>
      <c r="V48" s="43">
        <v>39213012.957507208</v>
      </c>
      <c r="W48" s="43">
        <v>6811214.997656187</v>
      </c>
      <c r="X48" s="43">
        <v>19031044.297738973</v>
      </c>
      <c r="Y48" s="43">
        <v>78909991.043457299</v>
      </c>
      <c r="Z48" s="43">
        <v>27835170.455760274</v>
      </c>
      <c r="AA48" s="43">
        <v>6865975746.7975941</v>
      </c>
      <c r="AB48" s="43">
        <v>10498646608.118092</v>
      </c>
      <c r="AC48" s="43">
        <v>478699598.15389931</v>
      </c>
      <c r="AD48" s="43">
        <v>512928524.46546149</v>
      </c>
      <c r="AE48" s="43">
        <v>51356787.445066139</v>
      </c>
      <c r="AF48" s="43">
        <v>98356638.067512855</v>
      </c>
      <c r="AG48" s="43">
        <v>383778622.32343137</v>
      </c>
      <c r="AH48" s="43">
        <v>47610818.377289474</v>
      </c>
      <c r="AI48" s="43">
        <v>12287826.755423428</v>
      </c>
      <c r="AJ48" s="43">
        <v>41680225.545014247</v>
      </c>
      <c r="AK48" s="43">
        <v>68026706.149202496</v>
      </c>
      <c r="AL48" s="43">
        <v>93124544.563597113</v>
      </c>
      <c r="AM48" s="43">
        <v>62011689.93829307</v>
      </c>
      <c r="AN48" s="43">
        <v>176665382.74765393</v>
      </c>
      <c r="AO48" s="43">
        <v>602392918.21131992</v>
      </c>
      <c r="AP48" s="43">
        <v>24966021135.429543</v>
      </c>
      <c r="AQ48" s="43">
        <v>95669538.197285175</v>
      </c>
      <c r="AR48" s="43">
        <v>10768814789.878386</v>
      </c>
      <c r="AS48" s="43">
        <v>4867127425.3747005</v>
      </c>
      <c r="AT48" s="43">
        <v>408183992.65006876</v>
      </c>
      <c r="AU48" s="43">
        <v>71885674.39792572</v>
      </c>
      <c r="AV48" s="43">
        <v>46303396.261848018</v>
      </c>
      <c r="AW48" s="43">
        <v>39259964.131445587</v>
      </c>
      <c r="AX48" s="43">
        <v>30483498.489724554</v>
      </c>
      <c r="AY48" s="43">
        <v>61843898.422990702</v>
      </c>
      <c r="AZ48" s="43">
        <v>1114831203.3171828</v>
      </c>
      <c r="BA48" s="43">
        <v>974585423.77318358</v>
      </c>
      <c r="BB48" s="43">
        <v>288422979.72040212</v>
      </c>
      <c r="BC48" s="43">
        <v>4702934007.5028353</v>
      </c>
      <c r="BD48" s="43">
        <v>631299446.8221693</v>
      </c>
      <c r="BE48" s="43">
        <v>209661517.61996523</v>
      </c>
      <c r="BF48" s="43">
        <v>3043732732.5291886</v>
      </c>
      <c r="BG48" s="43">
        <v>69172966.590302154</v>
      </c>
      <c r="BH48" s="43">
        <v>85278110.863035381</v>
      </c>
      <c r="BI48" s="43">
        <v>55323886.024676353</v>
      </c>
      <c r="BJ48" s="43">
        <v>1031567215.8844934</v>
      </c>
      <c r="BK48" s="43">
        <v>2003210325.5806057</v>
      </c>
      <c r="BL48" s="43">
        <v>8046441.8876479268</v>
      </c>
      <c r="BM48" s="43">
        <v>43909529.706827812</v>
      </c>
      <c r="BN48" s="43">
        <v>400914386.33701766</v>
      </c>
      <c r="BO48" s="43">
        <v>214827158.02866638</v>
      </c>
      <c r="BP48" s="43">
        <v>104969090.65814769</v>
      </c>
      <c r="BQ48" s="43">
        <v>2153016991.603569</v>
      </c>
      <c r="BR48" s="43">
        <v>1214292086.2726393</v>
      </c>
      <c r="BS48" s="43">
        <v>927458449.2157985</v>
      </c>
      <c r="BT48" s="43">
        <v>464218802.46572447</v>
      </c>
      <c r="BU48" s="43">
        <v>176869885.40160304</v>
      </c>
      <c r="BV48" s="43">
        <v>1480072171.6236086</v>
      </c>
      <c r="BW48" s="43">
        <v>1183991135.1934788</v>
      </c>
      <c r="BX48" s="43">
        <v>71521146.246909052</v>
      </c>
      <c r="BY48" s="43">
        <v>138809825.32344174</v>
      </c>
      <c r="BZ48" s="43">
        <v>45060755.806848407</v>
      </c>
      <c r="CA48" s="43">
        <v>109677560.66631818</v>
      </c>
      <c r="CB48" s="43">
        <v>14769614386.159739</v>
      </c>
      <c r="CC48" s="43">
        <v>21701990.459990714</v>
      </c>
      <c r="CD48" s="43">
        <v>19851531.418078423</v>
      </c>
      <c r="CE48" s="43">
        <v>46081985.739354208</v>
      </c>
      <c r="CF48" s="43">
        <v>32237521.699186254</v>
      </c>
      <c r="CG48" s="43">
        <v>26155301.761280842</v>
      </c>
      <c r="CH48" s="43">
        <v>18679472.449156404</v>
      </c>
      <c r="CI48" s="43">
        <v>125858608.64781278</v>
      </c>
      <c r="CJ48" s="43">
        <v>441849646.04811555</v>
      </c>
      <c r="CK48" s="43">
        <v>1747204888.5024419</v>
      </c>
      <c r="CL48" s="43">
        <v>273214570.89100206</v>
      </c>
      <c r="CM48" s="43">
        <v>290171407.75407547</v>
      </c>
      <c r="CN48" s="43">
        <v>5386177640.3771019</v>
      </c>
      <c r="CO48" s="43">
        <v>3603985348.7036753</v>
      </c>
      <c r="CP48" s="43">
        <v>681922581.10146487</v>
      </c>
      <c r="CQ48" s="43">
        <v>183615251.31194037</v>
      </c>
      <c r="CR48" s="43">
        <v>164142406.18911654</v>
      </c>
      <c r="CS48" s="43">
        <v>58377627.248269588</v>
      </c>
      <c r="CT48" s="43">
        <v>65810430.384387761</v>
      </c>
      <c r="CU48" s="43">
        <v>19837347.339996941</v>
      </c>
      <c r="CV48" s="43">
        <v>24677913.673428282</v>
      </c>
      <c r="CW48" s="43">
        <v>78285305.618246719</v>
      </c>
      <c r="CX48" s="43">
        <v>90783034.236693919</v>
      </c>
      <c r="CY48" s="43">
        <v>6801420.9230567478</v>
      </c>
      <c r="CZ48" s="43">
        <v>257017791.56822336</v>
      </c>
      <c r="DA48" s="43">
        <v>48608404.218467735</v>
      </c>
      <c r="DB48" s="43">
        <v>43656174.635990135</v>
      </c>
      <c r="DC48" s="43">
        <v>61483727.075588316</v>
      </c>
      <c r="DD48" s="43">
        <v>292472042.1601609</v>
      </c>
      <c r="DE48" s="43">
        <v>172788404.28346723</v>
      </c>
      <c r="DF48" s="43">
        <v>2870377669.3239503</v>
      </c>
      <c r="DG48" s="43">
        <v>65851246.085055798</v>
      </c>
      <c r="DH48" s="43">
        <v>403442625.31019509</v>
      </c>
      <c r="DI48" s="43">
        <v>606389617.79085207</v>
      </c>
      <c r="DJ48" s="43">
        <v>68697298.949765757</v>
      </c>
      <c r="DK48" s="43">
        <v>64758094.618681282</v>
      </c>
      <c r="DL48" s="43">
        <v>917617038.13353014</v>
      </c>
      <c r="DM48" s="43">
        <v>27786177.4488305</v>
      </c>
      <c r="DN48" s="43">
        <v>282346995.50179762</v>
      </c>
      <c r="DO48" s="43">
        <v>383517038.42762721</v>
      </c>
      <c r="DP48" s="43">
        <v>33982318.923972666</v>
      </c>
      <c r="DQ48" s="43">
        <v>500729907.73105943</v>
      </c>
      <c r="DR48" s="43">
        <v>98211401.544237897</v>
      </c>
      <c r="DS48" s="43">
        <v>44999645.49927409</v>
      </c>
      <c r="DT48" s="43">
        <v>12232408.199637603</v>
      </c>
      <c r="DU48" s="43">
        <v>32219955.877370033</v>
      </c>
      <c r="DV48" s="43">
        <v>9769939.1602580957</v>
      </c>
      <c r="DW48" s="43">
        <v>24289938.669203855</v>
      </c>
      <c r="DX48" s="43">
        <v>116793538.51075755</v>
      </c>
      <c r="DY48" s="43">
        <v>222794683.51370659</v>
      </c>
      <c r="DZ48" s="43">
        <v>258350921.04087114</v>
      </c>
      <c r="EA48" s="43">
        <v>657631433.43917203</v>
      </c>
      <c r="EB48" s="43">
        <v>92085525.386901975</v>
      </c>
      <c r="EC48" s="43">
        <v>40055896.724444717</v>
      </c>
      <c r="ED48" s="43">
        <v>5848857376.5394392</v>
      </c>
      <c r="EE48" s="43">
        <v>18795476.860822272</v>
      </c>
      <c r="EF48" s="43">
        <v>108811216.89612466</v>
      </c>
      <c r="EG48" s="43">
        <v>32765384.586948305</v>
      </c>
      <c r="EH48" s="43">
        <v>15488049.816499911</v>
      </c>
      <c r="EI48" s="43">
        <v>1525472323.7714865</v>
      </c>
      <c r="EJ48" s="43">
        <v>1227682218.9221635</v>
      </c>
      <c r="EK48" s="43">
        <v>603151832.62965918</v>
      </c>
      <c r="EL48" s="43">
        <v>289083709.12088758</v>
      </c>
      <c r="EM48" s="43">
        <v>134968441.49054235</v>
      </c>
      <c r="EN48" s="43">
        <v>85767392.217089459</v>
      </c>
      <c r="EO48" s="43">
        <v>47458799.049318895</v>
      </c>
      <c r="EP48" s="43">
        <v>155420519.02642387</v>
      </c>
      <c r="EQ48" s="43">
        <v>1952667604.5762377</v>
      </c>
      <c r="ER48" s="43">
        <v>148649597.61913192</v>
      </c>
      <c r="ES48" s="43">
        <v>38133942.487097889</v>
      </c>
      <c r="ET48" s="43">
        <v>56136170.391549945</v>
      </c>
      <c r="EU48" s="43">
        <v>47835982.666799545</v>
      </c>
      <c r="EV48" s="43">
        <v>82064596.997917801</v>
      </c>
      <c r="EW48" s="43">
        <v>1341850585.5802636</v>
      </c>
      <c r="EX48" s="43">
        <v>58374856.038202748</v>
      </c>
      <c r="EY48" s="43">
        <v>34605578.951935172</v>
      </c>
      <c r="EZ48" s="43">
        <v>30171090.409678221</v>
      </c>
      <c r="FA48" s="43">
        <v>3825563881.5272274</v>
      </c>
      <c r="FB48" s="43">
        <v>491012308.05544251</v>
      </c>
      <c r="FC48" s="43">
        <v>476656111.48539859</v>
      </c>
      <c r="FD48" s="43">
        <v>55554082.287299022</v>
      </c>
      <c r="FE48" s="43">
        <v>33765594.349984318</v>
      </c>
      <c r="FF48" s="43">
        <v>25027026.345334936</v>
      </c>
      <c r="FG48" s="43">
        <v>30831811.073802233</v>
      </c>
      <c r="FH48" s="43">
        <v>37805154.436736263</v>
      </c>
      <c r="FI48" s="43">
        <v>1426641986.7923536</v>
      </c>
      <c r="FJ48" s="43">
        <v>993645198.75942469</v>
      </c>
      <c r="FK48" s="43">
        <v>2165574789.6435361</v>
      </c>
      <c r="FL48" s="43">
        <v>2295824507.7683549</v>
      </c>
      <c r="FM48" s="43">
        <v>1183180101.7270384</v>
      </c>
      <c r="FN48" s="43">
        <v>3033094084.0116987</v>
      </c>
      <c r="FO48" s="43">
        <v>3230530770.1718392</v>
      </c>
      <c r="FP48" s="43">
        <v>1542258695.8623762</v>
      </c>
      <c r="FQ48" s="43">
        <v>540314278.95524025</v>
      </c>
      <c r="FR48" s="43">
        <v>572092832.60842597</v>
      </c>
      <c r="FS48" s="43">
        <v>444874547.97797352</v>
      </c>
      <c r="FT48" s="43">
        <v>459191083.79550272</v>
      </c>
      <c r="FU48" s="43">
        <v>173032976.83335775</v>
      </c>
      <c r="FV48" s="43">
        <v>144356065.18024024</v>
      </c>
      <c r="FW48" s="43">
        <v>20994871.744153053</v>
      </c>
      <c r="FX48" s="43">
        <v>17611628.339902677</v>
      </c>
      <c r="FY48" s="40"/>
      <c r="FZ48" s="40">
        <f t="shared" si="13"/>
        <v>191009204485.10086</v>
      </c>
      <c r="GA48" s="40"/>
      <c r="GB48" s="40"/>
      <c r="GC48" s="40"/>
      <c r="GD48" s="40"/>
      <c r="GE48" s="7"/>
      <c r="GF48" s="7"/>
      <c r="GG48" s="7"/>
      <c r="GH48" s="7"/>
      <c r="GI48" s="7"/>
      <c r="GJ48" s="7"/>
      <c r="GK48" s="7"/>
    </row>
    <row r="49" spans="1:207" ht="15.5" x14ac:dyDescent="0.35">
      <c r="A49" s="12" t="s">
        <v>514</v>
      </c>
      <c r="B49" s="32" t="s">
        <v>768</v>
      </c>
      <c r="C49" s="44">
        <v>2.7E-2</v>
      </c>
      <c r="D49" s="45">
        <v>2.7E-2</v>
      </c>
      <c r="E49" s="45">
        <v>2.7E-2</v>
      </c>
      <c r="F49" s="45">
        <v>2.7E-2</v>
      </c>
      <c r="G49" s="45">
        <v>2.5264999999999999E-2</v>
      </c>
      <c r="H49" s="45">
        <v>2.7E-2</v>
      </c>
      <c r="I49" s="45">
        <v>2.7E-2</v>
      </c>
      <c r="J49" s="45">
        <v>2.7E-2</v>
      </c>
      <c r="K49" s="45">
        <v>2.7E-2</v>
      </c>
      <c r="L49" s="45">
        <v>2.6894999999999999E-2</v>
      </c>
      <c r="M49" s="45">
        <v>2.5946999999999998E-2</v>
      </c>
      <c r="N49" s="45">
        <v>1.8756000000000002E-2</v>
      </c>
      <c r="O49" s="45">
        <v>2.7E-2</v>
      </c>
      <c r="P49" s="45">
        <v>2.7E-2</v>
      </c>
      <c r="Q49" s="45">
        <v>2.7E-2</v>
      </c>
      <c r="R49" s="45">
        <v>2.7E-2</v>
      </c>
      <c r="S49" s="45">
        <v>2.6013999999999999E-2</v>
      </c>
      <c r="T49" s="45">
        <v>2.4301E-2</v>
      </c>
      <c r="U49" s="45">
        <v>2.3800999999999999E-2</v>
      </c>
      <c r="V49" s="45">
        <v>2.7E-2</v>
      </c>
      <c r="W49" s="45">
        <v>2.7E-2</v>
      </c>
      <c r="X49" s="45">
        <v>1.5755999999999999E-2</v>
      </c>
      <c r="Y49" s="45">
        <v>2.4498000000000002E-2</v>
      </c>
      <c r="Z49" s="45">
        <v>2.359E-2</v>
      </c>
      <c r="AA49" s="45">
        <v>2.7E-2</v>
      </c>
      <c r="AB49" s="45">
        <v>2.7E-2</v>
      </c>
      <c r="AC49" s="45">
        <v>2.0982000000000001E-2</v>
      </c>
      <c r="AD49" s="45">
        <v>1.9693000000000002E-2</v>
      </c>
      <c r="AE49" s="45">
        <v>1.2814000000000001E-2</v>
      </c>
      <c r="AF49" s="45">
        <v>1.1674E-2</v>
      </c>
      <c r="AG49" s="45">
        <v>1.2485E-2</v>
      </c>
      <c r="AH49" s="45">
        <v>2.2123E-2</v>
      </c>
      <c r="AI49" s="45">
        <v>2.7E-2</v>
      </c>
      <c r="AJ49" s="45">
        <v>2.3788E-2</v>
      </c>
      <c r="AK49" s="45">
        <v>2.128E-2</v>
      </c>
      <c r="AL49" s="45">
        <v>2.7E-2</v>
      </c>
      <c r="AM49" s="45">
        <v>2.1449000000000003E-2</v>
      </c>
      <c r="AN49" s="45">
        <v>2.7E-2</v>
      </c>
      <c r="AO49" s="45">
        <v>2.7E-2</v>
      </c>
      <c r="AP49" s="45">
        <v>2.7E-2</v>
      </c>
      <c r="AQ49" s="45">
        <v>1.8685E-2</v>
      </c>
      <c r="AR49" s="45">
        <v>2.7E-2</v>
      </c>
      <c r="AS49" s="45">
        <v>1.2137999999999999E-2</v>
      </c>
      <c r="AT49" s="45">
        <v>2.7E-2</v>
      </c>
      <c r="AU49" s="45">
        <v>2.4187999999999998E-2</v>
      </c>
      <c r="AV49" s="45">
        <v>2.7E-2</v>
      </c>
      <c r="AW49" s="45">
        <v>2.4431000000000001E-2</v>
      </c>
      <c r="AX49" s="45">
        <v>2.1797999999999998E-2</v>
      </c>
      <c r="AY49" s="45">
        <v>2.7E-2</v>
      </c>
      <c r="AZ49" s="45">
        <v>1.5720000000000001E-2</v>
      </c>
      <c r="BA49" s="45">
        <v>2.6893999999999998E-2</v>
      </c>
      <c r="BB49" s="45">
        <v>2.4684000000000001E-2</v>
      </c>
      <c r="BC49" s="45">
        <v>2.0715000000000001E-2</v>
      </c>
      <c r="BD49" s="45">
        <v>2.7E-2</v>
      </c>
      <c r="BE49" s="45">
        <v>2.7E-2</v>
      </c>
      <c r="BF49" s="45">
        <v>2.7E-2</v>
      </c>
      <c r="BG49" s="45">
        <v>2.7E-2</v>
      </c>
      <c r="BH49" s="45">
        <v>2.6419000000000002E-2</v>
      </c>
      <c r="BI49" s="45">
        <v>1.3433E-2</v>
      </c>
      <c r="BJ49" s="45">
        <v>2.7E-2</v>
      </c>
      <c r="BK49" s="45">
        <v>2.7E-2</v>
      </c>
      <c r="BL49" s="45">
        <v>2.7E-2</v>
      </c>
      <c r="BM49" s="45">
        <v>2.5833999999999999E-2</v>
      </c>
      <c r="BN49" s="45">
        <v>2.7E-2</v>
      </c>
      <c r="BO49" s="45">
        <v>2.0202999999999999E-2</v>
      </c>
      <c r="BP49" s="45">
        <v>2.6702E-2</v>
      </c>
      <c r="BQ49" s="45">
        <v>2.6759000000000002E-2</v>
      </c>
      <c r="BR49" s="45">
        <v>9.6999999999999986E-3</v>
      </c>
      <c r="BS49" s="45">
        <v>4.3949999999999996E-3</v>
      </c>
      <c r="BT49" s="45">
        <v>6.6509999999999998E-3</v>
      </c>
      <c r="BU49" s="45">
        <v>1.3811E-2</v>
      </c>
      <c r="BV49" s="45">
        <v>1.0330000000000001E-2</v>
      </c>
      <c r="BW49" s="45">
        <v>1.5736E-2</v>
      </c>
      <c r="BX49" s="45">
        <v>1.9067000000000001E-2</v>
      </c>
      <c r="BY49" s="45">
        <v>2.7E-2</v>
      </c>
      <c r="BZ49" s="45">
        <v>2.7E-2</v>
      </c>
      <c r="CA49" s="45">
        <v>2.3040999999999999E-2</v>
      </c>
      <c r="CB49" s="45">
        <v>2.7E-2</v>
      </c>
      <c r="CC49" s="45">
        <v>2.7E-2</v>
      </c>
      <c r="CD49" s="45">
        <v>2.452E-2</v>
      </c>
      <c r="CE49" s="45">
        <v>2.7E-2</v>
      </c>
      <c r="CF49" s="45">
        <v>2.4333999999999998E-2</v>
      </c>
      <c r="CG49" s="45">
        <v>2.7E-2</v>
      </c>
      <c r="CH49" s="45">
        <v>2.7E-2</v>
      </c>
      <c r="CI49" s="45">
        <v>2.7E-2</v>
      </c>
      <c r="CJ49" s="45">
        <v>2.6513999999999999E-2</v>
      </c>
      <c r="CK49" s="45">
        <v>1.1601E-2</v>
      </c>
      <c r="CL49" s="45">
        <v>1.3228999999999999E-2</v>
      </c>
      <c r="CM49" s="45">
        <v>7.2740000000000001E-3</v>
      </c>
      <c r="CN49" s="45">
        <v>2.7E-2</v>
      </c>
      <c r="CO49" s="45">
        <v>2.7E-2</v>
      </c>
      <c r="CP49" s="45">
        <v>1.8135999999999999E-2</v>
      </c>
      <c r="CQ49" s="45">
        <v>1.7426999999999998E-2</v>
      </c>
      <c r="CR49" s="45">
        <v>4.169E-3</v>
      </c>
      <c r="CS49" s="45">
        <v>2.7E-2</v>
      </c>
      <c r="CT49" s="45">
        <v>1.3519999999999999E-2</v>
      </c>
      <c r="CU49" s="45">
        <v>2.4615999999999999E-2</v>
      </c>
      <c r="CV49" s="45">
        <v>1.5979E-2</v>
      </c>
      <c r="CW49" s="45">
        <v>1.7379000000000002E-2</v>
      </c>
      <c r="CX49" s="45">
        <v>2.6824000000000001E-2</v>
      </c>
      <c r="CY49" s="45">
        <v>2.7E-2</v>
      </c>
      <c r="CZ49" s="45">
        <v>2.7E-2</v>
      </c>
      <c r="DA49" s="45">
        <v>2.7E-2</v>
      </c>
      <c r="DB49" s="45">
        <v>2.7E-2</v>
      </c>
      <c r="DC49" s="45">
        <v>2.2418E-2</v>
      </c>
      <c r="DD49" s="45">
        <v>3.4300000000000003E-3</v>
      </c>
      <c r="DE49" s="45">
        <v>1.1894999999999999E-2</v>
      </c>
      <c r="DF49" s="45">
        <v>2.7E-2</v>
      </c>
      <c r="DG49" s="45">
        <v>2.5453E-2</v>
      </c>
      <c r="DH49" s="45">
        <v>2.5515999999999997E-2</v>
      </c>
      <c r="DI49" s="45">
        <v>2.3844999999999998E-2</v>
      </c>
      <c r="DJ49" s="45">
        <v>2.5883E-2</v>
      </c>
      <c r="DK49" s="45">
        <v>2.0658000000000003E-2</v>
      </c>
      <c r="DL49" s="45">
        <v>2.6966999999999998E-2</v>
      </c>
      <c r="DM49" s="45">
        <v>2.4899000000000001E-2</v>
      </c>
      <c r="DN49" s="45">
        <v>2.7E-2</v>
      </c>
      <c r="DO49" s="45">
        <v>2.7E-2</v>
      </c>
      <c r="DP49" s="45">
        <v>2.7E-2</v>
      </c>
      <c r="DQ49" s="45">
        <v>2.2202000000000003E-2</v>
      </c>
      <c r="DR49" s="45">
        <v>2.7E-2</v>
      </c>
      <c r="DS49" s="45">
        <v>2.7E-2</v>
      </c>
      <c r="DT49" s="45">
        <v>2.6728999999999999E-2</v>
      </c>
      <c r="DU49" s="45">
        <v>2.7E-2</v>
      </c>
      <c r="DV49" s="45">
        <v>2.7E-2</v>
      </c>
      <c r="DW49" s="45">
        <v>2.6997E-2</v>
      </c>
      <c r="DX49" s="45">
        <v>2.3931000000000001E-2</v>
      </c>
      <c r="DY49" s="45">
        <v>1.7927999999999999E-2</v>
      </c>
      <c r="DZ49" s="45">
        <v>2.2661999999999998E-2</v>
      </c>
      <c r="EA49" s="45">
        <v>1.1192000000000001E-2</v>
      </c>
      <c r="EB49" s="45">
        <v>2.7E-2</v>
      </c>
      <c r="EC49" s="45">
        <v>2.7E-2</v>
      </c>
      <c r="ED49" s="45">
        <v>4.084E-3</v>
      </c>
      <c r="EE49" s="45">
        <v>2.7E-2</v>
      </c>
      <c r="EF49" s="45">
        <v>2.4594999999999999E-2</v>
      </c>
      <c r="EG49" s="45">
        <v>2.7E-2</v>
      </c>
      <c r="EH49" s="45">
        <v>2.7E-2</v>
      </c>
      <c r="EI49" s="45">
        <v>2.7E-2</v>
      </c>
      <c r="EJ49" s="45">
        <v>2.7E-2</v>
      </c>
      <c r="EK49" s="45">
        <v>5.7670000000000004E-3</v>
      </c>
      <c r="EL49" s="45">
        <v>6.143E-3</v>
      </c>
      <c r="EM49" s="45">
        <v>2.1308000000000001E-2</v>
      </c>
      <c r="EN49" s="45">
        <v>2.7E-2</v>
      </c>
      <c r="EO49" s="45">
        <v>2.7E-2</v>
      </c>
      <c r="EP49" s="45">
        <v>2.5585999999999998E-2</v>
      </c>
      <c r="EQ49" s="45">
        <v>5.5929999999999999E-3</v>
      </c>
      <c r="ER49" s="45">
        <v>2.1283E-2</v>
      </c>
      <c r="ES49" s="45">
        <v>2.7E-2</v>
      </c>
      <c r="ET49" s="45">
        <v>2.7E-2</v>
      </c>
      <c r="EU49" s="45">
        <v>2.7E-2</v>
      </c>
      <c r="EV49" s="45">
        <v>1.5009E-2</v>
      </c>
      <c r="EW49" s="45">
        <v>7.2809999999999993E-3</v>
      </c>
      <c r="EX49" s="45">
        <v>8.9099999999999995E-3</v>
      </c>
      <c r="EY49" s="45">
        <v>2.7E-2</v>
      </c>
      <c r="EZ49" s="45">
        <v>2.7E-2</v>
      </c>
      <c r="FA49" s="45">
        <v>1.0666E-2</v>
      </c>
      <c r="FB49" s="45">
        <v>9.6240000000000006E-3</v>
      </c>
      <c r="FC49" s="45">
        <v>2.7E-2</v>
      </c>
      <c r="FD49" s="45">
        <v>2.7E-2</v>
      </c>
      <c r="FE49" s="45">
        <v>1.9181E-2</v>
      </c>
      <c r="FF49" s="45">
        <v>2.7E-2</v>
      </c>
      <c r="FG49" s="45">
        <v>2.7E-2</v>
      </c>
      <c r="FH49" s="45">
        <v>2.4771999999999999E-2</v>
      </c>
      <c r="FI49" s="45">
        <v>9.639E-3</v>
      </c>
      <c r="FJ49" s="45">
        <v>2.2207999999999999E-2</v>
      </c>
      <c r="FK49" s="45">
        <v>1.0845E-2</v>
      </c>
      <c r="FL49" s="45">
        <v>2.7E-2</v>
      </c>
      <c r="FM49" s="45">
        <v>2.3414000000000001E-2</v>
      </c>
      <c r="FN49" s="45">
        <v>2.7E-2</v>
      </c>
      <c r="FO49" s="45">
        <v>4.2009999999999999E-3</v>
      </c>
      <c r="FP49" s="45">
        <v>1.2143000000000001E-2</v>
      </c>
      <c r="FQ49" s="45">
        <v>2.188E-2</v>
      </c>
      <c r="FR49" s="45">
        <v>5.9360000000000003E-3</v>
      </c>
      <c r="FS49" s="45">
        <v>5.0679999999999996E-3</v>
      </c>
      <c r="FT49" s="45">
        <v>3.3940000000000003E-3</v>
      </c>
      <c r="FU49" s="45">
        <v>2.3344999999999998E-2</v>
      </c>
      <c r="FV49" s="45">
        <v>2.0032000000000001E-2</v>
      </c>
      <c r="FW49" s="45">
        <v>2.6498000000000001E-2</v>
      </c>
      <c r="FX49" s="45">
        <v>2.4674999999999999E-2</v>
      </c>
      <c r="FY49" s="45"/>
      <c r="FZ49" s="96">
        <f>SUM(C49:FX49)*1000</f>
        <v>3915.652000000005</v>
      </c>
      <c r="GA49" s="7"/>
      <c r="GB49" s="7"/>
      <c r="GC49" s="7"/>
      <c r="GD49" s="7"/>
      <c r="GE49" s="47"/>
      <c r="GF49" s="32"/>
      <c r="GG49" s="32"/>
      <c r="GH49" s="32"/>
      <c r="GI49" s="32"/>
      <c r="GJ49" s="32"/>
      <c r="GK49" s="32"/>
    </row>
    <row r="50" spans="1:207" ht="15.5" x14ac:dyDescent="0.35">
      <c r="A50" s="97" t="s">
        <v>516</v>
      </c>
      <c r="B50" s="7" t="s">
        <v>769</v>
      </c>
      <c r="C50" s="48">
        <v>999999999</v>
      </c>
      <c r="D50" s="7">
        <v>999999999</v>
      </c>
      <c r="E50" s="7">
        <v>999999999</v>
      </c>
      <c r="F50" s="7">
        <v>999999999</v>
      </c>
      <c r="G50" s="7">
        <v>999999999</v>
      </c>
      <c r="H50" s="7">
        <v>999999999</v>
      </c>
      <c r="I50" s="7">
        <v>999999999</v>
      </c>
      <c r="J50" s="7">
        <v>999999999</v>
      </c>
      <c r="K50" s="7">
        <v>999999999</v>
      </c>
      <c r="L50" s="7">
        <v>999999999</v>
      </c>
      <c r="M50" s="7">
        <v>999999999</v>
      </c>
      <c r="N50" s="7">
        <v>999999999</v>
      </c>
      <c r="O50" s="7">
        <v>999999999</v>
      </c>
      <c r="P50" s="7">
        <v>999999999</v>
      </c>
      <c r="Q50" s="7">
        <v>999999999</v>
      </c>
      <c r="R50" s="7">
        <v>999999999</v>
      </c>
      <c r="S50" s="7">
        <v>999999999</v>
      </c>
      <c r="T50" s="7">
        <v>999999999</v>
      </c>
      <c r="U50" s="7">
        <v>999999999</v>
      </c>
      <c r="V50" s="7">
        <v>999999999</v>
      </c>
      <c r="W50" s="7">
        <v>999999999</v>
      </c>
      <c r="X50" s="7">
        <v>999999999</v>
      </c>
      <c r="Y50" s="7">
        <v>999999999</v>
      </c>
      <c r="Z50" s="7">
        <v>999999999</v>
      </c>
      <c r="AA50" s="7">
        <v>999999999</v>
      </c>
      <c r="AB50" s="7">
        <v>999999999</v>
      </c>
      <c r="AC50" s="7">
        <v>999999999</v>
      </c>
      <c r="AD50" s="7">
        <v>999999999</v>
      </c>
      <c r="AE50" s="7">
        <v>999999999</v>
      </c>
      <c r="AF50" s="7">
        <v>999999999</v>
      </c>
      <c r="AG50" s="7">
        <v>999999999</v>
      </c>
      <c r="AH50" s="7">
        <v>999999999</v>
      </c>
      <c r="AI50" s="7">
        <v>999999999</v>
      </c>
      <c r="AJ50" s="7">
        <v>999999999</v>
      </c>
      <c r="AK50" s="7">
        <v>999999999</v>
      </c>
      <c r="AL50" s="7">
        <v>999999999</v>
      </c>
      <c r="AM50" s="7">
        <v>999999999</v>
      </c>
      <c r="AN50" s="7">
        <v>999999999</v>
      </c>
      <c r="AO50" s="7">
        <v>999999999</v>
      </c>
      <c r="AP50" s="7">
        <v>999999999</v>
      </c>
      <c r="AQ50" s="7">
        <v>999999999</v>
      </c>
      <c r="AR50" s="7">
        <v>999999999</v>
      </c>
      <c r="AS50" s="7">
        <v>999999999</v>
      </c>
      <c r="AT50" s="7">
        <v>999999999</v>
      </c>
      <c r="AU50" s="7">
        <v>999999999</v>
      </c>
      <c r="AV50" s="7">
        <v>999999999</v>
      </c>
      <c r="AW50" s="7">
        <v>999999999</v>
      </c>
      <c r="AX50" s="7">
        <v>999999999</v>
      </c>
      <c r="AY50" s="7">
        <v>999999999</v>
      </c>
      <c r="AZ50" s="7">
        <v>10783078.660301581</v>
      </c>
      <c r="BA50" s="7">
        <v>999999999</v>
      </c>
      <c r="BB50" s="7">
        <v>999999999</v>
      </c>
      <c r="BC50" s="7">
        <v>999999999</v>
      </c>
      <c r="BD50" s="7">
        <v>999999999</v>
      </c>
      <c r="BE50" s="7">
        <v>999999999</v>
      </c>
      <c r="BF50" s="7">
        <v>999999999</v>
      </c>
      <c r="BG50" s="7">
        <v>999999999</v>
      </c>
      <c r="BH50" s="7">
        <v>999999999</v>
      </c>
      <c r="BI50" s="7">
        <v>999999999</v>
      </c>
      <c r="BJ50" s="7">
        <v>999999999</v>
      </c>
      <c r="BK50" s="7">
        <v>999999999</v>
      </c>
      <c r="BL50" s="7">
        <v>999999999</v>
      </c>
      <c r="BM50" s="7">
        <v>999999999</v>
      </c>
      <c r="BN50" s="7">
        <v>999999999</v>
      </c>
      <c r="BO50" s="7">
        <v>999999999</v>
      </c>
      <c r="BP50" s="7">
        <v>999999999</v>
      </c>
      <c r="BQ50" s="7">
        <v>999999999</v>
      </c>
      <c r="BR50" s="7">
        <v>999999999</v>
      </c>
      <c r="BS50" s="7">
        <v>999999999</v>
      </c>
      <c r="BT50" s="7">
        <v>999999999</v>
      </c>
      <c r="BU50" s="7">
        <v>999999999</v>
      </c>
      <c r="BV50" s="7">
        <v>999999999</v>
      </c>
      <c r="BW50" s="7">
        <v>999999999</v>
      </c>
      <c r="BX50" s="7">
        <v>999999999</v>
      </c>
      <c r="BY50" s="7">
        <v>999999999</v>
      </c>
      <c r="BZ50" s="7">
        <v>999999999</v>
      </c>
      <c r="CA50" s="7">
        <v>999999999</v>
      </c>
      <c r="CB50" s="7">
        <v>999999999</v>
      </c>
      <c r="CC50" s="7">
        <v>999999999</v>
      </c>
      <c r="CD50" s="7">
        <v>999999999</v>
      </c>
      <c r="CE50" s="7">
        <v>999999999</v>
      </c>
      <c r="CF50" s="7">
        <v>999999999</v>
      </c>
      <c r="CG50" s="7">
        <v>999999999</v>
      </c>
      <c r="CH50" s="7">
        <v>999999999</v>
      </c>
      <c r="CI50" s="7">
        <v>999999999</v>
      </c>
      <c r="CJ50" s="7">
        <v>999999999</v>
      </c>
      <c r="CK50" s="7">
        <v>999999999</v>
      </c>
      <c r="CL50" s="7">
        <v>999999999</v>
      </c>
      <c r="CM50" s="7">
        <v>999999999</v>
      </c>
      <c r="CN50" s="7">
        <v>999999999</v>
      </c>
      <c r="CO50" s="7">
        <v>999999999</v>
      </c>
      <c r="CP50" s="7">
        <v>999999999</v>
      </c>
      <c r="CQ50" s="7">
        <v>999999999</v>
      </c>
      <c r="CR50" s="7">
        <v>999999999</v>
      </c>
      <c r="CS50" s="7">
        <v>999999999</v>
      </c>
      <c r="CT50" s="7">
        <v>999999999</v>
      </c>
      <c r="CU50" s="7">
        <v>999999999</v>
      </c>
      <c r="CV50" s="7">
        <v>999999999</v>
      </c>
      <c r="CW50" s="7">
        <v>999999999</v>
      </c>
      <c r="CX50" s="7">
        <v>999999999</v>
      </c>
      <c r="CY50" s="7">
        <v>999999999</v>
      </c>
      <c r="CZ50" s="7">
        <v>999999999</v>
      </c>
      <c r="DA50" s="7">
        <v>999999999</v>
      </c>
      <c r="DB50" s="7">
        <v>999999999</v>
      </c>
      <c r="DC50" s="7">
        <v>999999999</v>
      </c>
      <c r="DD50" s="7">
        <v>999999999</v>
      </c>
      <c r="DE50" s="7">
        <v>999999999</v>
      </c>
      <c r="DF50" s="7">
        <v>999999999</v>
      </c>
      <c r="DG50" s="7">
        <v>999999999</v>
      </c>
      <c r="DH50" s="7">
        <v>999999999</v>
      </c>
      <c r="DI50" s="7">
        <v>999999999</v>
      </c>
      <c r="DJ50" s="7">
        <v>999999999</v>
      </c>
      <c r="DK50" s="7">
        <v>999999999</v>
      </c>
      <c r="DL50" s="7">
        <v>999999999</v>
      </c>
      <c r="DM50" s="7">
        <v>999999999</v>
      </c>
      <c r="DN50" s="7">
        <v>999999999</v>
      </c>
      <c r="DO50" s="7">
        <v>999999999</v>
      </c>
      <c r="DP50" s="7">
        <v>999999999</v>
      </c>
      <c r="DQ50" s="7">
        <v>999999999</v>
      </c>
      <c r="DR50" s="7">
        <v>999999999</v>
      </c>
      <c r="DS50" s="7">
        <v>999999999</v>
      </c>
      <c r="DT50" s="7">
        <v>999999999</v>
      </c>
      <c r="DU50" s="7">
        <v>999999999</v>
      </c>
      <c r="DV50" s="7">
        <v>999999999</v>
      </c>
      <c r="DW50" s="7">
        <v>999999999</v>
      </c>
      <c r="DX50" s="7">
        <v>999999999</v>
      </c>
      <c r="DY50" s="7">
        <v>999999999</v>
      </c>
      <c r="DZ50" s="7">
        <v>999999999</v>
      </c>
      <c r="EA50" s="7">
        <v>999999999</v>
      </c>
      <c r="EB50" s="7">
        <v>999999999</v>
      </c>
      <c r="EC50" s="7">
        <v>999999999</v>
      </c>
      <c r="ED50" s="7">
        <v>999999999</v>
      </c>
      <c r="EE50" s="7">
        <v>999999999</v>
      </c>
      <c r="EF50" s="7">
        <v>999999999</v>
      </c>
      <c r="EG50" s="7">
        <v>999999999</v>
      </c>
      <c r="EH50" s="7">
        <v>999999999</v>
      </c>
      <c r="EI50" s="7">
        <v>999999999</v>
      </c>
      <c r="EJ50" s="7">
        <v>999999999</v>
      </c>
      <c r="EK50" s="7">
        <v>999999999</v>
      </c>
      <c r="EL50" s="7">
        <v>999999999</v>
      </c>
      <c r="EM50" s="7">
        <v>999999999</v>
      </c>
      <c r="EN50" s="7">
        <v>999999999</v>
      </c>
      <c r="EO50" s="7">
        <v>999999999</v>
      </c>
      <c r="EP50" s="7">
        <v>999999999</v>
      </c>
      <c r="EQ50" s="7">
        <v>9909825.1697521377</v>
      </c>
      <c r="ER50" s="7">
        <v>999999999</v>
      </c>
      <c r="ES50" s="7">
        <v>999999999</v>
      </c>
      <c r="ET50" s="7">
        <v>999999999</v>
      </c>
      <c r="EU50" s="7">
        <v>999999999</v>
      </c>
      <c r="EV50" s="7">
        <v>999999999</v>
      </c>
      <c r="EW50" s="7">
        <v>999999999</v>
      </c>
      <c r="EX50" s="7">
        <v>999999999</v>
      </c>
      <c r="EY50" s="7">
        <v>999999999</v>
      </c>
      <c r="EZ50" s="7">
        <v>999999999</v>
      </c>
      <c r="FA50" s="7">
        <v>999999999</v>
      </c>
      <c r="FB50" s="7">
        <v>999999999</v>
      </c>
      <c r="FC50" s="7">
        <v>999999999</v>
      </c>
      <c r="FD50" s="7">
        <v>999999999</v>
      </c>
      <c r="FE50" s="7">
        <v>999999999</v>
      </c>
      <c r="FF50" s="7">
        <v>999999999</v>
      </c>
      <c r="FG50" s="7">
        <v>999999999</v>
      </c>
      <c r="FH50" s="7">
        <v>999999999</v>
      </c>
      <c r="FI50" s="7">
        <v>999999999</v>
      </c>
      <c r="FJ50" s="7">
        <v>999999999</v>
      </c>
      <c r="FK50" s="7">
        <v>999999999</v>
      </c>
      <c r="FL50" s="7">
        <v>999999999</v>
      </c>
      <c r="FM50" s="7">
        <v>999999999</v>
      </c>
      <c r="FN50" s="7">
        <v>999999999</v>
      </c>
      <c r="FO50" s="7">
        <v>999999999</v>
      </c>
      <c r="FP50" s="7">
        <v>999999999</v>
      </c>
      <c r="FQ50" s="7">
        <v>999999999</v>
      </c>
      <c r="FR50" s="7">
        <v>999999999</v>
      </c>
      <c r="FS50" s="7">
        <v>999999999</v>
      </c>
      <c r="FT50" s="7">
        <v>999999999</v>
      </c>
      <c r="FU50" s="7">
        <v>999999999</v>
      </c>
      <c r="FV50" s="7">
        <v>999999999</v>
      </c>
      <c r="FW50" s="7">
        <v>999999999</v>
      </c>
      <c r="FX50" s="7">
        <v>999999999</v>
      </c>
      <c r="FY50" s="7"/>
      <c r="FZ50" s="40">
        <f>SUM(C50:FX50)</f>
        <v>176020692727.83005</v>
      </c>
      <c r="GA50" s="7"/>
      <c r="GB50" s="40"/>
      <c r="GC50" s="40"/>
      <c r="GD50" s="40"/>
      <c r="GE50" s="7"/>
      <c r="GF50" s="7"/>
      <c r="GG50" s="7"/>
      <c r="GH50" s="7"/>
      <c r="GI50" s="7"/>
      <c r="GJ50" s="7"/>
      <c r="GK50" s="7"/>
    </row>
    <row r="51" spans="1:207" ht="15.5" x14ac:dyDescent="0.3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 t="s">
        <v>739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81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 t="s">
        <v>739</v>
      </c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</row>
    <row r="52" spans="1:207" ht="15.5" x14ac:dyDescent="0.35">
      <c r="A52" s="7"/>
      <c r="B52" s="5" t="s">
        <v>770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</row>
    <row r="53" spans="1:207" ht="15.5" x14ac:dyDescent="0.35">
      <c r="A53" s="12" t="s">
        <v>771</v>
      </c>
      <c r="B53" s="7" t="s">
        <v>772</v>
      </c>
      <c r="C53" s="48">
        <v>78280270.659999996</v>
      </c>
      <c r="D53" s="7">
        <v>441513334.77999997</v>
      </c>
      <c r="E53" s="7">
        <v>72811077.909999996</v>
      </c>
      <c r="F53" s="7">
        <v>263130617.96000001</v>
      </c>
      <c r="G53" s="7">
        <v>18268979.879999999</v>
      </c>
      <c r="H53" s="7">
        <v>13280033.189999999</v>
      </c>
      <c r="I53" s="7">
        <v>99149017.739999995</v>
      </c>
      <c r="J53" s="7">
        <v>24020317.789999999</v>
      </c>
      <c r="K53" s="7">
        <v>4376133.2699999996</v>
      </c>
      <c r="L53" s="7">
        <v>26180456.030000001</v>
      </c>
      <c r="M53" s="7">
        <v>13493657.890000001</v>
      </c>
      <c r="N53" s="7">
        <v>581402832.08000004</v>
      </c>
      <c r="O53" s="7">
        <v>143543356.31</v>
      </c>
      <c r="P53" s="7">
        <v>5486815.5099999998</v>
      </c>
      <c r="Q53" s="7">
        <v>468203554.43000001</v>
      </c>
      <c r="R53" s="7">
        <v>67965527.079999998</v>
      </c>
      <c r="S53" s="7">
        <v>18924881.170000002</v>
      </c>
      <c r="T53" s="7">
        <v>3280571.47</v>
      </c>
      <c r="U53" s="7">
        <v>1310359.06</v>
      </c>
      <c r="V53" s="7">
        <v>4233931.0599999996</v>
      </c>
      <c r="W53" s="7">
        <v>3688375.04</v>
      </c>
      <c r="X53" s="7">
        <v>1219109.24</v>
      </c>
      <c r="Y53" s="7">
        <v>11502733.689999999</v>
      </c>
      <c r="Z53" s="7">
        <v>3811891.54</v>
      </c>
      <c r="AA53" s="7">
        <v>344043292.07999998</v>
      </c>
      <c r="AB53" s="7">
        <v>307281236.79000002</v>
      </c>
      <c r="AC53" s="7">
        <v>11287823.91</v>
      </c>
      <c r="AD53" s="7">
        <v>15912790.710000001</v>
      </c>
      <c r="AE53" s="7">
        <v>2102521.44</v>
      </c>
      <c r="AF53" s="7">
        <v>3417701.57</v>
      </c>
      <c r="AG53" s="7">
        <v>7967358</v>
      </c>
      <c r="AH53" s="7">
        <v>11672985.890000001</v>
      </c>
      <c r="AI53" s="7">
        <v>5504284.8300000001</v>
      </c>
      <c r="AJ53" s="7">
        <v>3421162.94</v>
      </c>
      <c r="AK53" s="7">
        <v>3437264.26</v>
      </c>
      <c r="AL53" s="7">
        <v>4531542.67</v>
      </c>
      <c r="AM53" s="7">
        <v>5326794.29</v>
      </c>
      <c r="AN53" s="7">
        <v>4853828.37</v>
      </c>
      <c r="AO53" s="7">
        <v>49181610.969999999</v>
      </c>
      <c r="AP53" s="7">
        <v>984476347.71000004</v>
      </c>
      <c r="AQ53" s="7">
        <v>4254035.1900000004</v>
      </c>
      <c r="AR53" s="7">
        <v>688335848.28999996</v>
      </c>
      <c r="AS53" s="7">
        <v>78787121.939999998</v>
      </c>
      <c r="AT53" s="7">
        <v>29995630.32</v>
      </c>
      <c r="AU53" s="7">
        <v>4940563.0599999996</v>
      </c>
      <c r="AV53" s="7">
        <v>5000518.68</v>
      </c>
      <c r="AW53" s="7">
        <v>4415981.21</v>
      </c>
      <c r="AX53" s="7">
        <v>1697596.48</v>
      </c>
      <c r="AY53" s="7">
        <v>6058557.2300000004</v>
      </c>
      <c r="AZ53" s="7">
        <v>142156367.77000001</v>
      </c>
      <c r="BA53" s="7">
        <v>99155079.230000004</v>
      </c>
      <c r="BB53" s="7">
        <v>82432730.719999999</v>
      </c>
      <c r="BC53" s="7">
        <v>290262662.54000002</v>
      </c>
      <c r="BD53" s="7">
        <v>39221665.799999997</v>
      </c>
      <c r="BE53" s="7">
        <v>14653499.359999999</v>
      </c>
      <c r="BF53" s="7">
        <v>276304553.99000001</v>
      </c>
      <c r="BG53" s="7">
        <v>11571564.07</v>
      </c>
      <c r="BH53" s="7">
        <v>7661196.2699999996</v>
      </c>
      <c r="BI53" s="7">
        <v>4534185.93</v>
      </c>
      <c r="BJ53" s="7">
        <v>67995494.640000001</v>
      </c>
      <c r="BK53" s="7">
        <v>337189436.94</v>
      </c>
      <c r="BL53" s="7">
        <v>2201677.9700000002</v>
      </c>
      <c r="BM53" s="7">
        <v>5933143.3499999996</v>
      </c>
      <c r="BN53" s="7">
        <v>35417030.710000001</v>
      </c>
      <c r="BO53" s="7">
        <v>14738253.41</v>
      </c>
      <c r="BP53" s="7">
        <v>3427045.16</v>
      </c>
      <c r="BQ53" s="7">
        <v>72689800.590000004</v>
      </c>
      <c r="BR53" s="7">
        <v>49902027.479999997</v>
      </c>
      <c r="BS53" s="7">
        <v>14128786.939999999</v>
      </c>
      <c r="BT53" s="7">
        <v>5768967.6399999997</v>
      </c>
      <c r="BU53" s="7">
        <v>6049478.0800000001</v>
      </c>
      <c r="BV53" s="7">
        <v>14351929.449999999</v>
      </c>
      <c r="BW53" s="7">
        <v>22872366.5</v>
      </c>
      <c r="BX53" s="7">
        <v>1793810.78</v>
      </c>
      <c r="BY53" s="7">
        <v>5897243.5499999998</v>
      </c>
      <c r="BZ53" s="7">
        <v>3670222.23</v>
      </c>
      <c r="CA53" s="7">
        <v>3155462.16</v>
      </c>
      <c r="CB53" s="7">
        <v>825753541.15999997</v>
      </c>
      <c r="CC53" s="7">
        <v>3503040.55</v>
      </c>
      <c r="CD53" s="7">
        <v>3475014.13</v>
      </c>
      <c r="CE53" s="7">
        <v>3031667.9</v>
      </c>
      <c r="CF53" s="7">
        <v>2337551.13</v>
      </c>
      <c r="CG53" s="7">
        <v>3663065.84</v>
      </c>
      <c r="CH53" s="7">
        <v>2312645.7799999998</v>
      </c>
      <c r="CI53" s="7">
        <v>8594395.4700000007</v>
      </c>
      <c r="CJ53" s="7">
        <v>11370701.359999999</v>
      </c>
      <c r="CK53" s="7">
        <v>64493594.609999999</v>
      </c>
      <c r="CL53" s="7">
        <v>15439886.310000001</v>
      </c>
      <c r="CM53" s="7">
        <v>9715933.3699999992</v>
      </c>
      <c r="CN53" s="7">
        <v>351056724.08999997</v>
      </c>
      <c r="CO53" s="7">
        <v>156849964.21000001</v>
      </c>
      <c r="CP53" s="7">
        <v>12350467.810000001</v>
      </c>
      <c r="CQ53" s="7">
        <v>10314109.210000001</v>
      </c>
      <c r="CR53" s="7">
        <v>4056706.95</v>
      </c>
      <c r="CS53" s="7">
        <v>4594320.78</v>
      </c>
      <c r="CT53" s="7">
        <v>2341807.96</v>
      </c>
      <c r="CU53" s="7">
        <v>4687694.54</v>
      </c>
      <c r="CV53" s="7">
        <v>1148275.01</v>
      </c>
      <c r="CW53" s="7">
        <v>3787358.23</v>
      </c>
      <c r="CX53" s="7">
        <v>6036047.8799999999</v>
      </c>
      <c r="CY53" s="7">
        <v>1239684.8999999999</v>
      </c>
      <c r="CZ53" s="7">
        <v>21057356.120000001</v>
      </c>
      <c r="DA53" s="7">
        <v>3612368.75</v>
      </c>
      <c r="DB53" s="7">
        <v>4839800.6399999997</v>
      </c>
      <c r="DC53" s="7">
        <v>3462885.21</v>
      </c>
      <c r="DD53" s="7">
        <v>3271844.17</v>
      </c>
      <c r="DE53" s="7">
        <v>4618149.7699999996</v>
      </c>
      <c r="DF53" s="7">
        <v>227288961.69</v>
      </c>
      <c r="DG53" s="7">
        <v>2423573.89</v>
      </c>
      <c r="DH53" s="7">
        <v>20886839.41</v>
      </c>
      <c r="DI53" s="7">
        <v>27709961.460000001</v>
      </c>
      <c r="DJ53" s="7">
        <v>8149616.6600000001</v>
      </c>
      <c r="DK53" s="7">
        <v>6532518.4000000004</v>
      </c>
      <c r="DL53" s="7">
        <v>66129697.740000002</v>
      </c>
      <c r="DM53" s="7">
        <v>4324956.21</v>
      </c>
      <c r="DN53" s="7">
        <v>16054629.26</v>
      </c>
      <c r="DO53" s="7">
        <v>37791858.009999998</v>
      </c>
      <c r="DP53" s="7">
        <v>3823507.1</v>
      </c>
      <c r="DQ53" s="7">
        <v>10302616.720000001</v>
      </c>
      <c r="DR53" s="7">
        <v>16267957.550000001</v>
      </c>
      <c r="DS53" s="7">
        <v>8493099.7400000002</v>
      </c>
      <c r="DT53" s="7">
        <v>3605217.69</v>
      </c>
      <c r="DU53" s="7">
        <v>5250957.58</v>
      </c>
      <c r="DV53" s="7">
        <v>3878489.81</v>
      </c>
      <c r="DW53" s="7">
        <v>4751412.07</v>
      </c>
      <c r="DX53" s="7">
        <v>3671409.73</v>
      </c>
      <c r="DY53" s="7">
        <v>5085104.34</v>
      </c>
      <c r="DZ53" s="7">
        <v>9347377.2300000004</v>
      </c>
      <c r="EA53" s="7">
        <v>7100248.3300000001</v>
      </c>
      <c r="EB53" s="7">
        <v>7337063.96</v>
      </c>
      <c r="EC53" s="7">
        <v>4337598.04</v>
      </c>
      <c r="ED53" s="7">
        <v>23147062.68</v>
      </c>
      <c r="EE53" s="7">
        <v>3588701.8</v>
      </c>
      <c r="EF53" s="7">
        <v>16640420.609999999</v>
      </c>
      <c r="EG53" s="7">
        <v>4049993.17</v>
      </c>
      <c r="EH53" s="7">
        <v>4055923.04</v>
      </c>
      <c r="EI53" s="7">
        <v>164608124.28999999</v>
      </c>
      <c r="EJ53" s="7">
        <v>110814645.64</v>
      </c>
      <c r="EK53" s="7">
        <v>8358286.3700000001</v>
      </c>
      <c r="EL53" s="7">
        <v>5973275.9500000002</v>
      </c>
      <c r="EM53" s="7">
        <v>5539638.6200000001</v>
      </c>
      <c r="EN53" s="7">
        <v>11951057.869999999</v>
      </c>
      <c r="EO53" s="7">
        <v>4720810.3</v>
      </c>
      <c r="EP53" s="7">
        <v>6002523.3200000003</v>
      </c>
      <c r="EQ53" s="7">
        <v>30565460.550000001</v>
      </c>
      <c r="ER53" s="7">
        <v>5084806.1399999997</v>
      </c>
      <c r="ES53" s="7">
        <v>3508977.85</v>
      </c>
      <c r="ET53" s="7">
        <v>4095070.51</v>
      </c>
      <c r="EU53" s="7">
        <v>7749917.6200000001</v>
      </c>
      <c r="EV53" s="7">
        <v>1928227.33</v>
      </c>
      <c r="EW53" s="7">
        <v>13218618.970000001</v>
      </c>
      <c r="EX53" s="7">
        <v>3623072.51</v>
      </c>
      <c r="EY53" s="7">
        <v>8997897.1199999992</v>
      </c>
      <c r="EZ53" s="7">
        <v>2751725.07</v>
      </c>
      <c r="FA53" s="7">
        <v>42110223.619999997</v>
      </c>
      <c r="FB53" s="7">
        <v>4735112.4400000004</v>
      </c>
      <c r="FC53" s="7">
        <v>22078486.780000001</v>
      </c>
      <c r="FD53" s="7">
        <v>5671783.54</v>
      </c>
      <c r="FE53" s="7">
        <v>2003245.54</v>
      </c>
      <c r="FF53" s="7">
        <v>3739006.87</v>
      </c>
      <c r="FG53" s="7">
        <v>2791667.9</v>
      </c>
      <c r="FH53" s="7">
        <v>1687641.15</v>
      </c>
      <c r="FI53" s="7">
        <v>20073193.170000002</v>
      </c>
      <c r="FJ53" s="7">
        <v>22454241.260000002</v>
      </c>
      <c r="FK53" s="7">
        <v>29197638.190000001</v>
      </c>
      <c r="FL53" s="7">
        <v>89506028.040000007</v>
      </c>
      <c r="FM53" s="7">
        <v>42621303.259999998</v>
      </c>
      <c r="FN53" s="7">
        <v>254076077.58000001</v>
      </c>
      <c r="FO53" s="7">
        <v>12923250.27</v>
      </c>
      <c r="FP53" s="7">
        <v>26423778.789999999</v>
      </c>
      <c r="FQ53" s="7">
        <v>11931842.02</v>
      </c>
      <c r="FR53" s="7">
        <v>3384089.51</v>
      </c>
      <c r="FS53" s="7">
        <v>3457705.04</v>
      </c>
      <c r="FT53" s="7">
        <v>1530952.34</v>
      </c>
      <c r="FU53" s="7">
        <v>10796310.34</v>
      </c>
      <c r="FV53" s="7">
        <v>9901858.9100000001</v>
      </c>
      <c r="FW53" s="7">
        <v>3307351.27</v>
      </c>
      <c r="FX53" s="7">
        <v>1506941.06</v>
      </c>
      <c r="FY53" s="7"/>
      <c r="FZ53" s="7">
        <f>SUM(C53:FX53)</f>
        <v>9734563159.5500088</v>
      </c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</row>
    <row r="54" spans="1:207" ht="15.5" x14ac:dyDescent="0.35">
      <c r="A54" s="12" t="s">
        <v>773</v>
      </c>
      <c r="B54" s="7" t="s">
        <v>774</v>
      </c>
      <c r="C54" s="7">
        <v>11940.25</v>
      </c>
      <c r="D54" s="7">
        <v>11259.73</v>
      </c>
      <c r="E54" s="7">
        <v>12071.4</v>
      </c>
      <c r="F54" s="7">
        <v>11166.02</v>
      </c>
      <c r="G54" s="7">
        <v>11782.64</v>
      </c>
      <c r="H54" s="7">
        <v>11942.48</v>
      </c>
      <c r="I54" s="7">
        <v>11908.36</v>
      </c>
      <c r="J54" s="7">
        <v>11430.63</v>
      </c>
      <c r="K54" s="7">
        <v>16207.9</v>
      </c>
      <c r="L54" s="7">
        <v>11940.37</v>
      </c>
      <c r="M54" s="7">
        <v>13375.95</v>
      </c>
      <c r="N54" s="7">
        <v>11420.41</v>
      </c>
      <c r="O54" s="7">
        <v>10883.15</v>
      </c>
      <c r="P54" s="7">
        <v>15812.15</v>
      </c>
      <c r="Q54" s="7">
        <v>12351.93</v>
      </c>
      <c r="R54" s="7">
        <v>11188.66</v>
      </c>
      <c r="S54" s="7">
        <v>11781.66</v>
      </c>
      <c r="T54" s="7">
        <v>20150.93</v>
      </c>
      <c r="U54" s="7">
        <v>25345.439999999999</v>
      </c>
      <c r="V54" s="7">
        <v>16246.86</v>
      </c>
      <c r="W54" s="7">
        <v>17656.18</v>
      </c>
      <c r="X54" s="7">
        <v>24382.18</v>
      </c>
      <c r="Y54" s="7">
        <v>12124.73</v>
      </c>
      <c r="Z54" s="7">
        <v>16537.490000000002</v>
      </c>
      <c r="AA54" s="7">
        <v>11089.44</v>
      </c>
      <c r="AB54" s="7">
        <v>11212.19</v>
      </c>
      <c r="AC54" s="7">
        <v>12104.9</v>
      </c>
      <c r="AD54" s="7">
        <v>11272.88</v>
      </c>
      <c r="AE54" s="7">
        <v>22367.25</v>
      </c>
      <c r="AF54" s="7">
        <v>19870.36</v>
      </c>
      <c r="AG54" s="7">
        <v>13012.18</v>
      </c>
      <c r="AH54" s="7">
        <v>11944.12</v>
      </c>
      <c r="AI54" s="7">
        <v>13760.71</v>
      </c>
      <c r="AJ54" s="7">
        <v>20609.419999999998</v>
      </c>
      <c r="AK54" s="7">
        <v>20171.740000000002</v>
      </c>
      <c r="AL54" s="7">
        <v>16069.3</v>
      </c>
      <c r="AM54" s="7">
        <v>14327.04</v>
      </c>
      <c r="AN54" s="7">
        <v>15443.3</v>
      </c>
      <c r="AO54" s="7">
        <v>11297.29</v>
      </c>
      <c r="AP54" s="7">
        <v>11741.76</v>
      </c>
      <c r="AQ54" s="7">
        <v>17889.13</v>
      </c>
      <c r="AR54" s="7">
        <v>10926.27</v>
      </c>
      <c r="AS54" s="7">
        <v>11906.05</v>
      </c>
      <c r="AT54" s="7">
        <v>11313.13</v>
      </c>
      <c r="AU54" s="7">
        <v>16172.06</v>
      </c>
      <c r="AV54" s="7">
        <v>16261.85</v>
      </c>
      <c r="AW54" s="7">
        <v>17263.41</v>
      </c>
      <c r="AX54" s="7">
        <v>25604.77</v>
      </c>
      <c r="AY54" s="7">
        <v>14278.95</v>
      </c>
      <c r="AZ54" s="7">
        <v>11480.89</v>
      </c>
      <c r="BA54" s="7">
        <v>10810.27</v>
      </c>
      <c r="BB54" s="7">
        <v>10890.12</v>
      </c>
      <c r="BC54" s="7">
        <v>11237.73</v>
      </c>
      <c r="BD54" s="7">
        <v>10790</v>
      </c>
      <c r="BE54" s="7">
        <v>11637.15</v>
      </c>
      <c r="BF54" s="7">
        <v>10765.94</v>
      </c>
      <c r="BG54" s="7">
        <v>12861.58</v>
      </c>
      <c r="BH54" s="7">
        <v>12978.48</v>
      </c>
      <c r="BI54" s="7">
        <v>17635.88</v>
      </c>
      <c r="BJ54" s="7">
        <v>10787.29</v>
      </c>
      <c r="BK54" s="7">
        <v>10886.24</v>
      </c>
      <c r="BL54" s="7">
        <v>23199.98</v>
      </c>
      <c r="BM54" s="7">
        <v>14126.53</v>
      </c>
      <c r="BN54" s="7">
        <v>11064.36</v>
      </c>
      <c r="BO54" s="7">
        <v>11449.86</v>
      </c>
      <c r="BP54" s="7">
        <v>20206.63</v>
      </c>
      <c r="BQ54" s="7">
        <v>12174.62</v>
      </c>
      <c r="BR54" s="7">
        <v>11090.33</v>
      </c>
      <c r="BS54" s="7">
        <v>12659.07</v>
      </c>
      <c r="BT54" s="7">
        <v>14922.32</v>
      </c>
      <c r="BU54" s="7">
        <v>14507.14</v>
      </c>
      <c r="BV54" s="7">
        <v>11643.62</v>
      </c>
      <c r="BW54" s="7">
        <v>11476.93</v>
      </c>
      <c r="BX54" s="7">
        <v>25922.12</v>
      </c>
      <c r="BY54" s="7">
        <v>12839.63</v>
      </c>
      <c r="BZ54" s="7">
        <v>18017.78</v>
      </c>
      <c r="CA54" s="7">
        <v>20952.599999999999</v>
      </c>
      <c r="CB54" s="7">
        <v>11026.6</v>
      </c>
      <c r="CC54" s="7">
        <v>18633.189999999999</v>
      </c>
      <c r="CD54" s="7">
        <v>16445.88</v>
      </c>
      <c r="CE54" s="7">
        <v>19971.46</v>
      </c>
      <c r="CF54" s="7">
        <v>20344.22</v>
      </c>
      <c r="CG54" s="7">
        <v>18178.990000000002</v>
      </c>
      <c r="CH54" s="7">
        <v>23080.3</v>
      </c>
      <c r="CI54" s="7">
        <v>12321.71</v>
      </c>
      <c r="CJ54" s="7">
        <v>12745.99</v>
      </c>
      <c r="CK54" s="7">
        <v>11360.71</v>
      </c>
      <c r="CL54" s="7">
        <v>12050.17</v>
      </c>
      <c r="CM54" s="7">
        <v>13260.45</v>
      </c>
      <c r="CN54" s="7">
        <v>10774.79</v>
      </c>
      <c r="CO54" s="7">
        <v>10787.78</v>
      </c>
      <c r="CP54" s="7">
        <v>12710.17</v>
      </c>
      <c r="CQ54" s="7">
        <v>13367.17</v>
      </c>
      <c r="CR54" s="7">
        <v>17395.830000000002</v>
      </c>
      <c r="CS54" s="7">
        <v>15233.16</v>
      </c>
      <c r="CT54" s="7">
        <v>22560.77</v>
      </c>
      <c r="CU54" s="7">
        <v>11534.68</v>
      </c>
      <c r="CV54" s="7">
        <v>22965.5</v>
      </c>
      <c r="CW54" s="7">
        <v>18385.23</v>
      </c>
      <c r="CX54" s="7">
        <v>13050.91</v>
      </c>
      <c r="CY54" s="7">
        <v>24793.7</v>
      </c>
      <c r="CZ54" s="7">
        <v>11423.73</v>
      </c>
      <c r="DA54" s="7">
        <v>18107.11</v>
      </c>
      <c r="DB54" s="7">
        <v>15100.78</v>
      </c>
      <c r="DC54" s="7">
        <v>18922.87</v>
      </c>
      <c r="DD54" s="7">
        <v>20973.360000000001</v>
      </c>
      <c r="DE54" s="7">
        <v>15502.35</v>
      </c>
      <c r="DF54" s="7">
        <v>10789.58</v>
      </c>
      <c r="DG54" s="7">
        <v>23303.599999999999</v>
      </c>
      <c r="DH54" s="7">
        <v>11225.86</v>
      </c>
      <c r="DI54" s="7">
        <v>11142.82</v>
      </c>
      <c r="DJ54" s="7">
        <v>12743.73</v>
      </c>
      <c r="DK54" s="7">
        <v>13065.04</v>
      </c>
      <c r="DL54" s="7">
        <v>11548.21</v>
      </c>
      <c r="DM54" s="7">
        <v>18593.96</v>
      </c>
      <c r="DN54" s="7">
        <v>12162.6</v>
      </c>
      <c r="DO54" s="7">
        <v>11635.42</v>
      </c>
      <c r="DP54" s="7">
        <v>19281.43</v>
      </c>
      <c r="DQ54" s="7">
        <v>12353.26</v>
      </c>
      <c r="DR54" s="7">
        <v>12107.74</v>
      </c>
      <c r="DS54" s="7">
        <v>13291.24</v>
      </c>
      <c r="DT54" s="7">
        <v>20601.240000000002</v>
      </c>
      <c r="DU54" s="7">
        <v>14545.59</v>
      </c>
      <c r="DV54" s="7">
        <v>18123.78</v>
      </c>
      <c r="DW54" s="7">
        <v>15441.7</v>
      </c>
      <c r="DX54" s="7">
        <v>22359.38</v>
      </c>
      <c r="DY54" s="7">
        <v>16656.09</v>
      </c>
      <c r="DZ54" s="7">
        <v>13047.71</v>
      </c>
      <c r="EA54" s="7">
        <v>13363.92</v>
      </c>
      <c r="EB54" s="7">
        <v>12892.4</v>
      </c>
      <c r="EC54" s="7">
        <v>14599.79</v>
      </c>
      <c r="ED54" s="7">
        <v>14815.07</v>
      </c>
      <c r="EE54" s="7">
        <v>18868.04</v>
      </c>
      <c r="EF54" s="7">
        <v>11846.25</v>
      </c>
      <c r="EG54" s="7">
        <v>16206.46</v>
      </c>
      <c r="EH54" s="7">
        <v>16354.53</v>
      </c>
      <c r="EI54" s="7">
        <v>11609.37</v>
      </c>
      <c r="EJ54" s="7">
        <v>10777.54</v>
      </c>
      <c r="EK54" s="7">
        <v>12241.19</v>
      </c>
      <c r="EL54" s="7">
        <v>12588.57</v>
      </c>
      <c r="EM54" s="7">
        <v>14392.41</v>
      </c>
      <c r="EN54" s="7">
        <v>12197.45</v>
      </c>
      <c r="EO54" s="7">
        <v>15024.86</v>
      </c>
      <c r="EP54" s="7">
        <v>14301.94</v>
      </c>
      <c r="EQ54" s="7">
        <v>11495.53</v>
      </c>
      <c r="ER54" s="7">
        <v>16091.16</v>
      </c>
      <c r="ES54" s="7">
        <v>19343.87</v>
      </c>
      <c r="ET54" s="7">
        <v>21417.73</v>
      </c>
      <c r="EU54" s="7">
        <v>13487.5</v>
      </c>
      <c r="EV54" s="7">
        <v>24469.89</v>
      </c>
      <c r="EW54" s="7">
        <v>15755.21</v>
      </c>
      <c r="EX54" s="7">
        <v>21400.31</v>
      </c>
      <c r="EY54" s="7">
        <v>11550.57</v>
      </c>
      <c r="EZ54" s="7">
        <v>21414.2</v>
      </c>
      <c r="FA54" s="7">
        <v>12187.85</v>
      </c>
      <c r="FB54" s="7">
        <v>16024.07</v>
      </c>
      <c r="FC54" s="7">
        <v>11240.45</v>
      </c>
      <c r="FD54" s="7">
        <v>13994.04</v>
      </c>
      <c r="FE54" s="7">
        <v>24019.73</v>
      </c>
      <c r="FF54" s="7">
        <v>19135.14</v>
      </c>
      <c r="FG54" s="7">
        <v>22016.31</v>
      </c>
      <c r="FH54" s="7">
        <v>24212.93</v>
      </c>
      <c r="FI54" s="7">
        <v>11542.29</v>
      </c>
      <c r="FJ54" s="7">
        <v>11044.88</v>
      </c>
      <c r="FK54" s="7">
        <v>11345.5</v>
      </c>
      <c r="FL54" s="7">
        <v>10791.66</v>
      </c>
      <c r="FM54" s="7">
        <v>10967.91</v>
      </c>
      <c r="FN54" s="7">
        <v>11452.66</v>
      </c>
      <c r="FO54" s="7">
        <v>11865.99</v>
      </c>
      <c r="FP54" s="7">
        <v>11589.38</v>
      </c>
      <c r="FQ54" s="7">
        <v>12090.22</v>
      </c>
      <c r="FR54" s="7">
        <v>19976.919999999998</v>
      </c>
      <c r="FS54" s="7">
        <v>19220.150000000001</v>
      </c>
      <c r="FT54" s="7">
        <v>25948.34</v>
      </c>
      <c r="FU54" s="7">
        <v>13268.17</v>
      </c>
      <c r="FV54" s="7">
        <v>12629.92</v>
      </c>
      <c r="FW54" s="7">
        <v>20774.82</v>
      </c>
      <c r="FX54" s="7">
        <v>26345.119999999999</v>
      </c>
      <c r="FY54" s="7"/>
      <c r="FZ54" s="7">
        <f>FZ53/FZ23</f>
        <v>11448.249847502715</v>
      </c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</row>
    <row r="55" spans="1:207" ht="15.5" x14ac:dyDescent="0.35">
      <c r="A55" s="7"/>
      <c r="B55" s="7"/>
      <c r="C55" s="7" t="s">
        <v>739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</row>
    <row r="56" spans="1:207" ht="15.5" x14ac:dyDescent="0.35">
      <c r="A56" s="7"/>
      <c r="B56" s="5" t="s">
        <v>775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</row>
    <row r="57" spans="1:207" ht="15.5" x14ac:dyDescent="0.35">
      <c r="A57" s="12" t="s">
        <v>776</v>
      </c>
      <c r="B57" s="7" t="s">
        <v>524</v>
      </c>
      <c r="C57" s="7">
        <v>697497.30999999994</v>
      </c>
      <c r="D57" s="7">
        <v>2168719.42</v>
      </c>
      <c r="E57" s="7">
        <v>565272.54</v>
      </c>
      <c r="F57" s="7">
        <v>1751045.75</v>
      </c>
      <c r="G57" s="7">
        <v>147399.19</v>
      </c>
      <c r="H57" s="7">
        <v>96189.78</v>
      </c>
      <c r="I57" s="7">
        <v>605952.93999999994</v>
      </c>
      <c r="J57" s="7">
        <v>126923.52</v>
      </c>
      <c r="K57" s="7">
        <v>34722.910000000003</v>
      </c>
      <c r="L57" s="7">
        <v>168959.35</v>
      </c>
      <c r="M57" s="7">
        <v>169958.68</v>
      </c>
      <c r="N57" s="7">
        <v>5939396.0299999993</v>
      </c>
      <c r="O57" s="7">
        <v>1456566.06</v>
      </c>
      <c r="P57" s="7">
        <v>34379.660000000003</v>
      </c>
      <c r="Q57" s="7">
        <v>3108548.51</v>
      </c>
      <c r="R57" s="7">
        <v>85497.98</v>
      </c>
      <c r="S57" s="7">
        <v>205002.87</v>
      </c>
      <c r="T57" s="7">
        <v>31691.32</v>
      </c>
      <c r="U57" s="7">
        <v>16409.02</v>
      </c>
      <c r="V57" s="7">
        <v>26609.120000000003</v>
      </c>
      <c r="W57" s="7">
        <v>9732</v>
      </c>
      <c r="X57" s="7">
        <v>12037.17</v>
      </c>
      <c r="Y57" s="7">
        <v>43210.43</v>
      </c>
      <c r="Z57" s="7">
        <v>26042.13</v>
      </c>
      <c r="AA57" s="7">
        <v>2508462.8899999997</v>
      </c>
      <c r="AB57" s="7">
        <v>3541654.82</v>
      </c>
      <c r="AC57" s="7">
        <v>77715.14</v>
      </c>
      <c r="AD57" s="7">
        <v>70144.040000000008</v>
      </c>
      <c r="AE57" s="7">
        <v>39114.17</v>
      </c>
      <c r="AF57" s="7">
        <v>24419.410000000003</v>
      </c>
      <c r="AG57" s="7">
        <v>166389.91999999998</v>
      </c>
      <c r="AH57" s="7">
        <v>66604.070000000007</v>
      </c>
      <c r="AI57" s="7">
        <v>25268.53</v>
      </c>
      <c r="AJ57" s="7">
        <v>17680.77</v>
      </c>
      <c r="AK57" s="7">
        <v>44683.990000000005</v>
      </c>
      <c r="AL57" s="7">
        <v>49065.229999999996</v>
      </c>
      <c r="AM57" s="7">
        <v>42619.1</v>
      </c>
      <c r="AN57" s="7">
        <v>38548.79</v>
      </c>
      <c r="AO57" s="7">
        <v>354800.28</v>
      </c>
      <c r="AP57" s="7">
        <v>6739062.6300000008</v>
      </c>
      <c r="AQ57" s="7">
        <v>62272.66</v>
      </c>
      <c r="AR57" s="7">
        <v>5063728.4800000004</v>
      </c>
      <c r="AS57" s="7">
        <v>496146.54000000004</v>
      </c>
      <c r="AT57" s="7">
        <v>301541.02</v>
      </c>
      <c r="AU57" s="7">
        <v>70802.41</v>
      </c>
      <c r="AV57" s="7">
        <v>73343.3</v>
      </c>
      <c r="AW57" s="7">
        <v>23649.53</v>
      </c>
      <c r="AX57" s="7">
        <v>30420.870000000003</v>
      </c>
      <c r="AY57" s="7">
        <v>105403.42</v>
      </c>
      <c r="AZ57" s="7">
        <v>669767.04</v>
      </c>
      <c r="BA57" s="7">
        <v>933882.48</v>
      </c>
      <c r="BB57" s="7">
        <v>996083.8899999999</v>
      </c>
      <c r="BC57" s="7">
        <v>1166550.45</v>
      </c>
      <c r="BD57" s="7">
        <v>56130.22</v>
      </c>
      <c r="BE57" s="7">
        <v>135192.22999999998</v>
      </c>
      <c r="BF57" s="7">
        <v>1780023.46</v>
      </c>
      <c r="BG57" s="7">
        <v>150035.60999999999</v>
      </c>
      <c r="BH57" s="7">
        <v>86478.69</v>
      </c>
      <c r="BI57" s="7">
        <v>93478.17</v>
      </c>
      <c r="BJ57" s="7">
        <v>547957.69999999995</v>
      </c>
      <c r="BK57" s="7">
        <v>1125315.8400000001</v>
      </c>
      <c r="BL57" s="7">
        <v>41152.239999999998</v>
      </c>
      <c r="BM57" s="7">
        <v>91707.45</v>
      </c>
      <c r="BN57" s="7">
        <v>150912.20000000001</v>
      </c>
      <c r="BO57" s="7">
        <v>152299.70000000001</v>
      </c>
      <c r="BP57" s="7">
        <v>39724.230000000003</v>
      </c>
      <c r="BQ57" s="7">
        <v>379468.6</v>
      </c>
      <c r="BR57" s="7">
        <v>321414.49</v>
      </c>
      <c r="BS57" s="7">
        <v>84118.69</v>
      </c>
      <c r="BT57" s="7">
        <v>69224.239999999991</v>
      </c>
      <c r="BU57" s="7">
        <v>33392.559999999998</v>
      </c>
      <c r="BV57" s="7">
        <v>165315.57</v>
      </c>
      <c r="BW57" s="7">
        <v>98504.77</v>
      </c>
      <c r="BX57" s="7">
        <v>2114.5299999999997</v>
      </c>
      <c r="BY57" s="7">
        <v>66277.2</v>
      </c>
      <c r="BZ57" s="7">
        <v>3920.46</v>
      </c>
      <c r="CA57" s="7">
        <v>0</v>
      </c>
      <c r="CB57" s="7">
        <v>5201829.55</v>
      </c>
      <c r="CC57" s="7">
        <v>33312.85</v>
      </c>
      <c r="CD57" s="7">
        <v>0</v>
      </c>
      <c r="CE57" s="7">
        <v>37054.160000000003</v>
      </c>
      <c r="CF57" s="7">
        <v>42215.08</v>
      </c>
      <c r="CG57" s="7">
        <v>18726.89</v>
      </c>
      <c r="CH57" s="7">
        <v>11271.21</v>
      </c>
      <c r="CI57" s="7">
        <v>40108.33</v>
      </c>
      <c r="CJ57" s="7">
        <v>70601.039999999994</v>
      </c>
      <c r="CK57" s="7">
        <v>425422.56</v>
      </c>
      <c r="CL57" s="7">
        <v>111147.12</v>
      </c>
      <c r="CM57" s="7">
        <v>106768.75</v>
      </c>
      <c r="CN57" s="7">
        <v>2415573.65</v>
      </c>
      <c r="CO57" s="7">
        <v>1256723.27</v>
      </c>
      <c r="CP57" s="7">
        <v>90748.47</v>
      </c>
      <c r="CQ57" s="7">
        <v>65131.15</v>
      </c>
      <c r="CR57" s="7">
        <v>42604.41</v>
      </c>
      <c r="CS57" s="7">
        <v>40695.129999999997</v>
      </c>
      <c r="CT57" s="7">
        <v>16848.120000000003</v>
      </c>
      <c r="CU57" s="7">
        <v>16150.37</v>
      </c>
      <c r="CV57" s="7">
        <v>23282.04</v>
      </c>
      <c r="CW57" s="7">
        <v>38479.520000000004</v>
      </c>
      <c r="CX57" s="7">
        <v>69032.320000000007</v>
      </c>
      <c r="CY57" s="7">
        <v>16164.100000000002</v>
      </c>
      <c r="CZ57" s="7">
        <v>91783.03</v>
      </c>
      <c r="DA57" s="7">
        <v>27800.370000000003</v>
      </c>
      <c r="DB57" s="7">
        <v>39947.79</v>
      </c>
      <c r="DC57" s="7">
        <v>46604.61</v>
      </c>
      <c r="DD57" s="7">
        <v>7838.59</v>
      </c>
      <c r="DE57" s="7">
        <v>27083.3</v>
      </c>
      <c r="DF57" s="7">
        <v>1640144.51</v>
      </c>
      <c r="DG57" s="7">
        <v>11407.47</v>
      </c>
      <c r="DH57" s="7">
        <v>134322.12</v>
      </c>
      <c r="DI57" s="7">
        <v>237514.09</v>
      </c>
      <c r="DJ57" s="7">
        <v>64937.760000000002</v>
      </c>
      <c r="DK57" s="7">
        <v>23600.9</v>
      </c>
      <c r="DL57" s="7">
        <v>354790.94</v>
      </c>
      <c r="DM57" s="7">
        <v>46435.4</v>
      </c>
      <c r="DN57" s="7">
        <v>116072.59</v>
      </c>
      <c r="DO57" s="7">
        <v>174489.86</v>
      </c>
      <c r="DP57" s="7">
        <v>40481.380000000005</v>
      </c>
      <c r="DQ57" s="7">
        <v>0</v>
      </c>
      <c r="DR57" s="7">
        <v>43298.490000000005</v>
      </c>
      <c r="DS57" s="7">
        <v>33595.360000000001</v>
      </c>
      <c r="DT57" s="7">
        <v>12921.04</v>
      </c>
      <c r="DU57" s="7">
        <v>23276.34</v>
      </c>
      <c r="DV57" s="7">
        <v>15827.57</v>
      </c>
      <c r="DW57" s="7">
        <v>10215.44</v>
      </c>
      <c r="DX57" s="7">
        <v>7390.14</v>
      </c>
      <c r="DY57" s="7">
        <v>48221.45</v>
      </c>
      <c r="DZ57" s="7">
        <v>207927.90999999997</v>
      </c>
      <c r="EA57" s="7">
        <v>51290.509999999995</v>
      </c>
      <c r="EB57" s="7">
        <v>51171.21</v>
      </c>
      <c r="EC57" s="7">
        <v>36378.83</v>
      </c>
      <c r="ED57" s="7">
        <v>235930.71000000002</v>
      </c>
      <c r="EE57" s="7">
        <v>15254.9</v>
      </c>
      <c r="EF57" s="7">
        <v>44880.91</v>
      </c>
      <c r="EG57" s="7">
        <v>0</v>
      </c>
      <c r="EH57" s="7">
        <v>15553.09</v>
      </c>
      <c r="EI57" s="7">
        <v>551440.48</v>
      </c>
      <c r="EJ57" s="7">
        <v>769632.75</v>
      </c>
      <c r="EK57" s="7">
        <v>54562.509999999995</v>
      </c>
      <c r="EL57" s="7">
        <v>53503.22</v>
      </c>
      <c r="EM57" s="7">
        <v>32640.719999999998</v>
      </c>
      <c r="EN57" s="7">
        <v>43058.49</v>
      </c>
      <c r="EO57" s="7">
        <v>22223.699999999997</v>
      </c>
      <c r="EP57" s="7">
        <v>37492.730000000003</v>
      </c>
      <c r="EQ57" s="7">
        <v>192154.94</v>
      </c>
      <c r="ER57" s="7">
        <v>40048.68</v>
      </c>
      <c r="ES57" s="7">
        <v>29171.47</v>
      </c>
      <c r="ET57" s="7">
        <v>37351.58</v>
      </c>
      <c r="EU57" s="7">
        <v>37184.619999999995</v>
      </c>
      <c r="EV57" s="7">
        <v>0</v>
      </c>
      <c r="EW57" s="7">
        <v>27828.920000000002</v>
      </c>
      <c r="EX57" s="7">
        <v>18691.82</v>
      </c>
      <c r="EY57" s="7">
        <v>11348.86</v>
      </c>
      <c r="EZ57" s="7">
        <v>14494.98</v>
      </c>
      <c r="FA57" s="7">
        <v>272683.63</v>
      </c>
      <c r="FB57" s="7">
        <v>89633.77</v>
      </c>
      <c r="FC57" s="7">
        <v>238137.23</v>
      </c>
      <c r="FD57" s="7">
        <v>60159.840000000004</v>
      </c>
      <c r="FE57" s="7">
        <v>39159</v>
      </c>
      <c r="FF57" s="7">
        <v>36444.94</v>
      </c>
      <c r="FG57" s="7">
        <v>23340.29</v>
      </c>
      <c r="FH57" s="7">
        <v>47738.979999999996</v>
      </c>
      <c r="FI57" s="7">
        <v>137919.6</v>
      </c>
      <c r="FJ57" s="7">
        <v>138772.41999999998</v>
      </c>
      <c r="FK57" s="7">
        <v>237051.26</v>
      </c>
      <c r="FL57" s="7">
        <v>555910.47</v>
      </c>
      <c r="FM57" s="7">
        <v>259631.81</v>
      </c>
      <c r="FN57" s="7">
        <v>1223607.6400000001</v>
      </c>
      <c r="FO57" s="7">
        <v>0</v>
      </c>
      <c r="FP57" s="7">
        <v>223380.72999999998</v>
      </c>
      <c r="FQ57" s="7">
        <v>159404.06</v>
      </c>
      <c r="FR57" s="7">
        <v>0</v>
      </c>
      <c r="FS57" s="7">
        <v>35109.230000000003</v>
      </c>
      <c r="FT57" s="7">
        <v>32418.11</v>
      </c>
      <c r="FU57" s="7">
        <v>63173.090000000004</v>
      </c>
      <c r="FV57" s="7">
        <v>100180.31</v>
      </c>
      <c r="FW57" s="7">
        <v>47784.91</v>
      </c>
      <c r="FX57" s="7">
        <v>19641.560000000001</v>
      </c>
      <c r="FY57" s="7"/>
      <c r="FZ57" s="7">
        <f t="shared" ref="FZ57:FZ63" si="14">SUM(C57:FX57)</f>
        <v>67144140.459999993</v>
      </c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</row>
    <row r="58" spans="1:207" ht="15.5" x14ac:dyDescent="0.35">
      <c r="A58" s="12" t="s">
        <v>777</v>
      </c>
      <c r="B58" s="7" t="s">
        <v>526</v>
      </c>
      <c r="C58" s="53">
        <v>0</v>
      </c>
      <c r="D58" s="53">
        <v>2209860</v>
      </c>
      <c r="E58" s="53">
        <v>93166</v>
      </c>
      <c r="F58" s="53">
        <v>884043</v>
      </c>
      <c r="G58" s="53">
        <v>48632</v>
      </c>
      <c r="H58" s="53">
        <v>0</v>
      </c>
      <c r="I58" s="53">
        <v>297415</v>
      </c>
      <c r="J58" s="53">
        <v>98643</v>
      </c>
      <c r="K58" s="53">
        <v>64384</v>
      </c>
      <c r="L58" s="53">
        <v>219486</v>
      </c>
      <c r="M58" s="53">
        <v>0</v>
      </c>
      <c r="N58" s="53">
        <v>1975268</v>
      </c>
      <c r="O58" s="53">
        <v>555149</v>
      </c>
      <c r="P58" s="53">
        <v>41346</v>
      </c>
      <c r="Q58" s="53">
        <v>850098</v>
      </c>
      <c r="R58" s="53">
        <v>34250</v>
      </c>
      <c r="S58" s="53">
        <v>55379</v>
      </c>
      <c r="T58" s="53">
        <v>0</v>
      </c>
      <c r="U58" s="53">
        <v>1641</v>
      </c>
      <c r="V58" s="53">
        <v>10619</v>
      </c>
      <c r="W58" s="53">
        <v>0</v>
      </c>
      <c r="X58" s="53">
        <v>0</v>
      </c>
      <c r="Y58" s="53">
        <v>0</v>
      </c>
      <c r="Z58" s="53">
        <v>34140</v>
      </c>
      <c r="AA58" s="53">
        <v>1269611</v>
      </c>
      <c r="AB58" s="53">
        <v>1620720</v>
      </c>
      <c r="AC58" s="53">
        <v>0</v>
      </c>
      <c r="AD58" s="53">
        <v>0</v>
      </c>
      <c r="AE58" s="53">
        <v>10745</v>
      </c>
      <c r="AF58" s="53">
        <v>28859</v>
      </c>
      <c r="AG58" s="53">
        <v>0</v>
      </c>
      <c r="AH58" s="53">
        <v>170214</v>
      </c>
      <c r="AI58" s="53">
        <v>29386</v>
      </c>
      <c r="AJ58" s="53">
        <v>0</v>
      </c>
      <c r="AK58" s="53">
        <v>0</v>
      </c>
      <c r="AL58" s="53">
        <v>0</v>
      </c>
      <c r="AM58" s="53">
        <v>44176</v>
      </c>
      <c r="AN58" s="53">
        <v>0</v>
      </c>
      <c r="AO58" s="53">
        <v>296289</v>
      </c>
      <c r="AP58" s="53">
        <v>2307259</v>
      </c>
      <c r="AQ58" s="53">
        <v>19913</v>
      </c>
      <c r="AR58" s="53">
        <v>742087</v>
      </c>
      <c r="AS58" s="53">
        <v>97293</v>
      </c>
      <c r="AT58" s="53">
        <v>0</v>
      </c>
      <c r="AU58" s="53">
        <v>0</v>
      </c>
      <c r="AV58" s="53">
        <v>42097</v>
      </c>
      <c r="AW58" s="53">
        <v>16103</v>
      </c>
      <c r="AX58" s="53">
        <v>0</v>
      </c>
      <c r="AY58" s="53">
        <v>74442</v>
      </c>
      <c r="AZ58" s="53">
        <v>64029</v>
      </c>
      <c r="BA58" s="53">
        <v>641670</v>
      </c>
      <c r="BB58" s="53">
        <v>180338</v>
      </c>
      <c r="BC58" s="53">
        <v>707879</v>
      </c>
      <c r="BD58" s="53">
        <v>157668</v>
      </c>
      <c r="BE58" s="53">
        <v>203922</v>
      </c>
      <c r="BF58" s="53">
        <v>302104</v>
      </c>
      <c r="BG58" s="53">
        <v>58630</v>
      </c>
      <c r="BH58" s="53">
        <v>78110</v>
      </c>
      <c r="BI58" s="53">
        <v>0</v>
      </c>
      <c r="BJ58" s="53">
        <v>75786</v>
      </c>
      <c r="BK58" s="53">
        <v>461466</v>
      </c>
      <c r="BL58" s="53">
        <v>0</v>
      </c>
      <c r="BM58" s="53">
        <v>85084</v>
      </c>
      <c r="BN58" s="53">
        <v>73862</v>
      </c>
      <c r="BO58" s="53">
        <v>103005</v>
      </c>
      <c r="BP58" s="53">
        <v>0</v>
      </c>
      <c r="BQ58" s="53">
        <v>0</v>
      </c>
      <c r="BR58" s="53">
        <v>59232</v>
      </c>
      <c r="BS58" s="53">
        <v>0</v>
      </c>
      <c r="BT58" s="53">
        <v>0</v>
      </c>
      <c r="BU58" s="53">
        <v>45439</v>
      </c>
      <c r="BV58" s="53">
        <v>28180</v>
      </c>
      <c r="BW58" s="53">
        <v>47347</v>
      </c>
      <c r="BX58" s="53">
        <v>0</v>
      </c>
      <c r="BY58" s="53">
        <v>0</v>
      </c>
      <c r="BZ58" s="53">
        <v>34306</v>
      </c>
      <c r="CA58" s="53">
        <v>0</v>
      </c>
      <c r="CB58" s="53">
        <v>3282293</v>
      </c>
      <c r="CC58" s="53">
        <v>25288</v>
      </c>
      <c r="CD58" s="53">
        <v>0</v>
      </c>
      <c r="CE58" s="53">
        <v>6907</v>
      </c>
      <c r="CF58" s="53">
        <v>0</v>
      </c>
      <c r="CG58" s="53">
        <v>15425</v>
      </c>
      <c r="CH58" s="53">
        <v>28480</v>
      </c>
      <c r="CI58" s="53">
        <v>0</v>
      </c>
      <c r="CJ58" s="53">
        <v>46786</v>
      </c>
      <c r="CK58" s="53">
        <v>172382</v>
      </c>
      <c r="CL58" s="53">
        <v>147877</v>
      </c>
      <c r="CM58" s="53">
        <v>73405</v>
      </c>
      <c r="CN58" s="53">
        <v>3343175</v>
      </c>
      <c r="CO58" s="53">
        <v>344230</v>
      </c>
      <c r="CP58" s="53">
        <v>0</v>
      </c>
      <c r="CQ58" s="53">
        <v>50408</v>
      </c>
      <c r="CR58" s="53">
        <v>34815</v>
      </c>
      <c r="CS58" s="53">
        <v>37305</v>
      </c>
      <c r="CT58" s="53">
        <v>13035</v>
      </c>
      <c r="CU58" s="53">
        <v>10243</v>
      </c>
      <c r="CV58" s="53">
        <v>18971</v>
      </c>
      <c r="CW58" s="53">
        <v>60178</v>
      </c>
      <c r="CX58" s="53">
        <v>0</v>
      </c>
      <c r="CY58" s="53">
        <v>0</v>
      </c>
      <c r="CZ58" s="53">
        <v>78560</v>
      </c>
      <c r="DA58" s="53">
        <v>13836</v>
      </c>
      <c r="DB58" s="53">
        <v>36688</v>
      </c>
      <c r="DC58" s="53">
        <v>61080</v>
      </c>
      <c r="DD58" s="53">
        <v>0</v>
      </c>
      <c r="DE58" s="53">
        <v>28121</v>
      </c>
      <c r="DF58" s="53">
        <v>1846453</v>
      </c>
      <c r="DG58" s="53">
        <v>0</v>
      </c>
      <c r="DH58" s="53">
        <v>0</v>
      </c>
      <c r="DI58" s="53">
        <v>53127</v>
      </c>
      <c r="DJ58" s="53">
        <v>15299</v>
      </c>
      <c r="DK58" s="53">
        <v>33929</v>
      </c>
      <c r="DL58" s="53">
        <v>61994</v>
      </c>
      <c r="DM58" s="53">
        <v>24858</v>
      </c>
      <c r="DN58" s="53">
        <v>64362</v>
      </c>
      <c r="DO58" s="53">
        <v>40948</v>
      </c>
      <c r="DP58" s="53">
        <v>12491</v>
      </c>
      <c r="DQ58" s="53">
        <v>28815</v>
      </c>
      <c r="DR58" s="53">
        <v>37556</v>
      </c>
      <c r="DS58" s="53">
        <v>0</v>
      </c>
      <c r="DT58" s="53">
        <v>532</v>
      </c>
      <c r="DU58" s="53">
        <v>29769</v>
      </c>
      <c r="DV58" s="53">
        <v>27383</v>
      </c>
      <c r="DW58" s="53">
        <v>39527</v>
      </c>
      <c r="DX58" s="53">
        <v>15498</v>
      </c>
      <c r="DY58" s="53">
        <v>0</v>
      </c>
      <c r="DZ58" s="53">
        <v>37573</v>
      </c>
      <c r="EA58" s="53">
        <v>6370</v>
      </c>
      <c r="EB58" s="53">
        <v>30728</v>
      </c>
      <c r="EC58" s="53">
        <v>13315</v>
      </c>
      <c r="ED58" s="53">
        <v>98440</v>
      </c>
      <c r="EE58" s="53">
        <v>0</v>
      </c>
      <c r="EF58" s="53">
        <v>19796</v>
      </c>
      <c r="EG58" s="53">
        <v>18160</v>
      </c>
      <c r="EH58" s="53">
        <v>17505</v>
      </c>
      <c r="EI58" s="53">
        <v>192383</v>
      </c>
      <c r="EJ58" s="53">
        <v>325808</v>
      </c>
      <c r="EK58" s="53">
        <v>33783</v>
      </c>
      <c r="EL58" s="53">
        <v>35772</v>
      </c>
      <c r="EM58" s="53">
        <v>0</v>
      </c>
      <c r="EN58" s="53">
        <v>48879</v>
      </c>
      <c r="EO58" s="53">
        <v>16844</v>
      </c>
      <c r="EP58" s="53">
        <v>31771</v>
      </c>
      <c r="EQ58" s="53">
        <v>27564</v>
      </c>
      <c r="ER58" s="53">
        <v>56660</v>
      </c>
      <c r="ES58" s="53">
        <v>0</v>
      </c>
      <c r="ET58" s="53">
        <v>0</v>
      </c>
      <c r="EU58" s="53">
        <v>31487</v>
      </c>
      <c r="EV58" s="53">
        <v>0</v>
      </c>
      <c r="EW58" s="53">
        <v>39917</v>
      </c>
      <c r="EX58" s="53">
        <v>7391</v>
      </c>
      <c r="EY58" s="53">
        <v>145108</v>
      </c>
      <c r="EZ58" s="53">
        <v>9859</v>
      </c>
      <c r="FA58" s="53">
        <v>76704</v>
      </c>
      <c r="FB58" s="53">
        <v>0</v>
      </c>
      <c r="FC58" s="53">
        <v>40648</v>
      </c>
      <c r="FD58" s="53">
        <v>39396</v>
      </c>
      <c r="FE58" s="53">
        <v>14935</v>
      </c>
      <c r="FF58" s="53">
        <v>16159</v>
      </c>
      <c r="FG58" s="53">
        <v>4148</v>
      </c>
      <c r="FH58" s="53">
        <v>14948</v>
      </c>
      <c r="FI58" s="53">
        <v>43360</v>
      </c>
      <c r="FJ58" s="53">
        <v>54126</v>
      </c>
      <c r="FK58" s="53">
        <v>48361</v>
      </c>
      <c r="FL58" s="53">
        <v>279025</v>
      </c>
      <c r="FM58" s="53">
        <v>228835</v>
      </c>
      <c r="FN58" s="53">
        <v>161585</v>
      </c>
      <c r="FO58" s="53">
        <v>145622</v>
      </c>
      <c r="FP58" s="53">
        <v>5975</v>
      </c>
      <c r="FQ58" s="53">
        <v>21442</v>
      </c>
      <c r="FR58" s="53">
        <v>703</v>
      </c>
      <c r="FS58" s="53">
        <v>0</v>
      </c>
      <c r="FT58" s="53">
        <v>16088</v>
      </c>
      <c r="FU58" s="53">
        <v>1960</v>
      </c>
      <c r="FV58" s="53">
        <v>14932</v>
      </c>
      <c r="FW58" s="53">
        <v>12924</v>
      </c>
      <c r="FX58" s="53">
        <v>9218</v>
      </c>
      <c r="FY58" s="7"/>
      <c r="FZ58" s="7">
        <f t="shared" si="14"/>
        <v>30409006</v>
      </c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</row>
    <row r="59" spans="1:207" ht="15.5" x14ac:dyDescent="0.35">
      <c r="A59" s="12" t="s">
        <v>778</v>
      </c>
      <c r="B59" s="7" t="s">
        <v>528</v>
      </c>
      <c r="C59" s="7">
        <v>606546.89</v>
      </c>
      <c r="D59" s="7">
        <v>1647980.56</v>
      </c>
      <c r="E59" s="7">
        <v>646456.05000000005</v>
      </c>
      <c r="F59" s="7">
        <v>1015890.13</v>
      </c>
      <c r="G59" s="7">
        <v>46408.07</v>
      </c>
      <c r="H59" s="7">
        <v>38055.68</v>
      </c>
      <c r="I59" s="7">
        <v>643214.76</v>
      </c>
      <c r="J59" s="7">
        <v>88172.78</v>
      </c>
      <c r="K59" s="7">
        <v>1856.93</v>
      </c>
      <c r="L59" s="7">
        <v>64972.08</v>
      </c>
      <c r="M59" s="7">
        <v>80750.81</v>
      </c>
      <c r="N59" s="7">
        <v>2075395.69</v>
      </c>
      <c r="O59" s="7">
        <v>169853.32</v>
      </c>
      <c r="P59" s="7">
        <v>11601.5</v>
      </c>
      <c r="Q59" s="7">
        <v>4537244.34</v>
      </c>
      <c r="R59" s="7">
        <v>32022.9</v>
      </c>
      <c r="S59" s="7">
        <v>23668.44</v>
      </c>
      <c r="T59" s="7">
        <v>464.06</v>
      </c>
      <c r="U59" s="7">
        <v>0</v>
      </c>
      <c r="V59" s="7">
        <v>0</v>
      </c>
      <c r="W59" s="7">
        <v>464.29</v>
      </c>
      <c r="X59" s="7">
        <v>0</v>
      </c>
      <c r="Y59" s="7">
        <v>0</v>
      </c>
      <c r="Z59" s="7">
        <v>928.12</v>
      </c>
      <c r="AA59" s="7">
        <v>1055778.5900000001</v>
      </c>
      <c r="AB59" s="7">
        <v>674317.36</v>
      </c>
      <c r="AC59" s="7">
        <v>10209.32</v>
      </c>
      <c r="AD59" s="7">
        <v>12066.25</v>
      </c>
      <c r="AE59" s="7">
        <v>1392.18</v>
      </c>
      <c r="AF59" s="7">
        <v>928.12</v>
      </c>
      <c r="AG59" s="7">
        <v>6032.78</v>
      </c>
      <c r="AH59" s="7">
        <v>0</v>
      </c>
      <c r="AI59" s="7">
        <v>0</v>
      </c>
      <c r="AJ59" s="7">
        <v>928.12</v>
      </c>
      <c r="AK59" s="7">
        <v>0</v>
      </c>
      <c r="AL59" s="7">
        <v>3248.42</v>
      </c>
      <c r="AM59" s="7">
        <v>0</v>
      </c>
      <c r="AN59" s="7">
        <v>0</v>
      </c>
      <c r="AO59" s="7">
        <v>63579.9</v>
      </c>
      <c r="AP59" s="7">
        <v>6088602.4400000004</v>
      </c>
      <c r="AQ59" s="7">
        <v>0</v>
      </c>
      <c r="AR59" s="7">
        <v>1021510.14</v>
      </c>
      <c r="AS59" s="7">
        <v>545747.9</v>
      </c>
      <c r="AT59" s="7">
        <v>14850.84</v>
      </c>
      <c r="AU59" s="7">
        <v>2320.3000000000002</v>
      </c>
      <c r="AV59" s="7">
        <v>2784.36</v>
      </c>
      <c r="AW59" s="7">
        <v>464.06</v>
      </c>
      <c r="AX59" s="7">
        <v>3248.42</v>
      </c>
      <c r="AY59" s="7">
        <v>6033.01</v>
      </c>
      <c r="AZ59" s="7">
        <v>450630.55</v>
      </c>
      <c r="BA59" s="7">
        <v>88176.69</v>
      </c>
      <c r="BB59" s="7">
        <v>122054.68</v>
      </c>
      <c r="BC59" s="7">
        <v>526720.29</v>
      </c>
      <c r="BD59" s="7">
        <v>29703.29</v>
      </c>
      <c r="BE59" s="7">
        <v>2320.3000000000002</v>
      </c>
      <c r="BF59" s="7">
        <v>216268.52</v>
      </c>
      <c r="BG59" s="7">
        <v>40376.21</v>
      </c>
      <c r="BH59" s="7">
        <v>4640.6000000000004</v>
      </c>
      <c r="BI59" s="7">
        <v>7889.25</v>
      </c>
      <c r="BJ59" s="7">
        <v>50124.23</v>
      </c>
      <c r="BK59" s="7">
        <v>321616.81</v>
      </c>
      <c r="BL59" s="7">
        <v>0</v>
      </c>
      <c r="BM59" s="7">
        <v>2320.5300000000002</v>
      </c>
      <c r="BN59" s="7">
        <v>9746.41</v>
      </c>
      <c r="BO59" s="7">
        <v>6961.13</v>
      </c>
      <c r="BP59" s="7">
        <v>0</v>
      </c>
      <c r="BQ59" s="7">
        <v>523472.33</v>
      </c>
      <c r="BR59" s="7">
        <v>316498.81</v>
      </c>
      <c r="BS59" s="7">
        <v>74250.06</v>
      </c>
      <c r="BT59" s="7">
        <v>2320.3000000000002</v>
      </c>
      <c r="BU59" s="7">
        <v>18562.400000000001</v>
      </c>
      <c r="BV59" s="7">
        <v>34342.050000000003</v>
      </c>
      <c r="BW59" s="7">
        <v>64505.49</v>
      </c>
      <c r="BX59" s="7">
        <v>0</v>
      </c>
      <c r="BY59" s="7">
        <v>928.12</v>
      </c>
      <c r="BZ59" s="7">
        <v>0</v>
      </c>
      <c r="CA59" s="7">
        <v>1392.18</v>
      </c>
      <c r="CB59" s="7">
        <v>1335650.93</v>
      </c>
      <c r="CC59" s="7">
        <v>0</v>
      </c>
      <c r="CD59" s="7">
        <v>4176.54</v>
      </c>
      <c r="CE59" s="7">
        <v>928.12</v>
      </c>
      <c r="CF59" s="7">
        <v>0</v>
      </c>
      <c r="CG59" s="7">
        <v>10673.38</v>
      </c>
      <c r="CH59" s="7">
        <v>4640.6000000000004</v>
      </c>
      <c r="CI59" s="7">
        <v>38053.61</v>
      </c>
      <c r="CJ59" s="7">
        <v>80288.59</v>
      </c>
      <c r="CK59" s="7">
        <v>70076.28</v>
      </c>
      <c r="CL59" s="7">
        <v>13922.26</v>
      </c>
      <c r="CM59" s="7">
        <v>6496.84</v>
      </c>
      <c r="CN59" s="7">
        <v>536017.59</v>
      </c>
      <c r="CO59" s="7">
        <v>190278.17</v>
      </c>
      <c r="CP59" s="7">
        <v>62185.88</v>
      </c>
      <c r="CQ59" s="7">
        <v>3248.42</v>
      </c>
      <c r="CR59" s="7">
        <v>464.29</v>
      </c>
      <c r="CS59" s="7">
        <v>2784.36</v>
      </c>
      <c r="CT59" s="7">
        <v>464.06</v>
      </c>
      <c r="CU59" s="7">
        <v>2320.5300000000002</v>
      </c>
      <c r="CV59" s="7">
        <v>0</v>
      </c>
      <c r="CW59" s="7">
        <v>0</v>
      </c>
      <c r="CX59" s="7">
        <v>11138.82</v>
      </c>
      <c r="CY59" s="7">
        <v>0</v>
      </c>
      <c r="CZ59" s="7">
        <v>24133.19</v>
      </c>
      <c r="DA59" s="7">
        <v>0</v>
      </c>
      <c r="DB59" s="7">
        <v>2320.5300000000002</v>
      </c>
      <c r="DC59" s="7">
        <v>0</v>
      </c>
      <c r="DD59" s="7">
        <v>464.06</v>
      </c>
      <c r="DE59" s="7">
        <v>464.06</v>
      </c>
      <c r="DF59" s="7">
        <v>255247.26</v>
      </c>
      <c r="DG59" s="7">
        <v>0</v>
      </c>
      <c r="DH59" s="7">
        <v>50584.38</v>
      </c>
      <c r="DI59" s="7">
        <v>19490.98</v>
      </c>
      <c r="DJ59" s="7">
        <v>2320.5300000000002</v>
      </c>
      <c r="DK59" s="7">
        <v>11137.67</v>
      </c>
      <c r="DL59" s="7">
        <v>141079.99</v>
      </c>
      <c r="DM59" s="7">
        <v>0</v>
      </c>
      <c r="DN59" s="7">
        <v>40838.89</v>
      </c>
      <c r="DO59" s="7">
        <v>258498.9</v>
      </c>
      <c r="DP59" s="7">
        <v>0</v>
      </c>
      <c r="DQ59" s="7">
        <v>30629.57</v>
      </c>
      <c r="DR59" s="7">
        <v>13458.43</v>
      </c>
      <c r="DS59" s="7">
        <v>11602.65</v>
      </c>
      <c r="DT59" s="7">
        <v>1856.24</v>
      </c>
      <c r="DU59" s="7">
        <v>1392.18</v>
      </c>
      <c r="DV59" s="7">
        <v>1392.18</v>
      </c>
      <c r="DW59" s="7">
        <v>0</v>
      </c>
      <c r="DX59" s="7">
        <v>3248.42</v>
      </c>
      <c r="DY59" s="7">
        <v>928.35</v>
      </c>
      <c r="DZ59" s="7">
        <v>2784.36</v>
      </c>
      <c r="EA59" s="7">
        <v>8817.83</v>
      </c>
      <c r="EB59" s="7">
        <v>42695.13</v>
      </c>
      <c r="EC59" s="7">
        <v>0</v>
      </c>
      <c r="ED59" s="7">
        <v>24597.48</v>
      </c>
      <c r="EE59" s="7">
        <v>8353.5400000000009</v>
      </c>
      <c r="EF59" s="7">
        <v>28772.639999999999</v>
      </c>
      <c r="EG59" s="7">
        <v>21810.82</v>
      </c>
      <c r="EH59" s="7">
        <v>5569.64</v>
      </c>
      <c r="EI59" s="7">
        <v>209762.94</v>
      </c>
      <c r="EJ59" s="7">
        <v>92817.52</v>
      </c>
      <c r="EK59" s="7">
        <v>6961.59</v>
      </c>
      <c r="EL59" s="7">
        <v>464.06</v>
      </c>
      <c r="EM59" s="7">
        <v>0</v>
      </c>
      <c r="EN59" s="7">
        <v>5104.8900000000003</v>
      </c>
      <c r="EO59" s="7">
        <v>1392.18</v>
      </c>
      <c r="EP59" s="7">
        <v>3712.48</v>
      </c>
      <c r="EQ59" s="7">
        <v>77965.990000000005</v>
      </c>
      <c r="ER59" s="7">
        <v>4640.6000000000004</v>
      </c>
      <c r="ES59" s="7">
        <v>928.12</v>
      </c>
      <c r="ET59" s="7">
        <v>2784.59</v>
      </c>
      <c r="EU59" s="7">
        <v>42694.44</v>
      </c>
      <c r="EV59" s="7">
        <v>6033.24</v>
      </c>
      <c r="EW59" s="7">
        <v>30165.279999999999</v>
      </c>
      <c r="EX59" s="7">
        <v>464.06</v>
      </c>
      <c r="EY59" s="7">
        <v>5569.18</v>
      </c>
      <c r="EZ59" s="7">
        <v>0</v>
      </c>
      <c r="FA59" s="7">
        <v>284011.15999999997</v>
      </c>
      <c r="FB59" s="7">
        <v>0</v>
      </c>
      <c r="FC59" s="7">
        <v>20420.48</v>
      </c>
      <c r="FD59" s="7">
        <v>3712.94</v>
      </c>
      <c r="FE59" s="7">
        <v>3712.71</v>
      </c>
      <c r="FF59" s="7">
        <v>0</v>
      </c>
      <c r="FG59" s="7">
        <v>0</v>
      </c>
      <c r="FH59" s="7">
        <v>0</v>
      </c>
      <c r="FI59" s="7">
        <v>83537.009999999995</v>
      </c>
      <c r="FJ59" s="7">
        <v>36199.67</v>
      </c>
      <c r="FK59" s="7">
        <v>139694.25</v>
      </c>
      <c r="FL59" s="7">
        <v>69148.160000000003</v>
      </c>
      <c r="FM59" s="7">
        <v>41302.720000000001</v>
      </c>
      <c r="FN59" s="7">
        <v>1451675.59</v>
      </c>
      <c r="FO59" s="7">
        <v>27382.99</v>
      </c>
      <c r="FP59" s="7">
        <v>145259.75</v>
      </c>
      <c r="FQ59" s="7">
        <v>30629.57</v>
      </c>
      <c r="FR59" s="7">
        <v>0</v>
      </c>
      <c r="FS59" s="7">
        <v>0</v>
      </c>
      <c r="FT59" s="7">
        <v>0</v>
      </c>
      <c r="FU59" s="7">
        <v>65434.53</v>
      </c>
      <c r="FV59" s="7">
        <v>40375.75</v>
      </c>
      <c r="FW59" s="7">
        <v>5104.8900000000003</v>
      </c>
      <c r="FX59" s="7">
        <v>464.06</v>
      </c>
      <c r="FY59" s="7"/>
      <c r="FZ59" s="7">
        <f t="shared" si="14"/>
        <v>30489637.699999999</v>
      </c>
      <c r="GA59" s="7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</row>
    <row r="60" spans="1:207" ht="15.5" x14ac:dyDescent="0.35">
      <c r="A60" s="12" t="s">
        <v>779</v>
      </c>
      <c r="B60" s="7" t="s">
        <v>780</v>
      </c>
      <c r="C60" s="7">
        <v>2582912.4368625553</v>
      </c>
      <c r="D60" s="7">
        <v>14182763.947547356</v>
      </c>
      <c r="E60" s="7">
        <v>2592399.7945604669</v>
      </c>
      <c r="F60" s="7">
        <v>7875013.5281690154</v>
      </c>
      <c r="G60" s="7">
        <v>485027.1505585236</v>
      </c>
      <c r="H60" s="7">
        <v>721001.39946576022</v>
      </c>
      <c r="I60" s="7">
        <v>3322611.4011656148</v>
      </c>
      <c r="J60" s="7">
        <v>821764.50825643528</v>
      </c>
      <c r="K60" s="7">
        <v>42368.445604662462</v>
      </c>
      <c r="L60" s="7">
        <v>1314897.4621175332</v>
      </c>
      <c r="M60" s="7">
        <v>440816.4769305489</v>
      </c>
      <c r="N60" s="7">
        <v>23057676.337299667</v>
      </c>
      <c r="O60" s="7">
        <v>5635563.6308887824</v>
      </c>
      <c r="P60" s="7">
        <v>145434.4560466246</v>
      </c>
      <c r="Q60" s="7">
        <v>15602197.470616806</v>
      </c>
      <c r="R60" s="7">
        <v>1841647.9286061199</v>
      </c>
      <c r="S60" s="7">
        <v>527395.59616318613</v>
      </c>
      <c r="T60" s="7">
        <v>72855.336813987378</v>
      </c>
      <c r="U60" s="7">
        <v>17868.445604662462</v>
      </c>
      <c r="V60" s="7">
        <v>123697.56483729968</v>
      </c>
      <c r="W60" s="7">
        <v>19250</v>
      </c>
      <c r="X60" s="7">
        <v>14000</v>
      </c>
      <c r="Y60" s="7">
        <v>361237.35769791168</v>
      </c>
      <c r="Z60" s="7">
        <v>78842.228023312302</v>
      </c>
      <c r="AA60" s="7">
        <v>12743155.811801847</v>
      </c>
      <c r="AB60" s="7">
        <v>11472377.261777565</v>
      </c>
      <c r="AC60" s="7">
        <v>444408.70495386119</v>
      </c>
      <c r="AD60" s="7">
        <v>461908.70495386119</v>
      </c>
      <c r="AE60" s="7">
        <v>28368.445604662462</v>
      </c>
      <c r="AF60" s="7">
        <v>66223.782418649847</v>
      </c>
      <c r="AG60" s="7">
        <v>245368.91209324921</v>
      </c>
      <c r="AH60" s="7">
        <v>259645.12967459936</v>
      </c>
      <c r="AI60" s="7">
        <v>61618.445604662462</v>
      </c>
      <c r="AJ60" s="7">
        <v>71473.782418649847</v>
      </c>
      <c r="AK60" s="7">
        <v>60605.336813987378</v>
      </c>
      <c r="AL60" s="7">
        <v>42368.445604662462</v>
      </c>
      <c r="AM60" s="7">
        <v>155934.4560466246</v>
      </c>
      <c r="AN60" s="7">
        <v>126829.11923263723</v>
      </c>
      <c r="AO60" s="7">
        <v>1977226.5813501703</v>
      </c>
      <c r="AP60" s="7">
        <v>33261757.275376402</v>
      </c>
      <c r="AQ60" s="7">
        <v>118079.11923263723</v>
      </c>
      <c r="AR60" s="7">
        <v>24626967.063137449</v>
      </c>
      <c r="AS60" s="7">
        <v>2318845.0269548325</v>
      </c>
      <c r="AT60" s="7">
        <v>941962.07309373491</v>
      </c>
      <c r="AU60" s="7">
        <v>138066.01044196213</v>
      </c>
      <c r="AV60" s="7">
        <v>129316.01044196213</v>
      </c>
      <c r="AW60" s="7">
        <v>109697.56483729968</v>
      </c>
      <c r="AX60" s="7">
        <v>46236.891209324924</v>
      </c>
      <c r="AY60" s="7">
        <v>110710.67362797476</v>
      </c>
      <c r="AZ60" s="7">
        <v>4994693.7858183589</v>
      </c>
      <c r="BA60" s="7">
        <v>3733861.4011656148</v>
      </c>
      <c r="BB60" s="7">
        <v>4775943.3193297721</v>
      </c>
      <c r="BC60" s="7">
        <v>8304962.0259834882</v>
      </c>
      <c r="BD60" s="7">
        <v>1268383.8868382713</v>
      </c>
      <c r="BE60" s="7">
        <v>332961.1401165615</v>
      </c>
      <c r="BF60" s="7">
        <v>7357843.5803788267</v>
      </c>
      <c r="BG60" s="7">
        <v>328355.80330257409</v>
      </c>
      <c r="BH60" s="7">
        <v>147184.4560466246</v>
      </c>
      <c r="BI60" s="7">
        <v>134197.56483729969</v>
      </c>
      <c r="BJ60" s="7">
        <v>2077345.9599320062</v>
      </c>
      <c r="BK60" s="7">
        <v>8915621.663914524</v>
      </c>
      <c r="BL60" s="7">
        <v>39605.336813987378</v>
      </c>
      <c r="BM60" s="7">
        <v>211013.5752792618</v>
      </c>
      <c r="BN60" s="7">
        <v>1651081.9181641578</v>
      </c>
      <c r="BO60" s="7">
        <v>693830.0522098107</v>
      </c>
      <c r="BP60" s="7">
        <v>73960.673627974757</v>
      </c>
      <c r="BQ60" s="7">
        <v>1910727.047838757</v>
      </c>
      <c r="BR60" s="7">
        <v>1520015.4412336089</v>
      </c>
      <c r="BS60" s="7">
        <v>386198.03132588643</v>
      </c>
      <c r="BT60" s="7">
        <v>134566.01044196213</v>
      </c>
      <c r="BU60" s="7">
        <v>128210.67362797476</v>
      </c>
      <c r="BV60" s="7">
        <v>433816.4769305489</v>
      </c>
      <c r="BW60" s="7">
        <v>448829.58572122396</v>
      </c>
      <c r="BX60" s="7">
        <v>54342.228023312302</v>
      </c>
      <c r="BY60" s="7">
        <v>223539.79286061198</v>
      </c>
      <c r="BZ60" s="7">
        <v>106197.56483729968</v>
      </c>
      <c r="CA60" s="7">
        <v>53236.891209324924</v>
      </c>
      <c r="CB60" s="7">
        <v>28732565.355512388</v>
      </c>
      <c r="CC60" s="7">
        <v>66223.782418649847</v>
      </c>
      <c r="CD60" s="7">
        <v>14368.44560466246</v>
      </c>
      <c r="CE60" s="7">
        <v>103710.67362797476</v>
      </c>
      <c r="CF60" s="7">
        <v>28368.445604662462</v>
      </c>
      <c r="CG60" s="7">
        <v>74236.891209324924</v>
      </c>
      <c r="CH60" s="7">
        <v>35736.891209324924</v>
      </c>
      <c r="CI60" s="7">
        <v>407658.70495386119</v>
      </c>
      <c r="CJ60" s="7">
        <v>406737.35769791168</v>
      </c>
      <c r="CK60" s="7">
        <v>2297293.9912578929</v>
      </c>
      <c r="CL60" s="7">
        <v>592146.06265177287</v>
      </c>
      <c r="CM60" s="7">
        <v>330842.69451189903</v>
      </c>
      <c r="CN60" s="7">
        <v>8952280.3688683845</v>
      </c>
      <c r="CO60" s="7">
        <v>6010247.1539582331</v>
      </c>
      <c r="CP60" s="7">
        <v>287737.35769791168</v>
      </c>
      <c r="CQ60" s="7">
        <v>477290.25934919872</v>
      </c>
      <c r="CR60" s="7">
        <v>92105.336813987378</v>
      </c>
      <c r="CS60" s="7">
        <v>85105.336813987378</v>
      </c>
      <c r="CT60" s="7">
        <v>69355.336813987378</v>
      </c>
      <c r="CU60" s="7">
        <v>58118.445604662462</v>
      </c>
      <c r="CV60" s="7">
        <v>3500</v>
      </c>
      <c r="CW60" s="7">
        <v>82986.891209324924</v>
      </c>
      <c r="CX60" s="7">
        <v>290868.91209324921</v>
      </c>
      <c r="CY60" s="7">
        <v>23486.89120932492</v>
      </c>
      <c r="CZ60" s="7">
        <v>1005330.9851869842</v>
      </c>
      <c r="DA60" s="7">
        <v>72486.891209324924</v>
      </c>
      <c r="DB60" s="7">
        <v>145434.4560466246</v>
      </c>
      <c r="DC60" s="7">
        <v>73223.782418649847</v>
      </c>
      <c r="DD60" s="7">
        <v>97816.010441962135</v>
      </c>
      <c r="DE60" s="7">
        <v>112092.2280233123</v>
      </c>
      <c r="DF60" s="7">
        <v>9812543.9441476464</v>
      </c>
      <c r="DG60" s="7">
        <v>33618.445604662462</v>
      </c>
      <c r="DH60" s="7">
        <v>907514.50825643528</v>
      </c>
      <c r="DI60" s="7">
        <v>1451674.1461874698</v>
      </c>
      <c r="DJ60" s="7">
        <v>290592.69451189903</v>
      </c>
      <c r="DK60" s="7">
        <v>199776.68406993692</v>
      </c>
      <c r="DL60" s="7">
        <v>2655582.8511413313</v>
      </c>
      <c r="DM60" s="7">
        <v>118447.56483729968</v>
      </c>
      <c r="DN60" s="7">
        <v>543974.71539582335</v>
      </c>
      <c r="DO60" s="7">
        <v>1157028.0835356971</v>
      </c>
      <c r="DP60" s="7">
        <v>109697.56483729968</v>
      </c>
      <c r="DQ60" s="7">
        <v>284513.5752792618</v>
      </c>
      <c r="DR60" s="7">
        <v>646303.36813987384</v>
      </c>
      <c r="DS60" s="7">
        <v>288013.5752792618</v>
      </c>
      <c r="DT60" s="7">
        <v>44486.891209324924</v>
      </c>
      <c r="DU60" s="7">
        <v>87223.782418649847</v>
      </c>
      <c r="DV60" s="7">
        <v>49368.445604662462</v>
      </c>
      <c r="DW60" s="7">
        <v>67973.782418649847</v>
      </c>
      <c r="DX60" s="7">
        <v>62355.336813987378</v>
      </c>
      <c r="DY60" s="7">
        <v>138434.4560466246</v>
      </c>
      <c r="DZ60" s="7">
        <v>357277.1505585236</v>
      </c>
      <c r="EA60" s="7">
        <v>194434.4560466246</v>
      </c>
      <c r="EB60" s="7">
        <v>277882.02088392427</v>
      </c>
      <c r="EC60" s="7">
        <v>151052.90165128704</v>
      </c>
      <c r="ED60" s="7">
        <v>531908.70495386119</v>
      </c>
      <c r="EE60" s="7">
        <v>66223.782418649847</v>
      </c>
      <c r="EF60" s="7">
        <v>640500.93297717348</v>
      </c>
      <c r="EG60" s="7">
        <v>86210.673627974757</v>
      </c>
      <c r="EH60" s="7">
        <v>67605.336813987378</v>
      </c>
      <c r="EI60" s="7">
        <v>7307002.2853326872</v>
      </c>
      <c r="EJ60" s="7">
        <v>4622955.0286546871</v>
      </c>
      <c r="EK60" s="7">
        <v>215434.4560466246</v>
      </c>
      <c r="EL60" s="7">
        <v>255132.02088392427</v>
      </c>
      <c r="EM60" s="7">
        <v>93855.336813987378</v>
      </c>
      <c r="EN60" s="7">
        <v>482908.70495386119</v>
      </c>
      <c r="EO60" s="7">
        <v>64105.336813987378</v>
      </c>
      <c r="EP60" s="7">
        <v>117710.67362797476</v>
      </c>
      <c r="EQ60" s="7">
        <v>1139344.0939776592</v>
      </c>
      <c r="ER60" s="7">
        <v>70736.891209324924</v>
      </c>
      <c r="ES60" s="7">
        <v>52223.78241864984</v>
      </c>
      <c r="ET60" s="7">
        <v>55723.78241864984</v>
      </c>
      <c r="EU60" s="7">
        <v>200329.11923263723</v>
      </c>
      <c r="EV60" s="7">
        <v>36105.336813987378</v>
      </c>
      <c r="EW60" s="7">
        <v>247763.5752792618</v>
      </c>
      <c r="EX60" s="7">
        <v>49736.891209324924</v>
      </c>
      <c r="EY60" s="7">
        <v>254763.5752792618</v>
      </c>
      <c r="EZ60" s="7">
        <v>60973.78241864984</v>
      </c>
      <c r="FA60" s="7">
        <v>1136948.96430306</v>
      </c>
      <c r="FB60" s="7">
        <v>166526.68406993692</v>
      </c>
      <c r="FC60" s="7">
        <v>783909.63793103467</v>
      </c>
      <c r="FD60" s="7">
        <v>234776.68406993692</v>
      </c>
      <c r="FE60" s="7">
        <v>14000</v>
      </c>
      <c r="FF60" s="7">
        <v>137789.79286061198</v>
      </c>
      <c r="FG60" s="7">
        <v>54342.228023312302</v>
      </c>
      <c r="FH60" s="7">
        <v>22750</v>
      </c>
      <c r="FI60" s="7">
        <v>901896.52914035961</v>
      </c>
      <c r="FJ60" s="7">
        <v>539645.59616318613</v>
      </c>
      <c r="FK60" s="7">
        <v>801225.18188441009</v>
      </c>
      <c r="FL60" s="7">
        <v>2517425.54565323</v>
      </c>
      <c r="FM60" s="7">
        <v>1371265.4412336089</v>
      </c>
      <c r="FN60" s="7">
        <v>8176842.1809130665</v>
      </c>
      <c r="FO60" s="7">
        <v>416316.4769305489</v>
      </c>
      <c r="FP60" s="7">
        <v>868738.29067508515</v>
      </c>
      <c r="FQ60" s="7">
        <v>374961.1401165615</v>
      </c>
      <c r="FR60" s="7">
        <v>84829.119232637226</v>
      </c>
      <c r="FS60" s="7">
        <v>44118.445604662462</v>
      </c>
      <c r="FT60" s="7">
        <v>19618.445604662462</v>
      </c>
      <c r="FU60" s="7">
        <v>442566.4769305489</v>
      </c>
      <c r="FV60" s="7">
        <v>268026.68406993692</v>
      </c>
      <c r="FW60" s="7">
        <v>36105.336813987378</v>
      </c>
      <c r="FX60" s="7">
        <v>5250</v>
      </c>
      <c r="FY60" s="7"/>
      <c r="FZ60" s="7">
        <f t="shared" si="14"/>
        <v>329437175.29164654</v>
      </c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</row>
    <row r="61" spans="1:207" ht="15.5" x14ac:dyDescent="0.35">
      <c r="A61" s="12" t="s">
        <v>781</v>
      </c>
      <c r="B61" s="7" t="s">
        <v>532</v>
      </c>
      <c r="C61" s="7">
        <v>88403</v>
      </c>
      <c r="D61" s="7">
        <v>350949</v>
      </c>
      <c r="E61" s="7">
        <v>60042</v>
      </c>
      <c r="F61" s="7">
        <v>199727.99999999997</v>
      </c>
      <c r="G61" s="7">
        <v>21668.341830747555</v>
      </c>
      <c r="H61" s="7">
        <v>20213.754068961262</v>
      </c>
      <c r="I61" s="7">
        <v>81706</v>
      </c>
      <c r="J61" s="7">
        <v>39103.534821845496</v>
      </c>
      <c r="K61" s="7">
        <v>4841.7420242549715</v>
      </c>
      <c r="L61" s="7">
        <v>41252.092853781105</v>
      </c>
      <c r="M61" s="7">
        <v>28575.292331516539</v>
      </c>
      <c r="N61" s="7">
        <v>525962</v>
      </c>
      <c r="O61" s="7">
        <v>134520</v>
      </c>
      <c r="P61" s="7">
        <v>5433.8048572476509</v>
      </c>
      <c r="Q61" s="7">
        <v>377605</v>
      </c>
      <c r="R61" s="7">
        <v>94815.714909081318</v>
      </c>
      <c r="S61" s="7">
        <v>28741.290225211793</v>
      </c>
      <c r="T61" s="7">
        <v>3954.555757623014</v>
      </c>
      <c r="U61" s="7">
        <v>1274.9660639331028</v>
      </c>
      <c r="V61" s="7">
        <v>6569.3166684010721</v>
      </c>
      <c r="W61" s="7">
        <v>4343.5284550941296</v>
      </c>
      <c r="X61" s="7">
        <v>713.11661203037954</v>
      </c>
      <c r="Y61" s="7">
        <v>16117.875161316204</v>
      </c>
      <c r="Z61" s="7">
        <v>5575.2753304193311</v>
      </c>
      <c r="AA61" s="7">
        <v>318240</v>
      </c>
      <c r="AB61" s="7">
        <v>284900</v>
      </c>
      <c r="AC61" s="7">
        <v>17521.855841931123</v>
      </c>
      <c r="AD61" s="7">
        <v>22564.482959231071</v>
      </c>
      <c r="AE61" s="7">
        <v>1688.6593556369623</v>
      </c>
      <c r="AF61" s="7">
        <v>2976.0531218156366</v>
      </c>
      <c r="AG61" s="7">
        <v>16858.308385207889</v>
      </c>
      <c r="AH61" s="7">
        <v>18258.172213602717</v>
      </c>
      <c r="AI61" s="7">
        <v>7096.2936538698814</v>
      </c>
      <c r="AJ61" s="7">
        <v>3215.5080619097903</v>
      </c>
      <c r="AK61" s="7">
        <v>3566.626758325227</v>
      </c>
      <c r="AL61" s="7">
        <v>5340.7001717926978</v>
      </c>
      <c r="AM61" s="7">
        <v>8348.2658889974773</v>
      </c>
      <c r="AN61" s="7">
        <v>7739.5381679247448</v>
      </c>
      <c r="AO61" s="7">
        <v>46529</v>
      </c>
      <c r="AP61" s="7">
        <v>872911.42728941469</v>
      </c>
      <c r="AQ61" s="7">
        <v>4504.7433428073309</v>
      </c>
      <c r="AR61" s="7">
        <v>627289</v>
      </c>
      <c r="AS61" s="7">
        <v>65689</v>
      </c>
      <c r="AT61" s="7">
        <v>44893.462280049192</v>
      </c>
      <c r="AU61" s="7">
        <v>5166.2944642754592</v>
      </c>
      <c r="AV61" s="7">
        <v>6927.6804774207048</v>
      </c>
      <c r="AW61" s="7">
        <v>5392.4604270227646</v>
      </c>
      <c r="AX61" s="7">
        <v>1354.2713644217222</v>
      </c>
      <c r="AY61" s="7">
        <v>8136.6662671090826</v>
      </c>
      <c r="AZ61" s="7">
        <v>127685.00000000001</v>
      </c>
      <c r="BA61" s="7">
        <v>92017</v>
      </c>
      <c r="BB61" s="7">
        <v>81529</v>
      </c>
      <c r="BC61" s="7">
        <v>229464</v>
      </c>
      <c r="BD61" s="7">
        <v>35756</v>
      </c>
      <c r="BE61" s="7">
        <v>22112.166308160631</v>
      </c>
      <c r="BF61" s="7">
        <v>259259</v>
      </c>
      <c r="BG61" s="7">
        <v>18844.826118634715</v>
      </c>
      <c r="BH61" s="7">
        <v>11897.955390584037</v>
      </c>
      <c r="BI61" s="7">
        <v>5545.9824320625585</v>
      </c>
      <c r="BJ61" s="7">
        <v>95008.254209239836</v>
      </c>
      <c r="BK61" s="7">
        <v>243222.00000000003</v>
      </c>
      <c r="BL61" s="7">
        <v>1803.8835592175797</v>
      </c>
      <c r="BM61" s="7">
        <v>6524.685214191245</v>
      </c>
      <c r="BN61" s="7">
        <v>52587.380630664826</v>
      </c>
      <c r="BO61" s="7">
        <v>26751.209378184107</v>
      </c>
      <c r="BP61" s="7">
        <v>4130.6523929935438</v>
      </c>
      <c r="BQ61" s="7">
        <v>77960.49372219776</v>
      </c>
      <c r="BR61" s="7">
        <v>70329.679728378396</v>
      </c>
      <c r="BS61" s="7">
        <v>18072.706202187324</v>
      </c>
      <c r="BT61" s="7">
        <v>10114.985031124734</v>
      </c>
      <c r="BU61" s="7">
        <v>6734.9001720835349</v>
      </c>
      <c r="BV61" s="7">
        <v>21986.964175020803</v>
      </c>
      <c r="BW61" s="7">
        <v>41989.912093034945</v>
      </c>
      <c r="BX61" s="7">
        <v>1650.2585538747358</v>
      </c>
      <c r="BY61" s="7">
        <v>10674.47539452542</v>
      </c>
      <c r="BZ61" s="7">
        <v>5174.1856291182285</v>
      </c>
      <c r="CA61" s="7">
        <v>3187.5100051082381</v>
      </c>
      <c r="CB61" s="7">
        <v>770637</v>
      </c>
      <c r="CC61" s="7">
        <v>4559.6243981336393</v>
      </c>
      <c r="CD61" s="7">
        <v>9054.4200133554259</v>
      </c>
      <c r="CE61" s="7">
        <v>2875.7367244510647</v>
      </c>
      <c r="CF61" s="7">
        <v>2156.8025433382986</v>
      </c>
      <c r="CG61" s="7">
        <v>3711.7067024891649</v>
      </c>
      <c r="CH61" s="7">
        <v>1805.6951525622962</v>
      </c>
      <c r="CI61" s="7">
        <v>12740.182465300646</v>
      </c>
      <c r="CJ61" s="7">
        <v>16672.928717806553</v>
      </c>
      <c r="CK61" s="7">
        <v>56929</v>
      </c>
      <c r="CL61" s="7">
        <v>21941.3544567916</v>
      </c>
      <c r="CM61" s="7">
        <v>10979.241379237639</v>
      </c>
      <c r="CN61" s="7">
        <v>294033</v>
      </c>
      <c r="CO61" s="7">
        <v>150164</v>
      </c>
      <c r="CP61" s="7">
        <v>27051.112393155905</v>
      </c>
      <c r="CQ61" s="7">
        <v>17305.259499067688</v>
      </c>
      <c r="CR61" s="7">
        <v>5630.7314199227776</v>
      </c>
      <c r="CS61" s="7">
        <v>6935.1479650786332</v>
      </c>
      <c r="CT61" s="7">
        <v>2587.0928145591142</v>
      </c>
      <c r="CU61" s="7">
        <v>9609.2018826481381</v>
      </c>
      <c r="CV61" s="7">
        <v>713.11661203037954</v>
      </c>
      <c r="CW61" s="7">
        <v>3745.1455016106888</v>
      </c>
      <c r="CX61" s="7">
        <v>7640.7655992682357</v>
      </c>
      <c r="CY61" s="7">
        <v>668.7759824304801</v>
      </c>
      <c r="CZ61" s="7">
        <v>39065.236613175031</v>
      </c>
      <c r="DA61" s="7">
        <v>4638.3160761092404</v>
      </c>
      <c r="DB61" s="7">
        <v>6590.1866420737624</v>
      </c>
      <c r="DC61" s="7">
        <v>3735.8382875449988</v>
      </c>
      <c r="DD61" s="7">
        <v>1705.227091633466</v>
      </c>
      <c r="DE61" s="7">
        <v>3149.6547457229904</v>
      </c>
      <c r="DF61" s="7">
        <v>209151.11816264354</v>
      </c>
      <c r="DG61" s="7">
        <v>1589.2740995646091</v>
      </c>
      <c r="DH61" s="7">
        <v>41127.841255864085</v>
      </c>
      <c r="DI61" s="7">
        <v>42152.750443531717</v>
      </c>
      <c r="DJ61" s="7">
        <v>11698.630049952118</v>
      </c>
      <c r="DK61" s="7">
        <v>8718.3055569921344</v>
      </c>
      <c r="DL61" s="7">
        <v>87630.710978183313</v>
      </c>
      <c r="DM61" s="7">
        <v>6925.5217497043432</v>
      </c>
      <c r="DN61" s="7">
        <v>22813.903694941757</v>
      </c>
      <c r="DO61" s="7">
        <v>57304.641778128658</v>
      </c>
      <c r="DP61" s="7">
        <v>3924.7930953962759</v>
      </c>
      <c r="DQ61" s="7">
        <v>14396.475098857829</v>
      </c>
      <c r="DR61" s="7">
        <v>26588.611579981476</v>
      </c>
      <c r="DS61" s="7">
        <v>12392.332240817324</v>
      </c>
      <c r="DT61" s="7">
        <v>3565.4052234260062</v>
      </c>
      <c r="DU61" s="7">
        <v>7543.8756861513666</v>
      </c>
      <c r="DV61" s="7">
        <v>4470.6515045986553</v>
      </c>
      <c r="DW61" s="7">
        <v>6156.949879140253</v>
      </c>
      <c r="DX61" s="7">
        <v>4714.6821142218023</v>
      </c>
      <c r="DY61" s="7">
        <v>8949.9050303871518</v>
      </c>
      <c r="DZ61" s="7">
        <v>19758.929092662776</v>
      </c>
      <c r="EA61" s="7">
        <v>10102.232777082383</v>
      </c>
      <c r="EB61" s="7">
        <v>11711.223395787132</v>
      </c>
      <c r="EC61" s="7">
        <v>7051.9194641298855</v>
      </c>
      <c r="ED61" s="7">
        <v>34659.203850182945</v>
      </c>
      <c r="EE61" s="7">
        <v>4602.843586741541</v>
      </c>
      <c r="EF61" s="7">
        <v>32889.802530613262</v>
      </c>
      <c r="EG61" s="7">
        <v>5899.4192449785942</v>
      </c>
      <c r="EH61" s="7">
        <v>5215.760088698431</v>
      </c>
      <c r="EI61" s="7">
        <v>148622</v>
      </c>
      <c r="EJ61" s="7">
        <v>100630</v>
      </c>
      <c r="EK61" s="7">
        <v>20967.583571875341</v>
      </c>
      <c r="EL61" s="7">
        <v>14132.846385462935</v>
      </c>
      <c r="EM61" s="7">
        <v>7133.253516650454</v>
      </c>
      <c r="EN61" s="7">
        <v>19089.769126165593</v>
      </c>
      <c r="EO61" s="7">
        <v>5950.5379076721401</v>
      </c>
      <c r="EP61" s="7">
        <v>7780.2663565545163</v>
      </c>
      <c r="EQ61" s="7">
        <v>45670.506255986314</v>
      </c>
      <c r="ER61" s="7">
        <v>6100.8256011749072</v>
      </c>
      <c r="ES61" s="7">
        <v>4084.0648372532391</v>
      </c>
      <c r="ET61" s="7">
        <v>3307.9077188612209</v>
      </c>
      <c r="EU61" s="7">
        <v>11217.318353903693</v>
      </c>
      <c r="EV61" s="7">
        <v>1490.1622464799916</v>
      </c>
      <c r="EW61" s="7">
        <v>23839.776792251487</v>
      </c>
      <c r="EX61" s="7">
        <v>5034.3215795927727</v>
      </c>
      <c r="EY61" s="7">
        <v>12739.628317639406</v>
      </c>
      <c r="EZ61" s="7">
        <v>2371.6276769246342</v>
      </c>
      <c r="FA61" s="7">
        <v>56365.809889626064</v>
      </c>
      <c r="FB61" s="7">
        <v>5255.2073306410612</v>
      </c>
      <c r="FC61" s="7">
        <v>35627.955129777416</v>
      </c>
      <c r="FD61" s="7">
        <v>8961.8143189983966</v>
      </c>
      <c r="FE61" s="7">
        <v>1688.6593556369623</v>
      </c>
      <c r="FF61" s="7">
        <v>4218.5589651491282</v>
      </c>
      <c r="FG61" s="7">
        <v>2602.4940879526957</v>
      </c>
      <c r="FH61" s="7">
        <v>1370.9907639824842</v>
      </c>
      <c r="FI61" s="7">
        <v>30680.191132948759</v>
      </c>
      <c r="FJ61" s="7">
        <v>33018.365742972077</v>
      </c>
      <c r="FK61" s="7">
        <v>26669.772941398154</v>
      </c>
      <c r="FL61" s="7">
        <v>79585</v>
      </c>
      <c r="FM61" s="7">
        <v>62453.552158136845</v>
      </c>
      <c r="FN61" s="7">
        <v>217718.00000000003</v>
      </c>
      <c r="FO61" s="7">
        <v>18271.164452610748</v>
      </c>
      <c r="FP61" s="7">
        <v>24151.227058601846</v>
      </c>
      <c r="FQ61" s="7">
        <v>16584.338483951073</v>
      </c>
      <c r="FR61" s="7">
        <v>2956.1207569580461</v>
      </c>
      <c r="FS61" s="7">
        <v>3156.5357235314727</v>
      </c>
      <c r="FT61" s="7">
        <v>1118.9835633682999</v>
      </c>
      <c r="FU61" s="7">
        <v>18595.240015532971</v>
      </c>
      <c r="FV61" s="7">
        <v>15300.146694496092</v>
      </c>
      <c r="FW61" s="7">
        <v>2875.7367244510647</v>
      </c>
      <c r="FX61" s="7">
        <v>1136.9191701318161</v>
      </c>
      <c r="FY61" s="7"/>
      <c r="FZ61" s="7">
        <f t="shared" si="14"/>
        <v>9454497.1344429776</v>
      </c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</row>
    <row r="62" spans="1:207" ht="15.5" x14ac:dyDescent="0.35">
      <c r="A62" s="12" t="s">
        <v>782</v>
      </c>
      <c r="B62" s="7" t="s">
        <v>783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145544.46</v>
      </c>
      <c r="BX62" s="7">
        <v>0</v>
      </c>
      <c r="BY62" s="7">
        <v>126903.89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213115.94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206487.91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93286.26</v>
      </c>
      <c r="DG62" s="7">
        <v>0</v>
      </c>
      <c r="DH62" s="7">
        <v>46455.62</v>
      </c>
      <c r="DI62" s="7">
        <v>0</v>
      </c>
      <c r="DJ62" s="7">
        <v>0</v>
      </c>
      <c r="DK62" s="7">
        <v>0</v>
      </c>
      <c r="DL62" s="7">
        <v>0</v>
      </c>
      <c r="DM62" s="7">
        <v>61919.519999999997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261434.41000000003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159101.96000000002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/>
      <c r="FZ62" s="7">
        <f t="shared" si="14"/>
        <v>1314249.97</v>
      </c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</row>
    <row r="63" spans="1:207" ht="15.5" x14ac:dyDescent="0.35">
      <c r="A63" s="12" t="s">
        <v>784</v>
      </c>
      <c r="B63" s="7" t="s">
        <v>785</v>
      </c>
      <c r="C63" s="7">
        <f t="shared" ref="C63:FX63" si="15">SUM(C57:C62)</f>
        <v>3975359.6368625555</v>
      </c>
      <c r="D63" s="7">
        <f t="shared" si="15"/>
        <v>20560272.927547358</v>
      </c>
      <c r="E63" s="7">
        <f t="shared" si="15"/>
        <v>3957336.3845604667</v>
      </c>
      <c r="F63" s="7">
        <f t="shared" si="15"/>
        <v>11725720.408169016</v>
      </c>
      <c r="G63" s="7">
        <f t="shared" si="15"/>
        <v>749134.75238927116</v>
      </c>
      <c r="H63" s="7">
        <f t="shared" si="15"/>
        <v>875460.61353472143</v>
      </c>
      <c r="I63" s="7">
        <f t="shared" si="15"/>
        <v>4950900.101165615</v>
      </c>
      <c r="J63" s="7">
        <f t="shared" si="15"/>
        <v>1174607.3430782808</v>
      </c>
      <c r="K63" s="7">
        <f t="shared" si="15"/>
        <v>148174.02762891745</v>
      </c>
      <c r="L63" s="7">
        <f t="shared" si="15"/>
        <v>1809566.9849713142</v>
      </c>
      <c r="M63" s="7">
        <f t="shared" si="15"/>
        <v>720101.2592620654</v>
      </c>
      <c r="N63" s="7">
        <f t="shared" si="15"/>
        <v>33573698.057299666</v>
      </c>
      <c r="O63" s="7">
        <f t="shared" si="15"/>
        <v>7951652.0108887823</v>
      </c>
      <c r="P63" s="7">
        <f t="shared" si="15"/>
        <v>238195.42090387226</v>
      </c>
      <c r="Q63" s="7">
        <f t="shared" si="15"/>
        <v>24475693.320616804</v>
      </c>
      <c r="R63" s="7">
        <f t="shared" si="15"/>
        <v>2088234.5235152012</v>
      </c>
      <c r="S63" s="7">
        <f t="shared" si="15"/>
        <v>840187.19638839783</v>
      </c>
      <c r="T63" s="7">
        <f t="shared" si="15"/>
        <v>108965.2725716104</v>
      </c>
      <c r="U63" s="7">
        <f t="shared" si="15"/>
        <v>37193.431668595564</v>
      </c>
      <c r="V63" s="7">
        <f t="shared" si="15"/>
        <v>167495.00150570075</v>
      </c>
      <c r="W63" s="7">
        <f t="shared" si="15"/>
        <v>33789.81845509413</v>
      </c>
      <c r="X63" s="7">
        <f t="shared" si="15"/>
        <v>26750.286612030377</v>
      </c>
      <c r="Y63" s="7">
        <f t="shared" si="15"/>
        <v>420565.66285922786</v>
      </c>
      <c r="Z63" s="7">
        <f t="shared" si="15"/>
        <v>145527.75335373165</v>
      </c>
      <c r="AA63" s="7">
        <f t="shared" si="15"/>
        <v>17895248.291801848</v>
      </c>
      <c r="AB63" s="7">
        <f t="shared" si="15"/>
        <v>17593969.441777565</v>
      </c>
      <c r="AC63" s="7">
        <f t="shared" si="15"/>
        <v>549855.02079579222</v>
      </c>
      <c r="AD63" s="7">
        <f t="shared" si="15"/>
        <v>566683.47791309236</v>
      </c>
      <c r="AE63" s="7">
        <f t="shared" si="15"/>
        <v>81308.454960299423</v>
      </c>
      <c r="AF63" s="7">
        <f t="shared" si="15"/>
        <v>123406.36554046549</v>
      </c>
      <c r="AG63" s="7">
        <f t="shared" si="15"/>
        <v>434649.92047845712</v>
      </c>
      <c r="AH63" s="7">
        <f t="shared" si="15"/>
        <v>514721.37188820203</v>
      </c>
      <c r="AI63" s="7">
        <f t="shared" si="15"/>
        <v>123369.26925853235</v>
      </c>
      <c r="AJ63" s="7">
        <f t="shared" si="15"/>
        <v>93298.180480559633</v>
      </c>
      <c r="AK63" s="7">
        <f t="shared" si="15"/>
        <v>108855.95357231262</v>
      </c>
      <c r="AL63" s="7">
        <f t="shared" si="15"/>
        <v>100022.79577645517</v>
      </c>
      <c r="AM63" s="7">
        <f t="shared" si="15"/>
        <v>251077.82193562208</v>
      </c>
      <c r="AN63" s="7">
        <f t="shared" si="15"/>
        <v>173117.44740056197</v>
      </c>
      <c r="AO63" s="7">
        <f t="shared" si="15"/>
        <v>2738424.7613501702</v>
      </c>
      <c r="AP63" s="7">
        <f t="shared" si="15"/>
        <v>49269592.772665814</v>
      </c>
      <c r="AQ63" s="7">
        <f t="shared" si="15"/>
        <v>204769.52257544457</v>
      </c>
      <c r="AR63" s="7">
        <f t="shared" si="15"/>
        <v>32081581.68313745</v>
      </c>
      <c r="AS63" s="7">
        <f t="shared" si="15"/>
        <v>3523721.4669548324</v>
      </c>
      <c r="AT63" s="7">
        <f t="shared" si="15"/>
        <v>1303247.3953737842</v>
      </c>
      <c r="AU63" s="7">
        <f t="shared" si="15"/>
        <v>216355.0149062376</v>
      </c>
      <c r="AV63" s="7">
        <f t="shared" si="15"/>
        <v>254468.35091938285</v>
      </c>
      <c r="AW63" s="7">
        <f t="shared" si="15"/>
        <v>155306.61526432243</v>
      </c>
      <c r="AX63" s="7">
        <f t="shared" si="15"/>
        <v>81260.452573746647</v>
      </c>
      <c r="AY63" s="7">
        <f t="shared" si="15"/>
        <v>304725.76989508385</v>
      </c>
      <c r="AZ63" s="7">
        <f t="shared" si="15"/>
        <v>6306805.3758183587</v>
      </c>
      <c r="BA63" s="7">
        <f t="shared" si="15"/>
        <v>5489607.5711656148</v>
      </c>
      <c r="BB63" s="7">
        <f t="shared" si="15"/>
        <v>6155948.8893297724</v>
      </c>
      <c r="BC63" s="7">
        <f t="shared" si="15"/>
        <v>10935575.765983488</v>
      </c>
      <c r="BD63" s="7">
        <f t="shared" si="15"/>
        <v>1547641.3968382713</v>
      </c>
      <c r="BE63" s="7">
        <f t="shared" si="15"/>
        <v>696507.8364247221</v>
      </c>
      <c r="BF63" s="7">
        <f t="shared" si="15"/>
        <v>9915498.5603788272</v>
      </c>
      <c r="BG63" s="7">
        <f t="shared" si="15"/>
        <v>596242.4494212087</v>
      </c>
      <c r="BH63" s="7">
        <f t="shared" si="15"/>
        <v>328311.70143720863</v>
      </c>
      <c r="BI63" s="7">
        <f t="shared" si="15"/>
        <v>241110.96726936224</v>
      </c>
      <c r="BJ63" s="7">
        <f t="shared" si="15"/>
        <v>2846222.1441412461</v>
      </c>
      <c r="BK63" s="7">
        <f t="shared" si="15"/>
        <v>11067242.313914524</v>
      </c>
      <c r="BL63" s="7">
        <f t="shared" si="15"/>
        <v>82561.460373204944</v>
      </c>
      <c r="BM63" s="7">
        <f t="shared" si="15"/>
        <v>396650.24049345305</v>
      </c>
      <c r="BN63" s="7">
        <f t="shared" si="15"/>
        <v>1938189.9087948226</v>
      </c>
      <c r="BO63" s="7">
        <f t="shared" si="15"/>
        <v>982847.09158799471</v>
      </c>
      <c r="BP63" s="7">
        <f t="shared" si="15"/>
        <v>117815.55602096832</v>
      </c>
      <c r="BQ63" s="7">
        <f t="shared" si="15"/>
        <v>2891628.4715609546</v>
      </c>
      <c r="BR63" s="7">
        <f t="shared" si="15"/>
        <v>2287490.4209619872</v>
      </c>
      <c r="BS63" s="7">
        <f t="shared" si="15"/>
        <v>562639.48752807383</v>
      </c>
      <c r="BT63" s="7">
        <f t="shared" si="15"/>
        <v>216225.53547308687</v>
      </c>
      <c r="BU63" s="7">
        <f t="shared" si="15"/>
        <v>232339.53380005827</v>
      </c>
      <c r="BV63" s="7">
        <f t="shared" si="15"/>
        <v>683641.06110556971</v>
      </c>
      <c r="BW63" s="7">
        <f t="shared" si="15"/>
        <v>846721.21781425888</v>
      </c>
      <c r="BX63" s="7">
        <f t="shared" si="15"/>
        <v>58107.016577187038</v>
      </c>
      <c r="BY63" s="7">
        <f t="shared" si="15"/>
        <v>428323.47825513745</v>
      </c>
      <c r="BZ63" s="7">
        <f t="shared" si="15"/>
        <v>149598.21046641792</v>
      </c>
      <c r="CA63" s="7">
        <f t="shared" si="15"/>
        <v>57816.581214433165</v>
      </c>
      <c r="CB63" s="7">
        <f t="shared" si="15"/>
        <v>39322975.835512385</v>
      </c>
      <c r="CC63" s="7">
        <f t="shared" si="15"/>
        <v>129384.2568167835</v>
      </c>
      <c r="CD63" s="7">
        <f t="shared" si="15"/>
        <v>27599.405618017885</v>
      </c>
      <c r="CE63" s="7">
        <f t="shared" si="15"/>
        <v>151475.69035242582</v>
      </c>
      <c r="CF63" s="7">
        <f t="shared" si="15"/>
        <v>72740.328148000757</v>
      </c>
      <c r="CG63" s="7">
        <f t="shared" si="15"/>
        <v>122773.86791181409</v>
      </c>
      <c r="CH63" s="7">
        <f t="shared" si="15"/>
        <v>81934.396361887222</v>
      </c>
      <c r="CI63" s="7">
        <f t="shared" si="15"/>
        <v>498560.82741916185</v>
      </c>
      <c r="CJ63" s="7">
        <f t="shared" si="15"/>
        <v>621085.91641571827</v>
      </c>
      <c r="CK63" s="7">
        <f t="shared" si="15"/>
        <v>3235219.7712578927</v>
      </c>
      <c r="CL63" s="7">
        <f t="shared" si="15"/>
        <v>887033.79710856453</v>
      </c>
      <c r="CM63" s="7">
        <f t="shared" si="15"/>
        <v>528492.52589113661</v>
      </c>
      <c r="CN63" s="7">
        <f t="shared" si="15"/>
        <v>15541079.608868385</v>
      </c>
      <c r="CO63" s="7">
        <f t="shared" si="15"/>
        <v>7951642.5939582326</v>
      </c>
      <c r="CP63" s="7">
        <f t="shared" si="15"/>
        <v>467722.82009106758</v>
      </c>
      <c r="CQ63" s="7">
        <f t="shared" si="15"/>
        <v>613383.0888482664</v>
      </c>
      <c r="CR63" s="7">
        <f t="shared" si="15"/>
        <v>175619.76823391014</v>
      </c>
      <c r="CS63" s="7">
        <f t="shared" si="15"/>
        <v>172824.97477906602</v>
      </c>
      <c r="CT63" s="7">
        <f t="shared" si="15"/>
        <v>102289.6096285465</v>
      </c>
      <c r="CU63" s="7">
        <f t="shared" si="15"/>
        <v>96441.5474873106</v>
      </c>
      <c r="CV63" s="7">
        <f t="shared" si="15"/>
        <v>46466.156612030383</v>
      </c>
      <c r="CW63" s="7">
        <f t="shared" si="15"/>
        <v>185389.55671093561</v>
      </c>
      <c r="CX63" s="7">
        <f t="shared" si="15"/>
        <v>378680.81769251748</v>
      </c>
      <c r="CY63" s="7">
        <f t="shared" si="15"/>
        <v>40319.767191755403</v>
      </c>
      <c r="CZ63" s="7">
        <f t="shared" si="15"/>
        <v>1445360.3518001593</v>
      </c>
      <c r="DA63" s="7">
        <f t="shared" si="15"/>
        <v>118761.57728543418</v>
      </c>
      <c r="DB63" s="7">
        <f t="shared" si="15"/>
        <v>230980.96268869838</v>
      </c>
      <c r="DC63" s="7">
        <f t="shared" si="15"/>
        <v>184644.23070619485</v>
      </c>
      <c r="DD63" s="7">
        <f t="shared" si="15"/>
        <v>107823.8875335956</v>
      </c>
      <c r="DE63" s="7">
        <f t="shared" si="15"/>
        <v>170910.24276903531</v>
      </c>
      <c r="DF63" s="7">
        <f t="shared" si="15"/>
        <v>13856826.092310289</v>
      </c>
      <c r="DG63" s="7">
        <f t="shared" si="15"/>
        <v>46615.189704227072</v>
      </c>
      <c r="DH63" s="7">
        <f t="shared" si="15"/>
        <v>1180004.4695122996</v>
      </c>
      <c r="DI63" s="7">
        <f t="shared" si="15"/>
        <v>1803958.9666310013</v>
      </c>
      <c r="DJ63" s="7">
        <f t="shared" si="15"/>
        <v>384848.61456185119</v>
      </c>
      <c r="DK63" s="7">
        <f t="shared" si="15"/>
        <v>277162.55962692905</v>
      </c>
      <c r="DL63" s="7">
        <f t="shared" si="15"/>
        <v>3301078.4921195148</v>
      </c>
      <c r="DM63" s="7">
        <f t="shared" si="15"/>
        <v>258586.006587004</v>
      </c>
      <c r="DN63" s="7">
        <f t="shared" si="15"/>
        <v>788062.09909076511</v>
      </c>
      <c r="DO63" s="7">
        <f t="shared" si="15"/>
        <v>1688269.4853138258</v>
      </c>
      <c r="DP63" s="7">
        <f t="shared" si="15"/>
        <v>166594.73793269598</v>
      </c>
      <c r="DQ63" s="7">
        <f t="shared" si="15"/>
        <v>358354.62037811964</v>
      </c>
      <c r="DR63" s="7">
        <f t="shared" si="15"/>
        <v>767204.8997198554</v>
      </c>
      <c r="DS63" s="7">
        <f t="shared" si="15"/>
        <v>345603.91752007912</v>
      </c>
      <c r="DT63" s="7">
        <f t="shared" si="15"/>
        <v>63361.576432750931</v>
      </c>
      <c r="DU63" s="7">
        <f t="shared" si="15"/>
        <v>149205.17810480119</v>
      </c>
      <c r="DV63" s="7">
        <f t="shared" si="15"/>
        <v>98441.847109261129</v>
      </c>
      <c r="DW63" s="7">
        <f t="shared" si="15"/>
        <v>123873.17229779011</v>
      </c>
      <c r="DX63" s="7">
        <f t="shared" si="15"/>
        <v>93206.578928209172</v>
      </c>
      <c r="DY63" s="7">
        <f t="shared" si="15"/>
        <v>196534.16107701175</v>
      </c>
      <c r="DZ63" s="7">
        <f t="shared" si="15"/>
        <v>625321.34965118638</v>
      </c>
      <c r="EA63" s="7">
        <f t="shared" si="15"/>
        <v>532449.43882370694</v>
      </c>
      <c r="EB63" s="7">
        <f t="shared" si="15"/>
        <v>414187.58427971142</v>
      </c>
      <c r="EC63" s="7">
        <f t="shared" si="15"/>
        <v>207798.65111541696</v>
      </c>
      <c r="ED63" s="7">
        <f t="shared" si="15"/>
        <v>925536.09880404407</v>
      </c>
      <c r="EE63" s="7">
        <f t="shared" si="15"/>
        <v>94435.066005391389</v>
      </c>
      <c r="EF63" s="7">
        <f t="shared" si="15"/>
        <v>766840.28550778679</v>
      </c>
      <c r="EG63" s="7">
        <f t="shared" si="15"/>
        <v>132080.91287295337</v>
      </c>
      <c r="EH63" s="7">
        <f t="shared" si="15"/>
        <v>111448.8269026858</v>
      </c>
      <c r="EI63" s="7">
        <f t="shared" si="15"/>
        <v>8409210.7053326871</v>
      </c>
      <c r="EJ63" s="7">
        <f t="shared" si="15"/>
        <v>6070945.2586546866</v>
      </c>
      <c r="EK63" s="7">
        <f t="shared" si="15"/>
        <v>331709.13961849996</v>
      </c>
      <c r="EL63" s="7">
        <f t="shared" si="15"/>
        <v>359004.14726938715</v>
      </c>
      <c r="EM63" s="7">
        <f t="shared" si="15"/>
        <v>133629.31033063785</v>
      </c>
      <c r="EN63" s="7">
        <f t="shared" si="15"/>
        <v>599040.85408002674</v>
      </c>
      <c r="EO63" s="7">
        <f t="shared" si="15"/>
        <v>110515.75472165953</v>
      </c>
      <c r="EP63" s="7">
        <f t="shared" si="15"/>
        <v>198467.1499845293</v>
      </c>
      <c r="EQ63" s="7">
        <f t="shared" si="15"/>
        <v>1482699.5302336456</v>
      </c>
      <c r="ER63" s="7">
        <f t="shared" si="15"/>
        <v>178186.99681049981</v>
      </c>
      <c r="ES63" s="7">
        <f t="shared" si="15"/>
        <v>86407.437255903089</v>
      </c>
      <c r="ET63" s="7">
        <f t="shared" si="15"/>
        <v>99167.860137511045</v>
      </c>
      <c r="EU63" s="7">
        <f t="shared" si="15"/>
        <v>322912.49758654094</v>
      </c>
      <c r="EV63" s="7">
        <f t="shared" si="15"/>
        <v>43628.739060467371</v>
      </c>
      <c r="EW63" s="7">
        <f t="shared" si="15"/>
        <v>369514.55207151332</v>
      </c>
      <c r="EX63" s="7">
        <f t="shared" si="15"/>
        <v>81318.092788917696</v>
      </c>
      <c r="EY63" s="7">
        <f t="shared" si="15"/>
        <v>429529.24359690119</v>
      </c>
      <c r="EZ63" s="7">
        <f t="shared" si="15"/>
        <v>87699.390095574476</v>
      </c>
      <c r="FA63" s="7">
        <f t="shared" si="15"/>
        <v>1826713.564192686</v>
      </c>
      <c r="FB63" s="7">
        <f t="shared" si="15"/>
        <v>261415.66140057801</v>
      </c>
      <c r="FC63" s="7">
        <f t="shared" si="15"/>
        <v>1118743.3030608119</v>
      </c>
      <c r="FD63" s="7">
        <f t="shared" si="15"/>
        <v>347007.27838893526</v>
      </c>
      <c r="FE63" s="7">
        <f t="shared" si="15"/>
        <v>73495.369355636954</v>
      </c>
      <c r="FF63" s="7">
        <f t="shared" si="15"/>
        <v>194612.29182576112</v>
      </c>
      <c r="FG63" s="7">
        <f t="shared" si="15"/>
        <v>84433.012111264994</v>
      </c>
      <c r="FH63" s="7">
        <f t="shared" si="15"/>
        <v>86807.970763982477</v>
      </c>
      <c r="FI63" s="7">
        <f t="shared" si="15"/>
        <v>1197393.3302733083</v>
      </c>
      <c r="FJ63" s="7">
        <f t="shared" si="15"/>
        <v>801762.05190615822</v>
      </c>
      <c r="FK63" s="7">
        <f t="shared" si="15"/>
        <v>1253001.4648258083</v>
      </c>
      <c r="FL63" s="7">
        <f t="shared" si="15"/>
        <v>3501094.1756532299</v>
      </c>
      <c r="FM63" s="7">
        <f t="shared" si="15"/>
        <v>1963488.5233917458</v>
      </c>
      <c r="FN63" s="7">
        <f t="shared" si="15"/>
        <v>11231428.410913067</v>
      </c>
      <c r="FO63" s="7">
        <f t="shared" si="15"/>
        <v>607592.63138315966</v>
      </c>
      <c r="FP63" s="7">
        <f t="shared" si="15"/>
        <v>1267504.9977336868</v>
      </c>
      <c r="FQ63" s="7">
        <f t="shared" si="15"/>
        <v>603021.10860051261</v>
      </c>
      <c r="FR63" s="7">
        <f t="shared" si="15"/>
        <v>88488.239989595269</v>
      </c>
      <c r="FS63" s="7">
        <f t="shared" si="15"/>
        <v>82384.211328193938</v>
      </c>
      <c r="FT63" s="7">
        <f t="shared" si="15"/>
        <v>69243.539168030751</v>
      </c>
      <c r="FU63" s="7">
        <f t="shared" si="15"/>
        <v>591729.33694608184</v>
      </c>
      <c r="FV63" s="7">
        <f t="shared" si="15"/>
        <v>438814.89076443302</v>
      </c>
      <c r="FW63" s="7">
        <f t="shared" si="15"/>
        <v>104794.87353843845</v>
      </c>
      <c r="FX63" s="7">
        <f t="shared" si="15"/>
        <v>35710.539170131822</v>
      </c>
      <c r="FY63" s="7"/>
      <c r="FZ63" s="7">
        <f t="shared" si="14"/>
        <v>468248706.55608988</v>
      </c>
      <c r="GA63" s="49"/>
      <c r="GB63" s="7"/>
      <c r="GC63" s="7"/>
      <c r="GD63" s="7"/>
      <c r="GE63" s="7"/>
      <c r="GF63" s="7"/>
      <c r="GG63" s="7"/>
      <c r="GH63" s="7"/>
      <c r="GI63" s="7"/>
      <c r="GJ63" s="7"/>
      <c r="GK63" s="7"/>
    </row>
    <row r="64" spans="1:207" ht="15.5" x14ac:dyDescent="0.35">
      <c r="A64" s="7"/>
      <c r="B64" s="7" t="s">
        <v>786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49"/>
      <c r="GB64" s="7"/>
      <c r="GC64" s="7"/>
      <c r="GD64" s="7"/>
      <c r="GE64" s="7"/>
      <c r="GF64" s="7"/>
      <c r="GG64" s="7"/>
      <c r="GH64" s="7"/>
      <c r="GI64" s="7"/>
      <c r="GJ64" s="7"/>
      <c r="GK64" s="7"/>
    </row>
    <row r="65" spans="1:193" ht="15.5" x14ac:dyDescent="0.35">
      <c r="A65" s="7"/>
      <c r="B65" s="7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7"/>
      <c r="GA65" s="49"/>
      <c r="GB65" s="7"/>
      <c r="GC65" s="7"/>
      <c r="GD65" s="7"/>
      <c r="GE65" s="7"/>
      <c r="GF65" s="7"/>
      <c r="GG65" s="7"/>
      <c r="GH65" s="7"/>
      <c r="GI65" s="7"/>
      <c r="GJ65" s="7"/>
      <c r="GK65" s="7"/>
    </row>
    <row r="66" spans="1:193" ht="15.5" x14ac:dyDescent="0.35">
      <c r="A66" s="7"/>
      <c r="B66" s="5" t="s">
        <v>513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49"/>
      <c r="GB66" s="7"/>
      <c r="GC66" s="7"/>
      <c r="GD66" s="7"/>
      <c r="GE66" s="7"/>
      <c r="GF66" s="7"/>
      <c r="GG66" s="7"/>
      <c r="GH66" s="7"/>
      <c r="GI66" s="7"/>
      <c r="GJ66" s="7"/>
      <c r="GK66" s="7"/>
    </row>
    <row r="67" spans="1:193" ht="15.5" x14ac:dyDescent="0.35">
      <c r="A67" s="12" t="s">
        <v>787</v>
      </c>
      <c r="B67" s="7" t="s">
        <v>788</v>
      </c>
      <c r="C67" s="65">
        <f t="shared" ref="C67:FX67" si="16">$B$1</f>
        <v>2.3E-2</v>
      </c>
      <c r="D67" s="65">
        <f t="shared" si="16"/>
        <v>2.3E-2</v>
      </c>
      <c r="E67" s="65">
        <f t="shared" si="16"/>
        <v>2.3E-2</v>
      </c>
      <c r="F67" s="65">
        <f t="shared" si="16"/>
        <v>2.3E-2</v>
      </c>
      <c r="G67" s="65">
        <f t="shared" si="16"/>
        <v>2.3E-2</v>
      </c>
      <c r="H67" s="65">
        <f t="shared" si="16"/>
        <v>2.3E-2</v>
      </c>
      <c r="I67" s="65">
        <f t="shared" si="16"/>
        <v>2.3E-2</v>
      </c>
      <c r="J67" s="65">
        <f t="shared" si="16"/>
        <v>2.3E-2</v>
      </c>
      <c r="K67" s="65">
        <f t="shared" si="16"/>
        <v>2.3E-2</v>
      </c>
      <c r="L67" s="65">
        <f t="shared" si="16"/>
        <v>2.3E-2</v>
      </c>
      <c r="M67" s="65">
        <f t="shared" si="16"/>
        <v>2.3E-2</v>
      </c>
      <c r="N67" s="65">
        <f t="shared" si="16"/>
        <v>2.3E-2</v>
      </c>
      <c r="O67" s="65">
        <f t="shared" si="16"/>
        <v>2.3E-2</v>
      </c>
      <c r="P67" s="65">
        <f t="shared" si="16"/>
        <v>2.3E-2</v>
      </c>
      <c r="Q67" s="65">
        <f t="shared" si="16"/>
        <v>2.3E-2</v>
      </c>
      <c r="R67" s="65">
        <f t="shared" si="16"/>
        <v>2.3E-2</v>
      </c>
      <c r="S67" s="65">
        <f t="shared" si="16"/>
        <v>2.3E-2</v>
      </c>
      <c r="T67" s="65">
        <f t="shared" si="16"/>
        <v>2.3E-2</v>
      </c>
      <c r="U67" s="65">
        <f t="shared" si="16"/>
        <v>2.3E-2</v>
      </c>
      <c r="V67" s="65">
        <f t="shared" si="16"/>
        <v>2.3E-2</v>
      </c>
      <c r="W67" s="65">
        <f t="shared" si="16"/>
        <v>2.3E-2</v>
      </c>
      <c r="X67" s="65">
        <f t="shared" si="16"/>
        <v>2.3E-2</v>
      </c>
      <c r="Y67" s="65">
        <f t="shared" si="16"/>
        <v>2.3E-2</v>
      </c>
      <c r="Z67" s="65">
        <f t="shared" si="16"/>
        <v>2.3E-2</v>
      </c>
      <c r="AA67" s="65">
        <f t="shared" si="16"/>
        <v>2.3E-2</v>
      </c>
      <c r="AB67" s="65">
        <f t="shared" si="16"/>
        <v>2.3E-2</v>
      </c>
      <c r="AC67" s="65">
        <f t="shared" si="16"/>
        <v>2.3E-2</v>
      </c>
      <c r="AD67" s="65">
        <f t="shared" si="16"/>
        <v>2.3E-2</v>
      </c>
      <c r="AE67" s="65">
        <f t="shared" si="16"/>
        <v>2.3E-2</v>
      </c>
      <c r="AF67" s="65">
        <f t="shared" si="16"/>
        <v>2.3E-2</v>
      </c>
      <c r="AG67" s="65">
        <f t="shared" si="16"/>
        <v>2.3E-2</v>
      </c>
      <c r="AH67" s="65">
        <f t="shared" si="16"/>
        <v>2.3E-2</v>
      </c>
      <c r="AI67" s="65">
        <f t="shared" si="16"/>
        <v>2.3E-2</v>
      </c>
      <c r="AJ67" s="65">
        <f t="shared" si="16"/>
        <v>2.3E-2</v>
      </c>
      <c r="AK67" s="65">
        <f t="shared" si="16"/>
        <v>2.3E-2</v>
      </c>
      <c r="AL67" s="65">
        <f t="shared" si="16"/>
        <v>2.3E-2</v>
      </c>
      <c r="AM67" s="65">
        <f t="shared" si="16"/>
        <v>2.3E-2</v>
      </c>
      <c r="AN67" s="65">
        <f t="shared" si="16"/>
        <v>2.3E-2</v>
      </c>
      <c r="AO67" s="65">
        <f t="shared" si="16"/>
        <v>2.3E-2</v>
      </c>
      <c r="AP67" s="65">
        <f t="shared" si="16"/>
        <v>2.3E-2</v>
      </c>
      <c r="AQ67" s="65">
        <f t="shared" si="16"/>
        <v>2.3E-2</v>
      </c>
      <c r="AR67" s="65">
        <f t="shared" si="16"/>
        <v>2.3E-2</v>
      </c>
      <c r="AS67" s="65">
        <f t="shared" si="16"/>
        <v>2.3E-2</v>
      </c>
      <c r="AT67" s="65">
        <f t="shared" si="16"/>
        <v>2.3E-2</v>
      </c>
      <c r="AU67" s="65">
        <f t="shared" si="16"/>
        <v>2.3E-2</v>
      </c>
      <c r="AV67" s="65">
        <f t="shared" si="16"/>
        <v>2.3E-2</v>
      </c>
      <c r="AW67" s="65">
        <f t="shared" si="16"/>
        <v>2.3E-2</v>
      </c>
      <c r="AX67" s="65">
        <f t="shared" si="16"/>
        <v>2.3E-2</v>
      </c>
      <c r="AY67" s="65">
        <f t="shared" si="16"/>
        <v>2.3E-2</v>
      </c>
      <c r="AZ67" s="65">
        <f t="shared" si="16"/>
        <v>2.3E-2</v>
      </c>
      <c r="BA67" s="65">
        <f t="shared" si="16"/>
        <v>2.3E-2</v>
      </c>
      <c r="BB67" s="65">
        <f t="shared" si="16"/>
        <v>2.3E-2</v>
      </c>
      <c r="BC67" s="65">
        <f t="shared" si="16"/>
        <v>2.3E-2</v>
      </c>
      <c r="BD67" s="65">
        <f t="shared" si="16"/>
        <v>2.3E-2</v>
      </c>
      <c r="BE67" s="65">
        <f t="shared" si="16"/>
        <v>2.3E-2</v>
      </c>
      <c r="BF67" s="65">
        <f t="shared" si="16"/>
        <v>2.3E-2</v>
      </c>
      <c r="BG67" s="65">
        <f t="shared" si="16"/>
        <v>2.3E-2</v>
      </c>
      <c r="BH67" s="65">
        <f t="shared" si="16"/>
        <v>2.3E-2</v>
      </c>
      <c r="BI67" s="65">
        <f t="shared" si="16"/>
        <v>2.3E-2</v>
      </c>
      <c r="BJ67" s="65">
        <f t="shared" si="16"/>
        <v>2.3E-2</v>
      </c>
      <c r="BK67" s="65">
        <f t="shared" si="16"/>
        <v>2.3E-2</v>
      </c>
      <c r="BL67" s="65">
        <f t="shared" si="16"/>
        <v>2.3E-2</v>
      </c>
      <c r="BM67" s="65">
        <f t="shared" si="16"/>
        <v>2.3E-2</v>
      </c>
      <c r="BN67" s="65">
        <f t="shared" si="16"/>
        <v>2.3E-2</v>
      </c>
      <c r="BO67" s="65">
        <f t="shared" si="16"/>
        <v>2.3E-2</v>
      </c>
      <c r="BP67" s="65">
        <f t="shared" si="16"/>
        <v>2.3E-2</v>
      </c>
      <c r="BQ67" s="65">
        <f t="shared" si="16"/>
        <v>2.3E-2</v>
      </c>
      <c r="BR67" s="65">
        <f t="shared" si="16"/>
        <v>2.3E-2</v>
      </c>
      <c r="BS67" s="65">
        <f t="shared" si="16"/>
        <v>2.3E-2</v>
      </c>
      <c r="BT67" s="65">
        <f t="shared" si="16"/>
        <v>2.3E-2</v>
      </c>
      <c r="BU67" s="65">
        <f t="shared" si="16"/>
        <v>2.3E-2</v>
      </c>
      <c r="BV67" s="65">
        <f t="shared" si="16"/>
        <v>2.3E-2</v>
      </c>
      <c r="BW67" s="65">
        <f t="shared" si="16"/>
        <v>2.3E-2</v>
      </c>
      <c r="BX67" s="65">
        <f t="shared" si="16"/>
        <v>2.3E-2</v>
      </c>
      <c r="BY67" s="65">
        <f t="shared" si="16"/>
        <v>2.3E-2</v>
      </c>
      <c r="BZ67" s="65">
        <f t="shared" si="16"/>
        <v>2.3E-2</v>
      </c>
      <c r="CA67" s="65">
        <f t="shared" si="16"/>
        <v>2.3E-2</v>
      </c>
      <c r="CB67" s="65">
        <f t="shared" si="16"/>
        <v>2.3E-2</v>
      </c>
      <c r="CC67" s="65">
        <f t="shared" si="16"/>
        <v>2.3E-2</v>
      </c>
      <c r="CD67" s="65">
        <f t="shared" si="16"/>
        <v>2.3E-2</v>
      </c>
      <c r="CE67" s="65">
        <f t="shared" si="16"/>
        <v>2.3E-2</v>
      </c>
      <c r="CF67" s="65">
        <f t="shared" si="16"/>
        <v>2.3E-2</v>
      </c>
      <c r="CG67" s="65">
        <f t="shared" si="16"/>
        <v>2.3E-2</v>
      </c>
      <c r="CH67" s="65">
        <f t="shared" si="16"/>
        <v>2.3E-2</v>
      </c>
      <c r="CI67" s="65">
        <f t="shared" si="16"/>
        <v>2.3E-2</v>
      </c>
      <c r="CJ67" s="65">
        <f t="shared" si="16"/>
        <v>2.3E-2</v>
      </c>
      <c r="CK67" s="65">
        <f t="shared" si="16"/>
        <v>2.3E-2</v>
      </c>
      <c r="CL67" s="65">
        <f t="shared" si="16"/>
        <v>2.3E-2</v>
      </c>
      <c r="CM67" s="65">
        <f t="shared" si="16"/>
        <v>2.3E-2</v>
      </c>
      <c r="CN67" s="65">
        <f t="shared" si="16"/>
        <v>2.3E-2</v>
      </c>
      <c r="CO67" s="65">
        <f t="shared" si="16"/>
        <v>2.3E-2</v>
      </c>
      <c r="CP67" s="65">
        <f t="shared" si="16"/>
        <v>2.3E-2</v>
      </c>
      <c r="CQ67" s="65">
        <f t="shared" si="16"/>
        <v>2.3E-2</v>
      </c>
      <c r="CR67" s="65">
        <f t="shared" si="16"/>
        <v>2.3E-2</v>
      </c>
      <c r="CS67" s="65">
        <f t="shared" si="16"/>
        <v>2.3E-2</v>
      </c>
      <c r="CT67" s="65">
        <f t="shared" si="16"/>
        <v>2.3E-2</v>
      </c>
      <c r="CU67" s="65">
        <f t="shared" si="16"/>
        <v>2.3E-2</v>
      </c>
      <c r="CV67" s="65">
        <f t="shared" si="16"/>
        <v>2.3E-2</v>
      </c>
      <c r="CW67" s="65">
        <f t="shared" si="16"/>
        <v>2.3E-2</v>
      </c>
      <c r="CX67" s="65">
        <f t="shared" si="16"/>
        <v>2.3E-2</v>
      </c>
      <c r="CY67" s="65">
        <f t="shared" si="16"/>
        <v>2.3E-2</v>
      </c>
      <c r="CZ67" s="65">
        <f t="shared" si="16"/>
        <v>2.3E-2</v>
      </c>
      <c r="DA67" s="65">
        <f t="shared" si="16"/>
        <v>2.3E-2</v>
      </c>
      <c r="DB67" s="65">
        <f t="shared" si="16"/>
        <v>2.3E-2</v>
      </c>
      <c r="DC67" s="65">
        <f t="shared" si="16"/>
        <v>2.3E-2</v>
      </c>
      <c r="DD67" s="65">
        <f t="shared" si="16"/>
        <v>2.3E-2</v>
      </c>
      <c r="DE67" s="65">
        <f t="shared" si="16"/>
        <v>2.3E-2</v>
      </c>
      <c r="DF67" s="65">
        <f t="shared" si="16"/>
        <v>2.3E-2</v>
      </c>
      <c r="DG67" s="65">
        <f t="shared" si="16"/>
        <v>2.3E-2</v>
      </c>
      <c r="DH67" s="65">
        <f t="shared" si="16"/>
        <v>2.3E-2</v>
      </c>
      <c r="DI67" s="65">
        <f t="shared" si="16"/>
        <v>2.3E-2</v>
      </c>
      <c r="DJ67" s="65">
        <f t="shared" si="16"/>
        <v>2.3E-2</v>
      </c>
      <c r="DK67" s="65">
        <f t="shared" si="16"/>
        <v>2.3E-2</v>
      </c>
      <c r="DL67" s="65">
        <f t="shared" si="16"/>
        <v>2.3E-2</v>
      </c>
      <c r="DM67" s="65">
        <f t="shared" si="16"/>
        <v>2.3E-2</v>
      </c>
      <c r="DN67" s="65">
        <f t="shared" si="16"/>
        <v>2.3E-2</v>
      </c>
      <c r="DO67" s="65">
        <f t="shared" si="16"/>
        <v>2.3E-2</v>
      </c>
      <c r="DP67" s="65">
        <f t="shared" si="16"/>
        <v>2.3E-2</v>
      </c>
      <c r="DQ67" s="65">
        <f t="shared" si="16"/>
        <v>2.3E-2</v>
      </c>
      <c r="DR67" s="65">
        <f t="shared" si="16"/>
        <v>2.3E-2</v>
      </c>
      <c r="DS67" s="65">
        <f t="shared" si="16"/>
        <v>2.3E-2</v>
      </c>
      <c r="DT67" s="65">
        <f t="shared" si="16"/>
        <v>2.3E-2</v>
      </c>
      <c r="DU67" s="65">
        <f t="shared" si="16"/>
        <v>2.3E-2</v>
      </c>
      <c r="DV67" s="65">
        <f t="shared" si="16"/>
        <v>2.3E-2</v>
      </c>
      <c r="DW67" s="65">
        <f t="shared" si="16"/>
        <v>2.3E-2</v>
      </c>
      <c r="DX67" s="65">
        <f t="shared" si="16"/>
        <v>2.3E-2</v>
      </c>
      <c r="DY67" s="65">
        <f t="shared" si="16"/>
        <v>2.3E-2</v>
      </c>
      <c r="DZ67" s="65">
        <f t="shared" si="16"/>
        <v>2.3E-2</v>
      </c>
      <c r="EA67" s="65">
        <f t="shared" si="16"/>
        <v>2.3E-2</v>
      </c>
      <c r="EB67" s="65">
        <f t="shared" si="16"/>
        <v>2.3E-2</v>
      </c>
      <c r="EC67" s="65">
        <f t="shared" si="16"/>
        <v>2.3E-2</v>
      </c>
      <c r="ED67" s="65">
        <f t="shared" si="16"/>
        <v>2.3E-2</v>
      </c>
      <c r="EE67" s="65">
        <f t="shared" si="16"/>
        <v>2.3E-2</v>
      </c>
      <c r="EF67" s="65">
        <f t="shared" si="16"/>
        <v>2.3E-2</v>
      </c>
      <c r="EG67" s="65">
        <f t="shared" si="16"/>
        <v>2.3E-2</v>
      </c>
      <c r="EH67" s="65">
        <f t="shared" si="16"/>
        <v>2.3E-2</v>
      </c>
      <c r="EI67" s="65">
        <f t="shared" si="16"/>
        <v>2.3E-2</v>
      </c>
      <c r="EJ67" s="65">
        <f t="shared" si="16"/>
        <v>2.3E-2</v>
      </c>
      <c r="EK67" s="65">
        <f t="shared" si="16"/>
        <v>2.3E-2</v>
      </c>
      <c r="EL67" s="65">
        <f t="shared" si="16"/>
        <v>2.3E-2</v>
      </c>
      <c r="EM67" s="65">
        <f t="shared" si="16"/>
        <v>2.3E-2</v>
      </c>
      <c r="EN67" s="65">
        <f t="shared" si="16"/>
        <v>2.3E-2</v>
      </c>
      <c r="EO67" s="65">
        <f t="shared" si="16"/>
        <v>2.3E-2</v>
      </c>
      <c r="EP67" s="65">
        <f t="shared" si="16"/>
        <v>2.3E-2</v>
      </c>
      <c r="EQ67" s="65">
        <f t="shared" si="16"/>
        <v>2.3E-2</v>
      </c>
      <c r="ER67" s="65">
        <f t="shared" si="16"/>
        <v>2.3E-2</v>
      </c>
      <c r="ES67" s="65">
        <f t="shared" si="16"/>
        <v>2.3E-2</v>
      </c>
      <c r="ET67" s="65">
        <f t="shared" si="16"/>
        <v>2.3E-2</v>
      </c>
      <c r="EU67" s="65">
        <f t="shared" si="16"/>
        <v>2.3E-2</v>
      </c>
      <c r="EV67" s="65">
        <f t="shared" si="16"/>
        <v>2.3E-2</v>
      </c>
      <c r="EW67" s="65">
        <f t="shared" si="16"/>
        <v>2.3E-2</v>
      </c>
      <c r="EX67" s="65">
        <f t="shared" si="16"/>
        <v>2.3E-2</v>
      </c>
      <c r="EY67" s="65">
        <f t="shared" si="16"/>
        <v>2.3E-2</v>
      </c>
      <c r="EZ67" s="65">
        <f t="shared" si="16"/>
        <v>2.3E-2</v>
      </c>
      <c r="FA67" s="65">
        <f t="shared" si="16"/>
        <v>2.3E-2</v>
      </c>
      <c r="FB67" s="65">
        <f t="shared" si="16"/>
        <v>2.3E-2</v>
      </c>
      <c r="FC67" s="65">
        <f t="shared" si="16"/>
        <v>2.3E-2</v>
      </c>
      <c r="FD67" s="65">
        <f t="shared" si="16"/>
        <v>2.3E-2</v>
      </c>
      <c r="FE67" s="65">
        <f t="shared" si="16"/>
        <v>2.3E-2</v>
      </c>
      <c r="FF67" s="65">
        <f t="shared" si="16"/>
        <v>2.3E-2</v>
      </c>
      <c r="FG67" s="65">
        <f t="shared" si="16"/>
        <v>2.3E-2</v>
      </c>
      <c r="FH67" s="65">
        <f t="shared" si="16"/>
        <v>2.3E-2</v>
      </c>
      <c r="FI67" s="65">
        <f t="shared" si="16"/>
        <v>2.3E-2</v>
      </c>
      <c r="FJ67" s="65">
        <f t="shared" si="16"/>
        <v>2.3E-2</v>
      </c>
      <c r="FK67" s="65">
        <f t="shared" si="16"/>
        <v>2.3E-2</v>
      </c>
      <c r="FL67" s="65">
        <f t="shared" si="16"/>
        <v>2.3E-2</v>
      </c>
      <c r="FM67" s="65">
        <f t="shared" si="16"/>
        <v>2.3E-2</v>
      </c>
      <c r="FN67" s="65">
        <f t="shared" si="16"/>
        <v>2.3E-2</v>
      </c>
      <c r="FO67" s="65">
        <f t="shared" si="16"/>
        <v>2.3E-2</v>
      </c>
      <c r="FP67" s="65">
        <f t="shared" si="16"/>
        <v>2.3E-2</v>
      </c>
      <c r="FQ67" s="65">
        <f t="shared" si="16"/>
        <v>2.3E-2</v>
      </c>
      <c r="FR67" s="65">
        <f t="shared" si="16"/>
        <v>2.3E-2</v>
      </c>
      <c r="FS67" s="65">
        <f t="shared" si="16"/>
        <v>2.3E-2</v>
      </c>
      <c r="FT67" s="65">
        <f t="shared" si="16"/>
        <v>2.3E-2</v>
      </c>
      <c r="FU67" s="65">
        <f t="shared" si="16"/>
        <v>2.3E-2</v>
      </c>
      <c r="FV67" s="65">
        <f t="shared" si="16"/>
        <v>2.3E-2</v>
      </c>
      <c r="FW67" s="65">
        <f t="shared" si="16"/>
        <v>2.3E-2</v>
      </c>
      <c r="FX67" s="65">
        <f t="shared" si="16"/>
        <v>2.3E-2</v>
      </c>
      <c r="FY67" s="65"/>
      <c r="FZ67" s="65"/>
      <c r="GA67" s="49"/>
      <c r="GB67" s="7"/>
      <c r="GC67" s="7"/>
      <c r="GD67" s="7"/>
      <c r="GE67" s="7"/>
      <c r="GF67" s="7"/>
      <c r="GG67" s="7"/>
      <c r="GH67" s="7"/>
      <c r="GI67" s="7"/>
      <c r="GJ67" s="7"/>
      <c r="GK67" s="7"/>
    </row>
    <row r="68" spans="1:193" ht="15.5" x14ac:dyDescent="0.35">
      <c r="A68" s="12" t="s">
        <v>789</v>
      </c>
      <c r="B68" s="7" t="s">
        <v>790</v>
      </c>
      <c r="C68" s="49">
        <v>999999999</v>
      </c>
      <c r="D68" s="49">
        <v>999999999</v>
      </c>
      <c r="E68" s="49">
        <v>999999999</v>
      </c>
      <c r="F68" s="49">
        <v>999999999</v>
      </c>
      <c r="G68" s="49">
        <v>999999999</v>
      </c>
      <c r="H68" s="49">
        <v>999999999</v>
      </c>
      <c r="I68" s="49">
        <v>999999999</v>
      </c>
      <c r="J68" s="49">
        <v>999999999</v>
      </c>
      <c r="K68" s="49">
        <v>999999999</v>
      </c>
      <c r="L68" s="49">
        <v>999999999</v>
      </c>
      <c r="M68" s="49">
        <v>999999999</v>
      </c>
      <c r="N68" s="49">
        <v>999999999</v>
      </c>
      <c r="O68" s="49">
        <v>999999999</v>
      </c>
      <c r="P68" s="49">
        <v>999999999</v>
      </c>
      <c r="Q68" s="49">
        <v>999999999</v>
      </c>
      <c r="R68" s="49">
        <v>999999999</v>
      </c>
      <c r="S68" s="49">
        <v>999999999</v>
      </c>
      <c r="T68" s="49">
        <v>999999999</v>
      </c>
      <c r="U68" s="49">
        <v>999999999</v>
      </c>
      <c r="V68" s="49">
        <v>999999999</v>
      </c>
      <c r="W68" s="49">
        <v>999999999</v>
      </c>
      <c r="X68" s="49">
        <v>999999999</v>
      </c>
      <c r="Y68" s="49">
        <v>999999999</v>
      </c>
      <c r="Z68" s="49">
        <v>999999999</v>
      </c>
      <c r="AA68" s="49">
        <v>999999999</v>
      </c>
      <c r="AB68" s="49">
        <v>999999999</v>
      </c>
      <c r="AC68" s="49">
        <v>999999999</v>
      </c>
      <c r="AD68" s="49">
        <v>999999999</v>
      </c>
      <c r="AE68" s="49">
        <v>999999999</v>
      </c>
      <c r="AF68" s="49">
        <v>999999999</v>
      </c>
      <c r="AG68" s="49">
        <v>999999999</v>
      </c>
      <c r="AH68" s="49">
        <v>999999999</v>
      </c>
      <c r="AI68" s="49">
        <v>999999999</v>
      </c>
      <c r="AJ68" s="49">
        <v>999999999</v>
      </c>
      <c r="AK68" s="49">
        <v>999999999</v>
      </c>
      <c r="AL68" s="49">
        <v>999999999</v>
      </c>
      <c r="AM68" s="49">
        <v>999999999</v>
      </c>
      <c r="AN68" s="49">
        <v>999999999</v>
      </c>
      <c r="AO68" s="49">
        <v>999999999</v>
      </c>
      <c r="AP68" s="49">
        <v>9999999999</v>
      </c>
      <c r="AQ68" s="49">
        <v>999999999</v>
      </c>
      <c r="AR68" s="49">
        <v>999999999</v>
      </c>
      <c r="AS68" s="49">
        <v>999999999</v>
      </c>
      <c r="AT68" s="49">
        <v>999999999</v>
      </c>
      <c r="AU68" s="49">
        <v>999999999</v>
      </c>
      <c r="AV68" s="49">
        <v>999999999</v>
      </c>
      <c r="AW68" s="49">
        <v>999999999</v>
      </c>
      <c r="AX68" s="49">
        <v>999999999</v>
      </c>
      <c r="AY68" s="49">
        <v>999999999</v>
      </c>
      <c r="AZ68" s="49">
        <v>999999999</v>
      </c>
      <c r="BA68" s="49">
        <v>999999999</v>
      </c>
      <c r="BB68" s="49">
        <v>999999999</v>
      </c>
      <c r="BC68" s="49">
        <v>999999999</v>
      </c>
      <c r="BD68" s="49">
        <v>999999999</v>
      </c>
      <c r="BE68" s="49">
        <v>999999999</v>
      </c>
      <c r="BF68" s="49">
        <v>999999999</v>
      </c>
      <c r="BG68" s="49">
        <v>999999999</v>
      </c>
      <c r="BH68" s="49">
        <v>999999999</v>
      </c>
      <c r="BI68" s="49">
        <v>999999999</v>
      </c>
      <c r="BJ68" s="49">
        <v>999999999</v>
      </c>
      <c r="BK68" s="49">
        <v>999999999</v>
      </c>
      <c r="BL68" s="49">
        <v>999999999</v>
      </c>
      <c r="BM68" s="49">
        <v>999999999</v>
      </c>
      <c r="BN68" s="49">
        <v>999999999</v>
      </c>
      <c r="BO68" s="49">
        <v>999999999</v>
      </c>
      <c r="BP68" s="49">
        <v>999999999</v>
      </c>
      <c r="BQ68" s="49">
        <v>999999999</v>
      </c>
      <c r="BR68" s="49">
        <v>999999999</v>
      </c>
      <c r="BS68" s="49">
        <v>999999999</v>
      </c>
      <c r="BT68" s="49">
        <v>999999999</v>
      </c>
      <c r="BU68" s="49">
        <v>999999999</v>
      </c>
      <c r="BV68" s="49">
        <v>999999999</v>
      </c>
      <c r="BW68" s="49">
        <v>999999999</v>
      </c>
      <c r="BX68" s="49">
        <v>999999999</v>
      </c>
      <c r="BY68" s="49">
        <v>999999999</v>
      </c>
      <c r="BZ68" s="49">
        <v>999999999</v>
      </c>
      <c r="CA68" s="49">
        <v>999999999</v>
      </c>
      <c r="CB68" s="49">
        <v>999999999</v>
      </c>
      <c r="CC68" s="49">
        <v>999999999</v>
      </c>
      <c r="CD68" s="49">
        <v>999999999</v>
      </c>
      <c r="CE68" s="49">
        <v>999999999</v>
      </c>
      <c r="CF68" s="49">
        <v>999999999</v>
      </c>
      <c r="CG68" s="49">
        <v>999999999</v>
      </c>
      <c r="CH68" s="49">
        <v>999999999</v>
      </c>
      <c r="CI68" s="49">
        <v>999999999</v>
      </c>
      <c r="CJ68" s="49">
        <v>999999999</v>
      </c>
      <c r="CK68" s="49">
        <v>999999999</v>
      </c>
      <c r="CL68" s="49">
        <v>999999999</v>
      </c>
      <c r="CM68" s="49">
        <v>999999999</v>
      </c>
      <c r="CN68" s="49">
        <v>999999999</v>
      </c>
      <c r="CO68" s="49">
        <v>999999999</v>
      </c>
      <c r="CP68" s="49">
        <v>999999999</v>
      </c>
      <c r="CQ68" s="49">
        <v>999999999</v>
      </c>
      <c r="CR68" s="49">
        <v>999999999</v>
      </c>
      <c r="CS68" s="49">
        <v>999999999</v>
      </c>
      <c r="CT68" s="49">
        <v>999999999</v>
      </c>
      <c r="CU68" s="49">
        <v>999999999</v>
      </c>
      <c r="CV68" s="49">
        <v>999999999</v>
      </c>
      <c r="CW68" s="49">
        <v>999999999</v>
      </c>
      <c r="CX68" s="49">
        <v>999999999</v>
      </c>
      <c r="CY68" s="49">
        <v>999999999</v>
      </c>
      <c r="CZ68" s="49">
        <v>999999999</v>
      </c>
      <c r="DA68" s="49">
        <v>999999999</v>
      </c>
      <c r="DB68" s="49">
        <v>999999999</v>
      </c>
      <c r="DC68" s="49">
        <v>999999999</v>
      </c>
      <c r="DD68" s="49">
        <v>999999999</v>
      </c>
      <c r="DE68" s="49">
        <v>999999999</v>
      </c>
      <c r="DF68" s="49">
        <v>999999999</v>
      </c>
      <c r="DG68" s="49">
        <v>999999999</v>
      </c>
      <c r="DH68" s="49">
        <v>999999999</v>
      </c>
      <c r="DI68" s="49">
        <v>999999999</v>
      </c>
      <c r="DJ68" s="49">
        <v>999999999</v>
      </c>
      <c r="DK68" s="49">
        <v>999999999</v>
      </c>
      <c r="DL68" s="49">
        <v>999999999</v>
      </c>
      <c r="DM68" s="49">
        <v>999999999</v>
      </c>
      <c r="DN68" s="49">
        <v>999999999</v>
      </c>
      <c r="DO68" s="49">
        <v>999999999</v>
      </c>
      <c r="DP68" s="49">
        <v>999999999</v>
      </c>
      <c r="DQ68" s="49">
        <v>999999999</v>
      </c>
      <c r="DR68" s="49">
        <v>999999999</v>
      </c>
      <c r="DS68" s="49">
        <v>999999999</v>
      </c>
      <c r="DT68" s="49">
        <v>999999999</v>
      </c>
      <c r="DU68" s="49">
        <v>999999999</v>
      </c>
      <c r="DV68" s="49">
        <v>999999999</v>
      </c>
      <c r="DW68" s="49">
        <v>999999999</v>
      </c>
      <c r="DX68" s="49">
        <v>999999999</v>
      </c>
      <c r="DY68" s="49">
        <v>999999999</v>
      </c>
      <c r="DZ68" s="49">
        <v>999999999</v>
      </c>
      <c r="EA68" s="49">
        <v>999999999</v>
      </c>
      <c r="EB68" s="49">
        <v>999999999</v>
      </c>
      <c r="EC68" s="49">
        <v>999999999</v>
      </c>
      <c r="ED68" s="49">
        <v>999999999</v>
      </c>
      <c r="EE68" s="49">
        <v>999999999</v>
      </c>
      <c r="EF68" s="49">
        <v>999999999</v>
      </c>
      <c r="EG68" s="49">
        <v>999999999</v>
      </c>
      <c r="EH68" s="49">
        <v>999999999</v>
      </c>
      <c r="EI68" s="49">
        <v>999999999</v>
      </c>
      <c r="EJ68" s="49">
        <v>999999999</v>
      </c>
      <c r="EK68" s="49">
        <v>999999999</v>
      </c>
      <c r="EL68" s="49">
        <v>999999999</v>
      </c>
      <c r="EM68" s="49">
        <v>999999999</v>
      </c>
      <c r="EN68" s="49">
        <v>999999999</v>
      </c>
      <c r="EO68" s="49">
        <v>999999999</v>
      </c>
      <c r="EP68" s="49">
        <v>999999999</v>
      </c>
      <c r="EQ68" s="49">
        <v>999999999</v>
      </c>
      <c r="ER68" s="49">
        <v>999999999</v>
      </c>
      <c r="ES68" s="49">
        <v>999999999</v>
      </c>
      <c r="ET68" s="49">
        <v>999999999</v>
      </c>
      <c r="EU68" s="49">
        <v>999999999</v>
      </c>
      <c r="EV68" s="49">
        <v>999999999</v>
      </c>
      <c r="EW68" s="49">
        <v>999999999</v>
      </c>
      <c r="EX68" s="49">
        <v>999999999</v>
      </c>
      <c r="EY68" s="49">
        <v>999999999</v>
      </c>
      <c r="EZ68" s="49">
        <v>999999999</v>
      </c>
      <c r="FA68" s="49">
        <v>999999999</v>
      </c>
      <c r="FB68" s="49">
        <v>999999999</v>
      </c>
      <c r="FC68" s="49">
        <v>999999999</v>
      </c>
      <c r="FD68" s="49">
        <v>999999999</v>
      </c>
      <c r="FE68" s="49">
        <v>999999999</v>
      </c>
      <c r="FF68" s="49">
        <v>999999999</v>
      </c>
      <c r="FG68" s="49">
        <v>999999999</v>
      </c>
      <c r="FH68" s="49">
        <v>999999999</v>
      </c>
      <c r="FI68" s="49">
        <v>999999999</v>
      </c>
      <c r="FJ68" s="49">
        <v>999999999</v>
      </c>
      <c r="FK68" s="49">
        <v>999999999</v>
      </c>
      <c r="FL68" s="49">
        <v>999999999</v>
      </c>
      <c r="FM68" s="49">
        <v>999999999</v>
      </c>
      <c r="FN68" s="49">
        <v>999999999</v>
      </c>
      <c r="FO68" s="49">
        <v>999999999</v>
      </c>
      <c r="FP68" s="49">
        <v>999999999</v>
      </c>
      <c r="FQ68" s="49">
        <v>999999999</v>
      </c>
      <c r="FR68" s="49">
        <v>999999999</v>
      </c>
      <c r="FS68" s="49">
        <v>999999999</v>
      </c>
      <c r="FT68" s="49">
        <v>999999999</v>
      </c>
      <c r="FU68" s="49">
        <v>999999999</v>
      </c>
      <c r="FV68" s="49">
        <v>999999999</v>
      </c>
      <c r="FW68" s="49">
        <v>999999999</v>
      </c>
      <c r="FX68" s="49">
        <v>999999999</v>
      </c>
      <c r="FY68" s="49"/>
      <c r="FZ68" s="49">
        <f>SUM(C68:FX68)</f>
        <v>186999999822</v>
      </c>
      <c r="GA68" s="49"/>
      <c r="GB68" s="65"/>
      <c r="GC68" s="65"/>
      <c r="GD68" s="65"/>
      <c r="GE68" s="7"/>
      <c r="GF68" s="7"/>
      <c r="GG68" s="7"/>
      <c r="GH68" s="7"/>
      <c r="GI68" s="7"/>
      <c r="GJ68" s="7"/>
      <c r="GK68" s="7"/>
    </row>
    <row r="69" spans="1:193" ht="15.5" x14ac:dyDescent="0.35">
      <c r="A69" s="7"/>
      <c r="B69" s="7" t="s">
        <v>791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7"/>
      <c r="GB69" s="49"/>
      <c r="GC69" s="49"/>
      <c r="GD69" s="49"/>
      <c r="GE69" s="7"/>
      <c r="GF69" s="49"/>
      <c r="GG69" s="49"/>
      <c r="GH69" s="49"/>
      <c r="GI69" s="49"/>
      <c r="GJ69" s="49"/>
      <c r="GK69" s="7"/>
    </row>
    <row r="70" spans="1:193" ht="15.5" x14ac:dyDescent="0.35">
      <c r="A70" s="7"/>
      <c r="B70" s="7" t="s">
        <v>792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7"/>
      <c r="GB70" s="49"/>
      <c r="GC70" s="49"/>
      <c r="GD70" s="7"/>
      <c r="GE70" s="7"/>
      <c r="GF70" s="7"/>
      <c r="GG70" s="7"/>
      <c r="GH70" s="7"/>
      <c r="GI70" s="7"/>
      <c r="GJ70" s="7"/>
      <c r="GK70" s="7"/>
    </row>
    <row r="71" spans="1:193" ht="15.5" x14ac:dyDescent="0.35">
      <c r="A71" s="7"/>
      <c r="B71" s="7" t="s">
        <v>793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7"/>
      <c r="GB71" s="49"/>
      <c r="GC71" s="49"/>
      <c r="GD71" s="7"/>
      <c r="GE71" s="7"/>
      <c r="GF71" s="7"/>
      <c r="GG71" s="7"/>
      <c r="GH71" s="7"/>
      <c r="GI71" s="7"/>
      <c r="GJ71" s="7"/>
      <c r="GK71" s="7"/>
    </row>
    <row r="72" spans="1:193" ht="15.5" x14ac:dyDescent="0.35">
      <c r="A72" s="7"/>
      <c r="B72" s="7" t="s">
        <v>794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7"/>
      <c r="GB72" s="49"/>
      <c r="GC72" s="49"/>
      <c r="GD72" s="7"/>
      <c r="GE72" s="7"/>
      <c r="GF72" s="7"/>
      <c r="GG72" s="7"/>
      <c r="GH72" s="7"/>
      <c r="GI72" s="7"/>
      <c r="GJ72" s="7"/>
      <c r="GK72" s="7"/>
    </row>
    <row r="73" spans="1:193" ht="15.5" x14ac:dyDescent="0.35">
      <c r="A73" s="12" t="s">
        <v>795</v>
      </c>
      <c r="B73" s="7" t="s">
        <v>796</v>
      </c>
      <c r="C73" s="49">
        <v>999999999</v>
      </c>
      <c r="D73" s="49">
        <v>999999999</v>
      </c>
      <c r="E73" s="49">
        <v>999999999</v>
      </c>
      <c r="F73" s="49">
        <v>999999999</v>
      </c>
      <c r="G73" s="49">
        <v>999999999</v>
      </c>
      <c r="H73" s="49">
        <v>999999999</v>
      </c>
      <c r="I73" s="49">
        <v>999999999</v>
      </c>
      <c r="J73" s="49">
        <v>999999999</v>
      </c>
      <c r="K73" s="49">
        <v>999999999</v>
      </c>
      <c r="L73" s="49">
        <v>999999999</v>
      </c>
      <c r="M73" s="49">
        <v>999999999</v>
      </c>
      <c r="N73" s="49">
        <v>999999999</v>
      </c>
      <c r="O73" s="49">
        <v>999999999</v>
      </c>
      <c r="P73" s="49">
        <v>999999999</v>
      </c>
      <c r="Q73" s="49">
        <v>999999999</v>
      </c>
      <c r="R73" s="49">
        <v>999999999</v>
      </c>
      <c r="S73" s="49">
        <v>999999999</v>
      </c>
      <c r="T73" s="49">
        <v>999999999</v>
      </c>
      <c r="U73" s="49">
        <v>999999999</v>
      </c>
      <c r="V73" s="49">
        <v>999999999</v>
      </c>
      <c r="W73" s="49">
        <v>999999999</v>
      </c>
      <c r="X73" s="49">
        <v>999999999</v>
      </c>
      <c r="Y73" s="49">
        <v>999999999</v>
      </c>
      <c r="Z73" s="49">
        <v>999999999</v>
      </c>
      <c r="AA73" s="49">
        <v>999999999</v>
      </c>
      <c r="AB73" s="49">
        <v>999999999</v>
      </c>
      <c r="AC73" s="49">
        <v>999999999</v>
      </c>
      <c r="AD73" s="49">
        <v>999999999</v>
      </c>
      <c r="AE73" s="49">
        <v>999999999</v>
      </c>
      <c r="AF73" s="49">
        <v>999999999</v>
      </c>
      <c r="AG73" s="49">
        <v>999999999</v>
      </c>
      <c r="AH73" s="49">
        <v>999999999</v>
      </c>
      <c r="AI73" s="49">
        <v>999999999</v>
      </c>
      <c r="AJ73" s="49">
        <v>999999999</v>
      </c>
      <c r="AK73" s="49">
        <v>999999999</v>
      </c>
      <c r="AL73" s="49">
        <v>999999999</v>
      </c>
      <c r="AM73" s="49">
        <v>999999999</v>
      </c>
      <c r="AN73" s="49">
        <v>999999999</v>
      </c>
      <c r="AO73" s="49">
        <v>999999999</v>
      </c>
      <c r="AP73" s="49">
        <v>999999999</v>
      </c>
      <c r="AQ73" s="49">
        <v>999999999</v>
      </c>
      <c r="AR73" s="49">
        <v>999999999</v>
      </c>
      <c r="AS73" s="49">
        <v>999999999</v>
      </c>
      <c r="AT73" s="49">
        <v>999999999</v>
      </c>
      <c r="AU73" s="49">
        <v>999999999</v>
      </c>
      <c r="AV73" s="49">
        <v>999999999</v>
      </c>
      <c r="AW73" s="49">
        <v>999999999</v>
      </c>
      <c r="AX73" s="49">
        <v>999999999</v>
      </c>
      <c r="AY73" s="49">
        <v>999999999</v>
      </c>
      <c r="AZ73" s="49">
        <v>999999999</v>
      </c>
      <c r="BA73" s="49">
        <v>999999999</v>
      </c>
      <c r="BB73" s="49">
        <v>999999999</v>
      </c>
      <c r="BC73" s="49">
        <v>999999999</v>
      </c>
      <c r="BD73" s="49">
        <v>999999999</v>
      </c>
      <c r="BE73" s="49">
        <v>999999999</v>
      </c>
      <c r="BF73" s="49">
        <v>999999999</v>
      </c>
      <c r="BG73" s="49">
        <v>999999999</v>
      </c>
      <c r="BH73" s="49">
        <v>999999999</v>
      </c>
      <c r="BI73" s="49">
        <v>999999999</v>
      </c>
      <c r="BJ73" s="49">
        <v>999999999</v>
      </c>
      <c r="BK73" s="49">
        <v>999999999</v>
      </c>
      <c r="BL73" s="49">
        <v>999999999</v>
      </c>
      <c r="BM73" s="49">
        <v>999999999</v>
      </c>
      <c r="BN73" s="49">
        <v>999999999</v>
      </c>
      <c r="BO73" s="49">
        <v>999999999</v>
      </c>
      <c r="BP73" s="49">
        <v>999999999</v>
      </c>
      <c r="BQ73" s="49">
        <v>999999999</v>
      </c>
      <c r="BR73" s="49">
        <v>999999999</v>
      </c>
      <c r="BS73" s="49">
        <v>999999999</v>
      </c>
      <c r="BT73" s="49">
        <v>999999999</v>
      </c>
      <c r="BU73" s="49">
        <v>999999999</v>
      </c>
      <c r="BV73" s="49">
        <v>999999999</v>
      </c>
      <c r="BW73" s="49">
        <v>999999999</v>
      </c>
      <c r="BX73" s="49">
        <v>999999999</v>
      </c>
      <c r="BY73" s="49">
        <v>999999999</v>
      </c>
      <c r="BZ73" s="49">
        <v>999999999</v>
      </c>
      <c r="CA73" s="49">
        <v>999999999</v>
      </c>
      <c r="CB73" s="49">
        <v>999999999</v>
      </c>
      <c r="CC73" s="49">
        <v>999999999</v>
      </c>
      <c r="CD73" s="49">
        <v>999999999</v>
      </c>
      <c r="CE73" s="49">
        <v>999999999</v>
      </c>
      <c r="CF73" s="49">
        <v>999999999</v>
      </c>
      <c r="CG73" s="49">
        <v>999999999</v>
      </c>
      <c r="CH73" s="49">
        <v>999999999</v>
      </c>
      <c r="CI73" s="49">
        <v>999999999</v>
      </c>
      <c r="CJ73" s="49">
        <v>999999999</v>
      </c>
      <c r="CK73" s="49">
        <v>999999999</v>
      </c>
      <c r="CL73" s="49">
        <v>999999999</v>
      </c>
      <c r="CM73" s="49">
        <v>999999999</v>
      </c>
      <c r="CN73" s="49">
        <v>999999999</v>
      </c>
      <c r="CO73" s="49">
        <v>999999999</v>
      </c>
      <c r="CP73" s="49">
        <v>999999999</v>
      </c>
      <c r="CQ73" s="49">
        <v>999999999</v>
      </c>
      <c r="CR73" s="49">
        <v>999999999</v>
      </c>
      <c r="CS73" s="49">
        <v>999999999</v>
      </c>
      <c r="CT73" s="49">
        <v>999999999</v>
      </c>
      <c r="CU73" s="49">
        <v>999999999</v>
      </c>
      <c r="CV73" s="49">
        <v>999999999</v>
      </c>
      <c r="CW73" s="49">
        <v>999999999</v>
      </c>
      <c r="CX73" s="49">
        <v>999999999</v>
      </c>
      <c r="CY73" s="49">
        <v>999999999</v>
      </c>
      <c r="CZ73" s="49">
        <v>999999999</v>
      </c>
      <c r="DA73" s="49">
        <v>999999999</v>
      </c>
      <c r="DB73" s="49">
        <v>999999999</v>
      </c>
      <c r="DC73" s="49">
        <v>999999999</v>
      </c>
      <c r="DD73" s="49">
        <v>999999999</v>
      </c>
      <c r="DE73" s="49">
        <v>999999999</v>
      </c>
      <c r="DF73" s="49">
        <v>999999999</v>
      </c>
      <c r="DG73" s="49">
        <v>999999999</v>
      </c>
      <c r="DH73" s="49">
        <v>999999999</v>
      </c>
      <c r="DI73" s="49">
        <v>999999999</v>
      </c>
      <c r="DJ73" s="49">
        <v>999999999</v>
      </c>
      <c r="DK73" s="49">
        <v>999999999</v>
      </c>
      <c r="DL73" s="49">
        <v>999999999</v>
      </c>
      <c r="DM73" s="49">
        <v>999999999</v>
      </c>
      <c r="DN73" s="49">
        <v>999999999</v>
      </c>
      <c r="DO73" s="49">
        <v>999999999</v>
      </c>
      <c r="DP73" s="49">
        <v>999999999</v>
      </c>
      <c r="DQ73" s="49">
        <v>999999999</v>
      </c>
      <c r="DR73" s="49">
        <v>999999999</v>
      </c>
      <c r="DS73" s="49">
        <v>999999999</v>
      </c>
      <c r="DT73" s="49">
        <v>999999999</v>
      </c>
      <c r="DU73" s="49">
        <v>999999999</v>
      </c>
      <c r="DV73" s="49">
        <v>999999999</v>
      </c>
      <c r="DW73" s="49">
        <v>999999999</v>
      </c>
      <c r="DX73" s="49">
        <v>999999999</v>
      </c>
      <c r="DY73" s="49">
        <v>999999999</v>
      </c>
      <c r="DZ73" s="49">
        <v>999999999</v>
      </c>
      <c r="EA73" s="49">
        <v>999999999</v>
      </c>
      <c r="EB73" s="49">
        <v>999999999</v>
      </c>
      <c r="EC73" s="49">
        <v>999999999</v>
      </c>
      <c r="ED73" s="49">
        <v>999999999</v>
      </c>
      <c r="EE73" s="49">
        <v>999999999</v>
      </c>
      <c r="EF73" s="49">
        <v>999999999</v>
      </c>
      <c r="EG73" s="49">
        <v>999999999</v>
      </c>
      <c r="EH73" s="49">
        <v>999999999</v>
      </c>
      <c r="EI73" s="49">
        <v>999999999</v>
      </c>
      <c r="EJ73" s="49">
        <v>999999999</v>
      </c>
      <c r="EK73" s="49">
        <v>999999999</v>
      </c>
      <c r="EL73" s="49">
        <v>999999999</v>
      </c>
      <c r="EM73" s="49">
        <v>999999999</v>
      </c>
      <c r="EN73" s="49">
        <v>999999999</v>
      </c>
      <c r="EO73" s="49">
        <v>999999999</v>
      </c>
      <c r="EP73" s="49">
        <v>999999999</v>
      </c>
      <c r="EQ73" s="49">
        <v>999999999</v>
      </c>
      <c r="ER73" s="49">
        <v>999999999</v>
      </c>
      <c r="ES73" s="49">
        <v>999999999</v>
      </c>
      <c r="ET73" s="49">
        <v>999999999</v>
      </c>
      <c r="EU73" s="49">
        <v>999999999</v>
      </c>
      <c r="EV73" s="49">
        <v>999999999</v>
      </c>
      <c r="EW73" s="49">
        <v>999999999</v>
      </c>
      <c r="EX73" s="49">
        <v>999999999</v>
      </c>
      <c r="EY73" s="49">
        <v>999999999</v>
      </c>
      <c r="EZ73" s="49">
        <v>999999999</v>
      </c>
      <c r="FA73" s="49">
        <v>999999999</v>
      </c>
      <c r="FB73" s="49">
        <v>999999999</v>
      </c>
      <c r="FC73" s="49">
        <v>999999999</v>
      </c>
      <c r="FD73" s="49">
        <v>999999999</v>
      </c>
      <c r="FE73" s="49">
        <v>999999999</v>
      </c>
      <c r="FF73" s="49">
        <v>999999999</v>
      </c>
      <c r="FG73" s="49">
        <v>999999999</v>
      </c>
      <c r="FH73" s="49">
        <v>999999999</v>
      </c>
      <c r="FI73" s="49">
        <v>999999999</v>
      </c>
      <c r="FJ73" s="49">
        <v>999999999</v>
      </c>
      <c r="FK73" s="49">
        <v>999999999</v>
      </c>
      <c r="FL73" s="49">
        <v>999999999</v>
      </c>
      <c r="FM73" s="49">
        <v>999999999</v>
      </c>
      <c r="FN73" s="49">
        <v>999999999</v>
      </c>
      <c r="FO73" s="49">
        <v>999999999</v>
      </c>
      <c r="FP73" s="49">
        <v>999999999</v>
      </c>
      <c r="FQ73" s="49">
        <v>999999999</v>
      </c>
      <c r="FR73" s="49">
        <v>999999999</v>
      </c>
      <c r="FS73" s="49">
        <v>999999999</v>
      </c>
      <c r="FT73" s="49">
        <v>999999999</v>
      </c>
      <c r="FU73" s="49">
        <v>999999999</v>
      </c>
      <c r="FV73" s="49">
        <v>999999999</v>
      </c>
      <c r="FW73" s="49">
        <v>999999999</v>
      </c>
      <c r="FX73" s="49">
        <v>999999999</v>
      </c>
      <c r="FY73" s="49"/>
      <c r="FZ73" s="49">
        <f>SUM(C73:FX73)</f>
        <v>177999999822</v>
      </c>
      <c r="GA73" s="7"/>
      <c r="GB73" s="49"/>
      <c r="GC73" s="49"/>
      <c r="GD73" s="7"/>
      <c r="GE73" s="7"/>
      <c r="GF73" s="7"/>
      <c r="GG73" s="7"/>
      <c r="GH73" s="7"/>
      <c r="GI73" s="7"/>
      <c r="GJ73" s="7"/>
      <c r="GK73" s="7"/>
    </row>
    <row r="74" spans="1:193" ht="15.5" x14ac:dyDescent="0.35">
      <c r="A74" s="7"/>
      <c r="B74" s="7" t="s">
        <v>791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7"/>
      <c r="GA74" s="7"/>
      <c r="GB74" s="49"/>
      <c r="GC74" s="49"/>
      <c r="GD74" s="49"/>
      <c r="GE74" s="7"/>
      <c r="GF74" s="7"/>
      <c r="GG74" s="7"/>
      <c r="GH74" s="7"/>
      <c r="GI74" s="7"/>
      <c r="GJ74" s="7"/>
      <c r="GK74" s="7"/>
    </row>
    <row r="75" spans="1:193" ht="15.5" x14ac:dyDescent="0.35">
      <c r="A75" s="7"/>
      <c r="B75" s="7" t="s">
        <v>797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98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</row>
    <row r="76" spans="1:193" ht="15.5" x14ac:dyDescent="0.35">
      <c r="A76" s="7"/>
      <c r="B76" s="7" t="s">
        <v>798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</row>
    <row r="77" spans="1:193" ht="15.5" x14ac:dyDescent="0.35">
      <c r="A77" s="7"/>
      <c r="B77" s="7" t="s">
        <v>799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</row>
    <row r="78" spans="1:193" ht="15.5" x14ac:dyDescent="0.35">
      <c r="A78" s="12" t="s">
        <v>800</v>
      </c>
      <c r="B78" s="7" t="s">
        <v>515</v>
      </c>
      <c r="C78" s="7">
        <v>214049.99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518609.48</v>
      </c>
      <c r="J78" s="7">
        <v>0</v>
      </c>
      <c r="K78" s="7">
        <v>0</v>
      </c>
      <c r="L78" s="7">
        <v>0</v>
      </c>
      <c r="M78" s="7">
        <v>0</v>
      </c>
      <c r="N78" s="7">
        <v>6454001.4400000004</v>
      </c>
      <c r="O78" s="7">
        <v>2315346.59</v>
      </c>
      <c r="P78" s="7">
        <v>6508.04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4645.62</v>
      </c>
      <c r="Y78" s="7">
        <v>0</v>
      </c>
      <c r="Z78" s="7">
        <v>125782.95</v>
      </c>
      <c r="AA78" s="7">
        <v>0</v>
      </c>
      <c r="AB78" s="7">
        <v>0</v>
      </c>
      <c r="AC78" s="7">
        <v>0</v>
      </c>
      <c r="AD78" s="7">
        <v>0</v>
      </c>
      <c r="AE78" s="7">
        <v>73409.77</v>
      </c>
      <c r="AF78" s="7">
        <v>0</v>
      </c>
      <c r="AG78" s="7">
        <v>0</v>
      </c>
      <c r="AH78" s="7">
        <v>189856.48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2116980.9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40575.480000000003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784125.51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64538.16</v>
      </c>
      <c r="CE78" s="7">
        <v>0</v>
      </c>
      <c r="CF78" s="7">
        <v>139360.24</v>
      </c>
      <c r="CG78" s="7">
        <v>0</v>
      </c>
      <c r="CH78" s="7">
        <v>0</v>
      </c>
      <c r="CI78" s="7">
        <v>0</v>
      </c>
      <c r="CJ78" s="7">
        <v>0</v>
      </c>
      <c r="CK78" s="7">
        <v>2621262.39</v>
      </c>
      <c r="CL78" s="7">
        <v>34407.54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78694.86</v>
      </c>
      <c r="CS78" s="7">
        <v>0</v>
      </c>
      <c r="CT78" s="7">
        <v>29636.04</v>
      </c>
      <c r="CU78" s="7">
        <v>0</v>
      </c>
      <c r="CV78" s="7">
        <v>28341.66</v>
      </c>
      <c r="CW78" s="7">
        <v>0</v>
      </c>
      <c r="CX78" s="7">
        <v>0</v>
      </c>
      <c r="CY78" s="7">
        <v>0</v>
      </c>
      <c r="CZ78" s="7">
        <v>0</v>
      </c>
      <c r="DA78" s="7">
        <v>18622.72</v>
      </c>
      <c r="DB78" s="7">
        <v>0</v>
      </c>
      <c r="DC78" s="7">
        <v>36496.36</v>
      </c>
      <c r="DD78" s="7">
        <v>5221.7700000000004</v>
      </c>
      <c r="DE78" s="7">
        <v>0</v>
      </c>
      <c r="DF78" s="7">
        <v>0</v>
      </c>
      <c r="DG78" s="7">
        <v>0</v>
      </c>
      <c r="DH78" s="7">
        <v>277847.37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9617.9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550952.78</v>
      </c>
      <c r="EB78" s="7">
        <v>0</v>
      </c>
      <c r="EC78" s="7">
        <v>0</v>
      </c>
      <c r="ED78" s="7">
        <v>710551.13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671262.95</v>
      </c>
      <c r="EM78" s="7">
        <v>0</v>
      </c>
      <c r="EN78" s="7">
        <v>0</v>
      </c>
      <c r="EO78" s="7">
        <v>0</v>
      </c>
      <c r="EP78" s="7">
        <v>0</v>
      </c>
      <c r="EQ78" s="7">
        <v>1064161.06</v>
      </c>
      <c r="ER78" s="7">
        <v>0</v>
      </c>
      <c r="ES78" s="7">
        <v>0</v>
      </c>
      <c r="ET78" s="7">
        <v>0</v>
      </c>
      <c r="EU78" s="7">
        <v>0</v>
      </c>
      <c r="EV78" s="7">
        <v>19817.919999999998</v>
      </c>
      <c r="EW78" s="7">
        <v>0</v>
      </c>
      <c r="EX78" s="7">
        <v>0</v>
      </c>
      <c r="EY78" s="7">
        <v>0</v>
      </c>
      <c r="EZ78" s="7">
        <v>74228.81</v>
      </c>
      <c r="FA78" s="7">
        <v>1475032.01</v>
      </c>
      <c r="FB78" s="7">
        <v>0</v>
      </c>
      <c r="FC78" s="7">
        <v>0</v>
      </c>
      <c r="FD78" s="7">
        <v>0</v>
      </c>
      <c r="FE78" s="7">
        <v>7823.44</v>
      </c>
      <c r="FF78" s="7">
        <v>0</v>
      </c>
      <c r="FG78" s="7">
        <v>0</v>
      </c>
      <c r="FH78" s="7">
        <v>76952.78</v>
      </c>
      <c r="FI78" s="7">
        <v>0</v>
      </c>
      <c r="FJ78" s="7">
        <v>0</v>
      </c>
      <c r="FK78" s="7">
        <v>46526.37</v>
      </c>
      <c r="FL78" s="7">
        <v>0</v>
      </c>
      <c r="FM78" s="7">
        <v>0</v>
      </c>
      <c r="FN78" s="7">
        <v>0</v>
      </c>
      <c r="FO78" s="7">
        <v>0</v>
      </c>
      <c r="FP78" s="7">
        <v>0</v>
      </c>
      <c r="FQ78" s="7">
        <v>0</v>
      </c>
      <c r="FR78" s="7">
        <v>0</v>
      </c>
      <c r="FS78" s="7">
        <v>0</v>
      </c>
      <c r="FT78" s="7">
        <v>0</v>
      </c>
      <c r="FU78" s="7">
        <v>0</v>
      </c>
      <c r="FV78" s="7">
        <v>0</v>
      </c>
      <c r="FW78" s="7">
        <v>0</v>
      </c>
      <c r="FX78" s="7">
        <v>0</v>
      </c>
      <c r="FY78" s="7"/>
      <c r="FZ78" s="7">
        <f t="shared" ref="FZ78:FZ82" si="17">SUM(C78:FX78)</f>
        <v>20885248.509999998</v>
      </c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</row>
    <row r="79" spans="1:193" ht="15.5" x14ac:dyDescent="0.35">
      <c r="A79" s="12" t="s">
        <v>801</v>
      </c>
      <c r="B79" s="7" t="s">
        <v>517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387510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0</v>
      </c>
      <c r="EY79" s="7">
        <v>0</v>
      </c>
      <c r="EZ79" s="7">
        <v>0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  <c r="FK79" s="7">
        <v>0</v>
      </c>
      <c r="FL79" s="7">
        <v>0</v>
      </c>
      <c r="FM79" s="7">
        <v>0</v>
      </c>
      <c r="FN79" s="7">
        <v>0</v>
      </c>
      <c r="FO79" s="7">
        <v>0</v>
      </c>
      <c r="FP79" s="7">
        <v>0</v>
      </c>
      <c r="FQ79" s="7">
        <v>0</v>
      </c>
      <c r="FR79" s="7">
        <v>0</v>
      </c>
      <c r="FS79" s="7">
        <v>0</v>
      </c>
      <c r="FT79" s="7">
        <v>0</v>
      </c>
      <c r="FU79" s="7">
        <v>0</v>
      </c>
      <c r="FV79" s="7">
        <v>0</v>
      </c>
      <c r="FW79" s="7">
        <v>0</v>
      </c>
      <c r="FX79" s="7">
        <v>0</v>
      </c>
      <c r="FY79" s="7"/>
      <c r="FZ79" s="7">
        <f t="shared" si="17"/>
        <v>387510</v>
      </c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</row>
    <row r="80" spans="1:193" ht="15.5" x14ac:dyDescent="0.35">
      <c r="A80" s="12" t="s">
        <v>802</v>
      </c>
      <c r="B80" s="7" t="s">
        <v>803</v>
      </c>
      <c r="C80" s="99">
        <v>4670000</v>
      </c>
      <c r="D80" s="99">
        <v>63655851</v>
      </c>
      <c r="E80" s="99">
        <v>4890000</v>
      </c>
      <c r="F80" s="99">
        <v>750000</v>
      </c>
      <c r="G80" s="99">
        <v>1200000</v>
      </c>
      <c r="H80" s="99">
        <v>300000</v>
      </c>
      <c r="I80" s="39">
        <v>7845103</v>
      </c>
      <c r="J80" s="99">
        <v>0</v>
      </c>
      <c r="K80" s="99">
        <v>0</v>
      </c>
      <c r="L80" s="99">
        <v>4655850</v>
      </c>
      <c r="M80" s="99">
        <v>1000000</v>
      </c>
      <c r="N80" s="99">
        <v>77763000</v>
      </c>
      <c r="O80" s="99">
        <v>26498234</v>
      </c>
      <c r="P80" s="99">
        <v>0</v>
      </c>
      <c r="Q80" s="99">
        <v>37339028</v>
      </c>
      <c r="R80" s="99">
        <v>0</v>
      </c>
      <c r="S80" s="99">
        <v>0</v>
      </c>
      <c r="T80" s="99">
        <v>0</v>
      </c>
      <c r="U80" s="99">
        <v>100000</v>
      </c>
      <c r="V80" s="99">
        <v>0</v>
      </c>
      <c r="W80" s="99">
        <v>0</v>
      </c>
      <c r="X80" s="99">
        <v>150000</v>
      </c>
      <c r="Y80" s="99">
        <v>0</v>
      </c>
      <c r="Z80" s="99">
        <v>0</v>
      </c>
      <c r="AA80" s="99">
        <v>32635664</v>
      </c>
      <c r="AB80" s="39">
        <v>75286702</v>
      </c>
      <c r="AC80" s="39">
        <v>2044227</v>
      </c>
      <c r="AD80" s="39">
        <v>2497712</v>
      </c>
      <c r="AE80" s="99">
        <v>245000</v>
      </c>
      <c r="AF80" s="39">
        <v>217915</v>
      </c>
      <c r="AG80" s="99">
        <v>1839046</v>
      </c>
      <c r="AH80" s="99">
        <v>0</v>
      </c>
      <c r="AI80" s="99">
        <v>0</v>
      </c>
      <c r="AJ80" s="99">
        <v>0</v>
      </c>
      <c r="AK80" s="99">
        <v>0</v>
      </c>
      <c r="AL80" s="99">
        <v>330575</v>
      </c>
      <c r="AM80" s="99">
        <v>0</v>
      </c>
      <c r="AN80" s="99">
        <v>0</v>
      </c>
      <c r="AO80" s="99">
        <v>0</v>
      </c>
      <c r="AP80" s="99">
        <v>129959655</v>
      </c>
      <c r="AQ80" s="99">
        <v>0</v>
      </c>
      <c r="AR80" s="99">
        <v>73713000</v>
      </c>
      <c r="AS80" s="99">
        <v>5944650</v>
      </c>
      <c r="AT80" s="99">
        <v>0</v>
      </c>
      <c r="AU80" s="99">
        <v>0</v>
      </c>
      <c r="AV80" s="99">
        <v>0</v>
      </c>
      <c r="AW80" s="99">
        <v>0</v>
      </c>
      <c r="AX80" s="99">
        <v>0</v>
      </c>
      <c r="AY80" s="99">
        <v>0</v>
      </c>
      <c r="AZ80" s="99">
        <v>5750000</v>
      </c>
      <c r="BA80" s="99">
        <v>3950000</v>
      </c>
      <c r="BB80" s="99">
        <v>700000</v>
      </c>
      <c r="BC80" s="39">
        <v>71315127.650000006</v>
      </c>
      <c r="BD80" s="99">
        <v>5157461</v>
      </c>
      <c r="BE80" s="99">
        <v>1900000</v>
      </c>
      <c r="BF80" s="99">
        <v>26750862</v>
      </c>
      <c r="BG80" s="99">
        <v>0</v>
      </c>
      <c r="BH80" s="99">
        <v>0</v>
      </c>
      <c r="BI80" s="99">
        <v>0</v>
      </c>
      <c r="BJ80" s="99">
        <v>4000000</v>
      </c>
      <c r="BK80" s="99">
        <v>7500000</v>
      </c>
      <c r="BL80" s="99">
        <v>0</v>
      </c>
      <c r="BM80" s="99">
        <v>0</v>
      </c>
      <c r="BN80" s="99">
        <v>0</v>
      </c>
      <c r="BO80" s="99">
        <v>350000</v>
      </c>
      <c r="BP80" s="99">
        <v>0</v>
      </c>
      <c r="BQ80" s="99">
        <v>8800000</v>
      </c>
      <c r="BR80" s="99">
        <v>4300000</v>
      </c>
      <c r="BS80" s="99">
        <v>2167002</v>
      </c>
      <c r="BT80" s="99">
        <v>980488</v>
      </c>
      <c r="BU80" s="50">
        <v>1100007.0868799998</v>
      </c>
      <c r="BV80" s="99">
        <v>1330000</v>
      </c>
      <c r="BW80" s="99">
        <v>3800000</v>
      </c>
      <c r="BX80" s="99">
        <v>0</v>
      </c>
      <c r="BY80" s="99">
        <v>0</v>
      </c>
      <c r="BZ80" s="99">
        <v>0</v>
      </c>
      <c r="CA80" s="99">
        <v>0</v>
      </c>
      <c r="CB80" s="99">
        <v>113302585</v>
      </c>
      <c r="CC80" s="99">
        <v>0</v>
      </c>
      <c r="CD80" s="99">
        <v>0</v>
      </c>
      <c r="CE80" s="99">
        <v>0</v>
      </c>
      <c r="CF80" s="99">
        <v>0</v>
      </c>
      <c r="CG80" s="99">
        <v>119200</v>
      </c>
      <c r="CH80" s="99">
        <v>0</v>
      </c>
      <c r="CI80" s="99">
        <v>270068</v>
      </c>
      <c r="CJ80" s="99">
        <v>667783</v>
      </c>
      <c r="CK80" s="99">
        <v>5600000</v>
      </c>
      <c r="CL80" s="99">
        <v>2016949</v>
      </c>
      <c r="CM80" s="99">
        <v>1100000</v>
      </c>
      <c r="CN80" s="99">
        <v>35012147</v>
      </c>
      <c r="CO80" s="99">
        <v>14040000</v>
      </c>
      <c r="CP80" s="99">
        <v>1921000</v>
      </c>
      <c r="CQ80" s="99">
        <v>0</v>
      </c>
      <c r="CR80" s="99">
        <v>350000</v>
      </c>
      <c r="CS80" s="99">
        <v>0</v>
      </c>
      <c r="CT80" s="99">
        <v>0</v>
      </c>
      <c r="CU80" s="99">
        <v>205000</v>
      </c>
      <c r="CV80" s="99">
        <v>171656</v>
      </c>
      <c r="CW80" s="99">
        <v>0</v>
      </c>
      <c r="CX80" s="99">
        <v>0</v>
      </c>
      <c r="CY80" s="99">
        <v>0</v>
      </c>
      <c r="CZ80" s="99">
        <v>500000</v>
      </c>
      <c r="DA80" s="99">
        <v>0</v>
      </c>
      <c r="DB80" s="99">
        <v>0</v>
      </c>
      <c r="DC80" s="99">
        <v>445000</v>
      </c>
      <c r="DD80" s="99">
        <v>0</v>
      </c>
      <c r="DE80" s="99">
        <v>350000</v>
      </c>
      <c r="DF80" s="39">
        <v>15736474.08</v>
      </c>
      <c r="DG80" s="99">
        <v>70000</v>
      </c>
      <c r="DH80" s="99">
        <v>1900000</v>
      </c>
      <c r="DI80" s="99">
        <v>0</v>
      </c>
      <c r="DJ80" s="99">
        <v>390000</v>
      </c>
      <c r="DK80" s="99">
        <v>333800</v>
      </c>
      <c r="DL80" s="99">
        <v>0</v>
      </c>
      <c r="DM80" s="99">
        <v>248000</v>
      </c>
      <c r="DN80" s="99">
        <v>400000</v>
      </c>
      <c r="DO80" s="99">
        <v>550000</v>
      </c>
      <c r="DP80" s="99">
        <v>0</v>
      </c>
      <c r="DQ80" s="99">
        <v>0</v>
      </c>
      <c r="DR80" s="99">
        <v>0</v>
      </c>
      <c r="DS80" s="99">
        <v>0</v>
      </c>
      <c r="DT80" s="99">
        <v>0</v>
      </c>
      <c r="DU80" s="99">
        <v>0</v>
      </c>
      <c r="DV80" s="99">
        <v>0</v>
      </c>
      <c r="DW80" s="99">
        <v>15862</v>
      </c>
      <c r="DX80" s="99">
        <v>155000</v>
      </c>
      <c r="DY80" s="99">
        <v>516372</v>
      </c>
      <c r="DZ80" s="99">
        <v>550204</v>
      </c>
      <c r="EA80" s="99">
        <v>207000</v>
      </c>
      <c r="EB80" s="99">
        <v>447872</v>
      </c>
      <c r="EC80" s="99">
        <v>0</v>
      </c>
      <c r="ED80" s="99">
        <v>3905390.5</v>
      </c>
      <c r="EE80" s="99">
        <v>0</v>
      </c>
      <c r="EF80" s="99">
        <v>0</v>
      </c>
      <c r="EG80" s="99">
        <v>0</v>
      </c>
      <c r="EH80" s="99">
        <v>0</v>
      </c>
      <c r="EI80" s="99">
        <v>0</v>
      </c>
      <c r="EJ80" s="99">
        <v>0</v>
      </c>
      <c r="EK80" s="99">
        <v>404670</v>
      </c>
      <c r="EL80" s="99">
        <v>0</v>
      </c>
      <c r="EM80" s="99">
        <v>832600</v>
      </c>
      <c r="EN80" s="99">
        <v>195000</v>
      </c>
      <c r="EO80" s="99">
        <v>75000</v>
      </c>
      <c r="EP80" s="99">
        <v>905473</v>
      </c>
      <c r="EQ80" s="99">
        <v>1573000</v>
      </c>
      <c r="ER80" s="99">
        <v>914457</v>
      </c>
      <c r="ES80" s="99">
        <v>0</v>
      </c>
      <c r="ET80" s="99">
        <v>164087</v>
      </c>
      <c r="EU80" s="99">
        <v>0</v>
      </c>
      <c r="EV80" s="99">
        <v>0</v>
      </c>
      <c r="EW80" s="99">
        <v>1848603.33</v>
      </c>
      <c r="EX80" s="99">
        <v>397784.63</v>
      </c>
      <c r="EY80" s="99">
        <v>0</v>
      </c>
      <c r="EZ80" s="99">
        <v>0</v>
      </c>
      <c r="FA80" s="99">
        <v>4687317</v>
      </c>
      <c r="FB80" s="99">
        <v>584000</v>
      </c>
      <c r="FC80" s="99">
        <v>1100000</v>
      </c>
      <c r="FD80" s="99">
        <v>0</v>
      </c>
      <c r="FE80" s="99">
        <v>250000</v>
      </c>
      <c r="FF80" s="99">
        <v>0</v>
      </c>
      <c r="FG80" s="99">
        <v>0</v>
      </c>
      <c r="FH80" s="99">
        <v>155000</v>
      </c>
      <c r="FI80" s="99">
        <v>3904000</v>
      </c>
      <c r="FJ80" s="99">
        <v>1200000</v>
      </c>
      <c r="FK80" s="99">
        <v>4500000</v>
      </c>
      <c r="FL80" s="99">
        <v>2595350</v>
      </c>
      <c r="FM80" s="99">
        <v>500000</v>
      </c>
      <c r="FN80" s="99">
        <v>0</v>
      </c>
      <c r="FO80" s="99">
        <v>1974045</v>
      </c>
      <c r="FP80" s="99">
        <v>2675000</v>
      </c>
      <c r="FQ80" s="99">
        <v>900000</v>
      </c>
      <c r="FR80" s="99">
        <v>497743</v>
      </c>
      <c r="FS80" s="99">
        <v>75000</v>
      </c>
      <c r="FT80" s="99">
        <v>130000</v>
      </c>
      <c r="FU80" s="99">
        <v>1194000</v>
      </c>
      <c r="FV80" s="99">
        <v>400000</v>
      </c>
      <c r="FW80" s="99">
        <v>0</v>
      </c>
      <c r="FX80" s="99">
        <v>292380</v>
      </c>
      <c r="FY80" s="7"/>
      <c r="FZ80" s="7">
        <f t="shared" si="17"/>
        <v>941804032.27688003</v>
      </c>
      <c r="GA80" s="23"/>
      <c r="GB80" s="7"/>
      <c r="GC80" s="7"/>
      <c r="GD80" s="7"/>
      <c r="GE80" s="7"/>
      <c r="GF80" s="7"/>
      <c r="GG80" s="7"/>
      <c r="GH80" s="7"/>
      <c r="GI80" s="7"/>
      <c r="GJ80" s="7"/>
      <c r="GK80" s="7"/>
    </row>
    <row r="81" spans="1:195" ht="15.5" x14ac:dyDescent="0.35">
      <c r="A81" s="51"/>
      <c r="B81" s="48" t="s">
        <v>520</v>
      </c>
      <c r="C81" s="48">
        <v>1023645.96</v>
      </c>
      <c r="D81" s="48">
        <v>5923407.6999999881</v>
      </c>
      <c r="E81" s="48">
        <v>1501809.63</v>
      </c>
      <c r="F81" s="48">
        <v>1480552.63</v>
      </c>
      <c r="G81" s="48">
        <v>313409.98</v>
      </c>
      <c r="H81" s="48">
        <v>197482.31</v>
      </c>
      <c r="I81" s="52">
        <v>3049421.53</v>
      </c>
      <c r="J81" s="48">
        <v>0</v>
      </c>
      <c r="K81" s="48">
        <v>0</v>
      </c>
      <c r="L81" s="48">
        <v>767975.6099999994</v>
      </c>
      <c r="M81" s="48">
        <v>339255.28999999911</v>
      </c>
      <c r="N81" s="48">
        <v>1003951.56</v>
      </c>
      <c r="O81" s="48">
        <v>3157850.6999999881</v>
      </c>
      <c r="P81" s="48">
        <v>0</v>
      </c>
      <c r="Q81" s="48">
        <v>2551562.3199999998</v>
      </c>
      <c r="R81" s="48">
        <v>93067.899999999907</v>
      </c>
      <c r="S81" s="48">
        <v>147716.44999999925</v>
      </c>
      <c r="T81" s="48">
        <v>0</v>
      </c>
      <c r="U81" s="48">
        <v>0</v>
      </c>
      <c r="V81" s="48">
        <v>0</v>
      </c>
      <c r="W81" s="99">
        <v>0</v>
      </c>
      <c r="X81" s="48">
        <v>0</v>
      </c>
      <c r="Y81" s="48">
        <v>0</v>
      </c>
      <c r="Z81" s="48">
        <v>0</v>
      </c>
      <c r="AA81" s="48">
        <v>3107770.19</v>
      </c>
      <c r="AB81" s="52">
        <v>5484100.7199999997</v>
      </c>
      <c r="AC81" s="52">
        <v>179452.74</v>
      </c>
      <c r="AD81" s="52">
        <v>173421.01</v>
      </c>
      <c r="AE81" s="48">
        <v>0</v>
      </c>
      <c r="AF81" s="52">
        <v>0</v>
      </c>
      <c r="AG81" s="48">
        <v>585726.86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23452.35999999987</v>
      </c>
      <c r="AO81" s="48">
        <v>0</v>
      </c>
      <c r="AP81" s="48">
        <v>13961260.089999974</v>
      </c>
      <c r="AQ81" s="48">
        <v>4996.7000000001863</v>
      </c>
      <c r="AR81" s="48">
        <v>4936260.97</v>
      </c>
      <c r="AS81" s="48">
        <v>3140096.46</v>
      </c>
      <c r="AT81" s="48">
        <v>706569</v>
      </c>
      <c r="AU81" s="48">
        <v>183362.49</v>
      </c>
      <c r="AV81" s="48">
        <v>0</v>
      </c>
      <c r="AW81" s="48">
        <v>127133.32</v>
      </c>
      <c r="AX81" s="48">
        <v>17799.04</v>
      </c>
      <c r="AY81" s="48">
        <v>67342.069999999832</v>
      </c>
      <c r="AZ81" s="48">
        <v>5661380.25</v>
      </c>
      <c r="BA81" s="48">
        <v>4239435.37</v>
      </c>
      <c r="BB81" s="48">
        <v>2450915.0699999998</v>
      </c>
      <c r="BC81" s="52">
        <v>13979440.599999994</v>
      </c>
      <c r="BD81" s="48">
        <v>2610812.9700000002</v>
      </c>
      <c r="BE81" s="48">
        <v>691421.59</v>
      </c>
      <c r="BF81" s="48">
        <v>12423538.810000002</v>
      </c>
      <c r="BG81" s="48">
        <v>177371.84</v>
      </c>
      <c r="BH81" s="48">
        <v>272348.34999999998</v>
      </c>
      <c r="BI81" s="48">
        <v>117074.81</v>
      </c>
      <c r="BJ81" s="48">
        <v>2978693.21</v>
      </c>
      <c r="BK81" s="48">
        <v>3075849.87</v>
      </c>
      <c r="BL81" s="48">
        <v>26731.37</v>
      </c>
      <c r="BM81" s="48">
        <v>73715.73</v>
      </c>
      <c r="BN81" s="48">
        <v>0</v>
      </c>
      <c r="BO81" s="48">
        <v>46591.460000000894</v>
      </c>
      <c r="BP81" s="48">
        <v>66821.180000000168</v>
      </c>
      <c r="BQ81" s="48">
        <v>831665.80999999866</v>
      </c>
      <c r="BR81" s="48">
        <v>53981.400000002235</v>
      </c>
      <c r="BS81" s="48">
        <v>0</v>
      </c>
      <c r="BT81" s="48">
        <v>96176.64000000013</v>
      </c>
      <c r="BU81" s="48">
        <v>45796.089999999851</v>
      </c>
      <c r="BV81" s="48">
        <v>680000</v>
      </c>
      <c r="BW81" s="48">
        <v>271620.42</v>
      </c>
      <c r="BX81" s="48">
        <v>30925.080000000075</v>
      </c>
      <c r="BY81" s="48">
        <v>20772.939999999478</v>
      </c>
      <c r="BZ81" s="48">
        <v>128574.8</v>
      </c>
      <c r="CA81" s="48">
        <v>0</v>
      </c>
      <c r="CB81" s="48">
        <v>14199549.600000024</v>
      </c>
      <c r="CC81" s="48">
        <v>51316.119999999879</v>
      </c>
      <c r="CD81" s="48">
        <v>32213.38</v>
      </c>
      <c r="CE81" s="48">
        <v>35823.39000000013</v>
      </c>
      <c r="CF81" s="48">
        <v>60736.420000000158</v>
      </c>
      <c r="CG81" s="48">
        <f>52674.03+119000</f>
        <v>171674.03</v>
      </c>
      <c r="CH81" s="48">
        <v>42137.689999999944</v>
      </c>
      <c r="CI81" s="48">
        <v>191859.43000000063</v>
      </c>
      <c r="CJ81" s="48">
        <v>127581.31</v>
      </c>
      <c r="CK81" s="48">
        <v>0</v>
      </c>
      <c r="CL81" s="48">
        <v>0</v>
      </c>
      <c r="CM81" s="48">
        <v>0</v>
      </c>
      <c r="CN81" s="48">
        <v>5532198.7100000083</v>
      </c>
      <c r="CO81" s="48">
        <v>3311063.7200000137</v>
      </c>
      <c r="CP81" s="48">
        <v>487185.26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2963.7100000001956</v>
      </c>
      <c r="CX81" s="48">
        <v>34454.619999999646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31853.880000000121</v>
      </c>
      <c r="DE81" s="48">
        <v>0</v>
      </c>
      <c r="DF81" s="52">
        <v>964429.94000001252</v>
      </c>
      <c r="DG81" s="48">
        <v>0</v>
      </c>
      <c r="DH81" s="48">
        <v>0</v>
      </c>
      <c r="DI81" s="48">
        <v>187923.21999999881</v>
      </c>
      <c r="DJ81" s="48">
        <v>70570.470000000205</v>
      </c>
      <c r="DK81" s="48">
        <v>63148.970000000205</v>
      </c>
      <c r="DL81" s="48">
        <v>0</v>
      </c>
      <c r="DM81" s="48">
        <v>0</v>
      </c>
      <c r="DN81" s="48">
        <v>0</v>
      </c>
      <c r="DO81" s="48">
        <v>0</v>
      </c>
      <c r="DP81" s="48">
        <v>1230.7399999999907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27492.279999999795</v>
      </c>
      <c r="DY81" s="48">
        <v>0</v>
      </c>
      <c r="DZ81" s="48">
        <v>739613.14999999944</v>
      </c>
      <c r="EA81" s="48">
        <v>139332.39000000001</v>
      </c>
      <c r="EB81" s="48">
        <v>81512.760000000242</v>
      </c>
      <c r="EC81" s="48">
        <v>108091.72</v>
      </c>
      <c r="ED81" s="48">
        <v>1114082.5</v>
      </c>
      <c r="EE81" s="48">
        <v>0</v>
      </c>
      <c r="EF81" s="48">
        <v>0</v>
      </c>
      <c r="EG81" s="48">
        <v>8952.6699999999255</v>
      </c>
      <c r="EH81" s="48">
        <v>6739.7900000000373</v>
      </c>
      <c r="EI81" s="48">
        <v>984513.67000000179</v>
      </c>
      <c r="EJ81" s="48">
        <v>556718.94000000507</v>
      </c>
      <c r="EK81" s="48">
        <v>0</v>
      </c>
      <c r="EL81" s="48">
        <v>19606.400000000001</v>
      </c>
      <c r="EM81" s="48">
        <v>0</v>
      </c>
      <c r="EN81" s="48">
        <v>0</v>
      </c>
      <c r="EO81" s="48">
        <v>0</v>
      </c>
      <c r="EP81" s="48">
        <v>0</v>
      </c>
      <c r="EQ81" s="48">
        <v>773723.74</v>
      </c>
      <c r="ER81" s="48">
        <v>13739.379999999888</v>
      </c>
      <c r="ES81" s="48">
        <v>0</v>
      </c>
      <c r="ET81" s="48">
        <v>0</v>
      </c>
      <c r="EU81" s="48">
        <v>0</v>
      </c>
      <c r="EV81" s="48">
        <v>25108.400000000001</v>
      </c>
      <c r="EW81" s="48">
        <v>2296.6300000003539</v>
      </c>
      <c r="EX81" s="48">
        <v>6362.1400000001304</v>
      </c>
      <c r="EY81" s="48">
        <v>0</v>
      </c>
      <c r="EZ81" s="48">
        <v>3088.3899999998976</v>
      </c>
      <c r="FA81" s="48">
        <v>650000</v>
      </c>
      <c r="FB81" s="48">
        <v>235967.64</v>
      </c>
      <c r="FC81" s="48">
        <v>1157745.67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464593.6400000006</v>
      </c>
      <c r="FJ81" s="48">
        <v>402051.60000000056</v>
      </c>
      <c r="FK81" s="48">
        <v>263308.68</v>
      </c>
      <c r="FL81" s="48">
        <v>679899.57</v>
      </c>
      <c r="FM81" s="48">
        <v>418806.28000000119</v>
      </c>
      <c r="FN81" s="48">
        <v>2545812.86</v>
      </c>
      <c r="FO81" s="48">
        <v>243119.79</v>
      </c>
      <c r="FP81" s="48">
        <v>520740.68999999948</v>
      </c>
      <c r="FQ81" s="48">
        <v>223101.13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7"/>
      <c r="FZ81" s="7">
        <f t="shared" si="17"/>
        <v>143317546.35999998</v>
      </c>
      <c r="GA81" s="23"/>
      <c r="GB81" s="7"/>
      <c r="GC81" s="7"/>
      <c r="GD81" s="7"/>
      <c r="GE81" s="7"/>
      <c r="GF81" s="7"/>
      <c r="GG81" s="7"/>
      <c r="GH81" s="7"/>
      <c r="GI81" s="7"/>
      <c r="GJ81" s="7"/>
      <c r="GK81" s="7"/>
    </row>
    <row r="82" spans="1:195" ht="15.5" x14ac:dyDescent="0.35">
      <c r="A82" s="51"/>
      <c r="B82" s="48" t="s">
        <v>521</v>
      </c>
      <c r="C82" s="48">
        <f t="shared" ref="C82:FX82" ca="1" si="18">((C289*0.25)+C81)</f>
        <v>20786659.380000003</v>
      </c>
      <c r="D82" s="48">
        <f t="shared" ca="1" si="18"/>
        <v>117418688.82499999</v>
      </c>
      <c r="E82" s="48">
        <f t="shared" ca="1" si="18"/>
        <v>19364709.737500001</v>
      </c>
      <c r="F82" s="48">
        <f t="shared" ca="1" si="18"/>
        <v>71295517.685000002</v>
      </c>
      <c r="G82" s="48">
        <f t="shared" ca="1" si="18"/>
        <v>5839345.9350000005</v>
      </c>
      <c r="H82" s="48">
        <f t="shared" ca="1" si="18"/>
        <v>3543844.2850000001</v>
      </c>
      <c r="I82" s="48">
        <f t="shared" ca="1" si="18"/>
        <v>27770011.690000001</v>
      </c>
      <c r="J82" s="48">
        <f t="shared" ca="1" si="18"/>
        <v>6116832.1675000004</v>
      </c>
      <c r="K82" s="48">
        <f t="shared" ca="1" si="18"/>
        <v>1078109.5625</v>
      </c>
      <c r="L82" s="48">
        <f t="shared" ca="1" si="18"/>
        <v>7309469.3299999991</v>
      </c>
      <c r="M82" s="48">
        <f t="shared" ca="1" si="18"/>
        <v>3576724.834999999</v>
      </c>
      <c r="N82" s="48">
        <f t="shared" ca="1" si="18"/>
        <v>148937524.66</v>
      </c>
      <c r="O82" s="48">
        <f t="shared" ca="1" si="18"/>
        <v>39099303.79999999</v>
      </c>
      <c r="P82" s="48">
        <f t="shared" ca="1" si="18"/>
        <v>1314110.5674999999</v>
      </c>
      <c r="Q82" s="48">
        <f t="shared" ca="1" si="18"/>
        <v>126806763</v>
      </c>
      <c r="R82" s="48">
        <f t="shared" ca="1" si="18"/>
        <v>20029703.717499997</v>
      </c>
      <c r="S82" s="48">
        <f t="shared" ca="1" si="18"/>
        <v>4965094.3774999995</v>
      </c>
      <c r="T82" s="48">
        <f t="shared" ca="1" si="18"/>
        <v>829538.15500000003</v>
      </c>
      <c r="U82" s="48">
        <f t="shared" ca="1" si="18"/>
        <v>352572.17</v>
      </c>
      <c r="V82" s="48">
        <f t="shared" ca="1" si="18"/>
        <v>1079090.595</v>
      </c>
      <c r="W82" s="48">
        <f t="shared" ca="1" si="18"/>
        <v>370019.44</v>
      </c>
      <c r="X82" s="48">
        <f t="shared" ca="1" si="18"/>
        <v>315645.42</v>
      </c>
      <c r="Y82" s="48">
        <f t="shared" ca="1" si="18"/>
        <v>2792448.8025000002</v>
      </c>
      <c r="Z82" s="48">
        <f t="shared" ca="1" si="18"/>
        <v>969830.8075</v>
      </c>
      <c r="AA82" s="48">
        <f t="shared" ca="1" si="18"/>
        <v>91210870.217500001</v>
      </c>
      <c r="AB82" s="48">
        <f t="shared" ca="1" si="18"/>
        <v>83679802.054999992</v>
      </c>
      <c r="AC82" s="48">
        <f t="shared" ca="1" si="18"/>
        <v>2995897.8600000003</v>
      </c>
      <c r="AD82" s="48">
        <f t="shared" ca="1" si="18"/>
        <v>4328137.5175000001</v>
      </c>
      <c r="AE82" s="48">
        <f t="shared" ca="1" si="18"/>
        <v>560347.52749999997</v>
      </c>
      <c r="AF82" s="48">
        <f t="shared" ca="1" si="18"/>
        <v>857876.26500000001</v>
      </c>
      <c r="AG82" s="48">
        <f t="shared" ca="1" si="18"/>
        <v>2593400.585</v>
      </c>
      <c r="AH82" s="48">
        <f t="shared" ca="1" si="18"/>
        <v>2937795.84</v>
      </c>
      <c r="AI82" s="48">
        <f t="shared" ca="1" si="18"/>
        <v>1369364.1950000001</v>
      </c>
      <c r="AJ82" s="48">
        <f t="shared" ca="1" si="18"/>
        <v>928448.505</v>
      </c>
      <c r="AK82" s="48">
        <f t="shared" ca="1" si="18"/>
        <v>864601.57</v>
      </c>
      <c r="AL82" s="48">
        <f t="shared" ca="1" si="18"/>
        <v>1179300.28</v>
      </c>
      <c r="AM82" s="48">
        <f t="shared" ca="1" si="18"/>
        <v>1310054.3600000001</v>
      </c>
      <c r="AN82" s="48">
        <f t="shared" ca="1" si="18"/>
        <v>1218429.0374999999</v>
      </c>
      <c r="AO82" s="48">
        <f t="shared" ca="1" si="18"/>
        <v>12633581.0375</v>
      </c>
      <c r="AP82" s="48">
        <f t="shared" ca="1" si="18"/>
        <v>268837824.0675</v>
      </c>
      <c r="AQ82" s="48">
        <f t="shared" ca="1" si="18"/>
        <v>1128018.7900000003</v>
      </c>
      <c r="AR82" s="48">
        <f t="shared" ca="1" si="18"/>
        <v>178590953.8475</v>
      </c>
      <c r="AS82" s="48">
        <f t="shared" ca="1" si="18"/>
        <v>22965056.2425</v>
      </c>
      <c r="AT82" s="48">
        <f t="shared" ca="1" si="18"/>
        <v>7583111.0925000003</v>
      </c>
      <c r="AU82" s="48">
        <f t="shared" ca="1" si="18"/>
        <v>1352342.0349999999</v>
      </c>
      <c r="AV82" s="48">
        <f t="shared" ca="1" si="18"/>
        <v>1280119.3625</v>
      </c>
      <c r="AW82" s="48">
        <f t="shared" ca="1" si="18"/>
        <v>1250722.8525</v>
      </c>
      <c r="AX82" s="48">
        <f t="shared" ca="1" si="18"/>
        <v>532207.04749999999</v>
      </c>
      <c r="AY82" s="48">
        <f t="shared" ca="1" si="18"/>
        <v>1572503.3649999998</v>
      </c>
      <c r="AZ82" s="48">
        <f t="shared" ca="1" si="18"/>
        <v>41318084.079999998</v>
      </c>
      <c r="BA82" s="48">
        <f t="shared" ca="1" si="18"/>
        <v>29396289.537500001</v>
      </c>
      <c r="BB82" s="48">
        <f t="shared" ca="1" si="18"/>
        <v>23405293.725000001</v>
      </c>
      <c r="BC82" s="48">
        <f t="shared" ca="1" si="18"/>
        <v>84685191.617499992</v>
      </c>
      <c r="BD82" s="48">
        <f t="shared" ca="1" si="18"/>
        <v>12636066.915000001</v>
      </c>
      <c r="BE82" s="48">
        <f t="shared" ca="1" si="18"/>
        <v>4244353.9249999998</v>
      </c>
      <c r="BF82" s="48">
        <f t="shared" ca="1" si="18"/>
        <v>82893226.519999996</v>
      </c>
      <c r="BG82" s="48">
        <f t="shared" ca="1" si="18"/>
        <v>3175469.9924999997</v>
      </c>
      <c r="BH82" s="48">
        <f t="shared" ca="1" si="18"/>
        <v>2180135.855</v>
      </c>
      <c r="BI82" s="48">
        <f t="shared" ca="1" si="18"/>
        <v>1280935.7150000001</v>
      </c>
      <c r="BJ82" s="48">
        <f t="shared" ca="1" si="18"/>
        <v>20374416.337500002</v>
      </c>
      <c r="BK82" s="48">
        <f t="shared" ca="1" si="18"/>
        <v>100740625.1875</v>
      </c>
      <c r="BL82" s="48">
        <f t="shared" ca="1" si="18"/>
        <v>518721.14250000002</v>
      </c>
      <c r="BM82" s="48">
        <f t="shared" ca="1" si="18"/>
        <v>1432766.6525000001</v>
      </c>
      <c r="BN82" s="48">
        <f t="shared" ca="1" si="18"/>
        <v>8799199.8224999998</v>
      </c>
      <c r="BO82" s="48">
        <f t="shared" ca="1" si="18"/>
        <v>3723404.7325000009</v>
      </c>
      <c r="BP82" s="48">
        <f t="shared" ca="1" si="18"/>
        <v>902449.65500000014</v>
      </c>
      <c r="BQ82" s="48">
        <f t="shared" ca="1" si="18"/>
        <v>19126684.154999997</v>
      </c>
      <c r="BR82" s="48">
        <f t="shared" ca="1" si="18"/>
        <v>13013721.675000003</v>
      </c>
      <c r="BS82" s="48">
        <f t="shared" ca="1" si="18"/>
        <v>3724168.22</v>
      </c>
      <c r="BT82" s="48">
        <f t="shared" ca="1" si="18"/>
        <v>1548347.7025000001</v>
      </c>
      <c r="BU82" s="48">
        <f t="shared" ca="1" si="18"/>
        <v>1553705.0274999999</v>
      </c>
      <c r="BV82" s="48">
        <f t="shared" ca="1" si="18"/>
        <v>4382189.7974999994</v>
      </c>
      <c r="BW82" s="48">
        <f t="shared" ca="1" si="18"/>
        <v>6213420.8724999996</v>
      </c>
      <c r="BX82" s="48">
        <f t="shared" ca="1" si="18"/>
        <v>467798.39500000008</v>
      </c>
      <c r="BY82" s="48">
        <f t="shared" ca="1" si="18"/>
        <v>1577381.7949999995</v>
      </c>
      <c r="BZ82" s="48">
        <f t="shared" ca="1" si="18"/>
        <v>1135382.1875</v>
      </c>
      <c r="CA82" s="48">
        <f t="shared" ca="1" si="18"/>
        <v>786324</v>
      </c>
      <c r="CB82" s="48">
        <f t="shared" ca="1" si="18"/>
        <v>221530998.55500004</v>
      </c>
      <c r="CC82" s="48">
        <f t="shared" ca="1" si="18"/>
        <v>949171.71499999985</v>
      </c>
      <c r="CD82" s="48">
        <f t="shared" ca="1" si="18"/>
        <v>335199.48</v>
      </c>
      <c r="CE82" s="48">
        <f t="shared" ca="1" si="18"/>
        <v>827299.68250000011</v>
      </c>
      <c r="CF82" s="48">
        <f t="shared" ca="1" si="18"/>
        <v>658639.33000000019</v>
      </c>
      <c r="CG82" s="48">
        <f t="shared" ca="1" si="18"/>
        <v>1089771.6125</v>
      </c>
      <c r="CH82" s="48">
        <f t="shared" ca="1" si="18"/>
        <v>605874.82999999996</v>
      </c>
      <c r="CI82" s="48">
        <f t="shared" ca="1" si="18"/>
        <v>2343017.4100000006</v>
      </c>
      <c r="CJ82" s="48">
        <f t="shared" ca="1" si="18"/>
        <v>3000071.98</v>
      </c>
      <c r="CK82" s="48">
        <f t="shared" ca="1" si="18"/>
        <v>14307574.92</v>
      </c>
      <c r="CL82" s="48">
        <f t="shared" ca="1" si="18"/>
        <v>3811434.9649999999</v>
      </c>
      <c r="CM82" s="48">
        <f t="shared" ca="1" si="18"/>
        <v>2333047.7225000001</v>
      </c>
      <c r="CN82" s="48">
        <f t="shared" ca="1" si="18"/>
        <v>92174073.540000007</v>
      </c>
      <c r="CO82" s="48">
        <f t="shared" ca="1" si="18"/>
        <v>42936502.802500017</v>
      </c>
      <c r="CP82" s="48">
        <f t="shared" ca="1" si="18"/>
        <v>3530677.1849999996</v>
      </c>
      <c r="CQ82" s="48">
        <f t="shared" ca="1" si="18"/>
        <v>2579985.9550000001</v>
      </c>
      <c r="CR82" s="48">
        <f t="shared" ca="1" si="18"/>
        <v>969969.64500000002</v>
      </c>
      <c r="CS82" s="48">
        <f t="shared" ca="1" si="18"/>
        <v>1121635.2549999999</v>
      </c>
      <c r="CT82" s="48">
        <f t="shared" ca="1" si="18"/>
        <v>642519.14749999996</v>
      </c>
      <c r="CU82" s="48">
        <f t="shared" ca="1" si="18"/>
        <v>1361886.5349999999</v>
      </c>
      <c r="CV82" s="48">
        <f t="shared" ca="1" si="18"/>
        <v>294171.1825</v>
      </c>
      <c r="CW82" s="48">
        <f t="shared" ca="1" si="18"/>
        <v>950737.8975000002</v>
      </c>
      <c r="CX82" s="48">
        <f t="shared" ca="1" si="18"/>
        <v>1567945.4499999997</v>
      </c>
      <c r="CY82" s="48">
        <f t="shared" ca="1" si="18"/>
        <v>312001.25750000001</v>
      </c>
      <c r="CZ82" s="48">
        <f t="shared" ca="1" si="18"/>
        <v>5252034.4924999997</v>
      </c>
      <c r="DA82" s="48">
        <f t="shared" ca="1" si="18"/>
        <v>934757.99250000005</v>
      </c>
      <c r="DB82" s="48">
        <f t="shared" ca="1" si="18"/>
        <v>1220241.085</v>
      </c>
      <c r="DC82" s="48">
        <f t="shared" ca="1" si="18"/>
        <v>915087.55249999999</v>
      </c>
      <c r="DD82" s="48">
        <f t="shared" ca="1" si="18"/>
        <v>926713.00750000007</v>
      </c>
      <c r="DE82" s="48">
        <f t="shared" ca="1" si="18"/>
        <v>1153804.98</v>
      </c>
      <c r="DF82" s="48">
        <f t="shared" ca="1" si="18"/>
        <v>58397570.032500014</v>
      </c>
      <c r="DG82" s="48">
        <f t="shared" ca="1" si="18"/>
        <v>558738.01</v>
      </c>
      <c r="DH82" s="48">
        <f t="shared" ca="1" si="18"/>
        <v>5162747.4824999999</v>
      </c>
      <c r="DI82" s="48">
        <f t="shared" ca="1" si="18"/>
        <v>7198717.5999999987</v>
      </c>
      <c r="DJ82" s="48">
        <f t="shared" ca="1" si="18"/>
        <v>2123464.5700000003</v>
      </c>
      <c r="DK82" s="48">
        <f t="shared" ca="1" si="18"/>
        <v>1636903.8450000002</v>
      </c>
      <c r="DL82" s="48">
        <f t="shared" ca="1" si="18"/>
        <v>16705905.102499999</v>
      </c>
      <c r="DM82" s="48">
        <f t="shared" ca="1" si="18"/>
        <v>1110018.8875</v>
      </c>
      <c r="DN82" s="48">
        <f t="shared" ca="1" si="18"/>
        <v>4018820.0575000001</v>
      </c>
      <c r="DO82" s="48">
        <f t="shared" ca="1" si="18"/>
        <v>9657599.5399999991</v>
      </c>
      <c r="DP82" s="48">
        <f t="shared" ca="1" si="18"/>
        <v>971706.83499999996</v>
      </c>
      <c r="DQ82" s="48">
        <f t="shared" ca="1" si="18"/>
        <v>2784749.4</v>
      </c>
      <c r="DR82" s="48">
        <f t="shared" ca="1" si="18"/>
        <v>4031467.1475</v>
      </c>
      <c r="DS82" s="48">
        <f t="shared" ca="1" si="18"/>
        <v>2055179.385</v>
      </c>
      <c r="DT82" s="48">
        <f t="shared" ca="1" si="18"/>
        <v>927031.62749999994</v>
      </c>
      <c r="DU82" s="48">
        <f t="shared" ca="1" si="18"/>
        <v>1322132.7224999999</v>
      </c>
      <c r="DV82" s="48">
        <f t="shared" ca="1" si="18"/>
        <v>967544.86</v>
      </c>
      <c r="DW82" s="48">
        <f t="shared" ca="1" si="18"/>
        <v>1190505.1299999999</v>
      </c>
      <c r="DX82" s="48">
        <f t="shared" ca="1" si="18"/>
        <v>980405.48499999975</v>
      </c>
      <c r="DY82" s="48">
        <f t="shared" ca="1" si="18"/>
        <v>1273321.69</v>
      </c>
      <c r="DZ82" s="48">
        <f t="shared" ca="1" si="18"/>
        <v>3028110.7724999995</v>
      </c>
      <c r="EA82" s="48">
        <f t="shared" ca="1" si="18"/>
        <v>1955831.3399999999</v>
      </c>
      <c r="EB82" s="48">
        <f t="shared" ca="1" si="18"/>
        <v>1841261.9175000002</v>
      </c>
      <c r="EC82" s="48">
        <f t="shared" ca="1" si="18"/>
        <v>1191850.4224999999</v>
      </c>
      <c r="ED82" s="48">
        <f t="shared" ca="1" si="18"/>
        <v>7036393.6399999997</v>
      </c>
      <c r="EE82" s="48">
        <f t="shared" ca="1" si="18"/>
        <v>921761.42</v>
      </c>
      <c r="EF82" s="48">
        <f t="shared" ca="1" si="18"/>
        <v>4092617.31</v>
      </c>
      <c r="EG82" s="48">
        <f t="shared" ca="1" si="18"/>
        <v>1052745.4024999999</v>
      </c>
      <c r="EH82" s="48">
        <f t="shared" ca="1" si="18"/>
        <v>1041937.2100000001</v>
      </c>
      <c r="EI82" s="48">
        <f t="shared" ca="1" si="18"/>
        <v>41623175.552500002</v>
      </c>
      <c r="EJ82" s="48">
        <f t="shared" ca="1" si="18"/>
        <v>28587620.382500004</v>
      </c>
      <c r="EK82" s="48">
        <f t="shared" ca="1" si="18"/>
        <v>2093788.3325</v>
      </c>
      <c r="EL82" s="48">
        <f t="shared" ca="1" si="18"/>
        <v>1494369.01</v>
      </c>
      <c r="EM82" s="48">
        <f t="shared" ca="1" si="18"/>
        <v>1371390.14</v>
      </c>
      <c r="EN82" s="48">
        <f t="shared" ca="1" si="18"/>
        <v>2957409.91</v>
      </c>
      <c r="EO82" s="48">
        <f t="shared" ca="1" si="18"/>
        <v>1181555.8600000001</v>
      </c>
      <c r="EP82" s="48">
        <f t="shared" ca="1" si="18"/>
        <v>1551058.6274999999</v>
      </c>
      <c r="EQ82" s="48">
        <f t="shared" ca="1" si="18"/>
        <v>8460235.8125</v>
      </c>
      <c r="ER82" s="48">
        <f t="shared" ca="1" si="18"/>
        <v>1296716.0049999999</v>
      </c>
      <c r="ES82" s="48">
        <f t="shared" ca="1" si="18"/>
        <v>838448.45250000001</v>
      </c>
      <c r="ET82" s="48">
        <f t="shared" ca="1" si="18"/>
        <v>1089081.0325</v>
      </c>
      <c r="EU82" s="48">
        <f t="shared" ca="1" si="18"/>
        <v>1990828.92</v>
      </c>
      <c r="EV82" s="48">
        <f t="shared" ca="1" si="18"/>
        <v>497731.60750000004</v>
      </c>
      <c r="EW82" s="48">
        <f t="shared" ca="1" si="18"/>
        <v>3329627.1575000002</v>
      </c>
      <c r="EX82" s="48">
        <f t="shared" ca="1" si="18"/>
        <v>954126.87750000018</v>
      </c>
      <c r="EY82" s="48">
        <f t="shared" ca="1" si="18"/>
        <v>1939891.81</v>
      </c>
      <c r="EZ82" s="48">
        <f t="shared" ca="1" si="18"/>
        <v>708130.34499999986</v>
      </c>
      <c r="FA82" s="48">
        <f t="shared" ca="1" si="18"/>
        <v>11178126.352499999</v>
      </c>
      <c r="FB82" s="48">
        <f t="shared" ca="1" si="18"/>
        <v>1435314.58</v>
      </c>
      <c r="FC82" s="48">
        <f t="shared" ca="1" si="18"/>
        <v>6444709.9000000004</v>
      </c>
      <c r="FD82" s="48">
        <f t="shared" ca="1" si="18"/>
        <v>1442527.11</v>
      </c>
      <c r="FE82" s="48">
        <f t="shared" ca="1" si="18"/>
        <v>490752.66249999998</v>
      </c>
      <c r="FF82" s="48">
        <f t="shared" ca="1" si="18"/>
        <v>922937.04</v>
      </c>
      <c r="FG82" s="48">
        <f t="shared" ca="1" si="18"/>
        <v>682496.35250000004</v>
      </c>
      <c r="FH82" s="48">
        <f t="shared" ca="1" si="18"/>
        <v>429597.9</v>
      </c>
      <c r="FI82" s="48">
        <f t="shared" ca="1" si="18"/>
        <v>5575519.5600000005</v>
      </c>
      <c r="FJ82" s="48">
        <f t="shared" ca="1" si="18"/>
        <v>6101449.0575000001</v>
      </c>
      <c r="FK82" s="48">
        <f t="shared" ca="1" si="18"/>
        <v>7586964.415</v>
      </c>
      <c r="FL82" s="48">
        <f t="shared" ca="1" si="18"/>
        <v>24221931.577500001</v>
      </c>
      <c r="FM82" s="48">
        <f t="shared" ca="1" si="18"/>
        <v>11577497.535000002</v>
      </c>
      <c r="FN82" s="48">
        <f t="shared" ca="1" si="18"/>
        <v>68416373.007500008</v>
      </c>
      <c r="FO82" s="48">
        <f t="shared" ca="1" si="18"/>
        <v>3623676.1924999999</v>
      </c>
      <c r="FP82" s="48">
        <f t="shared" ca="1" si="18"/>
        <v>7461599.7749999994</v>
      </c>
      <c r="FQ82" s="48">
        <f t="shared" ca="1" si="18"/>
        <v>3232764.23</v>
      </c>
      <c r="FR82" s="48">
        <f t="shared" ca="1" si="18"/>
        <v>849139.36</v>
      </c>
      <c r="FS82" s="48">
        <f t="shared" ca="1" si="18"/>
        <v>847450.99250000005</v>
      </c>
      <c r="FT82" s="48">
        <f t="shared" ca="1" si="18"/>
        <v>372295.30249999999</v>
      </c>
      <c r="FU82" s="48">
        <f t="shared" ca="1" si="18"/>
        <v>2659059.2949999999</v>
      </c>
      <c r="FV82" s="48">
        <f t="shared" ca="1" si="18"/>
        <v>2282824.0274999999</v>
      </c>
      <c r="FW82" s="48">
        <f t="shared" ca="1" si="18"/>
        <v>803321.21250000002</v>
      </c>
      <c r="FX82" s="48">
        <f t="shared" ca="1" si="18"/>
        <v>425298.09499999997</v>
      </c>
      <c r="FY82" s="7"/>
      <c r="FZ82" s="7">
        <f t="shared" ca="1" si="17"/>
        <v>2627860777.1174994</v>
      </c>
      <c r="GA82" s="23"/>
      <c r="GB82" s="7"/>
      <c r="GC82" s="7"/>
      <c r="GD82" s="7"/>
      <c r="GE82" s="7"/>
      <c r="GF82" s="7"/>
      <c r="GG82" s="7"/>
      <c r="GH82" s="7"/>
      <c r="GI82" s="7"/>
      <c r="GJ82" s="7"/>
      <c r="GK82" s="7"/>
    </row>
    <row r="83" spans="1:195" ht="15.5" x14ac:dyDescent="0.35">
      <c r="A83" s="54">
        <v>0.08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23"/>
      <c r="GB83" s="7"/>
      <c r="GC83" s="7"/>
      <c r="GD83" s="7"/>
      <c r="GE83" s="7"/>
      <c r="GF83" s="7"/>
      <c r="GG83" s="7"/>
      <c r="GH83" s="7"/>
      <c r="GI83" s="7"/>
      <c r="GJ83" s="7"/>
      <c r="GK83" s="7"/>
    </row>
    <row r="84" spans="1:195" ht="15.5" x14ac:dyDescent="0.35">
      <c r="A84" s="7"/>
      <c r="B84" s="5" t="s">
        <v>537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23"/>
      <c r="GB84" s="7"/>
      <c r="GC84" s="7"/>
      <c r="GD84" s="7"/>
      <c r="GE84" s="7"/>
      <c r="GF84" s="7"/>
      <c r="GG84" s="7"/>
      <c r="GH84" s="7"/>
      <c r="GI84" s="7"/>
      <c r="GJ84" s="7"/>
      <c r="GK84" s="7"/>
    </row>
    <row r="85" spans="1:195" ht="15.5" x14ac:dyDescent="0.35">
      <c r="A85" s="12" t="s">
        <v>538</v>
      </c>
      <c r="B85" s="7" t="s">
        <v>804</v>
      </c>
      <c r="C85" s="23">
        <f t="shared" ref="C85:FX85" si="19">C16</f>
        <v>6364.5</v>
      </c>
      <c r="D85" s="23">
        <f t="shared" si="19"/>
        <v>32089</v>
      </c>
      <c r="E85" s="23">
        <f t="shared" si="19"/>
        <v>4691</v>
      </c>
      <c r="F85" s="23">
        <f t="shared" si="19"/>
        <v>21462.5</v>
      </c>
      <c r="G85" s="23">
        <f t="shared" si="19"/>
        <v>1844</v>
      </c>
      <c r="H85" s="23">
        <f t="shared" si="19"/>
        <v>1070</v>
      </c>
      <c r="I85" s="23">
        <f t="shared" si="19"/>
        <v>7027</v>
      </c>
      <c r="J85" s="23">
        <f t="shared" si="19"/>
        <v>1988</v>
      </c>
      <c r="K85" s="23">
        <f t="shared" si="19"/>
        <v>248.5</v>
      </c>
      <c r="L85" s="23">
        <f t="shared" si="19"/>
        <v>2062</v>
      </c>
      <c r="M85" s="23">
        <f t="shared" si="19"/>
        <v>839</v>
      </c>
      <c r="N85" s="23">
        <f t="shared" si="19"/>
        <v>49557</v>
      </c>
      <c r="O85" s="23">
        <f t="shared" si="19"/>
        <v>12263.5</v>
      </c>
      <c r="P85" s="23">
        <f t="shared" si="19"/>
        <v>313</v>
      </c>
      <c r="Q85" s="23">
        <f t="shared" si="19"/>
        <v>37352</v>
      </c>
      <c r="R85" s="23">
        <f t="shared" si="19"/>
        <v>481</v>
      </c>
      <c r="S85" s="23">
        <f t="shared" si="19"/>
        <v>1545.5</v>
      </c>
      <c r="T85" s="23">
        <f t="shared" si="19"/>
        <v>160</v>
      </c>
      <c r="U85" s="23">
        <f t="shared" si="19"/>
        <v>54</v>
      </c>
      <c r="V85" s="23">
        <f t="shared" si="19"/>
        <v>253</v>
      </c>
      <c r="W85" s="23">
        <f t="shared" si="19"/>
        <v>46</v>
      </c>
      <c r="X85" s="23">
        <f t="shared" si="19"/>
        <v>37.5</v>
      </c>
      <c r="Y85" s="23">
        <f t="shared" si="19"/>
        <v>397</v>
      </c>
      <c r="Z85" s="23">
        <f t="shared" si="19"/>
        <v>231</v>
      </c>
      <c r="AA85" s="23">
        <f t="shared" si="19"/>
        <v>30254.5</v>
      </c>
      <c r="AB85" s="23">
        <f t="shared" si="19"/>
        <v>26514</v>
      </c>
      <c r="AC85" s="23">
        <f t="shared" si="19"/>
        <v>847.5</v>
      </c>
      <c r="AD85" s="23">
        <f t="shared" si="19"/>
        <v>1281</v>
      </c>
      <c r="AE85" s="23">
        <f t="shared" si="19"/>
        <v>97</v>
      </c>
      <c r="AF85" s="23">
        <f t="shared" si="19"/>
        <v>164</v>
      </c>
      <c r="AG85" s="23">
        <f t="shared" si="19"/>
        <v>585.5</v>
      </c>
      <c r="AH85" s="23">
        <f t="shared" si="19"/>
        <v>908</v>
      </c>
      <c r="AI85" s="23">
        <f t="shared" si="19"/>
        <v>383</v>
      </c>
      <c r="AJ85" s="23">
        <f t="shared" si="19"/>
        <v>181.5</v>
      </c>
      <c r="AK85" s="23">
        <f t="shared" si="19"/>
        <v>162.5</v>
      </c>
      <c r="AL85" s="23">
        <f t="shared" si="19"/>
        <v>288.5</v>
      </c>
      <c r="AM85" s="23">
        <f t="shared" si="19"/>
        <v>306</v>
      </c>
      <c r="AN85" s="23">
        <f t="shared" si="19"/>
        <v>267</v>
      </c>
      <c r="AO85" s="23">
        <f t="shared" si="19"/>
        <v>3681</v>
      </c>
      <c r="AP85" s="23">
        <f t="shared" si="19"/>
        <v>83522.5</v>
      </c>
      <c r="AQ85" s="23">
        <f t="shared" si="19"/>
        <v>251</v>
      </c>
      <c r="AR85" s="23">
        <f t="shared" si="19"/>
        <v>57312</v>
      </c>
      <c r="AS85" s="23">
        <f t="shared" si="19"/>
        <v>5954.5</v>
      </c>
      <c r="AT85" s="23">
        <f t="shared" si="19"/>
        <v>2358</v>
      </c>
      <c r="AU85" s="23">
        <f t="shared" si="19"/>
        <v>268</v>
      </c>
      <c r="AV85" s="23">
        <f t="shared" si="19"/>
        <v>296</v>
      </c>
      <c r="AW85" s="23">
        <f t="shared" si="19"/>
        <v>255</v>
      </c>
      <c r="AX85" s="23">
        <f t="shared" si="19"/>
        <v>81</v>
      </c>
      <c r="AY85" s="23">
        <f t="shared" si="19"/>
        <v>391.5</v>
      </c>
      <c r="AZ85" s="23">
        <f t="shared" si="19"/>
        <v>11778.5</v>
      </c>
      <c r="BA85" s="23">
        <f t="shared" si="19"/>
        <v>8849.5</v>
      </c>
      <c r="BB85" s="23">
        <f t="shared" si="19"/>
        <v>7441</v>
      </c>
      <c r="BC85" s="23">
        <f t="shared" si="19"/>
        <v>20968.5</v>
      </c>
      <c r="BD85" s="23">
        <f t="shared" si="19"/>
        <v>3633.5</v>
      </c>
      <c r="BE85" s="23">
        <f t="shared" si="19"/>
        <v>1092</v>
      </c>
      <c r="BF85" s="23">
        <f t="shared" si="19"/>
        <v>24344</v>
      </c>
      <c r="BG85" s="23">
        <f t="shared" si="19"/>
        <v>919.5</v>
      </c>
      <c r="BH85" s="23">
        <f t="shared" si="19"/>
        <v>534</v>
      </c>
      <c r="BI85" s="23">
        <f t="shared" si="19"/>
        <v>254.5</v>
      </c>
      <c r="BJ85" s="23">
        <f t="shared" si="19"/>
        <v>6294</v>
      </c>
      <c r="BK85" s="23">
        <f t="shared" si="19"/>
        <v>21812.5</v>
      </c>
      <c r="BL85" s="23">
        <f t="shared" si="19"/>
        <v>69.5</v>
      </c>
      <c r="BM85" s="23">
        <f t="shared" si="19"/>
        <v>330.5</v>
      </c>
      <c r="BN85" s="23">
        <f t="shared" si="19"/>
        <v>2993</v>
      </c>
      <c r="BO85" s="23">
        <f t="shared" si="19"/>
        <v>1186</v>
      </c>
      <c r="BP85" s="23">
        <f t="shared" si="19"/>
        <v>137</v>
      </c>
      <c r="BQ85" s="23">
        <f t="shared" si="19"/>
        <v>5582</v>
      </c>
      <c r="BR85" s="23">
        <f t="shared" si="19"/>
        <v>4474.5</v>
      </c>
      <c r="BS85" s="23">
        <f t="shared" si="19"/>
        <v>1158</v>
      </c>
      <c r="BT85" s="23">
        <f t="shared" si="19"/>
        <v>353</v>
      </c>
      <c r="BU85" s="23">
        <f t="shared" si="19"/>
        <v>382</v>
      </c>
      <c r="BV85" s="23">
        <f t="shared" si="19"/>
        <v>1243</v>
      </c>
      <c r="BW85" s="23">
        <f t="shared" si="19"/>
        <v>2017.5</v>
      </c>
      <c r="BX85" s="23">
        <f t="shared" si="19"/>
        <v>57</v>
      </c>
      <c r="BY85" s="23">
        <f t="shared" si="19"/>
        <v>392.5</v>
      </c>
      <c r="BZ85" s="23">
        <f t="shared" si="19"/>
        <v>228</v>
      </c>
      <c r="CA85" s="23">
        <f t="shared" si="19"/>
        <v>141.5</v>
      </c>
      <c r="CB85" s="23">
        <f t="shared" si="19"/>
        <v>70207.5</v>
      </c>
      <c r="CC85" s="23">
        <f t="shared" si="19"/>
        <v>186</v>
      </c>
      <c r="CD85" s="23">
        <f t="shared" si="19"/>
        <v>30</v>
      </c>
      <c r="CE85" s="23">
        <f t="shared" si="19"/>
        <v>158</v>
      </c>
      <c r="CF85" s="23">
        <f t="shared" si="19"/>
        <v>100</v>
      </c>
      <c r="CG85" s="23">
        <f t="shared" si="19"/>
        <v>191</v>
      </c>
      <c r="CH85" s="23">
        <f t="shared" si="19"/>
        <v>90</v>
      </c>
      <c r="CI85" s="23">
        <f t="shared" si="19"/>
        <v>683</v>
      </c>
      <c r="CJ85" s="23">
        <f t="shared" si="19"/>
        <v>822.5</v>
      </c>
      <c r="CK85" s="23">
        <f t="shared" si="19"/>
        <v>4188.5</v>
      </c>
      <c r="CL85" s="23">
        <f t="shared" si="19"/>
        <v>1148</v>
      </c>
      <c r="CM85" s="23">
        <f t="shared" si="19"/>
        <v>675.5</v>
      </c>
      <c r="CN85" s="23">
        <f t="shared" si="19"/>
        <v>27905.5</v>
      </c>
      <c r="CO85" s="23">
        <f t="shared" si="19"/>
        <v>13919.5</v>
      </c>
      <c r="CP85" s="23">
        <f t="shared" si="19"/>
        <v>856.5</v>
      </c>
      <c r="CQ85" s="23">
        <f t="shared" si="19"/>
        <v>759</v>
      </c>
      <c r="CR85" s="23">
        <f t="shared" si="19"/>
        <v>195</v>
      </c>
      <c r="CS85" s="23">
        <f t="shared" si="19"/>
        <v>245.5</v>
      </c>
      <c r="CT85" s="23">
        <f t="shared" si="19"/>
        <v>112</v>
      </c>
      <c r="CU85" s="23">
        <f t="shared" si="19"/>
        <v>67</v>
      </c>
      <c r="CV85" s="23">
        <f t="shared" si="19"/>
        <v>24</v>
      </c>
      <c r="CW85" s="23">
        <f t="shared" si="19"/>
        <v>187</v>
      </c>
      <c r="CX85" s="23">
        <f t="shared" si="19"/>
        <v>457</v>
      </c>
      <c r="CY85" s="23">
        <f t="shared" si="19"/>
        <v>25</v>
      </c>
      <c r="CZ85" s="23">
        <f t="shared" si="19"/>
        <v>1768</v>
      </c>
      <c r="DA85" s="23">
        <f t="shared" si="19"/>
        <v>203.5</v>
      </c>
      <c r="DB85" s="23">
        <f t="shared" si="19"/>
        <v>310.5</v>
      </c>
      <c r="DC85" s="23">
        <f t="shared" si="19"/>
        <v>193</v>
      </c>
      <c r="DD85" s="23">
        <f t="shared" si="19"/>
        <v>174.5</v>
      </c>
      <c r="DE85" s="23">
        <f t="shared" si="19"/>
        <v>279.5</v>
      </c>
      <c r="DF85" s="23">
        <f t="shared" si="19"/>
        <v>18445.5</v>
      </c>
      <c r="DG85" s="23">
        <f t="shared" si="19"/>
        <v>93.5</v>
      </c>
      <c r="DH85" s="23">
        <f t="shared" si="19"/>
        <v>1684</v>
      </c>
      <c r="DI85" s="23">
        <f t="shared" si="19"/>
        <v>2289</v>
      </c>
      <c r="DJ85" s="23">
        <f t="shared" si="19"/>
        <v>600</v>
      </c>
      <c r="DK85" s="23">
        <f t="shared" si="19"/>
        <v>472.5</v>
      </c>
      <c r="DL85" s="23">
        <f t="shared" si="19"/>
        <v>5616</v>
      </c>
      <c r="DM85" s="23">
        <f t="shared" si="19"/>
        <v>235</v>
      </c>
      <c r="DN85" s="23">
        <f t="shared" si="19"/>
        <v>1294.5</v>
      </c>
      <c r="DO85" s="23">
        <f t="shared" si="19"/>
        <v>3290</v>
      </c>
      <c r="DP85" s="23">
        <f t="shared" si="19"/>
        <v>199</v>
      </c>
      <c r="DQ85" s="23">
        <f t="shared" si="19"/>
        <v>887</v>
      </c>
      <c r="DR85" s="23">
        <f t="shared" si="19"/>
        <v>1266</v>
      </c>
      <c r="DS85" s="23">
        <f t="shared" si="19"/>
        <v>545</v>
      </c>
      <c r="DT85" s="23">
        <f t="shared" si="19"/>
        <v>175</v>
      </c>
      <c r="DU85" s="23">
        <f t="shared" si="19"/>
        <v>346</v>
      </c>
      <c r="DV85" s="23">
        <f t="shared" si="19"/>
        <v>198</v>
      </c>
      <c r="DW85" s="23">
        <f t="shared" si="19"/>
        <v>285</v>
      </c>
      <c r="DX85" s="23">
        <f t="shared" si="19"/>
        <v>168</v>
      </c>
      <c r="DY85" s="23">
        <f t="shared" si="19"/>
        <v>280</v>
      </c>
      <c r="DZ85" s="23">
        <f t="shared" si="19"/>
        <v>606.5</v>
      </c>
      <c r="EA85" s="23">
        <f t="shared" si="19"/>
        <v>487.5</v>
      </c>
      <c r="EB85" s="23">
        <f t="shared" si="19"/>
        <v>498</v>
      </c>
      <c r="EC85" s="23">
        <f t="shared" si="19"/>
        <v>260</v>
      </c>
      <c r="ED85" s="23">
        <f t="shared" si="19"/>
        <v>1546.5</v>
      </c>
      <c r="EE85" s="23">
        <f t="shared" si="19"/>
        <v>185.5</v>
      </c>
      <c r="EF85" s="23">
        <f t="shared" si="19"/>
        <v>1260</v>
      </c>
      <c r="EG85" s="23">
        <f t="shared" si="19"/>
        <v>250</v>
      </c>
      <c r="EH85" s="23">
        <f t="shared" si="19"/>
        <v>246</v>
      </c>
      <c r="EI85" s="23">
        <f t="shared" si="19"/>
        <v>13258.5</v>
      </c>
      <c r="EJ85" s="23">
        <f t="shared" si="19"/>
        <v>9752</v>
      </c>
      <c r="EK85" s="23">
        <f t="shared" si="19"/>
        <v>663.5</v>
      </c>
      <c r="EL85" s="23">
        <f t="shared" si="19"/>
        <v>447</v>
      </c>
      <c r="EM85" s="23">
        <f t="shared" si="19"/>
        <v>355</v>
      </c>
      <c r="EN85" s="23">
        <f t="shared" si="19"/>
        <v>876.5</v>
      </c>
      <c r="EO85" s="23">
        <f t="shared" si="19"/>
        <v>287</v>
      </c>
      <c r="EP85" s="23">
        <f t="shared" si="19"/>
        <v>428.5</v>
      </c>
      <c r="EQ85" s="23">
        <f t="shared" si="19"/>
        <v>2405</v>
      </c>
      <c r="ER85" s="23">
        <f t="shared" si="19"/>
        <v>306.5</v>
      </c>
      <c r="ES85" s="23">
        <f t="shared" si="19"/>
        <v>155.5</v>
      </c>
      <c r="ET85" s="23">
        <f t="shared" si="19"/>
        <v>197.5</v>
      </c>
      <c r="EU85" s="23">
        <f t="shared" si="19"/>
        <v>568</v>
      </c>
      <c r="EV85" s="23">
        <f t="shared" si="19"/>
        <v>66</v>
      </c>
      <c r="EW85" s="23">
        <f t="shared" si="19"/>
        <v>746.5</v>
      </c>
      <c r="EX85" s="23">
        <f t="shared" si="19"/>
        <v>173.5</v>
      </c>
      <c r="EY85" s="23">
        <f t="shared" si="19"/>
        <v>201</v>
      </c>
      <c r="EZ85" s="23">
        <f t="shared" si="19"/>
        <v>127</v>
      </c>
      <c r="FA85" s="23">
        <f t="shared" si="19"/>
        <v>3245</v>
      </c>
      <c r="FB85" s="23">
        <f t="shared" si="19"/>
        <v>275.5</v>
      </c>
      <c r="FC85" s="23">
        <f t="shared" si="19"/>
        <v>1640</v>
      </c>
      <c r="FD85" s="23">
        <f t="shared" si="19"/>
        <v>399</v>
      </c>
      <c r="FE85" s="23">
        <f t="shared" si="19"/>
        <v>70</v>
      </c>
      <c r="FF85" s="23">
        <f t="shared" si="19"/>
        <v>175</v>
      </c>
      <c r="FG85" s="23">
        <f t="shared" si="19"/>
        <v>114</v>
      </c>
      <c r="FH85" s="23">
        <f t="shared" si="19"/>
        <v>69</v>
      </c>
      <c r="FI85" s="23">
        <f t="shared" si="19"/>
        <v>1645</v>
      </c>
      <c r="FJ85" s="23">
        <f t="shared" si="19"/>
        <v>2016.5</v>
      </c>
      <c r="FK85" s="23">
        <f t="shared" si="19"/>
        <v>2482</v>
      </c>
      <c r="FL85" s="23">
        <f t="shared" si="19"/>
        <v>8537.5</v>
      </c>
      <c r="FM85" s="23">
        <f t="shared" si="19"/>
        <v>3981.5</v>
      </c>
      <c r="FN85" s="23">
        <f t="shared" si="19"/>
        <v>22420.5</v>
      </c>
      <c r="FO85" s="23">
        <f t="shared" si="19"/>
        <v>1117</v>
      </c>
      <c r="FP85" s="23">
        <f t="shared" si="19"/>
        <v>2341.5</v>
      </c>
      <c r="FQ85" s="23">
        <f t="shared" si="19"/>
        <v>982.5</v>
      </c>
      <c r="FR85" s="23">
        <f t="shared" si="19"/>
        <v>162.5</v>
      </c>
      <c r="FS85" s="23">
        <f t="shared" si="19"/>
        <v>160.5</v>
      </c>
      <c r="FT85" s="23">
        <f t="shared" si="19"/>
        <v>54</v>
      </c>
      <c r="FU85" s="23">
        <f t="shared" si="19"/>
        <v>760</v>
      </c>
      <c r="FV85" s="23">
        <f t="shared" si="19"/>
        <v>692</v>
      </c>
      <c r="FW85" s="23">
        <f t="shared" si="19"/>
        <v>128</v>
      </c>
      <c r="FX85" s="23">
        <f t="shared" si="19"/>
        <v>64</v>
      </c>
      <c r="FY85" s="7"/>
      <c r="FZ85" s="23">
        <f t="shared" ref="FZ85:FZ90" si="20">SUM(C85:FX85)</f>
        <v>782071</v>
      </c>
      <c r="GA85" s="25"/>
      <c r="GB85" s="7"/>
      <c r="GC85" s="7"/>
      <c r="GD85" s="7"/>
      <c r="GE85" s="7"/>
      <c r="GF85" s="7"/>
      <c r="GG85" s="7"/>
      <c r="GH85" s="7"/>
      <c r="GI85" s="7"/>
      <c r="GJ85" s="7"/>
      <c r="GK85" s="7"/>
    </row>
    <row r="86" spans="1:195" ht="15.5" x14ac:dyDescent="0.35">
      <c r="A86" s="12" t="s">
        <v>540</v>
      </c>
      <c r="B86" s="7" t="s">
        <v>805</v>
      </c>
      <c r="C86" s="23">
        <f t="shared" ref="C86:FX86" si="21">C24</f>
        <v>6404.5</v>
      </c>
      <c r="D86" s="23">
        <f t="shared" si="21"/>
        <v>32699.5</v>
      </c>
      <c r="E86" s="23">
        <f t="shared" si="21"/>
        <v>4867</v>
      </c>
      <c r="F86" s="23">
        <f t="shared" si="21"/>
        <v>21051.5</v>
      </c>
      <c r="G86" s="23">
        <f t="shared" si="21"/>
        <v>1709</v>
      </c>
      <c r="H86" s="23">
        <f t="shared" si="21"/>
        <v>1089</v>
      </c>
      <c r="I86" s="23">
        <f t="shared" si="21"/>
        <v>7236</v>
      </c>
      <c r="J86" s="23">
        <f t="shared" si="21"/>
        <v>2024</v>
      </c>
      <c r="K86" s="23">
        <f t="shared" si="21"/>
        <v>243.5</v>
      </c>
      <c r="L86" s="23">
        <f t="shared" si="21"/>
        <v>2087</v>
      </c>
      <c r="M86" s="23">
        <f t="shared" si="21"/>
        <v>866</v>
      </c>
      <c r="N86" s="23">
        <f t="shared" si="21"/>
        <v>50007.5</v>
      </c>
      <c r="O86" s="23">
        <f t="shared" si="21"/>
        <v>12583.5</v>
      </c>
      <c r="P86" s="23">
        <f t="shared" si="21"/>
        <v>303</v>
      </c>
      <c r="Q86" s="23">
        <f t="shared" si="21"/>
        <v>37010</v>
      </c>
      <c r="R86" s="23">
        <f t="shared" si="21"/>
        <v>467.5</v>
      </c>
      <c r="S86" s="23">
        <f t="shared" si="21"/>
        <v>1535</v>
      </c>
      <c r="T86" s="23">
        <f t="shared" si="21"/>
        <v>158</v>
      </c>
      <c r="U86" s="23">
        <f t="shared" si="21"/>
        <v>57</v>
      </c>
      <c r="V86" s="23">
        <f t="shared" si="21"/>
        <v>245.5</v>
      </c>
      <c r="W86" s="23">
        <f t="shared" si="21"/>
        <v>49.5</v>
      </c>
      <c r="X86" s="23">
        <f t="shared" si="21"/>
        <v>36.5</v>
      </c>
      <c r="Y86" s="23">
        <f t="shared" si="21"/>
        <v>404</v>
      </c>
      <c r="Z86" s="23">
        <f t="shared" si="21"/>
        <v>231</v>
      </c>
      <c r="AA86" s="23">
        <f t="shared" si="21"/>
        <v>30258.5</v>
      </c>
      <c r="AB86" s="23">
        <f t="shared" si="21"/>
        <v>26784.5</v>
      </c>
      <c r="AC86" s="23">
        <f t="shared" si="21"/>
        <v>864</v>
      </c>
      <c r="AD86" s="23">
        <f t="shared" si="21"/>
        <v>1269.5</v>
      </c>
      <c r="AE86" s="23">
        <f t="shared" si="21"/>
        <v>97</v>
      </c>
      <c r="AF86" s="23">
        <f t="shared" si="21"/>
        <v>164.5</v>
      </c>
      <c r="AG86" s="23">
        <f t="shared" si="21"/>
        <v>589</v>
      </c>
      <c r="AH86" s="23">
        <f t="shared" si="21"/>
        <v>927</v>
      </c>
      <c r="AI86" s="23">
        <f t="shared" si="21"/>
        <v>363</v>
      </c>
      <c r="AJ86" s="23">
        <f t="shared" si="21"/>
        <v>176</v>
      </c>
      <c r="AK86" s="23">
        <f t="shared" si="21"/>
        <v>163</v>
      </c>
      <c r="AL86" s="23">
        <f t="shared" si="21"/>
        <v>286</v>
      </c>
      <c r="AM86" s="23">
        <f t="shared" si="21"/>
        <v>331</v>
      </c>
      <c r="AN86" s="23">
        <f t="shared" si="21"/>
        <v>271.5</v>
      </c>
      <c r="AO86" s="23">
        <f t="shared" si="21"/>
        <v>3767</v>
      </c>
      <c r="AP86" s="23">
        <f t="shared" si="21"/>
        <v>84396.5</v>
      </c>
      <c r="AQ86" s="23">
        <f t="shared" si="21"/>
        <v>242.5</v>
      </c>
      <c r="AR86" s="23">
        <f t="shared" si="21"/>
        <v>57877.5</v>
      </c>
      <c r="AS86" s="23">
        <f t="shared" si="21"/>
        <v>6025</v>
      </c>
      <c r="AT86" s="23">
        <f t="shared" si="21"/>
        <v>2340.5</v>
      </c>
      <c r="AU86" s="23">
        <f t="shared" si="21"/>
        <v>250</v>
      </c>
      <c r="AV86" s="23">
        <f t="shared" si="21"/>
        <v>299</v>
      </c>
      <c r="AW86" s="23">
        <f t="shared" si="21"/>
        <v>250</v>
      </c>
      <c r="AX86" s="23">
        <f t="shared" si="21"/>
        <v>73</v>
      </c>
      <c r="AY86" s="23">
        <f t="shared" si="21"/>
        <v>392</v>
      </c>
      <c r="AZ86" s="23">
        <f t="shared" si="21"/>
        <v>11891</v>
      </c>
      <c r="BA86" s="23">
        <f t="shared" si="21"/>
        <v>8667</v>
      </c>
      <c r="BB86" s="23">
        <f t="shared" si="21"/>
        <v>7399</v>
      </c>
      <c r="BC86" s="23">
        <f t="shared" si="21"/>
        <v>21443</v>
      </c>
      <c r="BD86" s="23">
        <f t="shared" si="21"/>
        <v>3598.5</v>
      </c>
      <c r="BE86" s="23">
        <f t="shared" si="21"/>
        <v>1113</v>
      </c>
      <c r="BF86" s="23">
        <f t="shared" si="21"/>
        <v>24230</v>
      </c>
      <c r="BG86" s="23">
        <f t="shared" si="21"/>
        <v>921.5</v>
      </c>
      <c r="BH86" s="23">
        <f t="shared" si="21"/>
        <v>529</v>
      </c>
      <c r="BI86" s="23">
        <f t="shared" si="21"/>
        <v>251</v>
      </c>
      <c r="BJ86" s="23">
        <f t="shared" si="21"/>
        <v>6198.5</v>
      </c>
      <c r="BK86" s="23">
        <f t="shared" si="21"/>
        <v>21041</v>
      </c>
      <c r="BL86" s="23">
        <f t="shared" si="21"/>
        <v>64.5</v>
      </c>
      <c r="BM86" s="23">
        <f t="shared" si="21"/>
        <v>331.5</v>
      </c>
      <c r="BN86" s="23">
        <f t="shared" si="21"/>
        <v>3018.5</v>
      </c>
      <c r="BO86" s="23">
        <f t="shared" si="21"/>
        <v>1190</v>
      </c>
      <c r="BP86" s="23">
        <f t="shared" si="21"/>
        <v>144</v>
      </c>
      <c r="BQ86" s="23">
        <f t="shared" si="21"/>
        <v>5632</v>
      </c>
      <c r="BR86" s="23">
        <f t="shared" si="21"/>
        <v>4471</v>
      </c>
      <c r="BS86" s="23">
        <f t="shared" si="21"/>
        <v>1151</v>
      </c>
      <c r="BT86" s="23">
        <f t="shared" si="21"/>
        <v>355.5</v>
      </c>
      <c r="BU86" s="23">
        <f t="shared" si="21"/>
        <v>383</v>
      </c>
      <c r="BV86" s="23">
        <f t="shared" si="21"/>
        <v>1247.5</v>
      </c>
      <c r="BW86" s="23">
        <f t="shared" si="21"/>
        <v>2017</v>
      </c>
      <c r="BX86" s="23">
        <f t="shared" si="21"/>
        <v>67</v>
      </c>
      <c r="BY86" s="23">
        <f t="shared" si="21"/>
        <v>404</v>
      </c>
      <c r="BZ86" s="23">
        <f t="shared" si="21"/>
        <v>224</v>
      </c>
      <c r="CA86" s="23">
        <f t="shared" si="21"/>
        <v>130</v>
      </c>
      <c r="CB86" s="23">
        <f t="shared" si="21"/>
        <v>70467</v>
      </c>
      <c r="CC86" s="23">
        <f t="shared" si="21"/>
        <v>190</v>
      </c>
      <c r="CD86" s="23">
        <f t="shared" si="21"/>
        <v>27</v>
      </c>
      <c r="CE86" s="23">
        <f t="shared" si="21"/>
        <v>158.5</v>
      </c>
      <c r="CF86" s="23">
        <f t="shared" si="21"/>
        <v>92</v>
      </c>
      <c r="CG86" s="23">
        <f t="shared" si="21"/>
        <v>195.5</v>
      </c>
      <c r="CH86" s="23">
        <f t="shared" si="21"/>
        <v>90</v>
      </c>
      <c r="CI86" s="23">
        <f t="shared" si="21"/>
        <v>662</v>
      </c>
      <c r="CJ86" s="23">
        <f t="shared" si="21"/>
        <v>855.5</v>
      </c>
      <c r="CK86" s="23">
        <f t="shared" si="21"/>
        <v>4231.5</v>
      </c>
      <c r="CL86" s="23">
        <f t="shared" si="21"/>
        <v>1169</v>
      </c>
      <c r="CM86" s="23">
        <f t="shared" si="21"/>
        <v>659</v>
      </c>
      <c r="CN86" s="23">
        <f t="shared" si="21"/>
        <v>28020.5</v>
      </c>
      <c r="CO86" s="23">
        <f t="shared" si="21"/>
        <v>14006.5</v>
      </c>
      <c r="CP86" s="23">
        <f t="shared" si="21"/>
        <v>869.5</v>
      </c>
      <c r="CQ86" s="23">
        <f t="shared" si="21"/>
        <v>763</v>
      </c>
      <c r="CR86" s="23">
        <f t="shared" si="21"/>
        <v>199.5</v>
      </c>
      <c r="CS86" s="23">
        <f t="shared" si="21"/>
        <v>270</v>
      </c>
      <c r="CT86" s="23">
        <f t="shared" si="21"/>
        <v>115</v>
      </c>
      <c r="CU86" s="23">
        <f t="shared" si="21"/>
        <v>67</v>
      </c>
      <c r="CV86" s="23">
        <f t="shared" si="21"/>
        <v>22</v>
      </c>
      <c r="CW86" s="23">
        <f t="shared" si="21"/>
        <v>204</v>
      </c>
      <c r="CX86" s="23">
        <f t="shared" si="21"/>
        <v>450.5</v>
      </c>
      <c r="CY86" s="23">
        <f t="shared" si="21"/>
        <v>26.5</v>
      </c>
      <c r="CZ86" s="23">
        <f t="shared" si="21"/>
        <v>1773</v>
      </c>
      <c r="DA86" s="23">
        <f t="shared" si="21"/>
        <v>197.5</v>
      </c>
      <c r="DB86" s="23">
        <f t="shared" si="21"/>
        <v>314</v>
      </c>
      <c r="DC86" s="23">
        <f t="shared" si="21"/>
        <v>183</v>
      </c>
      <c r="DD86" s="23">
        <f t="shared" si="21"/>
        <v>170</v>
      </c>
      <c r="DE86" s="23">
        <f t="shared" si="21"/>
        <v>280.5</v>
      </c>
      <c r="DF86" s="23">
        <f t="shared" si="21"/>
        <v>18900.5</v>
      </c>
      <c r="DG86" s="23">
        <f t="shared" si="21"/>
        <v>92</v>
      </c>
      <c r="DH86" s="23">
        <f t="shared" si="21"/>
        <v>1689</v>
      </c>
      <c r="DI86" s="23">
        <f t="shared" si="21"/>
        <v>2308</v>
      </c>
      <c r="DJ86" s="23">
        <f t="shared" si="21"/>
        <v>598</v>
      </c>
      <c r="DK86" s="23">
        <f t="shared" si="21"/>
        <v>475</v>
      </c>
      <c r="DL86" s="23">
        <f t="shared" si="21"/>
        <v>5671</v>
      </c>
      <c r="DM86" s="23">
        <f t="shared" si="21"/>
        <v>228</v>
      </c>
      <c r="DN86" s="23">
        <f t="shared" si="21"/>
        <v>1275.5</v>
      </c>
      <c r="DO86" s="23">
        <f t="shared" si="21"/>
        <v>3255.5</v>
      </c>
      <c r="DP86" s="23">
        <f t="shared" si="21"/>
        <v>198</v>
      </c>
      <c r="DQ86" s="23">
        <f t="shared" si="21"/>
        <v>843</v>
      </c>
      <c r="DR86" s="23">
        <f t="shared" si="21"/>
        <v>1280.5</v>
      </c>
      <c r="DS86" s="23">
        <f t="shared" si="21"/>
        <v>554</v>
      </c>
      <c r="DT86" s="23">
        <f t="shared" si="21"/>
        <v>174</v>
      </c>
      <c r="DU86" s="23">
        <f t="shared" si="21"/>
        <v>342</v>
      </c>
      <c r="DV86" s="23">
        <f t="shared" si="21"/>
        <v>200.5</v>
      </c>
      <c r="DW86" s="23">
        <f t="shared" si="21"/>
        <v>289.5</v>
      </c>
      <c r="DX86" s="23">
        <f t="shared" si="21"/>
        <v>166</v>
      </c>
      <c r="DY86" s="23">
        <f t="shared" si="21"/>
        <v>287</v>
      </c>
      <c r="DZ86" s="23">
        <f t="shared" si="21"/>
        <v>634</v>
      </c>
      <c r="EA86" s="23">
        <f t="shared" si="21"/>
        <v>496</v>
      </c>
      <c r="EB86" s="23">
        <f t="shared" si="21"/>
        <v>508.5</v>
      </c>
      <c r="EC86" s="23">
        <f t="shared" si="21"/>
        <v>266.5</v>
      </c>
      <c r="ED86" s="23">
        <f t="shared" si="21"/>
        <v>1551.5</v>
      </c>
      <c r="EE86" s="23">
        <f t="shared" si="21"/>
        <v>194</v>
      </c>
      <c r="EF86" s="23">
        <f t="shared" si="21"/>
        <v>1271</v>
      </c>
      <c r="EG86" s="23">
        <f t="shared" si="21"/>
        <v>257</v>
      </c>
      <c r="EH86" s="23">
        <f t="shared" si="21"/>
        <v>245</v>
      </c>
      <c r="EI86" s="23">
        <f t="shared" si="21"/>
        <v>13446</v>
      </c>
      <c r="EJ86" s="23">
        <f t="shared" si="21"/>
        <v>9802</v>
      </c>
      <c r="EK86" s="23">
        <f t="shared" si="21"/>
        <v>639.5</v>
      </c>
      <c r="EL86" s="23">
        <f t="shared" si="21"/>
        <v>457</v>
      </c>
      <c r="EM86" s="23">
        <f t="shared" si="21"/>
        <v>365</v>
      </c>
      <c r="EN86" s="23">
        <f t="shared" si="21"/>
        <v>882.5</v>
      </c>
      <c r="EO86" s="23">
        <f t="shared" si="21"/>
        <v>293</v>
      </c>
      <c r="EP86" s="23">
        <f t="shared" si="21"/>
        <v>417.5</v>
      </c>
      <c r="EQ86" s="23">
        <f t="shared" si="21"/>
        <v>2460</v>
      </c>
      <c r="ER86" s="23">
        <f t="shared" si="21"/>
        <v>297</v>
      </c>
      <c r="ES86" s="23">
        <f t="shared" si="21"/>
        <v>147.5</v>
      </c>
      <c r="ET86" s="23">
        <f t="shared" si="21"/>
        <v>193.5</v>
      </c>
      <c r="EU86" s="23">
        <f t="shared" si="21"/>
        <v>576</v>
      </c>
      <c r="EV86" s="23">
        <f t="shared" si="21"/>
        <v>72</v>
      </c>
      <c r="EW86" s="23">
        <f t="shared" si="21"/>
        <v>799</v>
      </c>
      <c r="EX86" s="23">
        <f t="shared" si="21"/>
        <v>170</v>
      </c>
      <c r="EY86" s="23">
        <f t="shared" si="21"/>
        <v>196.5</v>
      </c>
      <c r="EZ86" s="23">
        <f t="shared" si="21"/>
        <v>130</v>
      </c>
      <c r="FA86" s="23">
        <f t="shared" si="21"/>
        <v>3294</v>
      </c>
      <c r="FB86" s="23">
        <f t="shared" si="21"/>
        <v>276</v>
      </c>
      <c r="FC86" s="23">
        <f t="shared" si="21"/>
        <v>1684</v>
      </c>
      <c r="FD86" s="23">
        <f t="shared" si="21"/>
        <v>395</v>
      </c>
      <c r="FE86" s="23">
        <f t="shared" si="21"/>
        <v>75</v>
      </c>
      <c r="FF86" s="23">
        <f t="shared" si="21"/>
        <v>178</v>
      </c>
      <c r="FG86" s="23">
        <f t="shared" si="21"/>
        <v>117</v>
      </c>
      <c r="FH86" s="23">
        <f t="shared" si="21"/>
        <v>71</v>
      </c>
      <c r="FI86" s="23">
        <f t="shared" si="21"/>
        <v>1639.5</v>
      </c>
      <c r="FJ86" s="23">
        <f t="shared" si="21"/>
        <v>2009</v>
      </c>
      <c r="FK86" s="23">
        <f t="shared" si="21"/>
        <v>2481</v>
      </c>
      <c r="FL86" s="23">
        <f t="shared" si="21"/>
        <v>8455.5</v>
      </c>
      <c r="FM86" s="23">
        <f t="shared" si="21"/>
        <v>3910.5</v>
      </c>
      <c r="FN86" s="23">
        <f t="shared" si="21"/>
        <v>22092.5</v>
      </c>
      <c r="FO86" s="23">
        <f t="shared" si="21"/>
        <v>1111</v>
      </c>
      <c r="FP86" s="23">
        <f t="shared" si="21"/>
        <v>2307.5</v>
      </c>
      <c r="FQ86" s="23">
        <f t="shared" si="21"/>
        <v>974.5</v>
      </c>
      <c r="FR86" s="23">
        <f t="shared" si="21"/>
        <v>165.5</v>
      </c>
      <c r="FS86" s="23">
        <f t="shared" si="21"/>
        <v>151</v>
      </c>
      <c r="FT86" s="23">
        <f t="shared" si="21"/>
        <v>53</v>
      </c>
      <c r="FU86" s="23">
        <f t="shared" si="21"/>
        <v>759.5</v>
      </c>
      <c r="FV86" s="23">
        <f t="shared" si="21"/>
        <v>690.5</v>
      </c>
      <c r="FW86" s="23">
        <f t="shared" si="21"/>
        <v>134</v>
      </c>
      <c r="FX86" s="23">
        <f t="shared" si="21"/>
        <v>65</v>
      </c>
      <c r="FY86" s="7"/>
      <c r="FZ86" s="23">
        <f t="shared" si="20"/>
        <v>785348.5</v>
      </c>
      <c r="GA86" s="25"/>
      <c r="GB86" s="7"/>
      <c r="GC86" s="7"/>
      <c r="GD86" s="7"/>
      <c r="GE86" s="7"/>
      <c r="GF86" s="7"/>
      <c r="GG86" s="7"/>
      <c r="GH86" s="7"/>
      <c r="GI86" s="7"/>
      <c r="GJ86" s="7"/>
      <c r="GK86" s="7"/>
    </row>
    <row r="87" spans="1:195" ht="15.5" x14ac:dyDescent="0.35">
      <c r="A87" s="12" t="s">
        <v>542</v>
      </c>
      <c r="B87" s="7" t="s">
        <v>806</v>
      </c>
      <c r="C87" s="23">
        <f t="shared" ref="C87:FX87" si="22">C25</f>
        <v>6332.5</v>
      </c>
      <c r="D87" s="23">
        <f t="shared" si="22"/>
        <v>33220</v>
      </c>
      <c r="E87" s="23">
        <f t="shared" si="22"/>
        <v>4999.5</v>
      </c>
      <c r="F87" s="23">
        <f t="shared" si="22"/>
        <v>20597.5</v>
      </c>
      <c r="G87" s="23">
        <f t="shared" si="22"/>
        <v>1573</v>
      </c>
      <c r="H87" s="23">
        <f t="shared" si="22"/>
        <v>1094</v>
      </c>
      <c r="I87" s="23">
        <f t="shared" si="22"/>
        <v>7057.5</v>
      </c>
      <c r="J87" s="23">
        <f t="shared" si="22"/>
        <v>2039</v>
      </c>
      <c r="K87" s="23">
        <f t="shared" si="22"/>
        <v>263</v>
      </c>
      <c r="L87" s="23">
        <f t="shared" si="22"/>
        <v>2102</v>
      </c>
      <c r="M87" s="23">
        <f t="shared" si="22"/>
        <v>933</v>
      </c>
      <c r="N87" s="23">
        <f t="shared" si="22"/>
        <v>49949</v>
      </c>
      <c r="O87" s="23">
        <f t="shared" si="22"/>
        <v>12783.5</v>
      </c>
      <c r="P87" s="23">
        <f t="shared" si="22"/>
        <v>330</v>
      </c>
      <c r="Q87" s="23">
        <f t="shared" si="22"/>
        <v>36546</v>
      </c>
      <c r="R87" s="23">
        <f t="shared" si="22"/>
        <v>497</v>
      </c>
      <c r="S87" s="23">
        <f t="shared" si="22"/>
        <v>1567.5</v>
      </c>
      <c r="T87" s="23">
        <f t="shared" si="22"/>
        <v>160</v>
      </c>
      <c r="U87" s="23">
        <f t="shared" si="22"/>
        <v>50</v>
      </c>
      <c r="V87" s="23">
        <f t="shared" si="22"/>
        <v>261.5</v>
      </c>
      <c r="W87" s="23">
        <f t="shared" si="22"/>
        <v>58.5</v>
      </c>
      <c r="X87" s="23">
        <f t="shared" si="22"/>
        <v>27</v>
      </c>
      <c r="Y87" s="23">
        <f t="shared" si="22"/>
        <v>428</v>
      </c>
      <c r="Z87" s="23">
        <f t="shared" si="22"/>
        <v>227</v>
      </c>
      <c r="AA87" s="23">
        <f t="shared" si="22"/>
        <v>30394.5</v>
      </c>
      <c r="AB87" s="23">
        <f t="shared" si="22"/>
        <v>26932</v>
      </c>
      <c r="AC87" s="23">
        <f t="shared" si="22"/>
        <v>909</v>
      </c>
      <c r="AD87" s="23">
        <f t="shared" si="22"/>
        <v>1255</v>
      </c>
      <c r="AE87" s="23">
        <f t="shared" si="22"/>
        <v>94</v>
      </c>
      <c r="AF87" s="23">
        <f t="shared" si="22"/>
        <v>162.5</v>
      </c>
      <c r="AG87" s="23">
        <f t="shared" si="22"/>
        <v>590</v>
      </c>
      <c r="AH87" s="23">
        <f t="shared" si="22"/>
        <v>955</v>
      </c>
      <c r="AI87" s="23">
        <f t="shared" si="22"/>
        <v>385.5</v>
      </c>
      <c r="AJ87" s="23">
        <f t="shared" si="22"/>
        <v>164</v>
      </c>
      <c r="AK87" s="23">
        <f t="shared" si="22"/>
        <v>159</v>
      </c>
      <c r="AL87" s="23">
        <f t="shared" si="22"/>
        <v>276</v>
      </c>
      <c r="AM87" s="23">
        <f t="shared" si="22"/>
        <v>343</v>
      </c>
      <c r="AN87" s="23">
        <f t="shared" si="22"/>
        <v>309</v>
      </c>
      <c r="AO87" s="23">
        <f t="shared" si="22"/>
        <v>4127.5</v>
      </c>
      <c r="AP87" s="23">
        <f t="shared" si="22"/>
        <v>82476.5</v>
      </c>
      <c r="AQ87" s="23">
        <f t="shared" si="22"/>
        <v>232</v>
      </c>
      <c r="AR87" s="23">
        <f t="shared" si="22"/>
        <v>58489.5</v>
      </c>
      <c r="AS87" s="23">
        <f t="shared" si="22"/>
        <v>6165</v>
      </c>
      <c r="AT87" s="23">
        <f t="shared" si="22"/>
        <v>2332.5</v>
      </c>
      <c r="AU87" s="23">
        <f t="shared" si="22"/>
        <v>291</v>
      </c>
      <c r="AV87" s="23">
        <f t="shared" si="22"/>
        <v>297</v>
      </c>
      <c r="AW87" s="23">
        <f t="shared" si="22"/>
        <v>256</v>
      </c>
      <c r="AX87" s="23">
        <f t="shared" si="22"/>
        <v>63</v>
      </c>
      <c r="AY87" s="23">
        <f t="shared" si="22"/>
        <v>415</v>
      </c>
      <c r="AZ87" s="23">
        <f t="shared" si="22"/>
        <v>12050</v>
      </c>
      <c r="BA87" s="23">
        <f t="shared" si="22"/>
        <v>8756</v>
      </c>
      <c r="BB87" s="23">
        <f t="shared" si="22"/>
        <v>7341</v>
      </c>
      <c r="BC87" s="23">
        <f t="shared" si="22"/>
        <v>20943.5</v>
      </c>
      <c r="BD87" s="23">
        <f t="shared" si="22"/>
        <v>3609.5</v>
      </c>
      <c r="BE87" s="23">
        <f t="shared" si="22"/>
        <v>1207</v>
      </c>
      <c r="BF87" s="23">
        <f t="shared" si="22"/>
        <v>24346</v>
      </c>
      <c r="BG87" s="23">
        <f t="shared" si="22"/>
        <v>884.5</v>
      </c>
      <c r="BH87" s="23">
        <f t="shared" si="22"/>
        <v>542</v>
      </c>
      <c r="BI87" s="23">
        <f t="shared" si="22"/>
        <v>253.5</v>
      </c>
      <c r="BJ87" s="23">
        <f t="shared" si="22"/>
        <v>6224.5</v>
      </c>
      <c r="BK87" s="23">
        <f t="shared" si="22"/>
        <v>19735</v>
      </c>
      <c r="BL87" s="23">
        <f t="shared" si="22"/>
        <v>58</v>
      </c>
      <c r="BM87" s="23">
        <f t="shared" si="22"/>
        <v>360.5</v>
      </c>
      <c r="BN87" s="23">
        <f t="shared" si="22"/>
        <v>3019.5</v>
      </c>
      <c r="BO87" s="23">
        <f t="shared" si="22"/>
        <v>1251</v>
      </c>
      <c r="BP87" s="23">
        <f t="shared" si="22"/>
        <v>152</v>
      </c>
      <c r="BQ87" s="23">
        <f t="shared" si="22"/>
        <v>5653</v>
      </c>
      <c r="BR87" s="23">
        <f t="shared" si="22"/>
        <v>4483</v>
      </c>
      <c r="BS87" s="23">
        <f t="shared" si="22"/>
        <v>1106</v>
      </c>
      <c r="BT87" s="23">
        <f t="shared" si="22"/>
        <v>362</v>
      </c>
      <c r="BU87" s="23">
        <f t="shared" si="22"/>
        <v>410</v>
      </c>
      <c r="BV87" s="23">
        <f t="shared" si="22"/>
        <v>1223</v>
      </c>
      <c r="BW87" s="23">
        <f t="shared" si="22"/>
        <v>1985.5</v>
      </c>
      <c r="BX87" s="23">
        <f t="shared" si="22"/>
        <v>67</v>
      </c>
      <c r="BY87" s="23">
        <f t="shared" si="22"/>
        <v>439.5</v>
      </c>
      <c r="BZ87" s="23">
        <f t="shared" si="22"/>
        <v>195</v>
      </c>
      <c r="CA87" s="23">
        <f t="shared" si="22"/>
        <v>139</v>
      </c>
      <c r="CB87" s="23">
        <f t="shared" si="22"/>
        <v>71260.5</v>
      </c>
      <c r="CC87" s="23">
        <f t="shared" si="22"/>
        <v>192</v>
      </c>
      <c r="CD87" s="23">
        <f t="shared" si="22"/>
        <v>23</v>
      </c>
      <c r="CE87" s="23">
        <f t="shared" si="22"/>
        <v>151</v>
      </c>
      <c r="CF87" s="23">
        <f t="shared" si="22"/>
        <v>110</v>
      </c>
      <c r="CG87" s="23">
        <f t="shared" si="22"/>
        <v>201.5</v>
      </c>
      <c r="CH87" s="23">
        <f t="shared" si="22"/>
        <v>99</v>
      </c>
      <c r="CI87" s="23">
        <f t="shared" si="22"/>
        <v>691</v>
      </c>
      <c r="CJ87" s="23">
        <f t="shared" si="22"/>
        <v>873</v>
      </c>
      <c r="CK87" s="23">
        <f t="shared" si="22"/>
        <v>4272.5</v>
      </c>
      <c r="CL87" s="23">
        <f t="shared" si="22"/>
        <v>1244.5</v>
      </c>
      <c r="CM87" s="23">
        <f t="shared" si="22"/>
        <v>701</v>
      </c>
      <c r="CN87" s="23">
        <f t="shared" si="22"/>
        <v>28337.5</v>
      </c>
      <c r="CO87" s="23">
        <f t="shared" si="22"/>
        <v>14308.5</v>
      </c>
      <c r="CP87" s="23">
        <f t="shared" si="22"/>
        <v>937</v>
      </c>
      <c r="CQ87" s="23">
        <f t="shared" si="22"/>
        <v>740</v>
      </c>
      <c r="CR87" s="23">
        <f t="shared" si="22"/>
        <v>230.5</v>
      </c>
      <c r="CS87" s="23">
        <f t="shared" si="22"/>
        <v>290</v>
      </c>
      <c r="CT87" s="23">
        <f t="shared" si="22"/>
        <v>101</v>
      </c>
      <c r="CU87" s="23">
        <f t="shared" si="22"/>
        <v>73</v>
      </c>
      <c r="CV87" s="23">
        <f t="shared" si="22"/>
        <v>23.5</v>
      </c>
      <c r="CW87" s="23">
        <f t="shared" si="22"/>
        <v>205</v>
      </c>
      <c r="CX87" s="23">
        <f t="shared" si="22"/>
        <v>470.5</v>
      </c>
      <c r="CY87" s="23">
        <f t="shared" si="22"/>
        <v>29.5</v>
      </c>
      <c r="CZ87" s="23">
        <f t="shared" si="22"/>
        <v>1759</v>
      </c>
      <c r="DA87" s="23">
        <f t="shared" si="22"/>
        <v>201</v>
      </c>
      <c r="DB87" s="23">
        <f t="shared" si="22"/>
        <v>322.5</v>
      </c>
      <c r="DC87" s="23">
        <f t="shared" si="22"/>
        <v>182</v>
      </c>
      <c r="DD87" s="23">
        <f t="shared" si="22"/>
        <v>156</v>
      </c>
      <c r="DE87" s="23">
        <f t="shared" si="22"/>
        <v>287.5</v>
      </c>
      <c r="DF87" s="23">
        <f t="shared" si="22"/>
        <v>19273</v>
      </c>
      <c r="DG87" s="23">
        <f t="shared" si="22"/>
        <v>95</v>
      </c>
      <c r="DH87" s="23">
        <f t="shared" si="22"/>
        <v>1764</v>
      </c>
      <c r="DI87" s="23">
        <f t="shared" si="22"/>
        <v>2394.5</v>
      </c>
      <c r="DJ87" s="23">
        <f t="shared" si="22"/>
        <v>623</v>
      </c>
      <c r="DK87" s="23">
        <f t="shared" si="22"/>
        <v>485.5</v>
      </c>
      <c r="DL87" s="23">
        <f t="shared" si="22"/>
        <v>5690.5</v>
      </c>
      <c r="DM87" s="23">
        <f t="shared" si="22"/>
        <v>228.5</v>
      </c>
      <c r="DN87" s="23">
        <f t="shared" si="22"/>
        <v>1263.5</v>
      </c>
      <c r="DO87" s="23">
        <f t="shared" si="22"/>
        <v>3230</v>
      </c>
      <c r="DP87" s="23">
        <f t="shared" si="22"/>
        <v>191</v>
      </c>
      <c r="DQ87" s="23">
        <f t="shared" si="22"/>
        <v>817</v>
      </c>
      <c r="DR87" s="23">
        <f t="shared" si="22"/>
        <v>1318.5</v>
      </c>
      <c r="DS87" s="23">
        <f t="shared" si="22"/>
        <v>589</v>
      </c>
      <c r="DT87" s="23">
        <f t="shared" si="22"/>
        <v>180.5</v>
      </c>
      <c r="DU87" s="23">
        <f t="shared" si="22"/>
        <v>355</v>
      </c>
      <c r="DV87" s="23">
        <f t="shared" si="22"/>
        <v>206.5</v>
      </c>
      <c r="DW87" s="23">
        <f t="shared" si="22"/>
        <v>301</v>
      </c>
      <c r="DX87" s="23">
        <f t="shared" si="22"/>
        <v>159</v>
      </c>
      <c r="DY87" s="23">
        <f t="shared" si="22"/>
        <v>296</v>
      </c>
      <c r="DZ87" s="23">
        <f t="shared" si="22"/>
        <v>675</v>
      </c>
      <c r="EA87" s="23">
        <f t="shared" si="22"/>
        <v>510.5</v>
      </c>
      <c r="EB87" s="23">
        <f t="shared" si="22"/>
        <v>527</v>
      </c>
      <c r="EC87" s="23">
        <f t="shared" si="22"/>
        <v>281.5</v>
      </c>
      <c r="ED87" s="23">
        <f t="shared" si="22"/>
        <v>1523</v>
      </c>
      <c r="EE87" s="23">
        <f t="shared" si="22"/>
        <v>189</v>
      </c>
      <c r="EF87" s="23">
        <f t="shared" si="22"/>
        <v>1350</v>
      </c>
      <c r="EG87" s="23">
        <f t="shared" si="22"/>
        <v>246</v>
      </c>
      <c r="EH87" s="23">
        <f t="shared" si="22"/>
        <v>250</v>
      </c>
      <c r="EI87" s="23">
        <f t="shared" si="22"/>
        <v>13862.5</v>
      </c>
      <c r="EJ87" s="23">
        <f t="shared" si="22"/>
        <v>10059</v>
      </c>
      <c r="EK87" s="23">
        <f t="shared" si="22"/>
        <v>686</v>
      </c>
      <c r="EL87" s="23">
        <f t="shared" si="22"/>
        <v>467.5</v>
      </c>
      <c r="EM87" s="23">
        <f t="shared" si="22"/>
        <v>373</v>
      </c>
      <c r="EN87" s="23">
        <f t="shared" si="22"/>
        <v>899</v>
      </c>
      <c r="EO87" s="23">
        <f t="shared" si="22"/>
        <v>296</v>
      </c>
      <c r="EP87" s="23">
        <f t="shared" si="22"/>
        <v>417.5</v>
      </c>
      <c r="EQ87" s="23">
        <f t="shared" si="22"/>
        <v>2509</v>
      </c>
      <c r="ER87" s="23">
        <f t="shared" si="22"/>
        <v>310.5</v>
      </c>
      <c r="ES87" s="23">
        <f t="shared" si="22"/>
        <v>174.5</v>
      </c>
      <c r="ET87" s="23">
        <f t="shared" si="22"/>
        <v>182</v>
      </c>
      <c r="EU87" s="23">
        <f t="shared" si="22"/>
        <v>569</v>
      </c>
      <c r="EV87" s="23">
        <f t="shared" si="22"/>
        <v>71</v>
      </c>
      <c r="EW87" s="23">
        <f t="shared" si="22"/>
        <v>801</v>
      </c>
      <c r="EX87" s="23">
        <f t="shared" si="22"/>
        <v>170</v>
      </c>
      <c r="EY87" s="23">
        <f t="shared" si="22"/>
        <v>216</v>
      </c>
      <c r="EZ87" s="23">
        <f t="shared" si="22"/>
        <v>131</v>
      </c>
      <c r="FA87" s="23">
        <f t="shared" si="22"/>
        <v>3409</v>
      </c>
      <c r="FB87" s="23">
        <f t="shared" si="22"/>
        <v>266.5</v>
      </c>
      <c r="FC87" s="23">
        <f t="shared" si="22"/>
        <v>1815</v>
      </c>
      <c r="FD87" s="23">
        <f t="shared" si="22"/>
        <v>399</v>
      </c>
      <c r="FE87" s="23">
        <f t="shared" si="22"/>
        <v>82</v>
      </c>
      <c r="FF87" s="23">
        <f t="shared" si="22"/>
        <v>183</v>
      </c>
      <c r="FG87" s="23">
        <f t="shared" si="22"/>
        <v>124</v>
      </c>
      <c r="FH87" s="23">
        <f t="shared" si="22"/>
        <v>68</v>
      </c>
      <c r="FI87" s="23">
        <f t="shared" si="22"/>
        <v>1691</v>
      </c>
      <c r="FJ87" s="23">
        <f t="shared" si="22"/>
        <v>2017</v>
      </c>
      <c r="FK87" s="23">
        <f t="shared" si="22"/>
        <v>2536</v>
      </c>
      <c r="FL87" s="23">
        <f t="shared" si="22"/>
        <v>8175.5</v>
      </c>
      <c r="FM87" s="23">
        <f t="shared" si="22"/>
        <v>3824.5</v>
      </c>
      <c r="FN87" s="23">
        <f t="shared" si="22"/>
        <v>21727</v>
      </c>
      <c r="FO87" s="23">
        <f t="shared" si="22"/>
        <v>1082</v>
      </c>
      <c r="FP87" s="23">
        <f t="shared" si="22"/>
        <v>2224.5</v>
      </c>
      <c r="FQ87" s="23">
        <f t="shared" si="22"/>
        <v>956.5</v>
      </c>
      <c r="FR87" s="23">
        <f t="shared" si="22"/>
        <v>164</v>
      </c>
      <c r="FS87" s="23">
        <f t="shared" si="22"/>
        <v>168</v>
      </c>
      <c r="FT87" s="23">
        <f t="shared" si="22"/>
        <v>58</v>
      </c>
      <c r="FU87" s="23">
        <f t="shared" si="22"/>
        <v>785</v>
      </c>
      <c r="FV87" s="23">
        <f t="shared" si="22"/>
        <v>691.5</v>
      </c>
      <c r="FW87" s="23">
        <f t="shared" si="22"/>
        <v>147</v>
      </c>
      <c r="FX87" s="23">
        <f t="shared" si="22"/>
        <v>57.5</v>
      </c>
      <c r="FY87" s="23"/>
      <c r="FZ87" s="23">
        <f t="shared" si="20"/>
        <v>786298</v>
      </c>
      <c r="GA87" s="25"/>
      <c r="GB87" s="7"/>
      <c r="GC87" s="7"/>
      <c r="GD87" s="7"/>
      <c r="GE87" s="7"/>
      <c r="GF87" s="7"/>
      <c r="GG87" s="7"/>
      <c r="GH87" s="7"/>
      <c r="GI87" s="7"/>
      <c r="GJ87" s="7"/>
      <c r="GK87" s="7"/>
    </row>
    <row r="88" spans="1:195" ht="15.5" x14ac:dyDescent="0.35">
      <c r="A88" s="12" t="s">
        <v>544</v>
      </c>
      <c r="B88" s="7" t="s">
        <v>807</v>
      </c>
      <c r="C88" s="23">
        <f t="shared" ref="C88:FX88" si="23">C26</f>
        <v>6372</v>
      </c>
      <c r="D88" s="23">
        <f t="shared" si="23"/>
        <v>34363.5</v>
      </c>
      <c r="E88" s="23">
        <f t="shared" si="23"/>
        <v>5274</v>
      </c>
      <c r="F88" s="23">
        <f t="shared" si="23"/>
        <v>20215.5</v>
      </c>
      <c r="G88" s="23">
        <f t="shared" si="23"/>
        <v>1234</v>
      </c>
      <c r="H88" s="23">
        <f t="shared" si="23"/>
        <v>1129</v>
      </c>
      <c r="I88" s="23">
        <f t="shared" si="23"/>
        <v>7427.5</v>
      </c>
      <c r="J88" s="23">
        <f t="shared" si="23"/>
        <v>2111.5</v>
      </c>
      <c r="K88" s="23">
        <f t="shared" si="23"/>
        <v>249</v>
      </c>
      <c r="L88" s="23">
        <f t="shared" si="23"/>
        <v>2195</v>
      </c>
      <c r="M88" s="23">
        <f t="shared" si="23"/>
        <v>998.5</v>
      </c>
      <c r="N88" s="23">
        <f t="shared" si="23"/>
        <v>50787.5</v>
      </c>
      <c r="O88" s="23">
        <f t="shared" si="23"/>
        <v>13067.5</v>
      </c>
      <c r="P88" s="23">
        <f t="shared" si="23"/>
        <v>303.5</v>
      </c>
      <c r="Q88" s="23">
        <f t="shared" si="23"/>
        <v>36575</v>
      </c>
      <c r="R88" s="23">
        <f t="shared" si="23"/>
        <v>477.5</v>
      </c>
      <c r="S88" s="23">
        <f t="shared" si="23"/>
        <v>1644</v>
      </c>
      <c r="T88" s="23">
        <f t="shared" si="23"/>
        <v>166.5</v>
      </c>
      <c r="U88" s="23">
        <f t="shared" si="23"/>
        <v>48.5</v>
      </c>
      <c r="V88" s="23">
        <f t="shared" si="23"/>
        <v>265.5</v>
      </c>
      <c r="W88" s="23">
        <f t="shared" si="23"/>
        <v>66</v>
      </c>
      <c r="X88" s="23">
        <f t="shared" si="23"/>
        <v>30</v>
      </c>
      <c r="Y88" s="23">
        <f t="shared" si="23"/>
        <v>456</v>
      </c>
      <c r="Z88" s="23">
        <f t="shared" si="23"/>
        <v>235.5</v>
      </c>
      <c r="AA88" s="23">
        <f t="shared" si="23"/>
        <v>30979.5</v>
      </c>
      <c r="AB88" s="23">
        <f t="shared" si="23"/>
        <v>27171.5</v>
      </c>
      <c r="AC88" s="23">
        <f t="shared" si="23"/>
        <v>951</v>
      </c>
      <c r="AD88" s="23">
        <f t="shared" si="23"/>
        <v>1259.5</v>
      </c>
      <c r="AE88" s="23">
        <f t="shared" si="23"/>
        <v>92</v>
      </c>
      <c r="AF88" s="23">
        <f t="shared" si="23"/>
        <v>172</v>
      </c>
      <c r="AG88" s="23">
        <f t="shared" si="23"/>
        <v>609</v>
      </c>
      <c r="AH88" s="23">
        <f t="shared" si="23"/>
        <v>991.5</v>
      </c>
      <c r="AI88" s="23">
        <f t="shared" si="23"/>
        <v>365.5</v>
      </c>
      <c r="AJ88" s="23">
        <f t="shared" si="23"/>
        <v>153</v>
      </c>
      <c r="AK88" s="23">
        <f t="shared" si="23"/>
        <v>166.5</v>
      </c>
      <c r="AL88" s="23">
        <f t="shared" si="23"/>
        <v>259.5</v>
      </c>
      <c r="AM88" s="23">
        <f t="shared" si="23"/>
        <v>380</v>
      </c>
      <c r="AN88" s="23">
        <f t="shared" si="23"/>
        <v>318.5</v>
      </c>
      <c r="AO88" s="23">
        <f t="shared" si="23"/>
        <v>4241</v>
      </c>
      <c r="AP88" s="23">
        <f t="shared" si="23"/>
        <v>82330</v>
      </c>
      <c r="AQ88" s="23">
        <f t="shared" si="23"/>
        <v>244.5</v>
      </c>
      <c r="AR88" s="23">
        <f t="shared" si="23"/>
        <v>59455.5</v>
      </c>
      <c r="AS88" s="23">
        <f t="shared" si="23"/>
        <v>6343.5</v>
      </c>
      <c r="AT88" s="23">
        <f t="shared" si="23"/>
        <v>2293.5</v>
      </c>
      <c r="AU88" s="23">
        <f t="shared" si="23"/>
        <v>275</v>
      </c>
      <c r="AV88" s="23">
        <f t="shared" si="23"/>
        <v>329.5</v>
      </c>
      <c r="AW88" s="23">
        <f t="shared" si="23"/>
        <v>248.5</v>
      </c>
      <c r="AX88" s="23">
        <f t="shared" si="23"/>
        <v>69.5</v>
      </c>
      <c r="AY88" s="23">
        <f t="shared" si="23"/>
        <v>409.5</v>
      </c>
      <c r="AZ88" s="23">
        <f t="shared" si="23"/>
        <v>12298.5</v>
      </c>
      <c r="BA88" s="23">
        <f t="shared" si="23"/>
        <v>9225.5</v>
      </c>
      <c r="BB88" s="23">
        <f t="shared" si="23"/>
        <v>7727</v>
      </c>
      <c r="BC88" s="23">
        <f t="shared" si="23"/>
        <v>21009</v>
      </c>
      <c r="BD88" s="23">
        <f t="shared" si="23"/>
        <v>3622.5</v>
      </c>
      <c r="BE88" s="23">
        <f t="shared" si="23"/>
        <v>1286</v>
      </c>
      <c r="BF88" s="23">
        <f t="shared" si="23"/>
        <v>24490.5</v>
      </c>
      <c r="BG88" s="23">
        <f t="shared" si="23"/>
        <v>894</v>
      </c>
      <c r="BH88" s="23">
        <f t="shared" si="23"/>
        <v>566</v>
      </c>
      <c r="BI88" s="23">
        <f t="shared" si="23"/>
        <v>270</v>
      </c>
      <c r="BJ88" s="23">
        <f t="shared" si="23"/>
        <v>6299.5</v>
      </c>
      <c r="BK88" s="23">
        <f t="shared" si="23"/>
        <v>18861.5</v>
      </c>
      <c r="BL88" s="23">
        <f t="shared" si="23"/>
        <v>75.5</v>
      </c>
      <c r="BM88" s="23">
        <f t="shared" si="23"/>
        <v>303</v>
      </c>
      <c r="BN88" s="23">
        <f t="shared" si="23"/>
        <v>3219</v>
      </c>
      <c r="BO88" s="23">
        <f t="shared" si="23"/>
        <v>1303.5</v>
      </c>
      <c r="BP88" s="23">
        <f t="shared" si="23"/>
        <v>175</v>
      </c>
      <c r="BQ88" s="23">
        <f t="shared" si="23"/>
        <v>5661.5</v>
      </c>
      <c r="BR88" s="23">
        <f t="shared" si="23"/>
        <v>4525</v>
      </c>
      <c r="BS88" s="23">
        <f t="shared" si="23"/>
        <v>1123.5</v>
      </c>
      <c r="BT88" s="23">
        <f t="shared" si="23"/>
        <v>379.5</v>
      </c>
      <c r="BU88" s="23">
        <f t="shared" si="23"/>
        <v>395.5</v>
      </c>
      <c r="BV88" s="23">
        <f t="shared" si="23"/>
        <v>1232</v>
      </c>
      <c r="BW88" s="23">
        <f t="shared" si="23"/>
        <v>1990</v>
      </c>
      <c r="BX88" s="23">
        <f t="shared" si="23"/>
        <v>72.5</v>
      </c>
      <c r="BY88" s="23">
        <f t="shared" si="23"/>
        <v>451</v>
      </c>
      <c r="BZ88" s="23">
        <f t="shared" si="23"/>
        <v>217</v>
      </c>
      <c r="CA88" s="23">
        <f t="shared" si="23"/>
        <v>167.5</v>
      </c>
      <c r="CB88" s="23">
        <f t="shared" si="23"/>
        <v>72924.5</v>
      </c>
      <c r="CC88" s="23">
        <f t="shared" si="23"/>
        <v>186</v>
      </c>
      <c r="CD88" s="23">
        <f t="shared" si="23"/>
        <v>35.5</v>
      </c>
      <c r="CE88" s="23">
        <f t="shared" si="23"/>
        <v>156.5</v>
      </c>
      <c r="CF88" s="23">
        <f t="shared" si="23"/>
        <v>119</v>
      </c>
      <c r="CG88" s="23">
        <f t="shared" si="23"/>
        <v>202.5</v>
      </c>
      <c r="CH88" s="23">
        <f t="shared" si="23"/>
        <v>101.5</v>
      </c>
      <c r="CI88" s="23">
        <f t="shared" si="23"/>
        <v>715.5</v>
      </c>
      <c r="CJ88" s="23">
        <f t="shared" si="23"/>
        <v>900</v>
      </c>
      <c r="CK88" s="23">
        <f t="shared" si="23"/>
        <v>4395</v>
      </c>
      <c r="CL88" s="23">
        <f t="shared" si="23"/>
        <v>1269</v>
      </c>
      <c r="CM88" s="23">
        <f t="shared" si="23"/>
        <v>698</v>
      </c>
      <c r="CN88" s="23">
        <f t="shared" si="23"/>
        <v>28615</v>
      </c>
      <c r="CO88" s="23">
        <f t="shared" si="23"/>
        <v>14617</v>
      </c>
      <c r="CP88" s="23">
        <f t="shared" si="23"/>
        <v>983</v>
      </c>
      <c r="CQ88" s="23">
        <f t="shared" si="23"/>
        <v>805</v>
      </c>
      <c r="CR88" s="23">
        <f t="shared" si="23"/>
        <v>238</v>
      </c>
      <c r="CS88" s="23">
        <f t="shared" si="23"/>
        <v>308</v>
      </c>
      <c r="CT88" s="23">
        <f t="shared" si="23"/>
        <v>107.5</v>
      </c>
      <c r="CU88" s="23">
        <f t="shared" si="23"/>
        <v>69</v>
      </c>
      <c r="CV88" s="23">
        <f t="shared" si="23"/>
        <v>29.5</v>
      </c>
      <c r="CW88" s="23">
        <f t="shared" si="23"/>
        <v>195.5</v>
      </c>
      <c r="CX88" s="23">
        <f t="shared" si="23"/>
        <v>467.5</v>
      </c>
      <c r="CY88" s="23">
        <f t="shared" si="23"/>
        <v>37</v>
      </c>
      <c r="CZ88" s="23">
        <f t="shared" si="23"/>
        <v>1845</v>
      </c>
      <c r="DA88" s="23">
        <f t="shared" si="23"/>
        <v>203.5</v>
      </c>
      <c r="DB88" s="23">
        <f t="shared" si="23"/>
        <v>316</v>
      </c>
      <c r="DC88" s="23">
        <f t="shared" si="23"/>
        <v>162</v>
      </c>
      <c r="DD88" s="23">
        <f t="shared" si="23"/>
        <v>157</v>
      </c>
      <c r="DE88" s="23">
        <f t="shared" si="23"/>
        <v>291.5</v>
      </c>
      <c r="DF88" s="23">
        <f t="shared" si="23"/>
        <v>19957.5</v>
      </c>
      <c r="DG88" s="23">
        <f t="shared" si="23"/>
        <v>85</v>
      </c>
      <c r="DH88" s="23">
        <f t="shared" si="23"/>
        <v>1945</v>
      </c>
      <c r="DI88" s="23">
        <f t="shared" si="23"/>
        <v>2362.5</v>
      </c>
      <c r="DJ88" s="23">
        <f t="shared" si="23"/>
        <v>631.5</v>
      </c>
      <c r="DK88" s="23">
        <f t="shared" si="23"/>
        <v>468</v>
      </c>
      <c r="DL88" s="23">
        <f t="shared" si="23"/>
        <v>5726</v>
      </c>
      <c r="DM88" s="23">
        <f t="shared" si="23"/>
        <v>236</v>
      </c>
      <c r="DN88" s="23">
        <f t="shared" si="23"/>
        <v>1296.5</v>
      </c>
      <c r="DO88" s="23">
        <f t="shared" si="23"/>
        <v>3203</v>
      </c>
      <c r="DP88" s="23">
        <f t="shared" si="23"/>
        <v>208.5</v>
      </c>
      <c r="DQ88" s="23">
        <f t="shared" si="23"/>
        <v>798</v>
      </c>
      <c r="DR88" s="23">
        <f t="shared" si="23"/>
        <v>1356.5</v>
      </c>
      <c r="DS88" s="23">
        <f t="shared" si="23"/>
        <v>632</v>
      </c>
      <c r="DT88" s="23">
        <f t="shared" si="23"/>
        <v>163</v>
      </c>
      <c r="DU88" s="23">
        <f t="shared" si="23"/>
        <v>346.5</v>
      </c>
      <c r="DV88" s="23">
        <f t="shared" si="23"/>
        <v>218</v>
      </c>
      <c r="DW88" s="23">
        <f t="shared" si="23"/>
        <v>314</v>
      </c>
      <c r="DX88" s="23">
        <f t="shared" si="23"/>
        <v>160.5</v>
      </c>
      <c r="DY88" s="23">
        <f t="shared" si="23"/>
        <v>309.5</v>
      </c>
      <c r="DZ88" s="23">
        <f t="shared" si="23"/>
        <v>729.5</v>
      </c>
      <c r="EA88" s="23">
        <f t="shared" si="23"/>
        <v>533.5</v>
      </c>
      <c r="EB88" s="23">
        <f t="shared" si="23"/>
        <v>556.5</v>
      </c>
      <c r="EC88" s="23">
        <f t="shared" si="23"/>
        <v>306.5</v>
      </c>
      <c r="ED88" s="23">
        <f t="shared" si="23"/>
        <v>1552.5</v>
      </c>
      <c r="EE88" s="23">
        <f t="shared" si="23"/>
        <v>198</v>
      </c>
      <c r="EF88" s="23">
        <f t="shared" si="23"/>
        <v>1414</v>
      </c>
      <c r="EG88" s="23">
        <f t="shared" si="23"/>
        <v>252.5</v>
      </c>
      <c r="EH88" s="23">
        <f t="shared" si="23"/>
        <v>248.5</v>
      </c>
      <c r="EI88" s="23">
        <f t="shared" si="23"/>
        <v>14340.5</v>
      </c>
      <c r="EJ88" s="23">
        <f t="shared" si="23"/>
        <v>10073.5</v>
      </c>
      <c r="EK88" s="23">
        <f t="shared" si="23"/>
        <v>673.5</v>
      </c>
      <c r="EL88" s="23">
        <f t="shared" si="23"/>
        <v>457.5</v>
      </c>
      <c r="EM88" s="23">
        <f t="shared" si="23"/>
        <v>391.5</v>
      </c>
      <c r="EN88" s="23">
        <f t="shared" si="23"/>
        <v>896.5</v>
      </c>
      <c r="EO88" s="23">
        <f t="shared" si="23"/>
        <v>322</v>
      </c>
      <c r="EP88" s="23">
        <f t="shared" si="23"/>
        <v>424.5</v>
      </c>
      <c r="EQ88" s="23">
        <f t="shared" si="23"/>
        <v>2592.5</v>
      </c>
      <c r="ER88" s="23">
        <f t="shared" si="23"/>
        <v>316.5</v>
      </c>
      <c r="ES88" s="23">
        <f t="shared" si="23"/>
        <v>168.5</v>
      </c>
      <c r="ET88" s="23">
        <f t="shared" si="23"/>
        <v>166</v>
      </c>
      <c r="EU88" s="23">
        <f t="shared" si="23"/>
        <v>581</v>
      </c>
      <c r="EV88" s="23">
        <f t="shared" si="23"/>
        <v>80</v>
      </c>
      <c r="EW88" s="23">
        <f t="shared" si="23"/>
        <v>871</v>
      </c>
      <c r="EX88" s="23">
        <f t="shared" si="23"/>
        <v>165.5</v>
      </c>
      <c r="EY88" s="23">
        <f t="shared" si="23"/>
        <v>208.5</v>
      </c>
      <c r="EZ88" s="23">
        <f t="shared" si="23"/>
        <v>114</v>
      </c>
      <c r="FA88" s="23">
        <f t="shared" si="23"/>
        <v>3486</v>
      </c>
      <c r="FB88" s="23">
        <f t="shared" si="23"/>
        <v>286.5</v>
      </c>
      <c r="FC88" s="23">
        <f t="shared" si="23"/>
        <v>1944</v>
      </c>
      <c r="FD88" s="23">
        <f t="shared" si="23"/>
        <v>415</v>
      </c>
      <c r="FE88" s="23">
        <f t="shared" si="23"/>
        <v>82</v>
      </c>
      <c r="FF88" s="23">
        <f t="shared" si="23"/>
        <v>188</v>
      </c>
      <c r="FG88" s="23">
        <f t="shared" si="23"/>
        <v>124</v>
      </c>
      <c r="FH88" s="23">
        <f t="shared" si="23"/>
        <v>72</v>
      </c>
      <c r="FI88" s="23">
        <f t="shared" si="23"/>
        <v>1752</v>
      </c>
      <c r="FJ88" s="23">
        <f t="shared" si="23"/>
        <v>1998.5</v>
      </c>
      <c r="FK88" s="23">
        <f t="shared" si="23"/>
        <v>2612.5</v>
      </c>
      <c r="FL88" s="23">
        <f t="shared" si="23"/>
        <v>7995.5</v>
      </c>
      <c r="FM88" s="23">
        <f t="shared" si="23"/>
        <v>3731.5</v>
      </c>
      <c r="FN88" s="23">
        <f t="shared" si="23"/>
        <v>21573.5</v>
      </c>
      <c r="FO88" s="23">
        <f t="shared" si="23"/>
        <v>1104</v>
      </c>
      <c r="FP88" s="23">
        <f t="shared" si="23"/>
        <v>2342</v>
      </c>
      <c r="FQ88" s="23">
        <f t="shared" si="23"/>
        <v>994.5</v>
      </c>
      <c r="FR88" s="23">
        <f t="shared" si="23"/>
        <v>169.5</v>
      </c>
      <c r="FS88" s="23">
        <f t="shared" si="23"/>
        <v>179</v>
      </c>
      <c r="FT88" s="23">
        <f t="shared" si="23"/>
        <v>58</v>
      </c>
      <c r="FU88" s="23">
        <f t="shared" si="23"/>
        <v>832.5</v>
      </c>
      <c r="FV88" s="23">
        <f t="shared" si="23"/>
        <v>689</v>
      </c>
      <c r="FW88" s="23">
        <f t="shared" si="23"/>
        <v>156</v>
      </c>
      <c r="FX88" s="23">
        <f t="shared" si="23"/>
        <v>57.5</v>
      </c>
      <c r="FY88" s="23"/>
      <c r="FZ88" s="23">
        <f t="shared" si="20"/>
        <v>796687.5</v>
      </c>
      <c r="GA88" s="25"/>
      <c r="GB88" s="23"/>
      <c r="GC88" s="23"/>
      <c r="GD88" s="23"/>
      <c r="GE88" s="7"/>
      <c r="GF88" s="7"/>
      <c r="GG88" s="7"/>
      <c r="GH88" s="7"/>
      <c r="GI88" s="7"/>
      <c r="GJ88" s="7"/>
      <c r="GK88" s="7"/>
    </row>
    <row r="89" spans="1:195" ht="15.5" x14ac:dyDescent="0.35">
      <c r="A89" s="12" t="s">
        <v>808</v>
      </c>
      <c r="B89" s="7" t="s">
        <v>809</v>
      </c>
      <c r="C89" s="23">
        <f t="shared" ref="C89:FX89" si="24">C27</f>
        <v>6356.5</v>
      </c>
      <c r="D89" s="23">
        <f t="shared" si="24"/>
        <v>34775</v>
      </c>
      <c r="E89" s="23">
        <f t="shared" si="24"/>
        <v>5544</v>
      </c>
      <c r="F89" s="23">
        <f t="shared" si="24"/>
        <v>19613</v>
      </c>
      <c r="G89" s="23">
        <f t="shared" si="24"/>
        <v>1207.5</v>
      </c>
      <c r="H89" s="23">
        <f t="shared" si="24"/>
        <v>1096.5</v>
      </c>
      <c r="I89" s="23">
        <f t="shared" si="24"/>
        <v>7781</v>
      </c>
      <c r="J89" s="23">
        <f t="shared" si="24"/>
        <v>2171.5</v>
      </c>
      <c r="K89" s="23">
        <f t="shared" si="24"/>
        <v>233.5</v>
      </c>
      <c r="L89" s="23">
        <f t="shared" si="24"/>
        <v>2219.5</v>
      </c>
      <c r="M89" s="23">
        <f t="shared" si="24"/>
        <v>1047</v>
      </c>
      <c r="N89" s="23">
        <f t="shared" si="24"/>
        <v>51486.5</v>
      </c>
      <c r="O89" s="23">
        <f t="shared" si="24"/>
        <v>13342.5</v>
      </c>
      <c r="P89" s="23">
        <f t="shared" si="24"/>
        <v>270.5</v>
      </c>
      <c r="Q89" s="23">
        <f t="shared" si="24"/>
        <v>36070.5</v>
      </c>
      <c r="R89" s="23">
        <f t="shared" si="24"/>
        <v>474.5</v>
      </c>
      <c r="S89" s="23">
        <f t="shared" si="24"/>
        <v>1662.5</v>
      </c>
      <c r="T89" s="23">
        <f t="shared" si="24"/>
        <v>144.5</v>
      </c>
      <c r="U89" s="23">
        <f t="shared" si="24"/>
        <v>54.5</v>
      </c>
      <c r="V89" s="23">
        <f t="shared" si="24"/>
        <v>250</v>
      </c>
      <c r="W89" s="23">
        <f t="shared" si="24"/>
        <v>73.5</v>
      </c>
      <c r="X89" s="23">
        <f t="shared" si="24"/>
        <v>44</v>
      </c>
      <c r="Y89" s="23">
        <f t="shared" si="24"/>
        <v>434</v>
      </c>
      <c r="Z89" s="23">
        <f t="shared" si="24"/>
        <v>219</v>
      </c>
      <c r="AA89" s="23">
        <f t="shared" si="24"/>
        <v>30848.5</v>
      </c>
      <c r="AB89" s="23">
        <f t="shared" si="24"/>
        <v>27335.5</v>
      </c>
      <c r="AC89" s="23">
        <f t="shared" si="24"/>
        <v>960</v>
      </c>
      <c r="AD89" s="23">
        <f t="shared" si="24"/>
        <v>1252.5</v>
      </c>
      <c r="AE89" s="23">
        <f t="shared" si="24"/>
        <v>92.5</v>
      </c>
      <c r="AF89" s="23">
        <f t="shared" si="24"/>
        <v>174.5</v>
      </c>
      <c r="AG89" s="23">
        <f t="shared" si="24"/>
        <v>632</v>
      </c>
      <c r="AH89" s="23">
        <f t="shared" si="24"/>
        <v>1007</v>
      </c>
      <c r="AI89" s="23">
        <f t="shared" si="24"/>
        <v>331.5</v>
      </c>
      <c r="AJ89" s="23">
        <f t="shared" si="24"/>
        <v>140.5</v>
      </c>
      <c r="AK89" s="23">
        <f t="shared" si="24"/>
        <v>177.5</v>
      </c>
      <c r="AL89" s="23">
        <f t="shared" si="24"/>
        <v>237.5</v>
      </c>
      <c r="AM89" s="23">
        <f t="shared" si="24"/>
        <v>403</v>
      </c>
      <c r="AN89" s="23">
        <f t="shared" si="24"/>
        <v>331.5</v>
      </c>
      <c r="AO89" s="23">
        <f t="shared" si="24"/>
        <v>4360.5</v>
      </c>
      <c r="AP89" s="23">
        <f t="shared" si="24"/>
        <v>83793</v>
      </c>
      <c r="AQ89" s="23">
        <f t="shared" si="24"/>
        <v>241</v>
      </c>
      <c r="AR89" s="23">
        <f t="shared" si="24"/>
        <v>60239.5</v>
      </c>
      <c r="AS89" s="23">
        <f t="shared" si="24"/>
        <v>6425.5</v>
      </c>
      <c r="AT89" s="23">
        <f t="shared" si="24"/>
        <v>2232</v>
      </c>
      <c r="AU89" s="23">
        <f t="shared" si="24"/>
        <v>255</v>
      </c>
      <c r="AV89" s="23">
        <f t="shared" si="24"/>
        <v>304</v>
      </c>
      <c r="AW89" s="23">
        <f t="shared" si="24"/>
        <v>254</v>
      </c>
      <c r="AX89" s="23">
        <f t="shared" si="24"/>
        <v>71.5</v>
      </c>
      <c r="AY89" s="23">
        <f t="shared" si="24"/>
        <v>426</v>
      </c>
      <c r="AZ89" s="23">
        <f t="shared" si="24"/>
        <v>12587</v>
      </c>
      <c r="BA89" s="23">
        <f t="shared" si="24"/>
        <v>8981</v>
      </c>
      <c r="BB89" s="23">
        <f t="shared" si="24"/>
        <v>7862.5</v>
      </c>
      <c r="BC89" s="23">
        <f t="shared" si="24"/>
        <v>21479.5</v>
      </c>
      <c r="BD89" s="23">
        <f t="shared" si="24"/>
        <v>3545</v>
      </c>
      <c r="BE89" s="23">
        <f t="shared" si="24"/>
        <v>1295.5</v>
      </c>
      <c r="BF89" s="23">
        <f t="shared" si="24"/>
        <v>24154.5</v>
      </c>
      <c r="BG89" s="23">
        <f t="shared" si="24"/>
        <v>891.5</v>
      </c>
      <c r="BH89" s="23">
        <f t="shared" si="24"/>
        <v>546.5</v>
      </c>
      <c r="BI89" s="23">
        <f t="shared" si="24"/>
        <v>258</v>
      </c>
      <c r="BJ89" s="23">
        <f t="shared" si="24"/>
        <v>6328.5</v>
      </c>
      <c r="BK89" s="23">
        <f t="shared" si="24"/>
        <v>18568.5</v>
      </c>
      <c r="BL89" s="23">
        <f t="shared" si="24"/>
        <v>104</v>
      </c>
      <c r="BM89" s="23">
        <f t="shared" si="24"/>
        <v>288</v>
      </c>
      <c r="BN89" s="23">
        <f t="shared" si="24"/>
        <v>3250</v>
      </c>
      <c r="BO89" s="23">
        <f t="shared" si="24"/>
        <v>1341</v>
      </c>
      <c r="BP89" s="23">
        <f t="shared" si="24"/>
        <v>194</v>
      </c>
      <c r="BQ89" s="23">
        <f t="shared" si="24"/>
        <v>5572.5</v>
      </c>
      <c r="BR89" s="23">
        <f t="shared" si="24"/>
        <v>4487</v>
      </c>
      <c r="BS89" s="23">
        <f t="shared" si="24"/>
        <v>1138.5</v>
      </c>
      <c r="BT89" s="23">
        <f t="shared" si="24"/>
        <v>412.5</v>
      </c>
      <c r="BU89" s="23">
        <f t="shared" si="24"/>
        <v>398</v>
      </c>
      <c r="BV89" s="23">
        <f t="shared" si="24"/>
        <v>1248.5</v>
      </c>
      <c r="BW89" s="23">
        <f t="shared" si="24"/>
        <v>2006.5</v>
      </c>
      <c r="BX89" s="23">
        <f t="shared" si="24"/>
        <v>69</v>
      </c>
      <c r="BY89" s="23">
        <f t="shared" si="24"/>
        <v>466</v>
      </c>
      <c r="BZ89" s="23">
        <f t="shared" si="24"/>
        <v>199</v>
      </c>
      <c r="CA89" s="23">
        <f t="shared" si="24"/>
        <v>153</v>
      </c>
      <c r="CB89" s="23">
        <f t="shared" si="24"/>
        <v>73784</v>
      </c>
      <c r="CC89" s="23">
        <f t="shared" si="24"/>
        <v>187</v>
      </c>
      <c r="CD89" s="23">
        <f t="shared" si="24"/>
        <v>32.5</v>
      </c>
      <c r="CE89" s="23">
        <f t="shared" si="24"/>
        <v>125.5</v>
      </c>
      <c r="CF89" s="23">
        <f t="shared" si="24"/>
        <v>141.5</v>
      </c>
      <c r="CG89" s="23">
        <f t="shared" si="24"/>
        <v>209</v>
      </c>
      <c r="CH89" s="23">
        <f t="shared" si="24"/>
        <v>102</v>
      </c>
      <c r="CI89" s="23">
        <f t="shared" si="24"/>
        <v>687.5</v>
      </c>
      <c r="CJ89" s="23">
        <f t="shared" si="24"/>
        <v>910.5</v>
      </c>
      <c r="CK89" s="23">
        <f t="shared" si="24"/>
        <v>4431.5</v>
      </c>
      <c r="CL89" s="23">
        <f t="shared" si="24"/>
        <v>1311.5</v>
      </c>
      <c r="CM89" s="23">
        <f t="shared" si="24"/>
        <v>688</v>
      </c>
      <c r="CN89" s="23">
        <f t="shared" si="24"/>
        <v>28349</v>
      </c>
      <c r="CO89" s="23">
        <f t="shared" si="24"/>
        <v>14746.5</v>
      </c>
      <c r="CP89" s="23">
        <f t="shared" si="24"/>
        <v>997</v>
      </c>
      <c r="CQ89" s="23">
        <f t="shared" si="24"/>
        <v>783.5</v>
      </c>
      <c r="CR89" s="23">
        <f t="shared" si="24"/>
        <v>214.5</v>
      </c>
      <c r="CS89" s="23">
        <f t="shared" si="24"/>
        <v>314</v>
      </c>
      <c r="CT89" s="23">
        <f t="shared" si="24"/>
        <v>101.5</v>
      </c>
      <c r="CU89" s="23">
        <f t="shared" si="24"/>
        <v>83</v>
      </c>
      <c r="CV89" s="23">
        <f t="shared" si="24"/>
        <v>28</v>
      </c>
      <c r="CW89" s="23">
        <f t="shared" si="24"/>
        <v>188.5</v>
      </c>
      <c r="CX89" s="23">
        <f t="shared" si="24"/>
        <v>454</v>
      </c>
      <c r="CY89" s="23">
        <f t="shared" si="24"/>
        <v>36.5</v>
      </c>
      <c r="CZ89" s="23">
        <f t="shared" si="24"/>
        <v>1888</v>
      </c>
      <c r="DA89" s="23">
        <f t="shared" si="24"/>
        <v>197</v>
      </c>
      <c r="DB89" s="23">
        <f t="shared" si="24"/>
        <v>308.5</v>
      </c>
      <c r="DC89" s="23">
        <f t="shared" si="24"/>
        <v>142</v>
      </c>
      <c r="DD89" s="23">
        <f t="shared" si="24"/>
        <v>156</v>
      </c>
      <c r="DE89" s="23">
        <f t="shared" si="24"/>
        <v>287.5</v>
      </c>
      <c r="DF89" s="23">
        <f t="shared" si="24"/>
        <v>20440</v>
      </c>
      <c r="DG89" s="23">
        <f t="shared" si="24"/>
        <v>79</v>
      </c>
      <c r="DH89" s="23">
        <f t="shared" si="24"/>
        <v>1945</v>
      </c>
      <c r="DI89" s="23">
        <f t="shared" si="24"/>
        <v>2491</v>
      </c>
      <c r="DJ89" s="23">
        <f t="shared" si="24"/>
        <v>662.5</v>
      </c>
      <c r="DK89" s="23">
        <f t="shared" si="24"/>
        <v>454</v>
      </c>
      <c r="DL89" s="23">
        <f t="shared" si="24"/>
        <v>5766</v>
      </c>
      <c r="DM89" s="23">
        <f t="shared" si="24"/>
        <v>237</v>
      </c>
      <c r="DN89" s="23">
        <f t="shared" si="24"/>
        <v>1321</v>
      </c>
      <c r="DO89" s="23">
        <f t="shared" si="24"/>
        <v>3212.5</v>
      </c>
      <c r="DP89" s="23">
        <f t="shared" si="24"/>
        <v>203.5</v>
      </c>
      <c r="DQ89" s="23">
        <f t="shared" si="24"/>
        <v>764</v>
      </c>
      <c r="DR89" s="23">
        <f t="shared" si="24"/>
        <v>1354</v>
      </c>
      <c r="DS89" s="23">
        <f t="shared" si="24"/>
        <v>679.5</v>
      </c>
      <c r="DT89" s="23">
        <f t="shared" si="24"/>
        <v>150</v>
      </c>
      <c r="DU89" s="23">
        <f t="shared" si="24"/>
        <v>367.5</v>
      </c>
      <c r="DV89" s="23">
        <f t="shared" si="24"/>
        <v>217</v>
      </c>
      <c r="DW89" s="23">
        <f t="shared" si="24"/>
        <v>311.5</v>
      </c>
      <c r="DX89" s="23">
        <f t="shared" si="24"/>
        <v>174</v>
      </c>
      <c r="DY89" s="23">
        <f t="shared" si="24"/>
        <v>310.5</v>
      </c>
      <c r="DZ89" s="23">
        <f t="shared" si="24"/>
        <v>759</v>
      </c>
      <c r="EA89" s="23">
        <f t="shared" si="24"/>
        <v>525.5</v>
      </c>
      <c r="EB89" s="23">
        <f t="shared" si="24"/>
        <v>582</v>
      </c>
      <c r="EC89" s="23">
        <f t="shared" si="24"/>
        <v>311</v>
      </c>
      <c r="ED89" s="23">
        <f t="shared" si="24"/>
        <v>1635.5</v>
      </c>
      <c r="EE89" s="23">
        <f t="shared" si="24"/>
        <v>181</v>
      </c>
      <c r="EF89" s="23">
        <f t="shared" si="24"/>
        <v>1471</v>
      </c>
      <c r="EG89" s="23">
        <f t="shared" si="24"/>
        <v>247</v>
      </c>
      <c r="EH89" s="23">
        <f t="shared" si="24"/>
        <v>242.5</v>
      </c>
      <c r="EI89" s="23">
        <f t="shared" si="24"/>
        <v>14421.5</v>
      </c>
      <c r="EJ89" s="23">
        <f t="shared" si="24"/>
        <v>10062.5</v>
      </c>
      <c r="EK89" s="23">
        <f t="shared" si="24"/>
        <v>681</v>
      </c>
      <c r="EL89" s="23">
        <f t="shared" si="24"/>
        <v>468</v>
      </c>
      <c r="EM89" s="23">
        <f t="shared" si="24"/>
        <v>406</v>
      </c>
      <c r="EN89" s="23">
        <f t="shared" si="24"/>
        <v>930</v>
      </c>
      <c r="EO89" s="23">
        <f t="shared" si="24"/>
        <v>329</v>
      </c>
      <c r="EP89" s="23">
        <f t="shared" si="24"/>
        <v>398.5</v>
      </c>
      <c r="EQ89" s="23">
        <f t="shared" si="24"/>
        <v>2589.5</v>
      </c>
      <c r="ER89" s="23">
        <f t="shared" si="24"/>
        <v>302</v>
      </c>
      <c r="ES89" s="23">
        <f t="shared" si="24"/>
        <v>145.5</v>
      </c>
      <c r="ET89" s="23">
        <f t="shared" si="24"/>
        <v>202</v>
      </c>
      <c r="EU89" s="23">
        <f t="shared" si="24"/>
        <v>582.5</v>
      </c>
      <c r="EV89" s="23">
        <f t="shared" si="24"/>
        <v>74</v>
      </c>
      <c r="EW89" s="23">
        <f t="shared" si="24"/>
        <v>879.5</v>
      </c>
      <c r="EX89" s="23">
        <f t="shared" si="24"/>
        <v>174.5</v>
      </c>
      <c r="EY89" s="23">
        <f t="shared" si="24"/>
        <v>210.5</v>
      </c>
      <c r="EZ89" s="23">
        <f t="shared" si="24"/>
        <v>134.5</v>
      </c>
      <c r="FA89" s="23">
        <f t="shared" si="24"/>
        <v>3492</v>
      </c>
      <c r="FB89" s="23">
        <f t="shared" si="24"/>
        <v>336</v>
      </c>
      <c r="FC89" s="23">
        <f t="shared" si="24"/>
        <v>2023.5</v>
      </c>
      <c r="FD89" s="23">
        <f t="shared" si="24"/>
        <v>399.5</v>
      </c>
      <c r="FE89" s="23">
        <f t="shared" si="24"/>
        <v>86</v>
      </c>
      <c r="FF89" s="23">
        <f t="shared" si="24"/>
        <v>201</v>
      </c>
      <c r="FG89" s="23">
        <f t="shared" si="24"/>
        <v>125</v>
      </c>
      <c r="FH89" s="23">
        <f t="shared" si="24"/>
        <v>65</v>
      </c>
      <c r="FI89" s="23">
        <f t="shared" si="24"/>
        <v>1785</v>
      </c>
      <c r="FJ89" s="23">
        <f t="shared" si="24"/>
        <v>1999.5</v>
      </c>
      <c r="FK89" s="23">
        <f t="shared" si="24"/>
        <v>2534</v>
      </c>
      <c r="FL89" s="23">
        <f t="shared" si="24"/>
        <v>7895.5</v>
      </c>
      <c r="FM89" s="23">
        <f t="shared" si="24"/>
        <v>3662</v>
      </c>
      <c r="FN89" s="23">
        <f t="shared" si="24"/>
        <v>21110.5</v>
      </c>
      <c r="FO89" s="23">
        <f t="shared" si="24"/>
        <v>1090.5</v>
      </c>
      <c r="FP89" s="23">
        <f t="shared" si="24"/>
        <v>2312.5</v>
      </c>
      <c r="FQ89" s="23">
        <f t="shared" si="24"/>
        <v>1016.5</v>
      </c>
      <c r="FR89" s="23">
        <f t="shared" si="24"/>
        <v>179</v>
      </c>
      <c r="FS89" s="23">
        <f t="shared" si="24"/>
        <v>183</v>
      </c>
      <c r="FT89" s="23">
        <f t="shared" si="24"/>
        <v>59.5</v>
      </c>
      <c r="FU89" s="23">
        <f t="shared" si="24"/>
        <v>818.5</v>
      </c>
      <c r="FV89" s="23">
        <f t="shared" si="24"/>
        <v>700.5</v>
      </c>
      <c r="FW89" s="23">
        <f t="shared" si="24"/>
        <v>172.5</v>
      </c>
      <c r="FX89" s="23">
        <f t="shared" si="24"/>
        <v>53.5</v>
      </c>
      <c r="FY89" s="23"/>
      <c r="FZ89" s="23">
        <f t="shared" si="20"/>
        <v>801194</v>
      </c>
      <c r="GA89" s="26"/>
      <c r="GB89" s="23"/>
      <c r="GC89" s="23"/>
      <c r="GD89" s="23"/>
      <c r="GE89" s="7"/>
      <c r="GF89" s="7"/>
      <c r="GG89" s="7"/>
      <c r="GH89" s="7"/>
      <c r="GI89" s="7"/>
      <c r="GJ89" s="7"/>
      <c r="GK89" s="7"/>
      <c r="GL89" s="23"/>
      <c r="GM89" s="23"/>
    </row>
    <row r="90" spans="1:195" ht="15.5" x14ac:dyDescent="0.35">
      <c r="A90" s="12" t="s">
        <v>546</v>
      </c>
      <c r="B90" s="7" t="s">
        <v>810</v>
      </c>
      <c r="C90" s="23">
        <f t="shared" ref="C90:FX90" si="25">ROUND(MAX(C85,ROUND(AVERAGE(C85:C86),1),ROUND(AVERAGE(C85:C87),1),ROUND(AVERAGE(C85:C88),1),ROUND(AVERAGE(C85:C89),1)),1)</f>
        <v>6384.5</v>
      </c>
      <c r="D90" s="23">
        <f t="shared" si="25"/>
        <v>33429.4</v>
      </c>
      <c r="E90" s="23">
        <f t="shared" si="25"/>
        <v>5075.1000000000004</v>
      </c>
      <c r="F90" s="23">
        <f t="shared" si="25"/>
        <v>21462.5</v>
      </c>
      <c r="G90" s="23">
        <f t="shared" si="25"/>
        <v>1844</v>
      </c>
      <c r="H90" s="23">
        <f t="shared" si="25"/>
        <v>1095.7</v>
      </c>
      <c r="I90" s="23">
        <f t="shared" si="25"/>
        <v>7305.8</v>
      </c>
      <c r="J90" s="23">
        <f t="shared" si="25"/>
        <v>2066.8000000000002</v>
      </c>
      <c r="K90" s="23">
        <f t="shared" si="25"/>
        <v>251.7</v>
      </c>
      <c r="L90" s="23">
        <f t="shared" si="25"/>
        <v>2133.1</v>
      </c>
      <c r="M90" s="23">
        <f t="shared" si="25"/>
        <v>936.7</v>
      </c>
      <c r="N90" s="23">
        <f t="shared" si="25"/>
        <v>50357.5</v>
      </c>
      <c r="O90" s="23">
        <f t="shared" si="25"/>
        <v>12808.1</v>
      </c>
      <c r="P90" s="23">
        <f t="shared" si="25"/>
        <v>315.3</v>
      </c>
      <c r="Q90" s="23">
        <f t="shared" si="25"/>
        <v>37352</v>
      </c>
      <c r="R90" s="23">
        <f t="shared" si="25"/>
        <v>481.8</v>
      </c>
      <c r="S90" s="23">
        <f t="shared" si="25"/>
        <v>1590.9</v>
      </c>
      <c r="T90" s="23">
        <f t="shared" si="25"/>
        <v>161.1</v>
      </c>
      <c r="U90" s="23">
        <f t="shared" si="25"/>
        <v>55.5</v>
      </c>
      <c r="V90" s="23">
        <f t="shared" si="25"/>
        <v>256.39999999999998</v>
      </c>
      <c r="W90" s="23">
        <f t="shared" si="25"/>
        <v>58.7</v>
      </c>
      <c r="X90" s="23">
        <f t="shared" si="25"/>
        <v>37.5</v>
      </c>
      <c r="Y90" s="23">
        <f t="shared" si="25"/>
        <v>423.8</v>
      </c>
      <c r="Z90" s="23">
        <f t="shared" si="25"/>
        <v>231.1</v>
      </c>
      <c r="AA90" s="23">
        <f t="shared" si="25"/>
        <v>30547.1</v>
      </c>
      <c r="AB90" s="23">
        <f t="shared" si="25"/>
        <v>26947.5</v>
      </c>
      <c r="AC90" s="23">
        <f t="shared" si="25"/>
        <v>906.3</v>
      </c>
      <c r="AD90" s="23">
        <f t="shared" si="25"/>
        <v>1281</v>
      </c>
      <c r="AE90" s="23">
        <f t="shared" si="25"/>
        <v>97</v>
      </c>
      <c r="AF90" s="23">
        <f t="shared" si="25"/>
        <v>167.5</v>
      </c>
      <c r="AG90" s="23">
        <f t="shared" si="25"/>
        <v>601.1</v>
      </c>
      <c r="AH90" s="23">
        <f t="shared" si="25"/>
        <v>957.7</v>
      </c>
      <c r="AI90" s="23">
        <f t="shared" si="25"/>
        <v>383</v>
      </c>
      <c r="AJ90" s="23">
        <f t="shared" si="25"/>
        <v>181.5</v>
      </c>
      <c r="AK90" s="23">
        <f t="shared" si="25"/>
        <v>165.7</v>
      </c>
      <c r="AL90" s="23">
        <f t="shared" si="25"/>
        <v>288.5</v>
      </c>
      <c r="AM90" s="23">
        <f t="shared" si="25"/>
        <v>352.6</v>
      </c>
      <c r="AN90" s="23">
        <f t="shared" si="25"/>
        <v>299.5</v>
      </c>
      <c r="AO90" s="23">
        <f t="shared" si="25"/>
        <v>4035.4</v>
      </c>
      <c r="AP90" s="23">
        <f t="shared" si="25"/>
        <v>83959.5</v>
      </c>
      <c r="AQ90" s="23">
        <f t="shared" si="25"/>
        <v>251</v>
      </c>
      <c r="AR90" s="23">
        <f t="shared" si="25"/>
        <v>58674.8</v>
      </c>
      <c r="AS90" s="23">
        <f t="shared" si="25"/>
        <v>6182.7</v>
      </c>
      <c r="AT90" s="23">
        <f t="shared" si="25"/>
        <v>2358</v>
      </c>
      <c r="AU90" s="23">
        <f t="shared" si="25"/>
        <v>271</v>
      </c>
      <c r="AV90" s="23">
        <f t="shared" si="25"/>
        <v>305.39999999999998</v>
      </c>
      <c r="AW90" s="23">
        <f t="shared" si="25"/>
        <v>255</v>
      </c>
      <c r="AX90" s="23">
        <f t="shared" si="25"/>
        <v>81</v>
      </c>
      <c r="AY90" s="23">
        <f t="shared" si="25"/>
        <v>406.8</v>
      </c>
      <c r="AZ90" s="23">
        <f t="shared" si="25"/>
        <v>12121</v>
      </c>
      <c r="BA90" s="23">
        <f t="shared" si="25"/>
        <v>8895.7999999999993</v>
      </c>
      <c r="BB90" s="23">
        <f t="shared" si="25"/>
        <v>7554.1</v>
      </c>
      <c r="BC90" s="23">
        <f t="shared" si="25"/>
        <v>21205.8</v>
      </c>
      <c r="BD90" s="23">
        <f t="shared" si="25"/>
        <v>3633.5</v>
      </c>
      <c r="BE90" s="23">
        <f t="shared" si="25"/>
        <v>1198.7</v>
      </c>
      <c r="BF90" s="23">
        <f t="shared" si="25"/>
        <v>24352.6</v>
      </c>
      <c r="BG90" s="23">
        <f t="shared" si="25"/>
        <v>920.5</v>
      </c>
      <c r="BH90" s="23">
        <f t="shared" si="25"/>
        <v>543.5</v>
      </c>
      <c r="BI90" s="23">
        <f t="shared" si="25"/>
        <v>257.39999999999998</v>
      </c>
      <c r="BJ90" s="23">
        <f t="shared" si="25"/>
        <v>6294</v>
      </c>
      <c r="BK90" s="23">
        <f t="shared" si="25"/>
        <v>21812.5</v>
      </c>
      <c r="BL90" s="23">
        <f t="shared" si="25"/>
        <v>74.3</v>
      </c>
      <c r="BM90" s="23">
        <f t="shared" si="25"/>
        <v>340.8</v>
      </c>
      <c r="BN90" s="23">
        <f t="shared" si="25"/>
        <v>3100</v>
      </c>
      <c r="BO90" s="23">
        <f t="shared" si="25"/>
        <v>1254.3</v>
      </c>
      <c r="BP90" s="23">
        <f t="shared" si="25"/>
        <v>160.4</v>
      </c>
      <c r="BQ90" s="23">
        <f t="shared" si="25"/>
        <v>5632.1</v>
      </c>
      <c r="BR90" s="23">
        <f t="shared" si="25"/>
        <v>4488.3999999999996</v>
      </c>
      <c r="BS90" s="23">
        <f t="shared" si="25"/>
        <v>1158</v>
      </c>
      <c r="BT90" s="23">
        <f t="shared" si="25"/>
        <v>372.5</v>
      </c>
      <c r="BU90" s="23">
        <f t="shared" si="25"/>
        <v>393.7</v>
      </c>
      <c r="BV90" s="23">
        <f t="shared" si="25"/>
        <v>1245.3</v>
      </c>
      <c r="BW90" s="23">
        <f t="shared" si="25"/>
        <v>2017.5</v>
      </c>
      <c r="BX90" s="23">
        <f t="shared" si="25"/>
        <v>66.5</v>
      </c>
      <c r="BY90" s="23">
        <f t="shared" si="25"/>
        <v>430.6</v>
      </c>
      <c r="BZ90" s="23">
        <f t="shared" si="25"/>
        <v>228</v>
      </c>
      <c r="CA90" s="23">
        <f t="shared" si="25"/>
        <v>146.19999999999999</v>
      </c>
      <c r="CB90" s="23">
        <f t="shared" si="25"/>
        <v>71728.7</v>
      </c>
      <c r="CC90" s="23">
        <f t="shared" si="25"/>
        <v>189.3</v>
      </c>
      <c r="CD90" s="23">
        <f t="shared" si="25"/>
        <v>30</v>
      </c>
      <c r="CE90" s="23">
        <f t="shared" si="25"/>
        <v>158.30000000000001</v>
      </c>
      <c r="CF90" s="23">
        <f t="shared" si="25"/>
        <v>112.5</v>
      </c>
      <c r="CG90" s="23">
        <f t="shared" si="25"/>
        <v>199.9</v>
      </c>
      <c r="CH90" s="23">
        <f t="shared" si="25"/>
        <v>96.5</v>
      </c>
      <c r="CI90" s="23">
        <f t="shared" si="25"/>
        <v>687.9</v>
      </c>
      <c r="CJ90" s="23">
        <f t="shared" si="25"/>
        <v>872.3</v>
      </c>
      <c r="CK90" s="23">
        <f t="shared" si="25"/>
        <v>4303.8</v>
      </c>
      <c r="CL90" s="23">
        <f t="shared" si="25"/>
        <v>1228.4000000000001</v>
      </c>
      <c r="CM90" s="23">
        <f t="shared" si="25"/>
        <v>684.3</v>
      </c>
      <c r="CN90" s="23">
        <f t="shared" si="25"/>
        <v>28245.5</v>
      </c>
      <c r="CO90" s="23">
        <f t="shared" si="25"/>
        <v>14319.6</v>
      </c>
      <c r="CP90" s="23">
        <f t="shared" si="25"/>
        <v>928.6</v>
      </c>
      <c r="CQ90" s="23">
        <f t="shared" si="25"/>
        <v>770.1</v>
      </c>
      <c r="CR90" s="23">
        <f t="shared" si="25"/>
        <v>215.8</v>
      </c>
      <c r="CS90" s="23">
        <f t="shared" si="25"/>
        <v>285.5</v>
      </c>
      <c r="CT90" s="23">
        <f t="shared" si="25"/>
        <v>113.5</v>
      </c>
      <c r="CU90" s="23">
        <f t="shared" si="25"/>
        <v>71.8</v>
      </c>
      <c r="CV90" s="23">
        <f t="shared" si="25"/>
        <v>25.4</v>
      </c>
      <c r="CW90" s="23">
        <f t="shared" si="25"/>
        <v>198.7</v>
      </c>
      <c r="CX90" s="23">
        <f t="shared" si="25"/>
        <v>461.4</v>
      </c>
      <c r="CY90" s="23">
        <f t="shared" si="25"/>
        <v>30.9</v>
      </c>
      <c r="CZ90" s="23">
        <f t="shared" si="25"/>
        <v>1806.6</v>
      </c>
      <c r="DA90" s="23">
        <f t="shared" si="25"/>
        <v>203.5</v>
      </c>
      <c r="DB90" s="23">
        <f t="shared" si="25"/>
        <v>315.8</v>
      </c>
      <c r="DC90" s="23">
        <f t="shared" si="25"/>
        <v>193</v>
      </c>
      <c r="DD90" s="23">
        <f t="shared" si="25"/>
        <v>174.5</v>
      </c>
      <c r="DE90" s="23">
        <f t="shared" si="25"/>
        <v>285.3</v>
      </c>
      <c r="DF90" s="23">
        <f t="shared" si="25"/>
        <v>19403.3</v>
      </c>
      <c r="DG90" s="23">
        <f t="shared" si="25"/>
        <v>93.5</v>
      </c>
      <c r="DH90" s="23">
        <f t="shared" si="25"/>
        <v>1805.4</v>
      </c>
      <c r="DI90" s="23">
        <f t="shared" si="25"/>
        <v>2369</v>
      </c>
      <c r="DJ90" s="23">
        <f t="shared" si="25"/>
        <v>623</v>
      </c>
      <c r="DK90" s="23">
        <f t="shared" si="25"/>
        <v>477.7</v>
      </c>
      <c r="DL90" s="23">
        <f t="shared" si="25"/>
        <v>5693.9</v>
      </c>
      <c r="DM90" s="23">
        <f t="shared" si="25"/>
        <v>235</v>
      </c>
      <c r="DN90" s="23">
        <f t="shared" si="25"/>
        <v>1294.5</v>
      </c>
      <c r="DO90" s="23">
        <f t="shared" si="25"/>
        <v>3290</v>
      </c>
      <c r="DP90" s="23">
        <f t="shared" si="25"/>
        <v>200</v>
      </c>
      <c r="DQ90" s="23">
        <f t="shared" si="25"/>
        <v>887</v>
      </c>
      <c r="DR90" s="23">
        <f t="shared" si="25"/>
        <v>1315.1</v>
      </c>
      <c r="DS90" s="23">
        <f t="shared" si="25"/>
        <v>599.9</v>
      </c>
      <c r="DT90" s="23">
        <f t="shared" si="25"/>
        <v>176.5</v>
      </c>
      <c r="DU90" s="23">
        <f t="shared" si="25"/>
        <v>351.4</v>
      </c>
      <c r="DV90" s="23">
        <f t="shared" si="25"/>
        <v>208</v>
      </c>
      <c r="DW90" s="23">
        <f t="shared" si="25"/>
        <v>300.2</v>
      </c>
      <c r="DX90" s="23">
        <f t="shared" si="25"/>
        <v>168</v>
      </c>
      <c r="DY90" s="23">
        <f t="shared" si="25"/>
        <v>296.60000000000002</v>
      </c>
      <c r="DZ90" s="23">
        <f t="shared" si="25"/>
        <v>680.8</v>
      </c>
      <c r="EA90" s="23">
        <f t="shared" si="25"/>
        <v>510.6</v>
      </c>
      <c r="EB90" s="23">
        <f t="shared" si="25"/>
        <v>534.4</v>
      </c>
      <c r="EC90" s="23">
        <f t="shared" si="25"/>
        <v>285.10000000000002</v>
      </c>
      <c r="ED90" s="23">
        <f t="shared" si="25"/>
        <v>1561.8</v>
      </c>
      <c r="EE90" s="23">
        <f t="shared" si="25"/>
        <v>191.6</v>
      </c>
      <c r="EF90" s="23">
        <f t="shared" si="25"/>
        <v>1353.2</v>
      </c>
      <c r="EG90" s="23">
        <f t="shared" si="25"/>
        <v>253.5</v>
      </c>
      <c r="EH90" s="23">
        <f t="shared" si="25"/>
        <v>247.4</v>
      </c>
      <c r="EI90" s="23">
        <f t="shared" si="25"/>
        <v>13865.8</v>
      </c>
      <c r="EJ90" s="23">
        <f t="shared" si="25"/>
        <v>9949.7999999999993</v>
      </c>
      <c r="EK90" s="23">
        <f t="shared" si="25"/>
        <v>668.7</v>
      </c>
      <c r="EL90" s="23">
        <f t="shared" si="25"/>
        <v>459.4</v>
      </c>
      <c r="EM90" s="23">
        <f t="shared" si="25"/>
        <v>378.1</v>
      </c>
      <c r="EN90" s="23">
        <f t="shared" si="25"/>
        <v>896.9</v>
      </c>
      <c r="EO90" s="23">
        <f t="shared" si="25"/>
        <v>305.39999999999998</v>
      </c>
      <c r="EP90" s="23">
        <f t="shared" si="25"/>
        <v>428.5</v>
      </c>
      <c r="EQ90" s="23">
        <f t="shared" si="25"/>
        <v>2511.1999999999998</v>
      </c>
      <c r="ER90" s="23">
        <f t="shared" si="25"/>
        <v>307.60000000000002</v>
      </c>
      <c r="ES90" s="23">
        <f t="shared" si="25"/>
        <v>161.5</v>
      </c>
      <c r="ET90" s="23">
        <f t="shared" si="25"/>
        <v>197.5</v>
      </c>
      <c r="EU90" s="23">
        <f t="shared" si="25"/>
        <v>575.29999999999995</v>
      </c>
      <c r="EV90" s="23">
        <f t="shared" si="25"/>
        <v>72.599999999999994</v>
      </c>
      <c r="EW90" s="23">
        <f t="shared" si="25"/>
        <v>819.4</v>
      </c>
      <c r="EX90" s="23">
        <f t="shared" si="25"/>
        <v>173.5</v>
      </c>
      <c r="EY90" s="23">
        <f t="shared" si="25"/>
        <v>206.5</v>
      </c>
      <c r="EZ90" s="23">
        <f t="shared" si="25"/>
        <v>129.30000000000001</v>
      </c>
      <c r="FA90" s="23">
        <f t="shared" si="25"/>
        <v>3385.2</v>
      </c>
      <c r="FB90" s="23">
        <f t="shared" si="25"/>
        <v>288.10000000000002</v>
      </c>
      <c r="FC90" s="23">
        <f t="shared" si="25"/>
        <v>1821.3</v>
      </c>
      <c r="FD90" s="23">
        <f t="shared" si="25"/>
        <v>402</v>
      </c>
      <c r="FE90" s="23">
        <f t="shared" si="25"/>
        <v>79</v>
      </c>
      <c r="FF90" s="23">
        <f t="shared" si="25"/>
        <v>185</v>
      </c>
      <c r="FG90" s="23">
        <f t="shared" si="25"/>
        <v>120.8</v>
      </c>
      <c r="FH90" s="23">
        <f t="shared" si="25"/>
        <v>70</v>
      </c>
      <c r="FI90" s="23">
        <f t="shared" si="25"/>
        <v>1702.5</v>
      </c>
      <c r="FJ90" s="23">
        <f t="shared" si="25"/>
        <v>2016.5</v>
      </c>
      <c r="FK90" s="23">
        <f t="shared" si="25"/>
        <v>2529.1</v>
      </c>
      <c r="FL90" s="23">
        <f t="shared" si="25"/>
        <v>8537.5</v>
      </c>
      <c r="FM90" s="23">
        <f t="shared" si="25"/>
        <v>3981.5</v>
      </c>
      <c r="FN90" s="23">
        <f t="shared" si="25"/>
        <v>22420.5</v>
      </c>
      <c r="FO90" s="23">
        <f t="shared" si="25"/>
        <v>1117</v>
      </c>
      <c r="FP90" s="23">
        <f t="shared" si="25"/>
        <v>2341.5</v>
      </c>
      <c r="FQ90" s="23">
        <f t="shared" si="25"/>
        <v>984.9</v>
      </c>
      <c r="FR90" s="23">
        <f t="shared" si="25"/>
        <v>168.1</v>
      </c>
      <c r="FS90" s="23">
        <f t="shared" si="25"/>
        <v>168.3</v>
      </c>
      <c r="FT90" s="23">
        <f t="shared" si="25"/>
        <v>56.5</v>
      </c>
      <c r="FU90" s="23">
        <f t="shared" si="25"/>
        <v>791.1</v>
      </c>
      <c r="FV90" s="23">
        <f t="shared" si="25"/>
        <v>692.7</v>
      </c>
      <c r="FW90" s="23">
        <f t="shared" si="25"/>
        <v>147.5</v>
      </c>
      <c r="FX90" s="23">
        <f t="shared" si="25"/>
        <v>64.5</v>
      </c>
      <c r="FY90" s="23"/>
      <c r="FZ90" s="23">
        <f t="shared" si="20"/>
        <v>796491.50000000047</v>
      </c>
      <c r="GA90" s="55"/>
      <c r="GB90" s="23">
        <f>FZ90-GA90</f>
        <v>796491.50000000047</v>
      </c>
      <c r="GC90" s="23"/>
      <c r="GD90" s="23"/>
      <c r="GE90" s="7"/>
      <c r="GF90" s="7"/>
      <c r="GG90" s="7"/>
      <c r="GH90" s="7"/>
      <c r="GI90" s="7"/>
      <c r="GJ90" s="7"/>
      <c r="GK90" s="7"/>
      <c r="GL90" s="23"/>
      <c r="GM90" s="23"/>
    </row>
    <row r="91" spans="1:195" ht="15.5" x14ac:dyDescent="0.35">
      <c r="A91" s="7"/>
      <c r="B91" s="7" t="s">
        <v>811</v>
      </c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23"/>
      <c r="FZ91" s="25"/>
      <c r="GA91" s="26"/>
      <c r="GB91" s="23"/>
      <c r="GC91" s="23"/>
      <c r="GD91" s="23"/>
      <c r="GE91" s="7"/>
      <c r="GF91" s="7"/>
      <c r="GG91" s="7"/>
      <c r="GH91" s="7"/>
      <c r="GI91" s="7"/>
      <c r="GJ91" s="7"/>
      <c r="GK91" s="7"/>
      <c r="GL91" s="23"/>
      <c r="GM91" s="23"/>
    </row>
    <row r="92" spans="1:195" ht="15.5" x14ac:dyDescent="0.35">
      <c r="A92" s="7"/>
      <c r="B92" s="7" t="s">
        <v>812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23"/>
      <c r="FZ92" s="25"/>
      <c r="GA92" s="26"/>
      <c r="GB92" s="23"/>
      <c r="GC92" s="23"/>
      <c r="GD92" s="23"/>
      <c r="GE92" s="7"/>
      <c r="GF92" s="7"/>
      <c r="GG92" s="7"/>
      <c r="GH92" s="7"/>
      <c r="GI92" s="7"/>
      <c r="GJ92" s="7"/>
      <c r="GK92" s="7"/>
      <c r="GL92" s="23"/>
      <c r="GM92" s="23"/>
    </row>
    <row r="93" spans="1:195" ht="15.5" x14ac:dyDescent="0.35">
      <c r="A93" s="12" t="s">
        <v>549</v>
      </c>
      <c r="B93" s="7" t="s">
        <v>813</v>
      </c>
      <c r="C93" s="39">
        <f t="shared" ref="C93:FX93" si="26">ROUND(C10*2*$A$83,2)</f>
        <v>0</v>
      </c>
      <c r="D93" s="39">
        <f t="shared" si="26"/>
        <v>0.08</v>
      </c>
      <c r="E93" s="39">
        <f t="shared" si="26"/>
        <v>0.24</v>
      </c>
      <c r="F93" s="39">
        <f t="shared" si="26"/>
        <v>2.8</v>
      </c>
      <c r="G93" s="39">
        <f t="shared" si="26"/>
        <v>0</v>
      </c>
      <c r="H93" s="39">
        <f t="shared" si="26"/>
        <v>0</v>
      </c>
      <c r="I93" s="39">
        <f t="shared" si="26"/>
        <v>0</v>
      </c>
      <c r="J93" s="39">
        <f t="shared" si="26"/>
        <v>0</v>
      </c>
      <c r="K93" s="39">
        <f t="shared" si="26"/>
        <v>0</v>
      </c>
      <c r="L93" s="39">
        <f t="shared" si="26"/>
        <v>0</v>
      </c>
      <c r="M93" s="39">
        <f t="shared" si="26"/>
        <v>0</v>
      </c>
      <c r="N93" s="39">
        <f t="shared" si="26"/>
        <v>4.6399999999999997</v>
      </c>
      <c r="O93" s="39">
        <f t="shared" si="26"/>
        <v>0.32</v>
      </c>
      <c r="P93" s="39">
        <f t="shared" si="26"/>
        <v>0</v>
      </c>
      <c r="Q93" s="39">
        <f t="shared" si="26"/>
        <v>7.52</v>
      </c>
      <c r="R93" s="39">
        <f t="shared" si="26"/>
        <v>0</v>
      </c>
      <c r="S93" s="39">
        <f t="shared" si="26"/>
        <v>0.48</v>
      </c>
      <c r="T93" s="39">
        <f t="shared" si="26"/>
        <v>0</v>
      </c>
      <c r="U93" s="39">
        <f t="shared" si="26"/>
        <v>0</v>
      </c>
      <c r="V93" s="39">
        <f t="shared" si="26"/>
        <v>0</v>
      </c>
      <c r="W93" s="39">
        <f t="shared" si="26"/>
        <v>0</v>
      </c>
      <c r="X93" s="39">
        <f t="shared" si="26"/>
        <v>0.4</v>
      </c>
      <c r="Y93" s="39">
        <f t="shared" si="26"/>
        <v>0</v>
      </c>
      <c r="Z93" s="39">
        <f t="shared" si="26"/>
        <v>0</v>
      </c>
      <c r="AA93" s="39">
        <f t="shared" si="26"/>
        <v>4.32</v>
      </c>
      <c r="AB93" s="39">
        <f t="shared" si="26"/>
        <v>0.16</v>
      </c>
      <c r="AC93" s="39">
        <f t="shared" si="26"/>
        <v>0</v>
      </c>
      <c r="AD93" s="39">
        <f t="shared" si="26"/>
        <v>0.08</v>
      </c>
      <c r="AE93" s="39">
        <f t="shared" si="26"/>
        <v>0</v>
      </c>
      <c r="AF93" s="39">
        <f t="shared" si="26"/>
        <v>0</v>
      </c>
      <c r="AG93" s="39">
        <f t="shared" si="26"/>
        <v>0</v>
      </c>
      <c r="AH93" s="39">
        <f t="shared" si="26"/>
        <v>0</v>
      </c>
      <c r="AI93" s="39">
        <f t="shared" si="26"/>
        <v>0</v>
      </c>
      <c r="AJ93" s="39">
        <f t="shared" si="26"/>
        <v>0</v>
      </c>
      <c r="AK93" s="39">
        <f t="shared" si="26"/>
        <v>0</v>
      </c>
      <c r="AL93" s="39">
        <f t="shared" si="26"/>
        <v>0</v>
      </c>
      <c r="AM93" s="39">
        <f t="shared" si="26"/>
        <v>0</v>
      </c>
      <c r="AN93" s="39">
        <f t="shared" si="26"/>
        <v>0</v>
      </c>
      <c r="AO93" s="39">
        <f t="shared" si="26"/>
        <v>0.64</v>
      </c>
      <c r="AP93" s="39">
        <f t="shared" si="26"/>
        <v>0.08</v>
      </c>
      <c r="AQ93" s="39">
        <f t="shared" si="26"/>
        <v>0</v>
      </c>
      <c r="AR93" s="39">
        <f t="shared" si="26"/>
        <v>13.04</v>
      </c>
      <c r="AS93" s="39">
        <f t="shared" si="26"/>
        <v>0</v>
      </c>
      <c r="AT93" s="39">
        <f t="shared" si="26"/>
        <v>2.2400000000000002</v>
      </c>
      <c r="AU93" s="39">
        <f t="shared" si="26"/>
        <v>0</v>
      </c>
      <c r="AV93" s="39">
        <f t="shared" si="26"/>
        <v>0</v>
      </c>
      <c r="AW93" s="39">
        <f t="shared" si="26"/>
        <v>0</v>
      </c>
      <c r="AX93" s="39">
        <f t="shared" si="26"/>
        <v>0</v>
      </c>
      <c r="AY93" s="39">
        <f t="shared" si="26"/>
        <v>0</v>
      </c>
      <c r="AZ93" s="39">
        <f t="shared" si="26"/>
        <v>2.4</v>
      </c>
      <c r="BA93" s="39">
        <f t="shared" si="26"/>
        <v>0</v>
      </c>
      <c r="BB93" s="39">
        <f t="shared" si="26"/>
        <v>0.16</v>
      </c>
      <c r="BC93" s="39">
        <f t="shared" si="26"/>
        <v>6.48</v>
      </c>
      <c r="BD93" s="39">
        <f t="shared" si="26"/>
        <v>0</v>
      </c>
      <c r="BE93" s="39">
        <f t="shared" si="26"/>
        <v>0</v>
      </c>
      <c r="BF93" s="39">
        <f t="shared" si="26"/>
        <v>33.68</v>
      </c>
      <c r="BG93" s="39">
        <f t="shared" si="26"/>
        <v>0.08</v>
      </c>
      <c r="BH93" s="39">
        <f t="shared" si="26"/>
        <v>0</v>
      </c>
      <c r="BI93" s="39">
        <f t="shared" si="26"/>
        <v>0</v>
      </c>
      <c r="BJ93" s="39">
        <f t="shared" si="26"/>
        <v>3.44</v>
      </c>
      <c r="BK93" s="39">
        <f t="shared" si="26"/>
        <v>52.16</v>
      </c>
      <c r="BL93" s="39">
        <f t="shared" si="26"/>
        <v>0</v>
      </c>
      <c r="BM93" s="39">
        <f t="shared" si="26"/>
        <v>0</v>
      </c>
      <c r="BN93" s="39">
        <f t="shared" si="26"/>
        <v>0.08</v>
      </c>
      <c r="BO93" s="39">
        <f t="shared" si="26"/>
        <v>0</v>
      </c>
      <c r="BP93" s="39">
        <f t="shared" si="26"/>
        <v>0</v>
      </c>
      <c r="BQ93" s="39">
        <f t="shared" si="26"/>
        <v>0</v>
      </c>
      <c r="BR93" s="39">
        <f t="shared" si="26"/>
        <v>0</v>
      </c>
      <c r="BS93" s="39">
        <f t="shared" si="26"/>
        <v>0.08</v>
      </c>
      <c r="BT93" s="39">
        <f t="shared" si="26"/>
        <v>0</v>
      </c>
      <c r="BU93" s="39">
        <f t="shared" si="26"/>
        <v>0</v>
      </c>
      <c r="BV93" s="39">
        <f t="shared" si="26"/>
        <v>0</v>
      </c>
      <c r="BW93" s="39">
        <f t="shared" si="26"/>
        <v>0</v>
      </c>
      <c r="BX93" s="39">
        <f t="shared" si="26"/>
        <v>0</v>
      </c>
      <c r="BY93" s="39">
        <f t="shared" si="26"/>
        <v>0.08</v>
      </c>
      <c r="BZ93" s="39">
        <f t="shared" si="26"/>
        <v>0</v>
      </c>
      <c r="CA93" s="39">
        <f t="shared" si="26"/>
        <v>0</v>
      </c>
      <c r="CB93" s="39">
        <f t="shared" si="26"/>
        <v>11.92</v>
      </c>
      <c r="CC93" s="39">
        <f t="shared" si="26"/>
        <v>0</v>
      </c>
      <c r="CD93" s="39">
        <f t="shared" si="26"/>
        <v>0</v>
      </c>
      <c r="CE93" s="39">
        <f t="shared" si="26"/>
        <v>0</v>
      </c>
      <c r="CF93" s="39">
        <f t="shared" si="26"/>
        <v>0</v>
      </c>
      <c r="CG93" s="39">
        <f t="shared" si="26"/>
        <v>0</v>
      </c>
      <c r="CH93" s="39">
        <f t="shared" si="26"/>
        <v>0</v>
      </c>
      <c r="CI93" s="39">
        <f t="shared" si="26"/>
        <v>0</v>
      </c>
      <c r="CJ93" s="39">
        <f t="shared" si="26"/>
        <v>0</v>
      </c>
      <c r="CK93" s="39">
        <f t="shared" si="26"/>
        <v>2</v>
      </c>
      <c r="CL93" s="39">
        <f t="shared" si="26"/>
        <v>0</v>
      </c>
      <c r="CM93" s="39">
        <f t="shared" si="26"/>
        <v>1.1200000000000001</v>
      </c>
      <c r="CN93" s="39">
        <f t="shared" si="26"/>
        <v>16.32</v>
      </c>
      <c r="CO93" s="39">
        <f t="shared" si="26"/>
        <v>4.6399999999999997</v>
      </c>
      <c r="CP93" s="39">
        <f t="shared" si="26"/>
        <v>0.8</v>
      </c>
      <c r="CQ93" s="39">
        <f t="shared" si="26"/>
        <v>0</v>
      </c>
      <c r="CR93" s="39">
        <f t="shared" si="26"/>
        <v>0</v>
      </c>
      <c r="CS93" s="39">
        <f t="shared" si="26"/>
        <v>0</v>
      </c>
      <c r="CT93" s="39">
        <f t="shared" si="26"/>
        <v>0</v>
      </c>
      <c r="CU93" s="39">
        <f t="shared" si="26"/>
        <v>0</v>
      </c>
      <c r="CV93" s="39">
        <f t="shared" si="26"/>
        <v>0</v>
      </c>
      <c r="CW93" s="39">
        <f t="shared" si="26"/>
        <v>0</v>
      </c>
      <c r="CX93" s="39">
        <f t="shared" si="26"/>
        <v>0</v>
      </c>
      <c r="CY93" s="39">
        <f t="shared" si="26"/>
        <v>0</v>
      </c>
      <c r="CZ93" s="39">
        <f t="shared" si="26"/>
        <v>0.16</v>
      </c>
      <c r="DA93" s="39">
        <f t="shared" si="26"/>
        <v>0</v>
      </c>
      <c r="DB93" s="39">
        <f t="shared" si="26"/>
        <v>0</v>
      </c>
      <c r="DC93" s="39">
        <f t="shared" si="26"/>
        <v>0</v>
      </c>
      <c r="DD93" s="39">
        <f t="shared" si="26"/>
        <v>0</v>
      </c>
      <c r="DE93" s="39">
        <f t="shared" si="26"/>
        <v>0</v>
      </c>
      <c r="DF93" s="39">
        <f t="shared" si="26"/>
        <v>3.76</v>
      </c>
      <c r="DG93" s="39">
        <f t="shared" si="26"/>
        <v>0</v>
      </c>
      <c r="DH93" s="39">
        <f t="shared" si="26"/>
        <v>0</v>
      </c>
      <c r="DI93" s="39">
        <f t="shared" si="26"/>
        <v>0.08</v>
      </c>
      <c r="DJ93" s="39">
        <f t="shared" si="26"/>
        <v>0</v>
      </c>
      <c r="DK93" s="39">
        <f t="shared" si="26"/>
        <v>0</v>
      </c>
      <c r="DL93" s="39">
        <f t="shared" si="26"/>
        <v>0.08</v>
      </c>
      <c r="DM93" s="39">
        <f t="shared" si="26"/>
        <v>0</v>
      </c>
      <c r="DN93" s="39">
        <f t="shared" si="26"/>
        <v>0</v>
      </c>
      <c r="DO93" s="39">
        <f t="shared" si="26"/>
        <v>0</v>
      </c>
      <c r="DP93" s="39">
        <f t="shared" si="26"/>
        <v>0</v>
      </c>
      <c r="DQ93" s="39">
        <f t="shared" si="26"/>
        <v>0</v>
      </c>
      <c r="DR93" s="39">
        <f t="shared" si="26"/>
        <v>0.08</v>
      </c>
      <c r="DS93" s="39">
        <f t="shared" si="26"/>
        <v>0</v>
      </c>
      <c r="DT93" s="39">
        <f t="shared" si="26"/>
        <v>0</v>
      </c>
      <c r="DU93" s="39">
        <f t="shared" si="26"/>
        <v>0</v>
      </c>
      <c r="DV93" s="39">
        <f t="shared" si="26"/>
        <v>0</v>
      </c>
      <c r="DW93" s="39">
        <f t="shared" si="26"/>
        <v>0</v>
      </c>
      <c r="DX93" s="39">
        <f t="shared" si="26"/>
        <v>0</v>
      </c>
      <c r="DY93" s="39">
        <f t="shared" si="26"/>
        <v>0</v>
      </c>
      <c r="DZ93" s="39">
        <f t="shared" si="26"/>
        <v>0</v>
      </c>
      <c r="EA93" s="39">
        <f t="shared" si="26"/>
        <v>0</v>
      </c>
      <c r="EB93" s="39">
        <f t="shared" si="26"/>
        <v>0</v>
      </c>
      <c r="EC93" s="39">
        <f t="shared" si="26"/>
        <v>0</v>
      </c>
      <c r="ED93" s="39">
        <f t="shared" si="26"/>
        <v>0</v>
      </c>
      <c r="EE93" s="39">
        <f t="shared" si="26"/>
        <v>0</v>
      </c>
      <c r="EF93" s="39">
        <f t="shared" si="26"/>
        <v>0</v>
      </c>
      <c r="EG93" s="39">
        <f t="shared" si="26"/>
        <v>0</v>
      </c>
      <c r="EH93" s="39">
        <f t="shared" si="26"/>
        <v>0</v>
      </c>
      <c r="EI93" s="39">
        <f t="shared" si="26"/>
        <v>0</v>
      </c>
      <c r="EJ93" s="39">
        <f t="shared" si="26"/>
        <v>0</v>
      </c>
      <c r="EK93" s="39">
        <f t="shared" si="26"/>
        <v>0</v>
      </c>
      <c r="EL93" s="39">
        <f t="shared" si="26"/>
        <v>0</v>
      </c>
      <c r="EM93" s="39">
        <f t="shared" si="26"/>
        <v>0</v>
      </c>
      <c r="EN93" s="39">
        <f t="shared" si="26"/>
        <v>0</v>
      </c>
      <c r="EO93" s="39">
        <f t="shared" si="26"/>
        <v>0</v>
      </c>
      <c r="EP93" s="39">
        <f t="shared" si="26"/>
        <v>0</v>
      </c>
      <c r="EQ93" s="39">
        <f t="shared" si="26"/>
        <v>0.16</v>
      </c>
      <c r="ER93" s="39">
        <f t="shared" si="26"/>
        <v>0</v>
      </c>
      <c r="ES93" s="39">
        <f t="shared" si="26"/>
        <v>1.52</v>
      </c>
      <c r="ET93" s="39">
        <f t="shared" si="26"/>
        <v>0</v>
      </c>
      <c r="EU93" s="39">
        <f t="shared" si="26"/>
        <v>0</v>
      </c>
      <c r="EV93" s="39">
        <f t="shared" si="26"/>
        <v>0</v>
      </c>
      <c r="EW93" s="39">
        <f t="shared" si="26"/>
        <v>0</v>
      </c>
      <c r="EX93" s="39">
        <f t="shared" si="26"/>
        <v>0</v>
      </c>
      <c r="EY93" s="39">
        <f t="shared" si="26"/>
        <v>0</v>
      </c>
      <c r="EZ93" s="39">
        <f t="shared" si="26"/>
        <v>0</v>
      </c>
      <c r="FA93" s="39">
        <f t="shared" si="26"/>
        <v>0</v>
      </c>
      <c r="FB93" s="39">
        <f t="shared" si="26"/>
        <v>0</v>
      </c>
      <c r="FC93" s="39">
        <f t="shared" si="26"/>
        <v>0.88</v>
      </c>
      <c r="FD93" s="39">
        <f t="shared" si="26"/>
        <v>0</v>
      </c>
      <c r="FE93" s="39">
        <f t="shared" si="26"/>
        <v>0</v>
      </c>
      <c r="FF93" s="39">
        <f t="shared" si="26"/>
        <v>0</v>
      </c>
      <c r="FG93" s="39">
        <f t="shared" si="26"/>
        <v>0</v>
      </c>
      <c r="FH93" s="39">
        <f t="shared" si="26"/>
        <v>0</v>
      </c>
      <c r="FI93" s="39">
        <f t="shared" si="26"/>
        <v>0</v>
      </c>
      <c r="FJ93" s="39">
        <f t="shared" si="26"/>
        <v>0</v>
      </c>
      <c r="FK93" s="39">
        <f t="shared" si="26"/>
        <v>0</v>
      </c>
      <c r="FL93" s="39">
        <f t="shared" si="26"/>
        <v>0.96</v>
      </c>
      <c r="FM93" s="39">
        <f t="shared" si="26"/>
        <v>0</v>
      </c>
      <c r="FN93" s="39">
        <f t="shared" si="26"/>
        <v>1.84</v>
      </c>
      <c r="FO93" s="39">
        <f t="shared" si="26"/>
        <v>0.16</v>
      </c>
      <c r="FP93" s="39">
        <f t="shared" si="26"/>
        <v>0</v>
      </c>
      <c r="FQ93" s="39">
        <f t="shared" si="26"/>
        <v>0</v>
      </c>
      <c r="FR93" s="39">
        <f t="shared" si="26"/>
        <v>0</v>
      </c>
      <c r="FS93" s="39">
        <f t="shared" si="26"/>
        <v>0</v>
      </c>
      <c r="FT93" s="39">
        <f t="shared" si="26"/>
        <v>0</v>
      </c>
      <c r="FU93" s="39">
        <f t="shared" si="26"/>
        <v>0</v>
      </c>
      <c r="FV93" s="39">
        <f t="shared" si="26"/>
        <v>0</v>
      </c>
      <c r="FW93" s="39">
        <f t="shared" si="26"/>
        <v>0</v>
      </c>
      <c r="FX93" s="39">
        <f t="shared" si="26"/>
        <v>0</v>
      </c>
      <c r="FY93" s="7"/>
      <c r="FZ93" s="7">
        <f>SUM(C93:FX93)</f>
        <v>182.16000000000005</v>
      </c>
      <c r="GA93" s="26"/>
      <c r="GB93" s="25"/>
      <c r="GC93" s="25"/>
      <c r="GD93" s="7"/>
      <c r="GE93" s="7"/>
      <c r="GF93" s="23"/>
      <c r="GG93" s="23"/>
      <c r="GH93" s="23"/>
      <c r="GI93" s="23"/>
      <c r="GJ93" s="23"/>
      <c r="GK93" s="23"/>
      <c r="GL93" s="23"/>
      <c r="GM93" s="23"/>
    </row>
    <row r="94" spans="1:195" ht="15.5" x14ac:dyDescent="0.35">
      <c r="A94" s="12" t="s">
        <v>551</v>
      </c>
      <c r="B94" s="7" t="s">
        <v>814</v>
      </c>
      <c r="C94" s="26">
        <f t="shared" ref="C94:FX94" si="27">C30+C36</f>
        <v>0</v>
      </c>
      <c r="D94" s="26">
        <f t="shared" si="27"/>
        <v>4672.8999999999996</v>
      </c>
      <c r="E94" s="26">
        <f t="shared" si="27"/>
        <v>662.7</v>
      </c>
      <c r="F94" s="26">
        <f t="shared" si="27"/>
        <v>933.3</v>
      </c>
      <c r="G94" s="26">
        <f t="shared" si="27"/>
        <v>0</v>
      </c>
      <c r="H94" s="26">
        <f t="shared" si="27"/>
        <v>0</v>
      </c>
      <c r="I94" s="26">
        <f t="shared" si="27"/>
        <v>750.2</v>
      </c>
      <c r="J94" s="26">
        <f t="shared" si="27"/>
        <v>0</v>
      </c>
      <c r="K94" s="26">
        <f t="shared" si="27"/>
        <v>0</v>
      </c>
      <c r="L94" s="26">
        <f t="shared" si="27"/>
        <v>0</v>
      </c>
      <c r="M94" s="26">
        <f t="shared" si="27"/>
        <v>0</v>
      </c>
      <c r="N94" s="26">
        <f t="shared" si="27"/>
        <v>90</v>
      </c>
      <c r="O94" s="26">
        <f t="shared" si="27"/>
        <v>0</v>
      </c>
      <c r="P94" s="26">
        <f t="shared" si="27"/>
        <v>0</v>
      </c>
      <c r="Q94" s="26">
        <f t="shared" si="27"/>
        <v>1961.3</v>
      </c>
      <c r="R94" s="26">
        <f t="shared" si="27"/>
        <v>0</v>
      </c>
      <c r="S94" s="26">
        <f t="shared" si="27"/>
        <v>0</v>
      </c>
      <c r="T94" s="26">
        <f t="shared" si="27"/>
        <v>0</v>
      </c>
      <c r="U94" s="26">
        <f t="shared" si="27"/>
        <v>0</v>
      </c>
      <c r="V94" s="26">
        <f t="shared" si="27"/>
        <v>0</v>
      </c>
      <c r="W94" s="26">
        <f t="shared" si="27"/>
        <v>0</v>
      </c>
      <c r="X94" s="26">
        <f t="shared" si="27"/>
        <v>0</v>
      </c>
      <c r="Y94" s="26">
        <f t="shared" si="27"/>
        <v>0</v>
      </c>
      <c r="Z94" s="26">
        <f t="shared" si="27"/>
        <v>0</v>
      </c>
      <c r="AA94" s="26">
        <f t="shared" si="27"/>
        <v>0</v>
      </c>
      <c r="AB94" s="26">
        <f t="shared" si="27"/>
        <v>0</v>
      </c>
      <c r="AC94" s="26">
        <f t="shared" si="27"/>
        <v>0</v>
      </c>
      <c r="AD94" s="26">
        <f t="shared" si="27"/>
        <v>154</v>
      </c>
      <c r="AE94" s="26">
        <f t="shared" si="27"/>
        <v>0</v>
      </c>
      <c r="AF94" s="26">
        <f t="shared" si="27"/>
        <v>0</v>
      </c>
      <c r="AG94" s="26">
        <f t="shared" si="27"/>
        <v>0</v>
      </c>
      <c r="AH94" s="26">
        <f t="shared" si="27"/>
        <v>0</v>
      </c>
      <c r="AI94" s="26">
        <f t="shared" si="27"/>
        <v>0</v>
      </c>
      <c r="AJ94" s="26">
        <f t="shared" si="27"/>
        <v>0</v>
      </c>
      <c r="AK94" s="26">
        <f t="shared" si="27"/>
        <v>0</v>
      </c>
      <c r="AL94" s="26">
        <f t="shared" si="27"/>
        <v>0</v>
      </c>
      <c r="AM94" s="26">
        <f t="shared" si="27"/>
        <v>0</v>
      </c>
      <c r="AN94" s="26">
        <f t="shared" si="27"/>
        <v>0</v>
      </c>
      <c r="AO94" s="26">
        <f t="shared" si="27"/>
        <v>0</v>
      </c>
      <c r="AP94" s="26">
        <f t="shared" si="27"/>
        <v>0</v>
      </c>
      <c r="AQ94" s="26">
        <f t="shared" si="27"/>
        <v>0</v>
      </c>
      <c r="AR94" s="26">
        <f t="shared" si="27"/>
        <v>2007.3</v>
      </c>
      <c r="AS94" s="26">
        <f t="shared" si="27"/>
        <v>300.3</v>
      </c>
      <c r="AT94" s="26">
        <f t="shared" si="27"/>
        <v>0</v>
      </c>
      <c r="AU94" s="26">
        <f t="shared" si="27"/>
        <v>0</v>
      </c>
      <c r="AV94" s="26">
        <f t="shared" si="27"/>
        <v>0</v>
      </c>
      <c r="AW94" s="26">
        <f t="shared" si="27"/>
        <v>0</v>
      </c>
      <c r="AX94" s="26">
        <f t="shared" si="27"/>
        <v>0</v>
      </c>
      <c r="AY94" s="26">
        <f t="shared" si="27"/>
        <v>0</v>
      </c>
      <c r="AZ94" s="26">
        <f t="shared" si="27"/>
        <v>0</v>
      </c>
      <c r="BA94" s="26">
        <f t="shared" si="27"/>
        <v>0</v>
      </c>
      <c r="BB94" s="26">
        <f t="shared" si="27"/>
        <v>0</v>
      </c>
      <c r="BC94" s="26">
        <f t="shared" si="27"/>
        <v>2965.1</v>
      </c>
      <c r="BD94" s="26">
        <f t="shared" si="27"/>
        <v>0</v>
      </c>
      <c r="BE94" s="26">
        <f t="shared" si="27"/>
        <v>0</v>
      </c>
      <c r="BF94" s="26">
        <f t="shared" si="27"/>
        <v>0</v>
      </c>
      <c r="BG94" s="26">
        <f t="shared" si="27"/>
        <v>0</v>
      </c>
      <c r="BH94" s="26">
        <f t="shared" si="27"/>
        <v>0</v>
      </c>
      <c r="BI94" s="26">
        <f t="shared" si="27"/>
        <v>0</v>
      </c>
      <c r="BJ94" s="26">
        <f t="shared" si="27"/>
        <v>0</v>
      </c>
      <c r="BK94" s="26">
        <f t="shared" si="27"/>
        <v>0</v>
      </c>
      <c r="BL94" s="26">
        <f t="shared" si="27"/>
        <v>0</v>
      </c>
      <c r="BM94" s="26">
        <f t="shared" si="27"/>
        <v>0</v>
      </c>
      <c r="BN94" s="26">
        <f t="shared" si="27"/>
        <v>0</v>
      </c>
      <c r="BO94" s="26">
        <f t="shared" si="27"/>
        <v>0</v>
      </c>
      <c r="BP94" s="26">
        <f t="shared" si="27"/>
        <v>0</v>
      </c>
      <c r="BQ94" s="26">
        <f t="shared" si="27"/>
        <v>252.6</v>
      </c>
      <c r="BR94" s="26">
        <f t="shared" si="27"/>
        <v>0</v>
      </c>
      <c r="BS94" s="26">
        <f t="shared" si="27"/>
        <v>0</v>
      </c>
      <c r="BT94" s="26">
        <f t="shared" si="27"/>
        <v>0</v>
      </c>
      <c r="BU94" s="26">
        <f t="shared" si="27"/>
        <v>0</v>
      </c>
      <c r="BV94" s="26">
        <f t="shared" si="27"/>
        <v>0</v>
      </c>
      <c r="BW94" s="26">
        <f t="shared" si="27"/>
        <v>0</v>
      </c>
      <c r="BX94" s="26">
        <f t="shared" si="27"/>
        <v>0</v>
      </c>
      <c r="BY94" s="26">
        <f t="shared" si="27"/>
        <v>0</v>
      </c>
      <c r="BZ94" s="26">
        <f t="shared" si="27"/>
        <v>0</v>
      </c>
      <c r="CA94" s="26">
        <f t="shared" si="27"/>
        <v>0</v>
      </c>
      <c r="CB94" s="26">
        <f t="shared" si="27"/>
        <v>834.8</v>
      </c>
      <c r="CC94" s="26">
        <f t="shared" si="27"/>
        <v>0</v>
      </c>
      <c r="CD94" s="26">
        <f t="shared" si="27"/>
        <v>0</v>
      </c>
      <c r="CE94" s="26">
        <f t="shared" si="27"/>
        <v>0</v>
      </c>
      <c r="CF94" s="26">
        <f t="shared" si="27"/>
        <v>0</v>
      </c>
      <c r="CG94" s="26">
        <f t="shared" si="27"/>
        <v>0</v>
      </c>
      <c r="CH94" s="26">
        <f t="shared" si="27"/>
        <v>0</v>
      </c>
      <c r="CI94" s="26">
        <f t="shared" si="27"/>
        <v>0</v>
      </c>
      <c r="CJ94" s="26">
        <f t="shared" si="27"/>
        <v>0</v>
      </c>
      <c r="CK94" s="26">
        <f t="shared" si="27"/>
        <v>582.20000000000005</v>
      </c>
      <c r="CL94" s="26">
        <f t="shared" si="27"/>
        <v>0</v>
      </c>
      <c r="CM94" s="26">
        <f t="shared" si="27"/>
        <v>0</v>
      </c>
      <c r="CN94" s="26">
        <f t="shared" si="27"/>
        <v>2355</v>
      </c>
      <c r="CO94" s="26">
        <f t="shared" si="27"/>
        <v>0</v>
      </c>
      <c r="CP94" s="26">
        <f t="shared" si="27"/>
        <v>0</v>
      </c>
      <c r="CQ94" s="26">
        <f t="shared" si="27"/>
        <v>0</v>
      </c>
      <c r="CR94" s="26">
        <f t="shared" si="27"/>
        <v>0</v>
      </c>
      <c r="CS94" s="26">
        <f t="shared" si="27"/>
        <v>0</v>
      </c>
      <c r="CT94" s="26">
        <f t="shared" si="27"/>
        <v>0</v>
      </c>
      <c r="CU94" s="26">
        <f t="shared" si="27"/>
        <v>0</v>
      </c>
      <c r="CV94" s="26">
        <f t="shared" si="27"/>
        <v>0</v>
      </c>
      <c r="CW94" s="26">
        <f t="shared" si="27"/>
        <v>0</v>
      </c>
      <c r="CX94" s="26">
        <f t="shared" si="27"/>
        <v>0</v>
      </c>
      <c r="CY94" s="26">
        <f t="shared" si="27"/>
        <v>0</v>
      </c>
      <c r="CZ94" s="26">
        <f t="shared" si="27"/>
        <v>0</v>
      </c>
      <c r="DA94" s="26">
        <f t="shared" si="27"/>
        <v>0</v>
      </c>
      <c r="DB94" s="26">
        <f t="shared" si="27"/>
        <v>0</v>
      </c>
      <c r="DC94" s="26">
        <f t="shared" si="27"/>
        <v>0</v>
      </c>
      <c r="DD94" s="26">
        <f t="shared" si="27"/>
        <v>0</v>
      </c>
      <c r="DE94" s="26">
        <f t="shared" si="27"/>
        <v>0</v>
      </c>
      <c r="DF94" s="26">
        <f t="shared" si="27"/>
        <v>1383</v>
      </c>
      <c r="DG94" s="26">
        <f t="shared" si="27"/>
        <v>0</v>
      </c>
      <c r="DH94" s="26">
        <f t="shared" si="27"/>
        <v>0</v>
      </c>
      <c r="DI94" s="26">
        <f t="shared" si="27"/>
        <v>79.2</v>
      </c>
      <c r="DJ94" s="26">
        <f t="shared" si="27"/>
        <v>0</v>
      </c>
      <c r="DK94" s="26">
        <f t="shared" si="27"/>
        <v>0</v>
      </c>
      <c r="DL94" s="26">
        <f t="shared" si="27"/>
        <v>0</v>
      </c>
      <c r="DM94" s="26">
        <f t="shared" si="27"/>
        <v>0</v>
      </c>
      <c r="DN94" s="26">
        <f t="shared" si="27"/>
        <v>0</v>
      </c>
      <c r="DO94" s="26">
        <f t="shared" si="27"/>
        <v>0</v>
      </c>
      <c r="DP94" s="26">
        <f t="shared" si="27"/>
        <v>0</v>
      </c>
      <c r="DQ94" s="26">
        <f t="shared" si="27"/>
        <v>0</v>
      </c>
      <c r="DR94" s="26">
        <f t="shared" si="27"/>
        <v>0</v>
      </c>
      <c r="DS94" s="26">
        <f t="shared" si="27"/>
        <v>0</v>
      </c>
      <c r="DT94" s="26">
        <f t="shared" si="27"/>
        <v>0</v>
      </c>
      <c r="DU94" s="26">
        <f t="shared" si="27"/>
        <v>0</v>
      </c>
      <c r="DV94" s="26">
        <f t="shared" si="27"/>
        <v>0</v>
      </c>
      <c r="DW94" s="26">
        <f t="shared" si="27"/>
        <v>0</v>
      </c>
      <c r="DX94" s="26">
        <f t="shared" si="27"/>
        <v>0</v>
      </c>
      <c r="DY94" s="26">
        <f t="shared" si="27"/>
        <v>0</v>
      </c>
      <c r="DZ94" s="26">
        <f t="shared" si="27"/>
        <v>0</v>
      </c>
      <c r="EA94" s="26">
        <f t="shared" si="27"/>
        <v>20</v>
      </c>
      <c r="EB94" s="26">
        <f t="shared" si="27"/>
        <v>0</v>
      </c>
      <c r="EC94" s="26">
        <f t="shared" si="27"/>
        <v>0</v>
      </c>
      <c r="ED94" s="26">
        <f t="shared" si="27"/>
        <v>0</v>
      </c>
      <c r="EE94" s="26">
        <f t="shared" si="27"/>
        <v>0</v>
      </c>
      <c r="EF94" s="26">
        <f t="shared" si="27"/>
        <v>0</v>
      </c>
      <c r="EG94" s="26">
        <f t="shared" si="27"/>
        <v>0</v>
      </c>
      <c r="EH94" s="26">
        <f t="shared" si="27"/>
        <v>0</v>
      </c>
      <c r="EI94" s="26">
        <f t="shared" si="27"/>
        <v>0</v>
      </c>
      <c r="EJ94" s="26">
        <f t="shared" si="27"/>
        <v>0</v>
      </c>
      <c r="EK94" s="26">
        <f t="shared" si="27"/>
        <v>0</v>
      </c>
      <c r="EL94" s="26">
        <f t="shared" si="27"/>
        <v>0</v>
      </c>
      <c r="EM94" s="26">
        <f t="shared" si="27"/>
        <v>0</v>
      </c>
      <c r="EN94" s="26">
        <f t="shared" si="27"/>
        <v>0</v>
      </c>
      <c r="EO94" s="26">
        <f t="shared" si="27"/>
        <v>0</v>
      </c>
      <c r="EP94" s="26">
        <f t="shared" si="27"/>
        <v>0</v>
      </c>
      <c r="EQ94" s="26">
        <f t="shared" si="27"/>
        <v>103</v>
      </c>
      <c r="ER94" s="26">
        <f t="shared" si="27"/>
        <v>0</v>
      </c>
      <c r="ES94" s="26">
        <f t="shared" si="27"/>
        <v>0</v>
      </c>
      <c r="ET94" s="26">
        <f t="shared" si="27"/>
        <v>0</v>
      </c>
      <c r="EU94" s="26">
        <f t="shared" si="27"/>
        <v>0</v>
      </c>
      <c r="EV94" s="26">
        <f t="shared" si="27"/>
        <v>0</v>
      </c>
      <c r="EW94" s="26">
        <f t="shared" si="27"/>
        <v>0</v>
      </c>
      <c r="EX94" s="26">
        <f t="shared" si="27"/>
        <v>0</v>
      </c>
      <c r="EY94" s="26">
        <f t="shared" si="27"/>
        <v>0</v>
      </c>
      <c r="EZ94" s="26">
        <f t="shared" si="27"/>
        <v>0</v>
      </c>
      <c r="FA94" s="26">
        <f t="shared" si="27"/>
        <v>0</v>
      </c>
      <c r="FB94" s="26">
        <f t="shared" si="27"/>
        <v>0</v>
      </c>
      <c r="FC94" s="26">
        <f t="shared" si="27"/>
        <v>0</v>
      </c>
      <c r="FD94" s="26">
        <f t="shared" si="27"/>
        <v>0</v>
      </c>
      <c r="FE94" s="26">
        <f t="shared" si="27"/>
        <v>0</v>
      </c>
      <c r="FF94" s="26">
        <f t="shared" si="27"/>
        <v>0</v>
      </c>
      <c r="FG94" s="26">
        <f t="shared" si="27"/>
        <v>0</v>
      </c>
      <c r="FH94" s="26">
        <f t="shared" si="27"/>
        <v>0</v>
      </c>
      <c r="FI94" s="26">
        <f t="shared" si="27"/>
        <v>0</v>
      </c>
      <c r="FJ94" s="26">
        <f t="shared" si="27"/>
        <v>0</v>
      </c>
      <c r="FK94" s="26">
        <f t="shared" si="27"/>
        <v>0</v>
      </c>
      <c r="FL94" s="26">
        <f t="shared" si="27"/>
        <v>0</v>
      </c>
      <c r="FM94" s="26">
        <f t="shared" si="27"/>
        <v>0</v>
      </c>
      <c r="FN94" s="26">
        <f t="shared" si="27"/>
        <v>0</v>
      </c>
      <c r="FO94" s="26">
        <f t="shared" si="27"/>
        <v>0</v>
      </c>
      <c r="FP94" s="26">
        <f t="shared" si="27"/>
        <v>0</v>
      </c>
      <c r="FQ94" s="26">
        <f t="shared" si="27"/>
        <v>0</v>
      </c>
      <c r="FR94" s="26">
        <f t="shared" si="27"/>
        <v>0</v>
      </c>
      <c r="FS94" s="26">
        <f t="shared" si="27"/>
        <v>0</v>
      </c>
      <c r="FT94" s="26">
        <f t="shared" si="27"/>
        <v>0</v>
      </c>
      <c r="FU94" s="26">
        <f t="shared" si="27"/>
        <v>0</v>
      </c>
      <c r="FV94" s="26">
        <f t="shared" si="27"/>
        <v>0</v>
      </c>
      <c r="FW94" s="26">
        <f t="shared" si="27"/>
        <v>0</v>
      </c>
      <c r="FX94" s="26">
        <f t="shared" si="27"/>
        <v>0</v>
      </c>
      <c r="FY94" s="26"/>
      <c r="FZ94" s="26">
        <f t="shared" ref="FZ94:FZ95" si="28">SUM(C94:FY94)</f>
        <v>20106.899999999998</v>
      </c>
      <c r="GA94" s="25"/>
      <c r="GB94" s="25"/>
      <c r="GC94" s="25"/>
      <c r="GD94" s="25"/>
      <c r="GE94" s="7"/>
      <c r="GF94" s="23"/>
      <c r="GG94" s="23"/>
      <c r="GH94" s="23"/>
      <c r="GI94" s="23"/>
      <c r="GJ94" s="23"/>
      <c r="GK94" s="23"/>
      <c r="GL94" s="23"/>
      <c r="GM94" s="23"/>
    </row>
    <row r="95" spans="1:195" ht="15.5" x14ac:dyDescent="0.35">
      <c r="A95" s="12" t="s">
        <v>553</v>
      </c>
      <c r="B95" s="7" t="s">
        <v>815</v>
      </c>
      <c r="C95" s="26">
        <f t="shared" ref="C95:FX95" si="29">ROUND(C32*2*$A$83,2)</f>
        <v>0</v>
      </c>
      <c r="D95" s="26">
        <f t="shared" si="29"/>
        <v>0</v>
      </c>
      <c r="E95" s="26">
        <f t="shared" si="29"/>
        <v>0</v>
      </c>
      <c r="F95" s="26">
        <f t="shared" si="29"/>
        <v>0</v>
      </c>
      <c r="G95" s="26">
        <f t="shared" si="29"/>
        <v>0</v>
      </c>
      <c r="H95" s="26">
        <f t="shared" si="29"/>
        <v>0</v>
      </c>
      <c r="I95" s="26">
        <f t="shared" si="29"/>
        <v>0</v>
      </c>
      <c r="J95" s="26">
        <f t="shared" si="29"/>
        <v>0</v>
      </c>
      <c r="K95" s="26">
        <f t="shared" si="29"/>
        <v>0</v>
      </c>
      <c r="L95" s="26">
        <f t="shared" si="29"/>
        <v>0</v>
      </c>
      <c r="M95" s="26">
        <f t="shared" si="29"/>
        <v>0</v>
      </c>
      <c r="N95" s="26">
        <f t="shared" si="29"/>
        <v>0</v>
      </c>
      <c r="O95" s="26">
        <f t="shared" si="29"/>
        <v>0</v>
      </c>
      <c r="P95" s="26">
        <f t="shared" si="29"/>
        <v>0</v>
      </c>
      <c r="Q95" s="26">
        <f t="shared" si="29"/>
        <v>0</v>
      </c>
      <c r="R95" s="26">
        <f t="shared" si="29"/>
        <v>0</v>
      </c>
      <c r="S95" s="26">
        <f t="shared" si="29"/>
        <v>0</v>
      </c>
      <c r="T95" s="26">
        <f t="shared" si="29"/>
        <v>0</v>
      </c>
      <c r="U95" s="26">
        <f t="shared" si="29"/>
        <v>0</v>
      </c>
      <c r="V95" s="26">
        <f t="shared" si="29"/>
        <v>0</v>
      </c>
      <c r="W95" s="26">
        <f t="shared" si="29"/>
        <v>0</v>
      </c>
      <c r="X95" s="26">
        <f t="shared" si="29"/>
        <v>0</v>
      </c>
      <c r="Y95" s="26">
        <f t="shared" si="29"/>
        <v>0</v>
      </c>
      <c r="Z95" s="26">
        <f t="shared" si="29"/>
        <v>0</v>
      </c>
      <c r="AA95" s="26">
        <f t="shared" si="29"/>
        <v>0</v>
      </c>
      <c r="AB95" s="26">
        <f t="shared" si="29"/>
        <v>0</v>
      </c>
      <c r="AC95" s="26">
        <f t="shared" si="29"/>
        <v>0</v>
      </c>
      <c r="AD95" s="26">
        <f t="shared" si="29"/>
        <v>0</v>
      </c>
      <c r="AE95" s="26">
        <f t="shared" si="29"/>
        <v>0</v>
      </c>
      <c r="AF95" s="26">
        <f t="shared" si="29"/>
        <v>0</v>
      </c>
      <c r="AG95" s="26">
        <f t="shared" si="29"/>
        <v>0</v>
      </c>
      <c r="AH95" s="26">
        <f t="shared" si="29"/>
        <v>0</v>
      </c>
      <c r="AI95" s="26">
        <f t="shared" si="29"/>
        <v>0</v>
      </c>
      <c r="AJ95" s="26">
        <f t="shared" si="29"/>
        <v>0</v>
      </c>
      <c r="AK95" s="26">
        <f t="shared" si="29"/>
        <v>0</v>
      </c>
      <c r="AL95" s="26">
        <f t="shared" si="29"/>
        <v>0</v>
      </c>
      <c r="AM95" s="26">
        <f t="shared" si="29"/>
        <v>0</v>
      </c>
      <c r="AN95" s="26">
        <f t="shared" si="29"/>
        <v>0</v>
      </c>
      <c r="AO95" s="26">
        <f t="shared" si="29"/>
        <v>0</v>
      </c>
      <c r="AP95" s="26">
        <f t="shared" si="29"/>
        <v>0</v>
      </c>
      <c r="AQ95" s="26">
        <f t="shared" si="29"/>
        <v>0</v>
      </c>
      <c r="AR95" s="26">
        <f t="shared" si="29"/>
        <v>0</v>
      </c>
      <c r="AS95" s="26">
        <f t="shared" si="29"/>
        <v>0</v>
      </c>
      <c r="AT95" s="26">
        <f t="shared" si="29"/>
        <v>0</v>
      </c>
      <c r="AU95" s="26">
        <f t="shared" si="29"/>
        <v>0</v>
      </c>
      <c r="AV95" s="26">
        <f t="shared" si="29"/>
        <v>0</v>
      </c>
      <c r="AW95" s="26">
        <f t="shared" si="29"/>
        <v>0</v>
      </c>
      <c r="AX95" s="26">
        <f t="shared" si="29"/>
        <v>0</v>
      </c>
      <c r="AY95" s="26">
        <f t="shared" si="29"/>
        <v>0</v>
      </c>
      <c r="AZ95" s="26">
        <f t="shared" si="29"/>
        <v>0</v>
      </c>
      <c r="BA95" s="26">
        <f t="shared" si="29"/>
        <v>0</v>
      </c>
      <c r="BB95" s="26">
        <f t="shared" si="29"/>
        <v>0</v>
      </c>
      <c r="BC95" s="26">
        <f t="shared" si="29"/>
        <v>0</v>
      </c>
      <c r="BD95" s="26">
        <f t="shared" si="29"/>
        <v>0</v>
      </c>
      <c r="BE95" s="26">
        <f t="shared" si="29"/>
        <v>0</v>
      </c>
      <c r="BF95" s="26">
        <f t="shared" si="29"/>
        <v>0</v>
      </c>
      <c r="BG95" s="26">
        <f t="shared" si="29"/>
        <v>0</v>
      </c>
      <c r="BH95" s="26">
        <f t="shared" si="29"/>
        <v>0</v>
      </c>
      <c r="BI95" s="26">
        <f t="shared" si="29"/>
        <v>0</v>
      </c>
      <c r="BJ95" s="26">
        <f t="shared" si="29"/>
        <v>0</v>
      </c>
      <c r="BK95" s="26">
        <f t="shared" si="29"/>
        <v>0</v>
      </c>
      <c r="BL95" s="26">
        <f t="shared" si="29"/>
        <v>0</v>
      </c>
      <c r="BM95" s="26">
        <f t="shared" si="29"/>
        <v>0</v>
      </c>
      <c r="BN95" s="26">
        <f t="shared" si="29"/>
        <v>0</v>
      </c>
      <c r="BO95" s="26">
        <f t="shared" si="29"/>
        <v>0</v>
      </c>
      <c r="BP95" s="26">
        <f t="shared" si="29"/>
        <v>0</v>
      </c>
      <c r="BQ95" s="26">
        <f t="shared" si="29"/>
        <v>0</v>
      </c>
      <c r="BR95" s="26">
        <f t="shared" si="29"/>
        <v>0</v>
      </c>
      <c r="BS95" s="26">
        <f t="shared" si="29"/>
        <v>0</v>
      </c>
      <c r="BT95" s="26">
        <f t="shared" si="29"/>
        <v>0</v>
      </c>
      <c r="BU95" s="26">
        <f t="shared" si="29"/>
        <v>0</v>
      </c>
      <c r="BV95" s="26">
        <f t="shared" si="29"/>
        <v>0</v>
      </c>
      <c r="BW95" s="26">
        <f t="shared" si="29"/>
        <v>0</v>
      </c>
      <c r="BX95" s="26">
        <f t="shared" si="29"/>
        <v>0</v>
      </c>
      <c r="BY95" s="26">
        <f t="shared" si="29"/>
        <v>0</v>
      </c>
      <c r="BZ95" s="26">
        <f t="shared" si="29"/>
        <v>0</v>
      </c>
      <c r="CA95" s="26">
        <f t="shared" si="29"/>
        <v>0</v>
      </c>
      <c r="CB95" s="26">
        <f t="shared" si="29"/>
        <v>0</v>
      </c>
      <c r="CC95" s="26">
        <f t="shared" si="29"/>
        <v>0</v>
      </c>
      <c r="CD95" s="26">
        <f t="shared" si="29"/>
        <v>0</v>
      </c>
      <c r="CE95" s="26">
        <f t="shared" si="29"/>
        <v>0</v>
      </c>
      <c r="CF95" s="26">
        <f t="shared" si="29"/>
        <v>0</v>
      </c>
      <c r="CG95" s="26">
        <f t="shared" si="29"/>
        <v>0</v>
      </c>
      <c r="CH95" s="26">
        <f t="shared" si="29"/>
        <v>0</v>
      </c>
      <c r="CI95" s="26">
        <f t="shared" si="29"/>
        <v>0</v>
      </c>
      <c r="CJ95" s="26">
        <f t="shared" si="29"/>
        <v>0</v>
      </c>
      <c r="CK95" s="26">
        <f t="shared" si="29"/>
        <v>0</v>
      </c>
      <c r="CL95" s="26">
        <f t="shared" si="29"/>
        <v>0</v>
      </c>
      <c r="CM95" s="26">
        <f t="shared" si="29"/>
        <v>0</v>
      </c>
      <c r="CN95" s="26">
        <f t="shared" si="29"/>
        <v>0</v>
      </c>
      <c r="CO95" s="26">
        <f t="shared" si="29"/>
        <v>0</v>
      </c>
      <c r="CP95" s="26">
        <f t="shared" si="29"/>
        <v>0</v>
      </c>
      <c r="CQ95" s="26">
        <f t="shared" si="29"/>
        <v>0</v>
      </c>
      <c r="CR95" s="26">
        <f t="shared" si="29"/>
        <v>0</v>
      </c>
      <c r="CS95" s="26">
        <f t="shared" si="29"/>
        <v>0</v>
      </c>
      <c r="CT95" s="26">
        <f t="shared" si="29"/>
        <v>0</v>
      </c>
      <c r="CU95" s="26">
        <f t="shared" si="29"/>
        <v>0</v>
      </c>
      <c r="CV95" s="26">
        <f t="shared" si="29"/>
        <v>0</v>
      </c>
      <c r="CW95" s="26">
        <f t="shared" si="29"/>
        <v>0</v>
      </c>
      <c r="CX95" s="26">
        <f t="shared" si="29"/>
        <v>0</v>
      </c>
      <c r="CY95" s="26">
        <f t="shared" si="29"/>
        <v>0</v>
      </c>
      <c r="CZ95" s="26">
        <f t="shared" si="29"/>
        <v>0</v>
      </c>
      <c r="DA95" s="26">
        <f t="shared" si="29"/>
        <v>0</v>
      </c>
      <c r="DB95" s="26">
        <f t="shared" si="29"/>
        <v>0</v>
      </c>
      <c r="DC95" s="26">
        <f t="shared" si="29"/>
        <v>0</v>
      </c>
      <c r="DD95" s="26">
        <f t="shared" si="29"/>
        <v>0</v>
      </c>
      <c r="DE95" s="26">
        <f t="shared" si="29"/>
        <v>0</v>
      </c>
      <c r="DF95" s="26">
        <f t="shared" si="29"/>
        <v>0</v>
      </c>
      <c r="DG95" s="26">
        <f t="shared" si="29"/>
        <v>0</v>
      </c>
      <c r="DH95" s="26">
        <f t="shared" si="29"/>
        <v>0</v>
      </c>
      <c r="DI95" s="26">
        <f t="shared" si="29"/>
        <v>0</v>
      </c>
      <c r="DJ95" s="26">
        <f t="shared" si="29"/>
        <v>0</v>
      </c>
      <c r="DK95" s="26">
        <f t="shared" si="29"/>
        <v>0</v>
      </c>
      <c r="DL95" s="26">
        <f t="shared" si="29"/>
        <v>0</v>
      </c>
      <c r="DM95" s="26">
        <f t="shared" si="29"/>
        <v>0</v>
      </c>
      <c r="DN95" s="26">
        <f t="shared" si="29"/>
        <v>0</v>
      </c>
      <c r="DO95" s="26">
        <f t="shared" si="29"/>
        <v>0</v>
      </c>
      <c r="DP95" s="26">
        <f t="shared" si="29"/>
        <v>0</v>
      </c>
      <c r="DQ95" s="26">
        <f t="shared" si="29"/>
        <v>0</v>
      </c>
      <c r="DR95" s="26">
        <f t="shared" si="29"/>
        <v>0</v>
      </c>
      <c r="DS95" s="26">
        <f t="shared" si="29"/>
        <v>0</v>
      </c>
      <c r="DT95" s="26">
        <f t="shared" si="29"/>
        <v>0</v>
      </c>
      <c r="DU95" s="26">
        <f t="shared" si="29"/>
        <v>0</v>
      </c>
      <c r="DV95" s="26">
        <f t="shared" si="29"/>
        <v>0</v>
      </c>
      <c r="DW95" s="26">
        <f t="shared" si="29"/>
        <v>0</v>
      </c>
      <c r="DX95" s="26">
        <f t="shared" si="29"/>
        <v>0</v>
      </c>
      <c r="DY95" s="26">
        <f t="shared" si="29"/>
        <v>0</v>
      </c>
      <c r="DZ95" s="26">
        <f t="shared" si="29"/>
        <v>0</v>
      </c>
      <c r="EA95" s="26">
        <f t="shared" si="29"/>
        <v>0</v>
      </c>
      <c r="EB95" s="26">
        <f t="shared" si="29"/>
        <v>0</v>
      </c>
      <c r="EC95" s="26">
        <f t="shared" si="29"/>
        <v>0</v>
      </c>
      <c r="ED95" s="26">
        <f t="shared" si="29"/>
        <v>0</v>
      </c>
      <c r="EE95" s="26">
        <f t="shared" si="29"/>
        <v>0</v>
      </c>
      <c r="EF95" s="26">
        <f t="shared" si="29"/>
        <v>0</v>
      </c>
      <c r="EG95" s="26">
        <f t="shared" si="29"/>
        <v>0</v>
      </c>
      <c r="EH95" s="26">
        <f t="shared" si="29"/>
        <v>0</v>
      </c>
      <c r="EI95" s="26">
        <f t="shared" si="29"/>
        <v>0</v>
      </c>
      <c r="EJ95" s="26">
        <f t="shared" si="29"/>
        <v>0</v>
      </c>
      <c r="EK95" s="26">
        <f t="shared" si="29"/>
        <v>0</v>
      </c>
      <c r="EL95" s="26">
        <f t="shared" si="29"/>
        <v>0</v>
      </c>
      <c r="EM95" s="26">
        <f t="shared" si="29"/>
        <v>0</v>
      </c>
      <c r="EN95" s="26">
        <f t="shared" si="29"/>
        <v>0</v>
      </c>
      <c r="EO95" s="26">
        <f t="shared" si="29"/>
        <v>0</v>
      </c>
      <c r="EP95" s="26">
        <f t="shared" si="29"/>
        <v>0</v>
      </c>
      <c r="EQ95" s="26">
        <f t="shared" si="29"/>
        <v>0</v>
      </c>
      <c r="ER95" s="26">
        <f t="shared" si="29"/>
        <v>0</v>
      </c>
      <c r="ES95" s="26">
        <f t="shared" si="29"/>
        <v>0</v>
      </c>
      <c r="ET95" s="26">
        <f t="shared" si="29"/>
        <v>0</v>
      </c>
      <c r="EU95" s="26">
        <f t="shared" si="29"/>
        <v>0</v>
      </c>
      <c r="EV95" s="26">
        <f t="shared" si="29"/>
        <v>0</v>
      </c>
      <c r="EW95" s="26">
        <f t="shared" si="29"/>
        <v>0</v>
      </c>
      <c r="EX95" s="26">
        <f t="shared" si="29"/>
        <v>0</v>
      </c>
      <c r="EY95" s="26">
        <f t="shared" si="29"/>
        <v>0</v>
      </c>
      <c r="EZ95" s="26">
        <f t="shared" si="29"/>
        <v>0</v>
      </c>
      <c r="FA95" s="26">
        <f t="shared" si="29"/>
        <v>0</v>
      </c>
      <c r="FB95" s="26">
        <f t="shared" si="29"/>
        <v>0</v>
      </c>
      <c r="FC95" s="26">
        <f t="shared" si="29"/>
        <v>0</v>
      </c>
      <c r="FD95" s="26">
        <f t="shared" si="29"/>
        <v>0</v>
      </c>
      <c r="FE95" s="26">
        <f t="shared" si="29"/>
        <v>0</v>
      </c>
      <c r="FF95" s="26">
        <f t="shared" si="29"/>
        <v>0</v>
      </c>
      <c r="FG95" s="26">
        <f t="shared" si="29"/>
        <v>0</v>
      </c>
      <c r="FH95" s="26">
        <f t="shared" si="29"/>
        <v>0</v>
      </c>
      <c r="FI95" s="26">
        <f t="shared" si="29"/>
        <v>0</v>
      </c>
      <c r="FJ95" s="26">
        <f t="shared" si="29"/>
        <v>0</v>
      </c>
      <c r="FK95" s="26">
        <f t="shared" si="29"/>
        <v>0</v>
      </c>
      <c r="FL95" s="26">
        <f t="shared" si="29"/>
        <v>0</v>
      </c>
      <c r="FM95" s="26">
        <f t="shared" si="29"/>
        <v>0</v>
      </c>
      <c r="FN95" s="26">
        <f t="shared" si="29"/>
        <v>0</v>
      </c>
      <c r="FO95" s="26">
        <f t="shared" si="29"/>
        <v>0</v>
      </c>
      <c r="FP95" s="26">
        <f t="shared" si="29"/>
        <v>0</v>
      </c>
      <c r="FQ95" s="26">
        <f t="shared" si="29"/>
        <v>0</v>
      </c>
      <c r="FR95" s="26">
        <f t="shared" si="29"/>
        <v>0</v>
      </c>
      <c r="FS95" s="26">
        <f t="shared" si="29"/>
        <v>0</v>
      </c>
      <c r="FT95" s="26">
        <f t="shared" si="29"/>
        <v>0</v>
      </c>
      <c r="FU95" s="26">
        <f t="shared" si="29"/>
        <v>0</v>
      </c>
      <c r="FV95" s="26">
        <f t="shared" si="29"/>
        <v>0</v>
      </c>
      <c r="FW95" s="26">
        <f t="shared" si="29"/>
        <v>0</v>
      </c>
      <c r="FX95" s="26">
        <f t="shared" si="29"/>
        <v>0</v>
      </c>
      <c r="FY95" s="26"/>
      <c r="FZ95" s="39">
        <f t="shared" si="28"/>
        <v>0</v>
      </c>
      <c r="GA95" s="25"/>
      <c r="GB95" s="26"/>
      <c r="GC95" s="26"/>
      <c r="GD95" s="7"/>
      <c r="GE95" s="7"/>
      <c r="GF95" s="23"/>
      <c r="GG95" s="23"/>
      <c r="GH95" s="23"/>
      <c r="GI95" s="23"/>
      <c r="GJ95" s="23"/>
      <c r="GK95" s="23"/>
      <c r="GL95" s="23"/>
      <c r="GM95" s="23"/>
    </row>
    <row r="96" spans="1:195" ht="15.5" x14ac:dyDescent="0.35">
      <c r="A96" s="12" t="s">
        <v>555</v>
      </c>
      <c r="B96" s="7" t="s">
        <v>816</v>
      </c>
      <c r="C96" s="35">
        <f t="shared" ref="C96:FX96" si="30">ROUND(IF(AND((C90+C93+C94+C95)&lt;50,(C12=0)),50,(C90+C93+C94+C95)),1)</f>
        <v>6384.5</v>
      </c>
      <c r="D96" s="35">
        <f t="shared" si="30"/>
        <v>38102.400000000001</v>
      </c>
      <c r="E96" s="35">
        <f t="shared" si="30"/>
        <v>5738</v>
      </c>
      <c r="F96" s="35">
        <f t="shared" si="30"/>
        <v>22398.6</v>
      </c>
      <c r="G96" s="35">
        <f t="shared" si="30"/>
        <v>1844</v>
      </c>
      <c r="H96" s="35">
        <f t="shared" si="30"/>
        <v>1095.7</v>
      </c>
      <c r="I96" s="35">
        <f t="shared" si="30"/>
        <v>8056</v>
      </c>
      <c r="J96" s="35">
        <f t="shared" si="30"/>
        <v>2066.8000000000002</v>
      </c>
      <c r="K96" s="35">
        <f t="shared" si="30"/>
        <v>251.7</v>
      </c>
      <c r="L96" s="35">
        <f t="shared" si="30"/>
        <v>2133.1</v>
      </c>
      <c r="M96" s="35">
        <f t="shared" si="30"/>
        <v>936.7</v>
      </c>
      <c r="N96" s="35">
        <f t="shared" si="30"/>
        <v>50452.1</v>
      </c>
      <c r="O96" s="35">
        <f t="shared" si="30"/>
        <v>12808.4</v>
      </c>
      <c r="P96" s="35">
        <f t="shared" si="30"/>
        <v>315.3</v>
      </c>
      <c r="Q96" s="35">
        <f t="shared" si="30"/>
        <v>39320.800000000003</v>
      </c>
      <c r="R96" s="35">
        <f t="shared" si="30"/>
        <v>481.8</v>
      </c>
      <c r="S96" s="35">
        <f t="shared" si="30"/>
        <v>1591.4</v>
      </c>
      <c r="T96" s="35">
        <f t="shared" si="30"/>
        <v>161.1</v>
      </c>
      <c r="U96" s="35">
        <f t="shared" si="30"/>
        <v>55.5</v>
      </c>
      <c r="V96" s="35">
        <f t="shared" si="30"/>
        <v>256.39999999999998</v>
      </c>
      <c r="W96" s="35">
        <f t="shared" si="30"/>
        <v>58.7</v>
      </c>
      <c r="X96" s="35">
        <f t="shared" si="30"/>
        <v>50</v>
      </c>
      <c r="Y96" s="35">
        <f t="shared" si="30"/>
        <v>423.8</v>
      </c>
      <c r="Z96" s="35">
        <f t="shared" si="30"/>
        <v>231.1</v>
      </c>
      <c r="AA96" s="35">
        <f t="shared" si="30"/>
        <v>30551.4</v>
      </c>
      <c r="AB96" s="35">
        <f t="shared" si="30"/>
        <v>26947.7</v>
      </c>
      <c r="AC96" s="35">
        <f t="shared" si="30"/>
        <v>906.3</v>
      </c>
      <c r="AD96" s="35">
        <f t="shared" si="30"/>
        <v>1435.1</v>
      </c>
      <c r="AE96" s="35">
        <f t="shared" si="30"/>
        <v>97</v>
      </c>
      <c r="AF96" s="35">
        <f t="shared" si="30"/>
        <v>167.5</v>
      </c>
      <c r="AG96" s="35">
        <f t="shared" si="30"/>
        <v>601.1</v>
      </c>
      <c r="AH96" s="35">
        <f t="shared" si="30"/>
        <v>957.7</v>
      </c>
      <c r="AI96" s="35">
        <f t="shared" si="30"/>
        <v>383</v>
      </c>
      <c r="AJ96" s="35">
        <f t="shared" si="30"/>
        <v>181.5</v>
      </c>
      <c r="AK96" s="35">
        <f t="shared" si="30"/>
        <v>165.7</v>
      </c>
      <c r="AL96" s="35">
        <f t="shared" si="30"/>
        <v>288.5</v>
      </c>
      <c r="AM96" s="35">
        <f t="shared" si="30"/>
        <v>352.6</v>
      </c>
      <c r="AN96" s="35">
        <f t="shared" si="30"/>
        <v>299.5</v>
      </c>
      <c r="AO96" s="35">
        <f t="shared" si="30"/>
        <v>4036</v>
      </c>
      <c r="AP96" s="35">
        <f t="shared" si="30"/>
        <v>83959.6</v>
      </c>
      <c r="AQ96" s="35">
        <f t="shared" si="30"/>
        <v>251</v>
      </c>
      <c r="AR96" s="35">
        <f t="shared" si="30"/>
        <v>60695.1</v>
      </c>
      <c r="AS96" s="35">
        <f t="shared" si="30"/>
        <v>6483</v>
      </c>
      <c r="AT96" s="35">
        <f t="shared" si="30"/>
        <v>2360.1999999999998</v>
      </c>
      <c r="AU96" s="35">
        <f t="shared" si="30"/>
        <v>271</v>
      </c>
      <c r="AV96" s="35">
        <f t="shared" si="30"/>
        <v>305.39999999999998</v>
      </c>
      <c r="AW96" s="35">
        <f t="shared" si="30"/>
        <v>255</v>
      </c>
      <c r="AX96" s="35">
        <f t="shared" si="30"/>
        <v>81</v>
      </c>
      <c r="AY96" s="35">
        <f t="shared" si="30"/>
        <v>406.8</v>
      </c>
      <c r="AZ96" s="35">
        <f t="shared" si="30"/>
        <v>12123.4</v>
      </c>
      <c r="BA96" s="35">
        <f t="shared" si="30"/>
        <v>8895.7999999999993</v>
      </c>
      <c r="BB96" s="35">
        <f t="shared" si="30"/>
        <v>7554.3</v>
      </c>
      <c r="BC96" s="35">
        <f t="shared" si="30"/>
        <v>24177.4</v>
      </c>
      <c r="BD96" s="35">
        <f t="shared" si="30"/>
        <v>3633.5</v>
      </c>
      <c r="BE96" s="35">
        <f t="shared" si="30"/>
        <v>1198.7</v>
      </c>
      <c r="BF96" s="35">
        <f t="shared" si="30"/>
        <v>24386.3</v>
      </c>
      <c r="BG96" s="35">
        <f t="shared" si="30"/>
        <v>920.6</v>
      </c>
      <c r="BH96" s="35">
        <f t="shared" si="30"/>
        <v>543.5</v>
      </c>
      <c r="BI96" s="35">
        <f t="shared" si="30"/>
        <v>257.39999999999998</v>
      </c>
      <c r="BJ96" s="35">
        <f t="shared" si="30"/>
        <v>6297.4</v>
      </c>
      <c r="BK96" s="35">
        <f t="shared" si="30"/>
        <v>21864.7</v>
      </c>
      <c r="BL96" s="35">
        <f t="shared" si="30"/>
        <v>74.3</v>
      </c>
      <c r="BM96" s="35">
        <f t="shared" si="30"/>
        <v>340.8</v>
      </c>
      <c r="BN96" s="35">
        <f t="shared" si="30"/>
        <v>3100.1</v>
      </c>
      <c r="BO96" s="35">
        <f t="shared" si="30"/>
        <v>1254.3</v>
      </c>
      <c r="BP96" s="35">
        <f t="shared" si="30"/>
        <v>160.4</v>
      </c>
      <c r="BQ96" s="35">
        <f t="shared" si="30"/>
        <v>5884.7</v>
      </c>
      <c r="BR96" s="35">
        <f t="shared" si="30"/>
        <v>4488.3999999999996</v>
      </c>
      <c r="BS96" s="35">
        <f t="shared" si="30"/>
        <v>1158.0999999999999</v>
      </c>
      <c r="BT96" s="35">
        <f t="shared" si="30"/>
        <v>372.5</v>
      </c>
      <c r="BU96" s="35">
        <f t="shared" si="30"/>
        <v>393.7</v>
      </c>
      <c r="BV96" s="35">
        <f t="shared" si="30"/>
        <v>1245.3</v>
      </c>
      <c r="BW96" s="35">
        <f t="shared" si="30"/>
        <v>2017.5</v>
      </c>
      <c r="BX96" s="35">
        <f t="shared" si="30"/>
        <v>66.5</v>
      </c>
      <c r="BY96" s="35">
        <f t="shared" si="30"/>
        <v>430.7</v>
      </c>
      <c r="BZ96" s="35">
        <f t="shared" si="30"/>
        <v>228</v>
      </c>
      <c r="CA96" s="35">
        <f t="shared" si="30"/>
        <v>146.19999999999999</v>
      </c>
      <c r="CB96" s="35">
        <f t="shared" si="30"/>
        <v>72575.399999999994</v>
      </c>
      <c r="CC96" s="35">
        <f t="shared" si="30"/>
        <v>189.3</v>
      </c>
      <c r="CD96" s="35">
        <f t="shared" si="30"/>
        <v>50</v>
      </c>
      <c r="CE96" s="35">
        <f t="shared" si="30"/>
        <v>158.30000000000001</v>
      </c>
      <c r="CF96" s="35">
        <f t="shared" si="30"/>
        <v>112.5</v>
      </c>
      <c r="CG96" s="35">
        <f t="shared" si="30"/>
        <v>199.9</v>
      </c>
      <c r="CH96" s="35">
        <f t="shared" si="30"/>
        <v>96.5</v>
      </c>
      <c r="CI96" s="35">
        <f t="shared" si="30"/>
        <v>687.9</v>
      </c>
      <c r="CJ96" s="35">
        <f t="shared" si="30"/>
        <v>872.3</v>
      </c>
      <c r="CK96" s="35">
        <f t="shared" si="30"/>
        <v>4888</v>
      </c>
      <c r="CL96" s="35">
        <f t="shared" si="30"/>
        <v>1228.4000000000001</v>
      </c>
      <c r="CM96" s="35">
        <f t="shared" si="30"/>
        <v>685.4</v>
      </c>
      <c r="CN96" s="35">
        <f t="shared" si="30"/>
        <v>30616.799999999999</v>
      </c>
      <c r="CO96" s="35">
        <f t="shared" si="30"/>
        <v>14324.2</v>
      </c>
      <c r="CP96" s="35">
        <f t="shared" si="30"/>
        <v>929.4</v>
      </c>
      <c r="CQ96" s="35">
        <f t="shared" si="30"/>
        <v>770.1</v>
      </c>
      <c r="CR96" s="35">
        <f t="shared" si="30"/>
        <v>215.8</v>
      </c>
      <c r="CS96" s="35">
        <f t="shared" si="30"/>
        <v>285.5</v>
      </c>
      <c r="CT96" s="35">
        <f t="shared" si="30"/>
        <v>113.5</v>
      </c>
      <c r="CU96" s="35">
        <f t="shared" si="30"/>
        <v>71.8</v>
      </c>
      <c r="CV96" s="35">
        <f t="shared" si="30"/>
        <v>50</v>
      </c>
      <c r="CW96" s="35">
        <f t="shared" si="30"/>
        <v>198.7</v>
      </c>
      <c r="CX96" s="35">
        <f t="shared" si="30"/>
        <v>461.4</v>
      </c>
      <c r="CY96" s="35">
        <f t="shared" si="30"/>
        <v>50</v>
      </c>
      <c r="CZ96" s="35">
        <f t="shared" si="30"/>
        <v>1806.8</v>
      </c>
      <c r="DA96" s="35">
        <f t="shared" si="30"/>
        <v>203.5</v>
      </c>
      <c r="DB96" s="35">
        <f t="shared" si="30"/>
        <v>315.8</v>
      </c>
      <c r="DC96" s="35">
        <f t="shared" si="30"/>
        <v>193</v>
      </c>
      <c r="DD96" s="35">
        <f t="shared" si="30"/>
        <v>174.5</v>
      </c>
      <c r="DE96" s="35">
        <f t="shared" si="30"/>
        <v>285.3</v>
      </c>
      <c r="DF96" s="35">
        <f t="shared" si="30"/>
        <v>20790.099999999999</v>
      </c>
      <c r="DG96" s="35">
        <f t="shared" si="30"/>
        <v>93.5</v>
      </c>
      <c r="DH96" s="35">
        <f t="shared" si="30"/>
        <v>1805.4</v>
      </c>
      <c r="DI96" s="35">
        <f t="shared" si="30"/>
        <v>2448.3000000000002</v>
      </c>
      <c r="DJ96" s="35">
        <f t="shared" si="30"/>
        <v>623</v>
      </c>
      <c r="DK96" s="35">
        <f t="shared" si="30"/>
        <v>477.7</v>
      </c>
      <c r="DL96" s="35">
        <f t="shared" si="30"/>
        <v>5694</v>
      </c>
      <c r="DM96" s="35">
        <f t="shared" si="30"/>
        <v>235</v>
      </c>
      <c r="DN96" s="35">
        <f t="shared" si="30"/>
        <v>1294.5</v>
      </c>
      <c r="DO96" s="35">
        <f t="shared" si="30"/>
        <v>3290</v>
      </c>
      <c r="DP96" s="35">
        <f t="shared" si="30"/>
        <v>200</v>
      </c>
      <c r="DQ96" s="35">
        <f t="shared" si="30"/>
        <v>887</v>
      </c>
      <c r="DR96" s="35">
        <f t="shared" si="30"/>
        <v>1315.2</v>
      </c>
      <c r="DS96" s="35">
        <f t="shared" si="30"/>
        <v>599.9</v>
      </c>
      <c r="DT96" s="35">
        <f t="shared" si="30"/>
        <v>176.5</v>
      </c>
      <c r="DU96" s="35">
        <f t="shared" si="30"/>
        <v>351.4</v>
      </c>
      <c r="DV96" s="35">
        <f t="shared" si="30"/>
        <v>208</v>
      </c>
      <c r="DW96" s="35">
        <f t="shared" si="30"/>
        <v>300.2</v>
      </c>
      <c r="DX96" s="35">
        <f t="shared" si="30"/>
        <v>168</v>
      </c>
      <c r="DY96" s="35">
        <f t="shared" si="30"/>
        <v>296.60000000000002</v>
      </c>
      <c r="DZ96" s="35">
        <f t="shared" si="30"/>
        <v>680.8</v>
      </c>
      <c r="EA96" s="35">
        <f t="shared" si="30"/>
        <v>530.6</v>
      </c>
      <c r="EB96" s="35">
        <f t="shared" si="30"/>
        <v>534.4</v>
      </c>
      <c r="EC96" s="35">
        <f t="shared" si="30"/>
        <v>285.10000000000002</v>
      </c>
      <c r="ED96" s="35">
        <f t="shared" si="30"/>
        <v>1561.8</v>
      </c>
      <c r="EE96" s="35">
        <f t="shared" si="30"/>
        <v>191.6</v>
      </c>
      <c r="EF96" s="35">
        <f t="shared" si="30"/>
        <v>1353.2</v>
      </c>
      <c r="EG96" s="35">
        <f t="shared" si="30"/>
        <v>253.5</v>
      </c>
      <c r="EH96" s="35">
        <f t="shared" si="30"/>
        <v>247.4</v>
      </c>
      <c r="EI96" s="35">
        <f t="shared" si="30"/>
        <v>13865.8</v>
      </c>
      <c r="EJ96" s="35">
        <f t="shared" si="30"/>
        <v>9949.7999999999993</v>
      </c>
      <c r="EK96" s="35">
        <f t="shared" si="30"/>
        <v>668.7</v>
      </c>
      <c r="EL96" s="35">
        <f t="shared" si="30"/>
        <v>459.4</v>
      </c>
      <c r="EM96" s="35">
        <f t="shared" si="30"/>
        <v>378.1</v>
      </c>
      <c r="EN96" s="35">
        <f t="shared" si="30"/>
        <v>896.9</v>
      </c>
      <c r="EO96" s="35">
        <f t="shared" si="30"/>
        <v>305.39999999999998</v>
      </c>
      <c r="EP96" s="35">
        <f t="shared" si="30"/>
        <v>428.5</v>
      </c>
      <c r="EQ96" s="35">
        <f t="shared" si="30"/>
        <v>2614.4</v>
      </c>
      <c r="ER96" s="35">
        <f t="shared" si="30"/>
        <v>307.60000000000002</v>
      </c>
      <c r="ES96" s="35">
        <f t="shared" si="30"/>
        <v>163</v>
      </c>
      <c r="ET96" s="35">
        <f t="shared" si="30"/>
        <v>197.5</v>
      </c>
      <c r="EU96" s="35">
        <f t="shared" si="30"/>
        <v>575.29999999999995</v>
      </c>
      <c r="EV96" s="35">
        <f t="shared" si="30"/>
        <v>72.599999999999994</v>
      </c>
      <c r="EW96" s="35">
        <f t="shared" si="30"/>
        <v>819.4</v>
      </c>
      <c r="EX96" s="35">
        <f t="shared" si="30"/>
        <v>173.5</v>
      </c>
      <c r="EY96" s="35">
        <f t="shared" si="30"/>
        <v>206.5</v>
      </c>
      <c r="EZ96" s="35">
        <f t="shared" si="30"/>
        <v>129.30000000000001</v>
      </c>
      <c r="FA96" s="35">
        <f t="shared" si="30"/>
        <v>3385.2</v>
      </c>
      <c r="FB96" s="35">
        <f t="shared" si="30"/>
        <v>288.10000000000002</v>
      </c>
      <c r="FC96" s="35">
        <f t="shared" si="30"/>
        <v>1822.2</v>
      </c>
      <c r="FD96" s="35">
        <f t="shared" si="30"/>
        <v>402</v>
      </c>
      <c r="FE96" s="35">
        <f t="shared" si="30"/>
        <v>79</v>
      </c>
      <c r="FF96" s="35">
        <f t="shared" si="30"/>
        <v>185</v>
      </c>
      <c r="FG96" s="35">
        <f t="shared" si="30"/>
        <v>120.8</v>
      </c>
      <c r="FH96" s="35">
        <f t="shared" si="30"/>
        <v>70</v>
      </c>
      <c r="FI96" s="35">
        <f t="shared" si="30"/>
        <v>1702.5</v>
      </c>
      <c r="FJ96" s="35">
        <f t="shared" si="30"/>
        <v>2016.5</v>
      </c>
      <c r="FK96" s="35">
        <f t="shared" si="30"/>
        <v>2529.1</v>
      </c>
      <c r="FL96" s="35">
        <f t="shared" si="30"/>
        <v>8538.5</v>
      </c>
      <c r="FM96" s="35">
        <f t="shared" si="30"/>
        <v>3981.5</v>
      </c>
      <c r="FN96" s="35">
        <f t="shared" si="30"/>
        <v>22422.3</v>
      </c>
      <c r="FO96" s="35">
        <f t="shared" si="30"/>
        <v>1117.2</v>
      </c>
      <c r="FP96" s="35">
        <f t="shared" si="30"/>
        <v>2341.5</v>
      </c>
      <c r="FQ96" s="35">
        <f t="shared" si="30"/>
        <v>984.9</v>
      </c>
      <c r="FR96" s="35">
        <f t="shared" si="30"/>
        <v>168.1</v>
      </c>
      <c r="FS96" s="35">
        <f t="shared" si="30"/>
        <v>168.3</v>
      </c>
      <c r="FT96" s="35">
        <f t="shared" si="30"/>
        <v>56.5</v>
      </c>
      <c r="FU96" s="35">
        <f t="shared" si="30"/>
        <v>791.1</v>
      </c>
      <c r="FV96" s="35">
        <f t="shared" si="30"/>
        <v>692.7</v>
      </c>
      <c r="FW96" s="35">
        <f t="shared" si="30"/>
        <v>147.5</v>
      </c>
      <c r="FX96" s="35">
        <f t="shared" si="30"/>
        <v>64.5</v>
      </c>
      <c r="FY96" s="26"/>
      <c r="FZ96" s="26">
        <f t="shared" ref="FZ96:FZ97" si="31">SUM(C96:FX96)</f>
        <v>816856.50000000047</v>
      </c>
      <c r="GA96" s="57"/>
      <c r="GB96" s="23">
        <f>FZ96-GA96</f>
        <v>816856.50000000047</v>
      </c>
      <c r="GC96" s="26"/>
      <c r="GD96" s="7"/>
      <c r="GE96" s="7"/>
      <c r="GF96" s="23"/>
      <c r="GG96" s="23"/>
      <c r="GH96" s="23"/>
      <c r="GI96" s="23"/>
      <c r="GJ96" s="23"/>
      <c r="GK96" s="23"/>
      <c r="GL96" s="23"/>
      <c r="GM96" s="23"/>
    </row>
    <row r="97" spans="1:207" ht="15.5" x14ac:dyDescent="0.35">
      <c r="A97" s="12" t="s">
        <v>557</v>
      </c>
      <c r="B97" s="7" t="s">
        <v>817</v>
      </c>
      <c r="C97" s="26">
        <f t="shared" ref="C97:FX97" si="32">C13</f>
        <v>0</v>
      </c>
      <c r="D97" s="26">
        <f t="shared" si="32"/>
        <v>38</v>
      </c>
      <c r="E97" s="26">
        <f t="shared" si="32"/>
        <v>0</v>
      </c>
      <c r="F97" s="26">
        <f t="shared" si="32"/>
        <v>1</v>
      </c>
      <c r="G97" s="26">
        <f t="shared" si="32"/>
        <v>0</v>
      </c>
      <c r="H97" s="26">
        <f t="shared" si="32"/>
        <v>0</v>
      </c>
      <c r="I97" s="26">
        <f t="shared" si="32"/>
        <v>5</v>
      </c>
      <c r="J97" s="26">
        <f t="shared" si="32"/>
        <v>0</v>
      </c>
      <c r="K97" s="26">
        <f t="shared" si="32"/>
        <v>0</v>
      </c>
      <c r="L97" s="26">
        <f t="shared" si="32"/>
        <v>0</v>
      </c>
      <c r="M97" s="26">
        <f t="shared" si="32"/>
        <v>0</v>
      </c>
      <c r="N97" s="26">
        <f t="shared" si="32"/>
        <v>30.5</v>
      </c>
      <c r="O97" s="26">
        <f t="shared" si="32"/>
        <v>6</v>
      </c>
      <c r="P97" s="26">
        <f t="shared" si="32"/>
        <v>0</v>
      </c>
      <c r="Q97" s="26">
        <f t="shared" si="32"/>
        <v>3</v>
      </c>
      <c r="R97" s="26">
        <f t="shared" si="32"/>
        <v>0</v>
      </c>
      <c r="S97" s="26">
        <f t="shared" si="32"/>
        <v>0</v>
      </c>
      <c r="T97" s="26">
        <f t="shared" si="32"/>
        <v>0</v>
      </c>
      <c r="U97" s="26">
        <f t="shared" si="32"/>
        <v>0</v>
      </c>
      <c r="V97" s="26">
        <f t="shared" si="32"/>
        <v>0</v>
      </c>
      <c r="W97" s="26">
        <f t="shared" si="32"/>
        <v>0</v>
      </c>
      <c r="X97" s="26">
        <f t="shared" si="32"/>
        <v>0</v>
      </c>
      <c r="Y97" s="26">
        <f t="shared" si="32"/>
        <v>0</v>
      </c>
      <c r="Z97" s="26">
        <f t="shared" si="32"/>
        <v>0</v>
      </c>
      <c r="AA97" s="26">
        <f t="shared" si="32"/>
        <v>45</v>
      </c>
      <c r="AB97" s="26">
        <f t="shared" si="32"/>
        <v>1</v>
      </c>
      <c r="AC97" s="26">
        <f t="shared" si="32"/>
        <v>0</v>
      </c>
      <c r="AD97" s="26">
        <f t="shared" si="32"/>
        <v>0</v>
      </c>
      <c r="AE97" s="26">
        <f t="shared" si="32"/>
        <v>0</v>
      </c>
      <c r="AF97" s="26">
        <f t="shared" si="32"/>
        <v>0</v>
      </c>
      <c r="AG97" s="26">
        <f t="shared" si="32"/>
        <v>0</v>
      </c>
      <c r="AH97" s="26">
        <f t="shared" si="32"/>
        <v>0</v>
      </c>
      <c r="AI97" s="26">
        <f t="shared" si="32"/>
        <v>0</v>
      </c>
      <c r="AJ97" s="26">
        <f t="shared" si="32"/>
        <v>0</v>
      </c>
      <c r="AK97" s="26">
        <f t="shared" si="32"/>
        <v>0</v>
      </c>
      <c r="AL97" s="26">
        <f t="shared" si="32"/>
        <v>0</v>
      </c>
      <c r="AM97" s="26">
        <f t="shared" si="32"/>
        <v>0</v>
      </c>
      <c r="AN97" s="26">
        <f t="shared" si="32"/>
        <v>0</v>
      </c>
      <c r="AO97" s="26">
        <f t="shared" si="32"/>
        <v>0</v>
      </c>
      <c r="AP97" s="26">
        <f t="shared" si="32"/>
        <v>7.5</v>
      </c>
      <c r="AQ97" s="26">
        <f t="shared" si="32"/>
        <v>0</v>
      </c>
      <c r="AR97" s="26">
        <f t="shared" si="32"/>
        <v>8</v>
      </c>
      <c r="AS97" s="26">
        <f t="shared" si="32"/>
        <v>1</v>
      </c>
      <c r="AT97" s="26">
        <f t="shared" si="32"/>
        <v>0</v>
      </c>
      <c r="AU97" s="26">
        <f t="shared" si="32"/>
        <v>0</v>
      </c>
      <c r="AV97" s="26">
        <f t="shared" si="32"/>
        <v>0</v>
      </c>
      <c r="AW97" s="26">
        <f t="shared" si="32"/>
        <v>0</v>
      </c>
      <c r="AX97" s="26">
        <f t="shared" si="32"/>
        <v>0</v>
      </c>
      <c r="AY97" s="26">
        <f t="shared" si="32"/>
        <v>0</v>
      </c>
      <c r="AZ97" s="26">
        <f t="shared" si="32"/>
        <v>0</v>
      </c>
      <c r="BA97" s="26">
        <f t="shared" si="32"/>
        <v>0</v>
      </c>
      <c r="BB97" s="26">
        <f t="shared" si="32"/>
        <v>1</v>
      </c>
      <c r="BC97" s="26">
        <f t="shared" si="32"/>
        <v>17.5</v>
      </c>
      <c r="BD97" s="26">
        <f t="shared" si="32"/>
        <v>0</v>
      </c>
      <c r="BE97" s="26">
        <f t="shared" si="32"/>
        <v>0</v>
      </c>
      <c r="BF97" s="26">
        <f t="shared" si="32"/>
        <v>2</v>
      </c>
      <c r="BG97" s="26">
        <f t="shared" si="32"/>
        <v>0</v>
      </c>
      <c r="BH97" s="26">
        <f t="shared" si="32"/>
        <v>0</v>
      </c>
      <c r="BI97" s="26">
        <f t="shared" si="32"/>
        <v>0</v>
      </c>
      <c r="BJ97" s="26">
        <f t="shared" si="32"/>
        <v>2</v>
      </c>
      <c r="BK97" s="26">
        <f t="shared" si="32"/>
        <v>23.5</v>
      </c>
      <c r="BL97" s="26">
        <f t="shared" si="32"/>
        <v>0.5</v>
      </c>
      <c r="BM97" s="26">
        <f t="shared" si="32"/>
        <v>0</v>
      </c>
      <c r="BN97" s="26">
        <f t="shared" si="32"/>
        <v>12</v>
      </c>
      <c r="BO97" s="26">
        <f t="shared" si="32"/>
        <v>0</v>
      </c>
      <c r="BP97" s="26">
        <f t="shared" si="32"/>
        <v>0</v>
      </c>
      <c r="BQ97" s="26">
        <f t="shared" si="32"/>
        <v>0.5</v>
      </c>
      <c r="BR97" s="26">
        <f t="shared" si="32"/>
        <v>0</v>
      </c>
      <c r="BS97" s="26">
        <f t="shared" si="32"/>
        <v>0</v>
      </c>
      <c r="BT97" s="26">
        <f t="shared" si="32"/>
        <v>0</v>
      </c>
      <c r="BU97" s="26">
        <f t="shared" si="32"/>
        <v>0</v>
      </c>
      <c r="BV97" s="26">
        <f t="shared" si="32"/>
        <v>0</v>
      </c>
      <c r="BW97" s="26">
        <f t="shared" si="32"/>
        <v>0</v>
      </c>
      <c r="BX97" s="26">
        <f t="shared" si="32"/>
        <v>0</v>
      </c>
      <c r="BY97" s="26">
        <f t="shared" si="32"/>
        <v>0</v>
      </c>
      <c r="BZ97" s="26">
        <f t="shared" si="32"/>
        <v>0</v>
      </c>
      <c r="CA97" s="26">
        <f t="shared" si="32"/>
        <v>0</v>
      </c>
      <c r="CB97" s="26">
        <f t="shared" si="32"/>
        <v>17</v>
      </c>
      <c r="CC97" s="26">
        <f t="shared" si="32"/>
        <v>0</v>
      </c>
      <c r="CD97" s="26">
        <f t="shared" si="32"/>
        <v>0</v>
      </c>
      <c r="CE97" s="26">
        <f t="shared" si="32"/>
        <v>0</v>
      </c>
      <c r="CF97" s="26">
        <f t="shared" si="32"/>
        <v>0</v>
      </c>
      <c r="CG97" s="26">
        <f t="shared" si="32"/>
        <v>0</v>
      </c>
      <c r="CH97" s="26">
        <f t="shared" si="32"/>
        <v>0</v>
      </c>
      <c r="CI97" s="26">
        <f t="shared" si="32"/>
        <v>0</v>
      </c>
      <c r="CJ97" s="26">
        <f t="shared" si="32"/>
        <v>0</v>
      </c>
      <c r="CK97" s="26">
        <f t="shared" si="32"/>
        <v>0</v>
      </c>
      <c r="CL97" s="26">
        <f t="shared" si="32"/>
        <v>0</v>
      </c>
      <c r="CM97" s="26">
        <f t="shared" si="32"/>
        <v>0</v>
      </c>
      <c r="CN97" s="26">
        <f t="shared" si="32"/>
        <v>25.5</v>
      </c>
      <c r="CO97" s="26">
        <f t="shared" si="32"/>
        <v>1</v>
      </c>
      <c r="CP97" s="26">
        <f t="shared" si="32"/>
        <v>2</v>
      </c>
      <c r="CQ97" s="26">
        <f t="shared" si="32"/>
        <v>0</v>
      </c>
      <c r="CR97" s="26">
        <f t="shared" si="32"/>
        <v>0</v>
      </c>
      <c r="CS97" s="26">
        <f t="shared" si="32"/>
        <v>0</v>
      </c>
      <c r="CT97" s="26">
        <f t="shared" si="32"/>
        <v>0</v>
      </c>
      <c r="CU97" s="26">
        <f t="shared" si="32"/>
        <v>0</v>
      </c>
      <c r="CV97" s="26">
        <f t="shared" si="32"/>
        <v>0</v>
      </c>
      <c r="CW97" s="26">
        <f t="shared" si="32"/>
        <v>0</v>
      </c>
      <c r="CX97" s="26">
        <f t="shared" si="32"/>
        <v>0</v>
      </c>
      <c r="CY97" s="26">
        <f t="shared" si="32"/>
        <v>0</v>
      </c>
      <c r="CZ97" s="26">
        <f t="shared" si="32"/>
        <v>0</v>
      </c>
      <c r="DA97" s="26">
        <f t="shared" si="32"/>
        <v>0</v>
      </c>
      <c r="DB97" s="26">
        <f t="shared" si="32"/>
        <v>0</v>
      </c>
      <c r="DC97" s="26">
        <f t="shared" si="32"/>
        <v>0</v>
      </c>
      <c r="DD97" s="26">
        <f t="shared" si="32"/>
        <v>0</v>
      </c>
      <c r="DE97" s="26">
        <f t="shared" si="32"/>
        <v>0</v>
      </c>
      <c r="DF97" s="26">
        <f t="shared" si="32"/>
        <v>26</v>
      </c>
      <c r="DG97" s="26">
        <f t="shared" si="32"/>
        <v>0</v>
      </c>
      <c r="DH97" s="26">
        <f t="shared" si="32"/>
        <v>0</v>
      </c>
      <c r="DI97" s="26">
        <f t="shared" si="32"/>
        <v>0</v>
      </c>
      <c r="DJ97" s="26">
        <f t="shared" si="32"/>
        <v>0</v>
      </c>
      <c r="DK97" s="26">
        <f t="shared" si="32"/>
        <v>0</v>
      </c>
      <c r="DL97" s="26">
        <f t="shared" si="32"/>
        <v>0</v>
      </c>
      <c r="DM97" s="26">
        <f t="shared" si="32"/>
        <v>0</v>
      </c>
      <c r="DN97" s="26">
        <f t="shared" si="32"/>
        <v>0.5</v>
      </c>
      <c r="DO97" s="26">
        <f t="shared" si="32"/>
        <v>0</v>
      </c>
      <c r="DP97" s="26">
        <f t="shared" si="32"/>
        <v>0</v>
      </c>
      <c r="DQ97" s="26">
        <f t="shared" si="32"/>
        <v>0</v>
      </c>
      <c r="DR97" s="26">
        <f t="shared" si="32"/>
        <v>0</v>
      </c>
      <c r="DS97" s="26">
        <f t="shared" si="32"/>
        <v>0</v>
      </c>
      <c r="DT97" s="26">
        <f t="shared" si="32"/>
        <v>0</v>
      </c>
      <c r="DU97" s="26">
        <f t="shared" si="32"/>
        <v>0</v>
      </c>
      <c r="DV97" s="26">
        <f t="shared" si="32"/>
        <v>0</v>
      </c>
      <c r="DW97" s="26">
        <f t="shared" si="32"/>
        <v>0</v>
      </c>
      <c r="DX97" s="26">
        <f t="shared" si="32"/>
        <v>0</v>
      </c>
      <c r="DY97" s="26">
        <f t="shared" si="32"/>
        <v>0</v>
      </c>
      <c r="DZ97" s="26">
        <f t="shared" si="32"/>
        <v>0</v>
      </c>
      <c r="EA97" s="26">
        <f t="shared" si="32"/>
        <v>0</v>
      </c>
      <c r="EB97" s="26">
        <f t="shared" si="32"/>
        <v>0</v>
      </c>
      <c r="EC97" s="26">
        <f t="shared" si="32"/>
        <v>0</v>
      </c>
      <c r="ED97" s="26">
        <f t="shared" si="32"/>
        <v>0</v>
      </c>
      <c r="EE97" s="26">
        <f t="shared" si="32"/>
        <v>0</v>
      </c>
      <c r="EF97" s="26">
        <f t="shared" si="32"/>
        <v>0</v>
      </c>
      <c r="EG97" s="26">
        <f t="shared" si="32"/>
        <v>0</v>
      </c>
      <c r="EH97" s="26">
        <f t="shared" si="32"/>
        <v>0</v>
      </c>
      <c r="EI97" s="26">
        <f t="shared" si="32"/>
        <v>0</v>
      </c>
      <c r="EJ97" s="26">
        <f t="shared" si="32"/>
        <v>2</v>
      </c>
      <c r="EK97" s="26">
        <f t="shared" si="32"/>
        <v>0</v>
      </c>
      <c r="EL97" s="26">
        <f t="shared" si="32"/>
        <v>0</v>
      </c>
      <c r="EM97" s="26">
        <f t="shared" si="32"/>
        <v>0</v>
      </c>
      <c r="EN97" s="26">
        <f t="shared" si="32"/>
        <v>0</v>
      </c>
      <c r="EO97" s="26">
        <f t="shared" si="32"/>
        <v>0</v>
      </c>
      <c r="EP97" s="26">
        <f t="shared" si="32"/>
        <v>0</v>
      </c>
      <c r="EQ97" s="26">
        <f t="shared" si="32"/>
        <v>0</v>
      </c>
      <c r="ER97" s="26">
        <f t="shared" si="32"/>
        <v>0</v>
      </c>
      <c r="ES97" s="26">
        <f t="shared" si="32"/>
        <v>0</v>
      </c>
      <c r="ET97" s="26">
        <f t="shared" si="32"/>
        <v>0</v>
      </c>
      <c r="EU97" s="26">
        <f t="shared" si="32"/>
        <v>0</v>
      </c>
      <c r="EV97" s="26">
        <f t="shared" si="32"/>
        <v>0</v>
      </c>
      <c r="EW97" s="26">
        <f t="shared" si="32"/>
        <v>0</v>
      </c>
      <c r="EX97" s="26">
        <f t="shared" si="32"/>
        <v>0</v>
      </c>
      <c r="EY97" s="26">
        <f t="shared" si="32"/>
        <v>0</v>
      </c>
      <c r="EZ97" s="26">
        <f t="shared" si="32"/>
        <v>0</v>
      </c>
      <c r="FA97" s="26">
        <f t="shared" si="32"/>
        <v>0</v>
      </c>
      <c r="FB97" s="26">
        <f t="shared" si="32"/>
        <v>0</v>
      </c>
      <c r="FC97" s="26">
        <f t="shared" si="32"/>
        <v>0</v>
      </c>
      <c r="FD97" s="26">
        <f t="shared" si="32"/>
        <v>0</v>
      </c>
      <c r="FE97" s="26">
        <f t="shared" si="32"/>
        <v>0</v>
      </c>
      <c r="FF97" s="26">
        <f t="shared" si="32"/>
        <v>0</v>
      </c>
      <c r="FG97" s="26">
        <f t="shared" si="32"/>
        <v>0</v>
      </c>
      <c r="FH97" s="26">
        <f t="shared" si="32"/>
        <v>0</v>
      </c>
      <c r="FI97" s="26">
        <f t="shared" si="32"/>
        <v>0</v>
      </c>
      <c r="FJ97" s="26">
        <f t="shared" si="32"/>
        <v>0</v>
      </c>
      <c r="FK97" s="26">
        <f t="shared" si="32"/>
        <v>0</v>
      </c>
      <c r="FL97" s="26">
        <f t="shared" si="32"/>
        <v>0</v>
      </c>
      <c r="FM97" s="26">
        <f t="shared" si="32"/>
        <v>0</v>
      </c>
      <c r="FN97" s="26">
        <f t="shared" si="32"/>
        <v>13</v>
      </c>
      <c r="FO97" s="26">
        <f t="shared" si="32"/>
        <v>2</v>
      </c>
      <c r="FP97" s="26">
        <f t="shared" si="32"/>
        <v>0</v>
      </c>
      <c r="FQ97" s="26">
        <f t="shared" si="32"/>
        <v>0</v>
      </c>
      <c r="FR97" s="26">
        <f t="shared" si="32"/>
        <v>0</v>
      </c>
      <c r="FS97" s="26">
        <f t="shared" si="32"/>
        <v>0</v>
      </c>
      <c r="FT97" s="26">
        <f t="shared" si="32"/>
        <v>0</v>
      </c>
      <c r="FU97" s="26">
        <f t="shared" si="32"/>
        <v>0</v>
      </c>
      <c r="FV97" s="26">
        <f t="shared" si="32"/>
        <v>0</v>
      </c>
      <c r="FW97" s="26">
        <f t="shared" si="32"/>
        <v>0</v>
      </c>
      <c r="FX97" s="26">
        <f t="shared" si="32"/>
        <v>0</v>
      </c>
      <c r="FZ97" s="26">
        <f t="shared" si="31"/>
        <v>294</v>
      </c>
      <c r="GA97" s="25"/>
      <c r="GB97" s="26"/>
      <c r="GC97" s="26"/>
      <c r="GD97" s="26"/>
      <c r="GE97" s="7"/>
      <c r="GF97" s="23"/>
      <c r="GG97" s="23"/>
      <c r="GH97" s="23"/>
      <c r="GI97" s="23"/>
      <c r="GJ97" s="23"/>
      <c r="GK97" s="23"/>
      <c r="GL97" s="23"/>
      <c r="GM97" s="23"/>
    </row>
    <row r="98" spans="1:207" ht="15.5" x14ac:dyDescent="0.35">
      <c r="A98" s="12" t="s">
        <v>818</v>
      </c>
      <c r="B98" s="7" t="s">
        <v>819</v>
      </c>
      <c r="C98" s="26">
        <f t="shared" ref="C98:FX98" si="33">C34</f>
        <v>0</v>
      </c>
      <c r="D98" s="26">
        <f t="shared" si="33"/>
        <v>0</v>
      </c>
      <c r="E98" s="26">
        <f t="shared" si="33"/>
        <v>0</v>
      </c>
      <c r="F98" s="26">
        <f t="shared" si="33"/>
        <v>0</v>
      </c>
      <c r="G98" s="26">
        <f t="shared" si="33"/>
        <v>0</v>
      </c>
      <c r="H98" s="26">
        <f t="shared" si="33"/>
        <v>0</v>
      </c>
      <c r="I98" s="26">
        <f t="shared" si="33"/>
        <v>0</v>
      </c>
      <c r="J98" s="26">
        <f t="shared" si="33"/>
        <v>0</v>
      </c>
      <c r="K98" s="26">
        <f t="shared" si="33"/>
        <v>0</v>
      </c>
      <c r="L98" s="26">
        <f t="shared" si="33"/>
        <v>0</v>
      </c>
      <c r="M98" s="26">
        <f t="shared" si="33"/>
        <v>0</v>
      </c>
      <c r="N98" s="26">
        <f t="shared" si="33"/>
        <v>0</v>
      </c>
      <c r="O98" s="26">
        <f t="shared" si="33"/>
        <v>0</v>
      </c>
      <c r="P98" s="26">
        <f t="shared" si="33"/>
        <v>0</v>
      </c>
      <c r="Q98" s="26">
        <f t="shared" si="33"/>
        <v>1</v>
      </c>
      <c r="R98" s="26">
        <f t="shared" si="33"/>
        <v>0</v>
      </c>
      <c r="S98" s="26">
        <f t="shared" si="33"/>
        <v>0</v>
      </c>
      <c r="T98" s="26">
        <f t="shared" si="33"/>
        <v>0</v>
      </c>
      <c r="U98" s="26">
        <f t="shared" si="33"/>
        <v>0</v>
      </c>
      <c r="V98" s="26">
        <f t="shared" si="33"/>
        <v>0</v>
      </c>
      <c r="W98" s="26">
        <f t="shared" si="33"/>
        <v>0</v>
      </c>
      <c r="X98" s="26">
        <f t="shared" si="33"/>
        <v>0</v>
      </c>
      <c r="Y98" s="26">
        <f t="shared" si="33"/>
        <v>0</v>
      </c>
      <c r="Z98" s="26">
        <f t="shared" si="33"/>
        <v>0</v>
      </c>
      <c r="AA98" s="26">
        <f t="shared" si="33"/>
        <v>0</v>
      </c>
      <c r="AB98" s="26">
        <f t="shared" si="33"/>
        <v>0</v>
      </c>
      <c r="AC98" s="26">
        <f t="shared" si="33"/>
        <v>0</v>
      </c>
      <c r="AD98" s="26">
        <f t="shared" si="33"/>
        <v>0</v>
      </c>
      <c r="AE98" s="26">
        <f t="shared" si="33"/>
        <v>0</v>
      </c>
      <c r="AF98" s="26">
        <f t="shared" si="33"/>
        <v>0</v>
      </c>
      <c r="AG98" s="26">
        <f t="shared" si="33"/>
        <v>0</v>
      </c>
      <c r="AH98" s="26">
        <f t="shared" si="33"/>
        <v>0</v>
      </c>
      <c r="AI98" s="26">
        <f t="shared" si="33"/>
        <v>0</v>
      </c>
      <c r="AJ98" s="26">
        <f t="shared" si="33"/>
        <v>0</v>
      </c>
      <c r="AK98" s="26">
        <f t="shared" si="33"/>
        <v>0</v>
      </c>
      <c r="AL98" s="26">
        <f t="shared" si="33"/>
        <v>0</v>
      </c>
      <c r="AM98" s="26">
        <f t="shared" si="33"/>
        <v>0</v>
      </c>
      <c r="AN98" s="26">
        <f t="shared" si="33"/>
        <v>0</v>
      </c>
      <c r="AO98" s="26">
        <f t="shared" si="33"/>
        <v>0</v>
      </c>
      <c r="AP98" s="26">
        <f t="shared" si="33"/>
        <v>0</v>
      </c>
      <c r="AQ98" s="26">
        <f t="shared" si="33"/>
        <v>0</v>
      </c>
      <c r="AR98" s="26">
        <f t="shared" si="33"/>
        <v>0</v>
      </c>
      <c r="AS98" s="26">
        <f t="shared" si="33"/>
        <v>0</v>
      </c>
      <c r="AT98" s="26">
        <f t="shared" si="33"/>
        <v>0</v>
      </c>
      <c r="AU98" s="26">
        <f t="shared" si="33"/>
        <v>0</v>
      </c>
      <c r="AV98" s="26">
        <f t="shared" si="33"/>
        <v>0</v>
      </c>
      <c r="AW98" s="26">
        <f t="shared" si="33"/>
        <v>0</v>
      </c>
      <c r="AX98" s="26">
        <f t="shared" si="33"/>
        <v>0</v>
      </c>
      <c r="AY98" s="26">
        <f t="shared" si="33"/>
        <v>0</v>
      </c>
      <c r="AZ98" s="26">
        <f t="shared" si="33"/>
        <v>0</v>
      </c>
      <c r="BA98" s="26">
        <f t="shared" si="33"/>
        <v>0</v>
      </c>
      <c r="BB98" s="26">
        <f t="shared" si="33"/>
        <v>0</v>
      </c>
      <c r="BC98" s="26">
        <f t="shared" si="33"/>
        <v>0</v>
      </c>
      <c r="BD98" s="26">
        <f t="shared" si="33"/>
        <v>0</v>
      </c>
      <c r="BE98" s="26">
        <f t="shared" si="33"/>
        <v>0</v>
      </c>
      <c r="BF98" s="26">
        <f t="shared" si="33"/>
        <v>0</v>
      </c>
      <c r="BG98" s="26">
        <f t="shared" si="33"/>
        <v>0</v>
      </c>
      <c r="BH98" s="26">
        <f t="shared" si="33"/>
        <v>0</v>
      </c>
      <c r="BI98" s="26">
        <f t="shared" si="33"/>
        <v>0</v>
      </c>
      <c r="BJ98" s="26">
        <f t="shared" si="33"/>
        <v>0</v>
      </c>
      <c r="BK98" s="26">
        <f t="shared" si="33"/>
        <v>0</v>
      </c>
      <c r="BL98" s="26">
        <f t="shared" si="33"/>
        <v>0</v>
      </c>
      <c r="BM98" s="26">
        <f t="shared" si="33"/>
        <v>0</v>
      </c>
      <c r="BN98" s="26">
        <f t="shared" si="33"/>
        <v>0</v>
      </c>
      <c r="BO98" s="26">
        <f t="shared" si="33"/>
        <v>0</v>
      </c>
      <c r="BP98" s="26">
        <f t="shared" si="33"/>
        <v>0</v>
      </c>
      <c r="BQ98" s="26">
        <f t="shared" si="33"/>
        <v>0</v>
      </c>
      <c r="BR98" s="26">
        <f t="shared" si="33"/>
        <v>0</v>
      </c>
      <c r="BS98" s="26">
        <f t="shared" si="33"/>
        <v>0</v>
      </c>
      <c r="BT98" s="26">
        <f t="shared" si="33"/>
        <v>0</v>
      </c>
      <c r="BU98" s="26">
        <f t="shared" si="33"/>
        <v>0</v>
      </c>
      <c r="BV98" s="26">
        <f t="shared" si="33"/>
        <v>0</v>
      </c>
      <c r="BW98" s="26">
        <f t="shared" si="33"/>
        <v>0</v>
      </c>
      <c r="BX98" s="26">
        <f t="shared" si="33"/>
        <v>0</v>
      </c>
      <c r="BY98" s="26">
        <f t="shared" si="33"/>
        <v>0</v>
      </c>
      <c r="BZ98" s="26">
        <f t="shared" si="33"/>
        <v>0</v>
      </c>
      <c r="CA98" s="26">
        <f t="shared" si="33"/>
        <v>0</v>
      </c>
      <c r="CB98" s="26">
        <f t="shared" si="33"/>
        <v>0</v>
      </c>
      <c r="CC98" s="26">
        <f t="shared" si="33"/>
        <v>0</v>
      </c>
      <c r="CD98" s="26">
        <f t="shared" si="33"/>
        <v>0</v>
      </c>
      <c r="CE98" s="26">
        <f t="shared" si="33"/>
        <v>0</v>
      </c>
      <c r="CF98" s="26">
        <f t="shared" si="33"/>
        <v>0</v>
      </c>
      <c r="CG98" s="26">
        <f t="shared" si="33"/>
        <v>0</v>
      </c>
      <c r="CH98" s="26">
        <f t="shared" si="33"/>
        <v>0</v>
      </c>
      <c r="CI98" s="26">
        <f t="shared" si="33"/>
        <v>0</v>
      </c>
      <c r="CJ98" s="26">
        <f t="shared" si="33"/>
        <v>0</v>
      </c>
      <c r="CK98" s="26">
        <f t="shared" si="33"/>
        <v>0</v>
      </c>
      <c r="CL98" s="26">
        <f t="shared" si="33"/>
        <v>0</v>
      </c>
      <c r="CM98" s="26">
        <f t="shared" si="33"/>
        <v>0</v>
      </c>
      <c r="CN98" s="26">
        <f t="shared" si="33"/>
        <v>0</v>
      </c>
      <c r="CO98" s="26">
        <f t="shared" si="33"/>
        <v>0</v>
      </c>
      <c r="CP98" s="26">
        <f t="shared" si="33"/>
        <v>0</v>
      </c>
      <c r="CQ98" s="26">
        <f t="shared" si="33"/>
        <v>0</v>
      </c>
      <c r="CR98" s="26">
        <f t="shared" si="33"/>
        <v>0</v>
      </c>
      <c r="CS98" s="26">
        <f t="shared" si="33"/>
        <v>0</v>
      </c>
      <c r="CT98" s="26">
        <f t="shared" si="33"/>
        <v>0</v>
      </c>
      <c r="CU98" s="26">
        <f t="shared" si="33"/>
        <v>0</v>
      </c>
      <c r="CV98" s="26">
        <f t="shared" si="33"/>
        <v>0</v>
      </c>
      <c r="CW98" s="26">
        <f t="shared" si="33"/>
        <v>0</v>
      </c>
      <c r="CX98" s="26">
        <f t="shared" si="33"/>
        <v>0</v>
      </c>
      <c r="CY98" s="26">
        <f t="shared" si="33"/>
        <v>0</v>
      </c>
      <c r="CZ98" s="26">
        <f t="shared" si="33"/>
        <v>0</v>
      </c>
      <c r="DA98" s="26">
        <f t="shared" si="33"/>
        <v>0</v>
      </c>
      <c r="DB98" s="26">
        <f t="shared" si="33"/>
        <v>0</v>
      </c>
      <c r="DC98" s="26">
        <f t="shared" si="33"/>
        <v>0</v>
      </c>
      <c r="DD98" s="26">
        <f t="shared" si="33"/>
        <v>0</v>
      </c>
      <c r="DE98" s="26">
        <f t="shared" si="33"/>
        <v>0</v>
      </c>
      <c r="DF98" s="26">
        <f t="shared" si="33"/>
        <v>0</v>
      </c>
      <c r="DG98" s="26">
        <f t="shared" si="33"/>
        <v>0</v>
      </c>
      <c r="DH98" s="26">
        <f t="shared" si="33"/>
        <v>0</v>
      </c>
      <c r="DI98" s="26">
        <f t="shared" si="33"/>
        <v>0</v>
      </c>
      <c r="DJ98" s="26">
        <f t="shared" si="33"/>
        <v>0</v>
      </c>
      <c r="DK98" s="26">
        <f t="shared" si="33"/>
        <v>0</v>
      </c>
      <c r="DL98" s="26">
        <f t="shared" si="33"/>
        <v>0</v>
      </c>
      <c r="DM98" s="26">
        <f t="shared" si="33"/>
        <v>0</v>
      </c>
      <c r="DN98" s="26">
        <f t="shared" si="33"/>
        <v>0</v>
      </c>
      <c r="DO98" s="26">
        <f t="shared" si="33"/>
        <v>0</v>
      </c>
      <c r="DP98" s="26">
        <f t="shared" si="33"/>
        <v>0</v>
      </c>
      <c r="DQ98" s="26">
        <f t="shared" si="33"/>
        <v>0</v>
      </c>
      <c r="DR98" s="26">
        <f t="shared" si="33"/>
        <v>0</v>
      </c>
      <c r="DS98" s="26">
        <f t="shared" si="33"/>
        <v>0</v>
      </c>
      <c r="DT98" s="26">
        <f t="shared" si="33"/>
        <v>0</v>
      </c>
      <c r="DU98" s="26">
        <f t="shared" si="33"/>
        <v>0</v>
      </c>
      <c r="DV98" s="26">
        <f t="shared" si="33"/>
        <v>0</v>
      </c>
      <c r="DW98" s="26">
        <f t="shared" si="33"/>
        <v>0</v>
      </c>
      <c r="DX98" s="26">
        <f t="shared" si="33"/>
        <v>0</v>
      </c>
      <c r="DY98" s="26">
        <f t="shared" si="33"/>
        <v>0</v>
      </c>
      <c r="DZ98" s="26">
        <f t="shared" si="33"/>
        <v>0</v>
      </c>
      <c r="EA98" s="26">
        <f t="shared" si="33"/>
        <v>0</v>
      </c>
      <c r="EB98" s="26">
        <f t="shared" si="33"/>
        <v>0</v>
      </c>
      <c r="EC98" s="26">
        <f t="shared" si="33"/>
        <v>0</v>
      </c>
      <c r="ED98" s="26">
        <f t="shared" si="33"/>
        <v>0</v>
      </c>
      <c r="EE98" s="26">
        <f t="shared" si="33"/>
        <v>0</v>
      </c>
      <c r="EF98" s="26">
        <f t="shared" si="33"/>
        <v>0</v>
      </c>
      <c r="EG98" s="26">
        <f t="shared" si="33"/>
        <v>0</v>
      </c>
      <c r="EH98" s="26">
        <f t="shared" si="33"/>
        <v>0</v>
      </c>
      <c r="EI98" s="26">
        <f t="shared" si="33"/>
        <v>0</v>
      </c>
      <c r="EJ98" s="26">
        <f t="shared" si="33"/>
        <v>0</v>
      </c>
      <c r="EK98" s="26">
        <f t="shared" si="33"/>
        <v>0</v>
      </c>
      <c r="EL98" s="26">
        <f t="shared" si="33"/>
        <v>0</v>
      </c>
      <c r="EM98" s="26">
        <f t="shared" si="33"/>
        <v>0</v>
      </c>
      <c r="EN98" s="26">
        <f t="shared" si="33"/>
        <v>0</v>
      </c>
      <c r="EO98" s="26">
        <f t="shared" si="33"/>
        <v>0</v>
      </c>
      <c r="EP98" s="26">
        <f t="shared" si="33"/>
        <v>0</v>
      </c>
      <c r="EQ98" s="26">
        <f t="shared" si="33"/>
        <v>0</v>
      </c>
      <c r="ER98" s="26">
        <f t="shared" si="33"/>
        <v>0</v>
      </c>
      <c r="ES98" s="26">
        <f t="shared" si="33"/>
        <v>0</v>
      </c>
      <c r="ET98" s="26">
        <f t="shared" si="33"/>
        <v>0</v>
      </c>
      <c r="EU98" s="26">
        <f t="shared" si="33"/>
        <v>0</v>
      </c>
      <c r="EV98" s="26">
        <f t="shared" si="33"/>
        <v>0</v>
      </c>
      <c r="EW98" s="26">
        <f t="shared" si="33"/>
        <v>0</v>
      </c>
      <c r="EX98" s="26">
        <f t="shared" si="33"/>
        <v>0</v>
      </c>
      <c r="EY98" s="26">
        <f t="shared" si="33"/>
        <v>0</v>
      </c>
      <c r="EZ98" s="26">
        <f t="shared" si="33"/>
        <v>0</v>
      </c>
      <c r="FA98" s="26">
        <f t="shared" si="33"/>
        <v>0</v>
      </c>
      <c r="FB98" s="26">
        <f t="shared" si="33"/>
        <v>0</v>
      </c>
      <c r="FC98" s="26">
        <f t="shared" si="33"/>
        <v>0</v>
      </c>
      <c r="FD98" s="26">
        <f t="shared" si="33"/>
        <v>0</v>
      </c>
      <c r="FE98" s="26">
        <f t="shared" si="33"/>
        <v>0</v>
      </c>
      <c r="FF98" s="26">
        <f t="shared" si="33"/>
        <v>0</v>
      </c>
      <c r="FG98" s="26">
        <f t="shared" si="33"/>
        <v>0</v>
      </c>
      <c r="FH98" s="26">
        <f t="shared" si="33"/>
        <v>0</v>
      </c>
      <c r="FI98" s="26">
        <f t="shared" si="33"/>
        <v>0</v>
      </c>
      <c r="FJ98" s="26">
        <f t="shared" si="33"/>
        <v>0</v>
      </c>
      <c r="FK98" s="26">
        <f t="shared" si="33"/>
        <v>0</v>
      </c>
      <c r="FL98" s="26">
        <f t="shared" si="33"/>
        <v>0</v>
      </c>
      <c r="FM98" s="26">
        <f t="shared" si="33"/>
        <v>0</v>
      </c>
      <c r="FN98" s="26">
        <f t="shared" si="33"/>
        <v>0</v>
      </c>
      <c r="FO98" s="26">
        <f t="shared" si="33"/>
        <v>0</v>
      </c>
      <c r="FP98" s="26">
        <f t="shared" si="33"/>
        <v>0</v>
      </c>
      <c r="FQ98" s="26">
        <f t="shared" si="33"/>
        <v>0</v>
      </c>
      <c r="FR98" s="26">
        <f t="shared" si="33"/>
        <v>0</v>
      </c>
      <c r="FS98" s="26">
        <f t="shared" si="33"/>
        <v>0</v>
      </c>
      <c r="FT98" s="26">
        <f t="shared" si="33"/>
        <v>0</v>
      </c>
      <c r="FU98" s="26">
        <f t="shared" si="33"/>
        <v>0</v>
      </c>
      <c r="FV98" s="26">
        <f t="shared" si="33"/>
        <v>0</v>
      </c>
      <c r="FW98" s="26">
        <f t="shared" si="33"/>
        <v>0</v>
      </c>
      <c r="FX98" s="26">
        <f t="shared" si="33"/>
        <v>0</v>
      </c>
      <c r="FZ98" s="26"/>
      <c r="GA98" s="25"/>
      <c r="GB98" s="26"/>
      <c r="GC98" s="26"/>
      <c r="GD98" s="26"/>
      <c r="GE98" s="7"/>
      <c r="GF98" s="23"/>
      <c r="GG98" s="23"/>
      <c r="GH98" s="23"/>
      <c r="GI98" s="23"/>
      <c r="GJ98" s="23"/>
      <c r="GK98" s="23"/>
      <c r="GL98" s="23"/>
      <c r="GM98" s="23"/>
    </row>
    <row r="99" spans="1:207" ht="15.5" x14ac:dyDescent="0.35">
      <c r="A99" s="12" t="s">
        <v>559</v>
      </c>
      <c r="B99" s="7" t="s">
        <v>820</v>
      </c>
      <c r="C99" s="26">
        <f t="shared" ref="C99:FX99" si="34">C15</f>
        <v>4</v>
      </c>
      <c r="D99" s="26">
        <f t="shared" si="34"/>
        <v>58</v>
      </c>
      <c r="E99" s="26">
        <f t="shared" si="34"/>
        <v>11</v>
      </c>
      <c r="F99" s="26">
        <f t="shared" si="34"/>
        <v>11</v>
      </c>
      <c r="G99" s="26">
        <f t="shared" si="34"/>
        <v>1</v>
      </c>
      <c r="H99" s="26">
        <f t="shared" si="34"/>
        <v>1</v>
      </c>
      <c r="I99" s="26">
        <f t="shared" si="34"/>
        <v>9</v>
      </c>
      <c r="J99" s="26">
        <f t="shared" si="34"/>
        <v>0</v>
      </c>
      <c r="K99" s="26">
        <f t="shared" si="34"/>
        <v>0</v>
      </c>
      <c r="L99" s="26">
        <f t="shared" si="34"/>
        <v>23</v>
      </c>
      <c r="M99" s="26">
        <f t="shared" si="34"/>
        <v>14</v>
      </c>
      <c r="N99" s="26">
        <f t="shared" si="34"/>
        <v>159.5</v>
      </c>
      <c r="O99" s="26">
        <f t="shared" si="34"/>
        <v>98</v>
      </c>
      <c r="P99" s="26">
        <f t="shared" si="34"/>
        <v>0</v>
      </c>
      <c r="Q99" s="26">
        <f t="shared" si="34"/>
        <v>209</v>
      </c>
      <c r="R99" s="26">
        <f t="shared" si="34"/>
        <v>1</v>
      </c>
      <c r="S99" s="26">
        <f t="shared" si="34"/>
        <v>0</v>
      </c>
      <c r="T99" s="26">
        <f t="shared" si="34"/>
        <v>0</v>
      </c>
      <c r="U99" s="26">
        <f t="shared" si="34"/>
        <v>0</v>
      </c>
      <c r="V99" s="26">
        <f t="shared" si="34"/>
        <v>0</v>
      </c>
      <c r="W99" s="26">
        <f t="shared" si="34"/>
        <v>1</v>
      </c>
      <c r="X99" s="26">
        <f t="shared" si="34"/>
        <v>0</v>
      </c>
      <c r="Y99" s="26">
        <f t="shared" si="34"/>
        <v>0</v>
      </c>
      <c r="Z99" s="26">
        <f t="shared" si="34"/>
        <v>0</v>
      </c>
      <c r="AA99" s="26">
        <f t="shared" si="34"/>
        <v>37</v>
      </c>
      <c r="AB99" s="26">
        <f t="shared" si="34"/>
        <v>46.5</v>
      </c>
      <c r="AC99" s="26">
        <f t="shared" si="34"/>
        <v>0</v>
      </c>
      <c r="AD99" s="26">
        <f t="shared" si="34"/>
        <v>6.5</v>
      </c>
      <c r="AE99" s="26">
        <f t="shared" si="34"/>
        <v>0</v>
      </c>
      <c r="AF99" s="26">
        <f t="shared" si="34"/>
        <v>0</v>
      </c>
      <c r="AG99" s="26">
        <f t="shared" si="34"/>
        <v>0</v>
      </c>
      <c r="AH99" s="26">
        <f t="shared" si="34"/>
        <v>0</v>
      </c>
      <c r="AI99" s="26">
        <f t="shared" si="34"/>
        <v>0</v>
      </c>
      <c r="AJ99" s="26">
        <f t="shared" si="34"/>
        <v>0</v>
      </c>
      <c r="AK99" s="26">
        <f t="shared" si="34"/>
        <v>0</v>
      </c>
      <c r="AL99" s="26">
        <f t="shared" si="34"/>
        <v>0</v>
      </c>
      <c r="AM99" s="26">
        <f t="shared" si="34"/>
        <v>0</v>
      </c>
      <c r="AN99" s="26">
        <f t="shared" si="34"/>
        <v>1</v>
      </c>
      <c r="AO99" s="26">
        <f t="shared" si="34"/>
        <v>0</v>
      </c>
      <c r="AP99" s="26">
        <f t="shared" si="34"/>
        <v>191</v>
      </c>
      <c r="AQ99" s="26">
        <f t="shared" si="34"/>
        <v>0</v>
      </c>
      <c r="AR99" s="26">
        <f t="shared" si="34"/>
        <v>155</v>
      </c>
      <c r="AS99" s="26">
        <f t="shared" si="34"/>
        <v>16</v>
      </c>
      <c r="AT99" s="26">
        <f t="shared" si="34"/>
        <v>3</v>
      </c>
      <c r="AU99" s="26">
        <f t="shared" si="34"/>
        <v>0</v>
      </c>
      <c r="AV99" s="26">
        <f t="shared" si="34"/>
        <v>0</v>
      </c>
      <c r="AW99" s="26">
        <f t="shared" si="34"/>
        <v>2</v>
      </c>
      <c r="AX99" s="26">
        <f t="shared" si="34"/>
        <v>0</v>
      </c>
      <c r="AY99" s="26">
        <f t="shared" si="34"/>
        <v>0</v>
      </c>
      <c r="AZ99" s="26">
        <f t="shared" si="34"/>
        <v>1</v>
      </c>
      <c r="BA99" s="26">
        <f t="shared" si="34"/>
        <v>0.5</v>
      </c>
      <c r="BB99" s="26">
        <f t="shared" si="34"/>
        <v>9</v>
      </c>
      <c r="BC99" s="26">
        <f t="shared" si="34"/>
        <v>30</v>
      </c>
      <c r="BD99" s="26">
        <f t="shared" si="34"/>
        <v>4</v>
      </c>
      <c r="BE99" s="26">
        <f t="shared" si="34"/>
        <v>0</v>
      </c>
      <c r="BF99" s="26">
        <f t="shared" si="34"/>
        <v>31.5</v>
      </c>
      <c r="BG99" s="26">
        <f t="shared" si="34"/>
        <v>0</v>
      </c>
      <c r="BH99" s="26">
        <f t="shared" si="34"/>
        <v>12</v>
      </c>
      <c r="BI99" s="26">
        <f t="shared" si="34"/>
        <v>0</v>
      </c>
      <c r="BJ99" s="26">
        <f t="shared" si="34"/>
        <v>15.5</v>
      </c>
      <c r="BK99" s="26">
        <f t="shared" si="34"/>
        <v>83</v>
      </c>
      <c r="BL99" s="26">
        <f t="shared" si="34"/>
        <v>2.5</v>
      </c>
      <c r="BM99" s="26">
        <f t="shared" si="34"/>
        <v>18.5</v>
      </c>
      <c r="BN99" s="26">
        <f t="shared" si="34"/>
        <v>33.5</v>
      </c>
      <c r="BO99" s="26">
        <f t="shared" si="34"/>
        <v>3</v>
      </c>
      <c r="BP99" s="26">
        <f t="shared" si="34"/>
        <v>0</v>
      </c>
      <c r="BQ99" s="26">
        <f t="shared" si="34"/>
        <v>2</v>
      </c>
      <c r="BR99" s="26">
        <f t="shared" si="34"/>
        <v>0</v>
      </c>
      <c r="BS99" s="26">
        <f t="shared" si="34"/>
        <v>0</v>
      </c>
      <c r="BT99" s="26">
        <f t="shared" si="34"/>
        <v>0</v>
      </c>
      <c r="BU99" s="26">
        <f t="shared" si="34"/>
        <v>0</v>
      </c>
      <c r="BV99" s="26">
        <f t="shared" si="34"/>
        <v>0</v>
      </c>
      <c r="BW99" s="26">
        <f t="shared" si="34"/>
        <v>0</v>
      </c>
      <c r="BX99" s="26">
        <f t="shared" si="34"/>
        <v>0</v>
      </c>
      <c r="BY99" s="26">
        <f t="shared" si="34"/>
        <v>0</v>
      </c>
      <c r="BZ99" s="26">
        <f t="shared" si="34"/>
        <v>0</v>
      </c>
      <c r="CA99" s="26">
        <f t="shared" si="34"/>
        <v>0</v>
      </c>
      <c r="CB99" s="26">
        <f t="shared" si="34"/>
        <v>235</v>
      </c>
      <c r="CC99" s="26">
        <f t="shared" si="34"/>
        <v>0</v>
      </c>
      <c r="CD99" s="26">
        <f t="shared" si="34"/>
        <v>0</v>
      </c>
      <c r="CE99" s="26">
        <f t="shared" si="34"/>
        <v>0</v>
      </c>
      <c r="CF99" s="26">
        <f t="shared" si="34"/>
        <v>0</v>
      </c>
      <c r="CG99" s="26">
        <f t="shared" si="34"/>
        <v>0</v>
      </c>
      <c r="CH99" s="26">
        <f t="shared" si="34"/>
        <v>0</v>
      </c>
      <c r="CI99" s="26">
        <f t="shared" si="34"/>
        <v>0</v>
      </c>
      <c r="CJ99" s="26">
        <f t="shared" si="34"/>
        <v>0</v>
      </c>
      <c r="CK99" s="26">
        <f t="shared" si="34"/>
        <v>0</v>
      </c>
      <c r="CL99" s="26">
        <f t="shared" si="34"/>
        <v>4</v>
      </c>
      <c r="CM99" s="26">
        <f t="shared" si="34"/>
        <v>0</v>
      </c>
      <c r="CN99" s="26">
        <f t="shared" si="34"/>
        <v>232</v>
      </c>
      <c r="CO99" s="26">
        <f t="shared" si="34"/>
        <v>69.5</v>
      </c>
      <c r="CP99" s="26">
        <f t="shared" si="34"/>
        <v>3</v>
      </c>
      <c r="CQ99" s="26">
        <f t="shared" si="34"/>
        <v>0</v>
      </c>
      <c r="CR99" s="26">
        <f t="shared" si="34"/>
        <v>0</v>
      </c>
      <c r="CS99" s="26">
        <f t="shared" si="34"/>
        <v>0</v>
      </c>
      <c r="CT99" s="26">
        <f t="shared" si="34"/>
        <v>0</v>
      </c>
      <c r="CU99" s="26">
        <f t="shared" si="34"/>
        <v>2</v>
      </c>
      <c r="CV99" s="26">
        <f t="shared" si="34"/>
        <v>0</v>
      </c>
      <c r="CW99" s="26">
        <f t="shared" si="34"/>
        <v>0</v>
      </c>
      <c r="CX99" s="26">
        <f t="shared" si="34"/>
        <v>0</v>
      </c>
      <c r="CY99" s="26">
        <f t="shared" si="34"/>
        <v>0</v>
      </c>
      <c r="CZ99" s="26">
        <f t="shared" si="34"/>
        <v>0</v>
      </c>
      <c r="DA99" s="26">
        <f t="shared" si="34"/>
        <v>0</v>
      </c>
      <c r="DB99" s="26">
        <f t="shared" si="34"/>
        <v>0</v>
      </c>
      <c r="DC99" s="26">
        <f t="shared" si="34"/>
        <v>0</v>
      </c>
      <c r="DD99" s="26">
        <f t="shared" si="34"/>
        <v>0</v>
      </c>
      <c r="DE99" s="26">
        <f t="shared" si="34"/>
        <v>0</v>
      </c>
      <c r="DF99" s="26">
        <f t="shared" si="34"/>
        <v>18.5</v>
      </c>
      <c r="DG99" s="26">
        <f t="shared" si="34"/>
        <v>0</v>
      </c>
      <c r="DH99" s="26">
        <f t="shared" si="34"/>
        <v>0</v>
      </c>
      <c r="DI99" s="26">
        <f t="shared" si="34"/>
        <v>0</v>
      </c>
      <c r="DJ99" s="26">
        <f t="shared" si="34"/>
        <v>0</v>
      </c>
      <c r="DK99" s="26">
        <f t="shared" si="34"/>
        <v>0</v>
      </c>
      <c r="DL99" s="26">
        <f t="shared" si="34"/>
        <v>0</v>
      </c>
      <c r="DM99" s="26">
        <f t="shared" si="34"/>
        <v>0</v>
      </c>
      <c r="DN99" s="26">
        <f t="shared" si="34"/>
        <v>1</v>
      </c>
      <c r="DO99" s="26">
        <f t="shared" si="34"/>
        <v>0</v>
      </c>
      <c r="DP99" s="26">
        <f t="shared" si="34"/>
        <v>0</v>
      </c>
      <c r="DQ99" s="26">
        <f t="shared" si="34"/>
        <v>1</v>
      </c>
      <c r="DR99" s="26">
        <f t="shared" si="34"/>
        <v>0</v>
      </c>
      <c r="DS99" s="26">
        <f t="shared" si="34"/>
        <v>0</v>
      </c>
      <c r="DT99" s="26">
        <f t="shared" si="34"/>
        <v>0</v>
      </c>
      <c r="DU99" s="26">
        <f t="shared" si="34"/>
        <v>0</v>
      </c>
      <c r="DV99" s="26">
        <f t="shared" si="34"/>
        <v>0</v>
      </c>
      <c r="DW99" s="26">
        <f t="shared" si="34"/>
        <v>0</v>
      </c>
      <c r="DX99" s="26">
        <f t="shared" si="34"/>
        <v>0</v>
      </c>
      <c r="DY99" s="26">
        <f t="shared" si="34"/>
        <v>0</v>
      </c>
      <c r="DZ99" s="26">
        <f t="shared" si="34"/>
        <v>1</v>
      </c>
      <c r="EA99" s="26">
        <f t="shared" si="34"/>
        <v>0</v>
      </c>
      <c r="EB99" s="26">
        <f t="shared" si="34"/>
        <v>0</v>
      </c>
      <c r="EC99" s="26">
        <f t="shared" si="34"/>
        <v>0</v>
      </c>
      <c r="ED99" s="26">
        <f t="shared" si="34"/>
        <v>0</v>
      </c>
      <c r="EE99" s="26">
        <f t="shared" si="34"/>
        <v>0</v>
      </c>
      <c r="EF99" s="26">
        <f t="shared" si="34"/>
        <v>2</v>
      </c>
      <c r="EG99" s="26">
        <f t="shared" si="34"/>
        <v>0</v>
      </c>
      <c r="EH99" s="26">
        <f t="shared" si="34"/>
        <v>0</v>
      </c>
      <c r="EI99" s="26">
        <f t="shared" si="34"/>
        <v>24.5</v>
      </c>
      <c r="EJ99" s="26">
        <f t="shared" si="34"/>
        <v>26</v>
      </c>
      <c r="EK99" s="26">
        <f t="shared" si="34"/>
        <v>0</v>
      </c>
      <c r="EL99" s="26">
        <f t="shared" si="34"/>
        <v>0</v>
      </c>
      <c r="EM99" s="26">
        <f t="shared" si="34"/>
        <v>0</v>
      </c>
      <c r="EN99" s="26">
        <f t="shared" si="34"/>
        <v>0</v>
      </c>
      <c r="EO99" s="26">
        <f t="shared" si="34"/>
        <v>0</v>
      </c>
      <c r="EP99" s="26">
        <f t="shared" si="34"/>
        <v>0</v>
      </c>
      <c r="EQ99" s="26">
        <f t="shared" si="34"/>
        <v>2</v>
      </c>
      <c r="ER99" s="26">
        <f t="shared" si="34"/>
        <v>2</v>
      </c>
      <c r="ES99" s="26">
        <f t="shared" si="34"/>
        <v>0</v>
      </c>
      <c r="ET99" s="26">
        <f t="shared" si="34"/>
        <v>0</v>
      </c>
      <c r="EU99" s="26">
        <f t="shared" si="34"/>
        <v>0</v>
      </c>
      <c r="EV99" s="26">
        <f t="shared" si="34"/>
        <v>0</v>
      </c>
      <c r="EW99" s="26">
        <f t="shared" si="34"/>
        <v>0</v>
      </c>
      <c r="EX99" s="26">
        <f t="shared" si="34"/>
        <v>0</v>
      </c>
      <c r="EY99" s="26">
        <f t="shared" si="34"/>
        <v>0</v>
      </c>
      <c r="EZ99" s="26">
        <f t="shared" si="34"/>
        <v>0</v>
      </c>
      <c r="FA99" s="26">
        <f t="shared" si="34"/>
        <v>12</v>
      </c>
      <c r="FB99" s="26">
        <f t="shared" si="34"/>
        <v>0</v>
      </c>
      <c r="FC99" s="26">
        <f t="shared" si="34"/>
        <v>4</v>
      </c>
      <c r="FD99" s="26">
        <f t="shared" si="34"/>
        <v>0</v>
      </c>
      <c r="FE99" s="26">
        <f t="shared" si="34"/>
        <v>0</v>
      </c>
      <c r="FF99" s="26">
        <f t="shared" si="34"/>
        <v>0</v>
      </c>
      <c r="FG99" s="26">
        <f t="shared" si="34"/>
        <v>0</v>
      </c>
      <c r="FH99" s="26">
        <f t="shared" si="34"/>
        <v>0</v>
      </c>
      <c r="FI99" s="26">
        <f t="shared" si="34"/>
        <v>0</v>
      </c>
      <c r="FJ99" s="26">
        <f t="shared" si="34"/>
        <v>0</v>
      </c>
      <c r="FK99" s="26">
        <f t="shared" si="34"/>
        <v>0</v>
      </c>
      <c r="FL99" s="26">
        <f t="shared" si="34"/>
        <v>0</v>
      </c>
      <c r="FM99" s="26">
        <f t="shared" si="34"/>
        <v>0</v>
      </c>
      <c r="FN99" s="26">
        <f t="shared" si="34"/>
        <v>15.5</v>
      </c>
      <c r="FO99" s="26">
        <f t="shared" si="34"/>
        <v>0</v>
      </c>
      <c r="FP99" s="26">
        <f t="shared" si="34"/>
        <v>0</v>
      </c>
      <c r="FQ99" s="26">
        <f t="shared" si="34"/>
        <v>0</v>
      </c>
      <c r="FR99" s="26">
        <f t="shared" si="34"/>
        <v>0</v>
      </c>
      <c r="FS99" s="26">
        <f t="shared" si="34"/>
        <v>0</v>
      </c>
      <c r="FT99" s="26">
        <f t="shared" si="34"/>
        <v>0</v>
      </c>
      <c r="FU99" s="26">
        <f t="shared" si="34"/>
        <v>0</v>
      </c>
      <c r="FV99" s="26">
        <f t="shared" si="34"/>
        <v>1</v>
      </c>
      <c r="FW99" s="26">
        <f t="shared" si="34"/>
        <v>2</v>
      </c>
      <c r="FX99" s="26">
        <f t="shared" si="34"/>
        <v>0</v>
      </c>
      <c r="FZ99" s="26"/>
      <c r="GA99" s="25"/>
      <c r="GB99" s="26"/>
      <c r="GC99" s="26"/>
      <c r="GD99" s="26"/>
      <c r="GE99" s="7"/>
      <c r="GF99" s="23"/>
      <c r="GG99" s="23"/>
      <c r="GH99" s="23"/>
      <c r="GI99" s="23"/>
      <c r="GJ99" s="23"/>
      <c r="GK99" s="23"/>
      <c r="GL99" s="23"/>
      <c r="GM99" s="23"/>
    </row>
    <row r="100" spans="1:207" ht="15.5" x14ac:dyDescent="0.35">
      <c r="A100" s="12" t="s">
        <v>561</v>
      </c>
      <c r="B100" s="7" t="s">
        <v>821</v>
      </c>
      <c r="C100" s="26">
        <f t="shared" ref="C100:FX100" si="35">C35</f>
        <v>0</v>
      </c>
      <c r="D100" s="26">
        <f t="shared" si="35"/>
        <v>23</v>
      </c>
      <c r="E100" s="26">
        <f t="shared" si="35"/>
        <v>0</v>
      </c>
      <c r="F100" s="26">
        <f t="shared" si="35"/>
        <v>0</v>
      </c>
      <c r="G100" s="26">
        <f t="shared" si="35"/>
        <v>0</v>
      </c>
      <c r="H100" s="26">
        <f t="shared" si="35"/>
        <v>0</v>
      </c>
      <c r="I100" s="26">
        <f t="shared" si="35"/>
        <v>0</v>
      </c>
      <c r="J100" s="26">
        <f t="shared" si="35"/>
        <v>0</v>
      </c>
      <c r="K100" s="26">
        <f t="shared" si="35"/>
        <v>0</v>
      </c>
      <c r="L100" s="26">
        <f t="shared" si="35"/>
        <v>0</v>
      </c>
      <c r="M100" s="26">
        <f t="shared" si="35"/>
        <v>0</v>
      </c>
      <c r="N100" s="26">
        <f t="shared" si="35"/>
        <v>0</v>
      </c>
      <c r="O100" s="26">
        <f t="shared" si="35"/>
        <v>0</v>
      </c>
      <c r="P100" s="26">
        <f t="shared" si="35"/>
        <v>0</v>
      </c>
      <c r="Q100" s="26">
        <f t="shared" si="35"/>
        <v>0</v>
      </c>
      <c r="R100" s="26">
        <f t="shared" si="35"/>
        <v>0</v>
      </c>
      <c r="S100" s="26">
        <f t="shared" si="35"/>
        <v>0</v>
      </c>
      <c r="T100" s="26">
        <f t="shared" si="35"/>
        <v>0</v>
      </c>
      <c r="U100" s="26">
        <f t="shared" si="35"/>
        <v>0</v>
      </c>
      <c r="V100" s="26">
        <f t="shared" si="35"/>
        <v>0</v>
      </c>
      <c r="W100" s="26">
        <f t="shared" si="35"/>
        <v>0</v>
      </c>
      <c r="X100" s="26">
        <f t="shared" si="35"/>
        <v>0</v>
      </c>
      <c r="Y100" s="26">
        <f t="shared" si="35"/>
        <v>0</v>
      </c>
      <c r="Z100" s="26">
        <f t="shared" si="35"/>
        <v>0</v>
      </c>
      <c r="AA100" s="26">
        <f t="shared" si="35"/>
        <v>0</v>
      </c>
      <c r="AB100" s="26">
        <f t="shared" si="35"/>
        <v>0</v>
      </c>
      <c r="AC100" s="26">
        <f t="shared" si="35"/>
        <v>0</v>
      </c>
      <c r="AD100" s="26">
        <f t="shared" si="35"/>
        <v>0</v>
      </c>
      <c r="AE100" s="26">
        <f t="shared" si="35"/>
        <v>0</v>
      </c>
      <c r="AF100" s="26">
        <f t="shared" si="35"/>
        <v>0</v>
      </c>
      <c r="AG100" s="26">
        <f t="shared" si="35"/>
        <v>0</v>
      </c>
      <c r="AH100" s="26">
        <f t="shared" si="35"/>
        <v>0</v>
      </c>
      <c r="AI100" s="26">
        <f t="shared" si="35"/>
        <v>0</v>
      </c>
      <c r="AJ100" s="26">
        <f t="shared" si="35"/>
        <v>0</v>
      </c>
      <c r="AK100" s="26">
        <f t="shared" si="35"/>
        <v>0</v>
      </c>
      <c r="AL100" s="26">
        <f t="shared" si="35"/>
        <v>0</v>
      </c>
      <c r="AM100" s="26">
        <f t="shared" si="35"/>
        <v>0</v>
      </c>
      <c r="AN100" s="26">
        <f t="shared" si="35"/>
        <v>0</v>
      </c>
      <c r="AO100" s="26">
        <f t="shared" si="35"/>
        <v>0</v>
      </c>
      <c r="AP100" s="26">
        <f t="shared" si="35"/>
        <v>0</v>
      </c>
      <c r="AQ100" s="26">
        <f t="shared" si="35"/>
        <v>0</v>
      </c>
      <c r="AR100" s="26">
        <f t="shared" si="35"/>
        <v>0</v>
      </c>
      <c r="AS100" s="26">
        <f t="shared" si="35"/>
        <v>0</v>
      </c>
      <c r="AT100" s="26">
        <f t="shared" si="35"/>
        <v>0</v>
      </c>
      <c r="AU100" s="26">
        <f t="shared" si="35"/>
        <v>0</v>
      </c>
      <c r="AV100" s="26">
        <f t="shared" si="35"/>
        <v>0</v>
      </c>
      <c r="AW100" s="26">
        <f t="shared" si="35"/>
        <v>0</v>
      </c>
      <c r="AX100" s="26">
        <f t="shared" si="35"/>
        <v>0</v>
      </c>
      <c r="AY100" s="26">
        <f t="shared" si="35"/>
        <v>0</v>
      </c>
      <c r="AZ100" s="26">
        <f t="shared" si="35"/>
        <v>0</v>
      </c>
      <c r="BA100" s="26">
        <f t="shared" si="35"/>
        <v>0</v>
      </c>
      <c r="BB100" s="26">
        <f t="shared" si="35"/>
        <v>0</v>
      </c>
      <c r="BC100" s="26">
        <f t="shared" si="35"/>
        <v>0</v>
      </c>
      <c r="BD100" s="26">
        <f t="shared" si="35"/>
        <v>0</v>
      </c>
      <c r="BE100" s="26">
        <f t="shared" si="35"/>
        <v>0</v>
      </c>
      <c r="BF100" s="26">
        <f t="shared" si="35"/>
        <v>0</v>
      </c>
      <c r="BG100" s="26">
        <f t="shared" si="35"/>
        <v>0</v>
      </c>
      <c r="BH100" s="26">
        <f t="shared" si="35"/>
        <v>0</v>
      </c>
      <c r="BI100" s="26">
        <f t="shared" si="35"/>
        <v>0</v>
      </c>
      <c r="BJ100" s="26">
        <f t="shared" si="35"/>
        <v>0</v>
      </c>
      <c r="BK100" s="26">
        <f t="shared" si="35"/>
        <v>0</v>
      </c>
      <c r="BL100" s="26">
        <f t="shared" si="35"/>
        <v>0</v>
      </c>
      <c r="BM100" s="26">
        <f t="shared" si="35"/>
        <v>0</v>
      </c>
      <c r="BN100" s="26">
        <f t="shared" si="35"/>
        <v>0</v>
      </c>
      <c r="BO100" s="26">
        <f t="shared" si="35"/>
        <v>0</v>
      </c>
      <c r="BP100" s="26">
        <f t="shared" si="35"/>
        <v>0</v>
      </c>
      <c r="BQ100" s="26">
        <f t="shared" si="35"/>
        <v>0</v>
      </c>
      <c r="BR100" s="26">
        <f t="shared" si="35"/>
        <v>0</v>
      </c>
      <c r="BS100" s="26">
        <f t="shared" si="35"/>
        <v>0</v>
      </c>
      <c r="BT100" s="26">
        <f t="shared" si="35"/>
        <v>0</v>
      </c>
      <c r="BU100" s="26">
        <f t="shared" si="35"/>
        <v>0</v>
      </c>
      <c r="BV100" s="26">
        <f t="shared" si="35"/>
        <v>0</v>
      </c>
      <c r="BW100" s="26">
        <f t="shared" si="35"/>
        <v>0</v>
      </c>
      <c r="BX100" s="26">
        <f t="shared" si="35"/>
        <v>0</v>
      </c>
      <c r="BY100" s="26">
        <f t="shared" si="35"/>
        <v>0</v>
      </c>
      <c r="BZ100" s="26">
        <f t="shared" si="35"/>
        <v>0</v>
      </c>
      <c r="CA100" s="26">
        <f t="shared" si="35"/>
        <v>0</v>
      </c>
      <c r="CB100" s="26">
        <f t="shared" si="35"/>
        <v>0</v>
      </c>
      <c r="CC100" s="26">
        <f t="shared" si="35"/>
        <v>0</v>
      </c>
      <c r="CD100" s="26">
        <f t="shared" si="35"/>
        <v>0</v>
      </c>
      <c r="CE100" s="26">
        <f t="shared" si="35"/>
        <v>0</v>
      </c>
      <c r="CF100" s="26">
        <f t="shared" si="35"/>
        <v>0</v>
      </c>
      <c r="CG100" s="26">
        <f t="shared" si="35"/>
        <v>0</v>
      </c>
      <c r="CH100" s="26">
        <f t="shared" si="35"/>
        <v>0</v>
      </c>
      <c r="CI100" s="26">
        <f t="shared" si="35"/>
        <v>0</v>
      </c>
      <c r="CJ100" s="26">
        <f t="shared" si="35"/>
        <v>0</v>
      </c>
      <c r="CK100" s="26">
        <f t="shared" si="35"/>
        <v>0</v>
      </c>
      <c r="CL100" s="26">
        <f t="shared" si="35"/>
        <v>0</v>
      </c>
      <c r="CM100" s="26">
        <f t="shared" si="35"/>
        <v>0</v>
      </c>
      <c r="CN100" s="26">
        <f t="shared" si="35"/>
        <v>0</v>
      </c>
      <c r="CO100" s="26">
        <f t="shared" si="35"/>
        <v>0</v>
      </c>
      <c r="CP100" s="26">
        <f t="shared" si="35"/>
        <v>0</v>
      </c>
      <c r="CQ100" s="26">
        <f t="shared" si="35"/>
        <v>0</v>
      </c>
      <c r="CR100" s="26">
        <f t="shared" si="35"/>
        <v>0</v>
      </c>
      <c r="CS100" s="26">
        <f t="shared" si="35"/>
        <v>0</v>
      </c>
      <c r="CT100" s="26">
        <f t="shared" si="35"/>
        <v>0</v>
      </c>
      <c r="CU100" s="26">
        <f t="shared" si="35"/>
        <v>0</v>
      </c>
      <c r="CV100" s="26">
        <f t="shared" si="35"/>
        <v>0</v>
      </c>
      <c r="CW100" s="26">
        <f t="shared" si="35"/>
        <v>0</v>
      </c>
      <c r="CX100" s="26">
        <f t="shared" si="35"/>
        <v>0</v>
      </c>
      <c r="CY100" s="26">
        <f t="shared" si="35"/>
        <v>0</v>
      </c>
      <c r="CZ100" s="26">
        <f t="shared" si="35"/>
        <v>0</v>
      </c>
      <c r="DA100" s="26">
        <f t="shared" si="35"/>
        <v>0</v>
      </c>
      <c r="DB100" s="26">
        <f t="shared" si="35"/>
        <v>0</v>
      </c>
      <c r="DC100" s="26">
        <f t="shared" si="35"/>
        <v>0</v>
      </c>
      <c r="DD100" s="26">
        <f t="shared" si="35"/>
        <v>0</v>
      </c>
      <c r="DE100" s="26">
        <f t="shared" si="35"/>
        <v>0</v>
      </c>
      <c r="DF100" s="26">
        <f t="shared" si="35"/>
        <v>0</v>
      </c>
      <c r="DG100" s="26">
        <f t="shared" si="35"/>
        <v>0</v>
      </c>
      <c r="DH100" s="26">
        <f t="shared" si="35"/>
        <v>0</v>
      </c>
      <c r="DI100" s="26">
        <f t="shared" si="35"/>
        <v>0</v>
      </c>
      <c r="DJ100" s="26">
        <f t="shared" si="35"/>
        <v>0</v>
      </c>
      <c r="DK100" s="26">
        <f t="shared" si="35"/>
        <v>0</v>
      </c>
      <c r="DL100" s="26">
        <f t="shared" si="35"/>
        <v>0</v>
      </c>
      <c r="DM100" s="26">
        <f t="shared" si="35"/>
        <v>0</v>
      </c>
      <c r="DN100" s="26">
        <f t="shared" si="35"/>
        <v>0</v>
      </c>
      <c r="DO100" s="26">
        <f t="shared" si="35"/>
        <v>0</v>
      </c>
      <c r="DP100" s="26">
        <f t="shared" si="35"/>
        <v>0</v>
      </c>
      <c r="DQ100" s="26">
        <f t="shared" si="35"/>
        <v>0</v>
      </c>
      <c r="DR100" s="26">
        <f t="shared" si="35"/>
        <v>0</v>
      </c>
      <c r="DS100" s="26">
        <f t="shared" si="35"/>
        <v>0</v>
      </c>
      <c r="DT100" s="26">
        <f t="shared" si="35"/>
        <v>0</v>
      </c>
      <c r="DU100" s="26">
        <f t="shared" si="35"/>
        <v>0</v>
      </c>
      <c r="DV100" s="26">
        <f t="shared" si="35"/>
        <v>0</v>
      </c>
      <c r="DW100" s="26">
        <f t="shared" si="35"/>
        <v>0</v>
      </c>
      <c r="DX100" s="26">
        <f t="shared" si="35"/>
        <v>0</v>
      </c>
      <c r="DY100" s="26">
        <f t="shared" si="35"/>
        <v>0</v>
      </c>
      <c r="DZ100" s="26">
        <f t="shared" si="35"/>
        <v>0</v>
      </c>
      <c r="EA100" s="26">
        <f t="shared" si="35"/>
        <v>0</v>
      </c>
      <c r="EB100" s="26">
        <f t="shared" si="35"/>
        <v>0</v>
      </c>
      <c r="EC100" s="26">
        <f t="shared" si="35"/>
        <v>0</v>
      </c>
      <c r="ED100" s="26">
        <f t="shared" si="35"/>
        <v>0</v>
      </c>
      <c r="EE100" s="26">
        <f t="shared" si="35"/>
        <v>0</v>
      </c>
      <c r="EF100" s="26">
        <f t="shared" si="35"/>
        <v>0</v>
      </c>
      <c r="EG100" s="26">
        <f t="shared" si="35"/>
        <v>0</v>
      </c>
      <c r="EH100" s="26">
        <f t="shared" si="35"/>
        <v>0</v>
      </c>
      <c r="EI100" s="26">
        <f t="shared" si="35"/>
        <v>0</v>
      </c>
      <c r="EJ100" s="26">
        <f t="shared" si="35"/>
        <v>0</v>
      </c>
      <c r="EK100" s="26">
        <f t="shared" si="35"/>
        <v>0</v>
      </c>
      <c r="EL100" s="26">
        <f t="shared" si="35"/>
        <v>0</v>
      </c>
      <c r="EM100" s="26">
        <f t="shared" si="35"/>
        <v>0</v>
      </c>
      <c r="EN100" s="26">
        <f t="shared" si="35"/>
        <v>0</v>
      </c>
      <c r="EO100" s="26">
        <f t="shared" si="35"/>
        <v>0</v>
      </c>
      <c r="EP100" s="26">
        <f t="shared" si="35"/>
        <v>0</v>
      </c>
      <c r="EQ100" s="26">
        <f t="shared" si="35"/>
        <v>0</v>
      </c>
      <c r="ER100" s="26">
        <f t="shared" si="35"/>
        <v>0</v>
      </c>
      <c r="ES100" s="26">
        <f t="shared" si="35"/>
        <v>0</v>
      </c>
      <c r="ET100" s="26">
        <f t="shared" si="35"/>
        <v>0</v>
      </c>
      <c r="EU100" s="26">
        <f t="shared" si="35"/>
        <v>0</v>
      </c>
      <c r="EV100" s="26">
        <f t="shared" si="35"/>
        <v>0</v>
      </c>
      <c r="EW100" s="26">
        <f t="shared" si="35"/>
        <v>0</v>
      </c>
      <c r="EX100" s="26">
        <f t="shared" si="35"/>
        <v>0</v>
      </c>
      <c r="EY100" s="26">
        <f t="shared" si="35"/>
        <v>0</v>
      </c>
      <c r="EZ100" s="26">
        <f t="shared" si="35"/>
        <v>0</v>
      </c>
      <c r="FA100" s="26">
        <f t="shared" si="35"/>
        <v>0</v>
      </c>
      <c r="FB100" s="26">
        <f t="shared" si="35"/>
        <v>0</v>
      </c>
      <c r="FC100" s="26">
        <f t="shared" si="35"/>
        <v>0</v>
      </c>
      <c r="FD100" s="26">
        <f t="shared" si="35"/>
        <v>0</v>
      </c>
      <c r="FE100" s="26">
        <f t="shared" si="35"/>
        <v>0</v>
      </c>
      <c r="FF100" s="26">
        <f t="shared" si="35"/>
        <v>0</v>
      </c>
      <c r="FG100" s="26">
        <f t="shared" si="35"/>
        <v>0</v>
      </c>
      <c r="FH100" s="26">
        <f t="shared" si="35"/>
        <v>0</v>
      </c>
      <c r="FI100" s="26">
        <f t="shared" si="35"/>
        <v>0</v>
      </c>
      <c r="FJ100" s="26">
        <f t="shared" si="35"/>
        <v>0</v>
      </c>
      <c r="FK100" s="26">
        <f t="shared" si="35"/>
        <v>0</v>
      </c>
      <c r="FL100" s="26">
        <f t="shared" si="35"/>
        <v>0</v>
      </c>
      <c r="FM100" s="26">
        <f t="shared" si="35"/>
        <v>0</v>
      </c>
      <c r="FN100" s="26">
        <f t="shared" si="35"/>
        <v>0</v>
      </c>
      <c r="FO100" s="26">
        <f t="shared" si="35"/>
        <v>0</v>
      </c>
      <c r="FP100" s="26">
        <f t="shared" si="35"/>
        <v>0</v>
      </c>
      <c r="FQ100" s="26">
        <f t="shared" si="35"/>
        <v>0</v>
      </c>
      <c r="FR100" s="26">
        <f t="shared" si="35"/>
        <v>0</v>
      </c>
      <c r="FS100" s="26">
        <f t="shared" si="35"/>
        <v>0</v>
      </c>
      <c r="FT100" s="26">
        <f t="shared" si="35"/>
        <v>0</v>
      </c>
      <c r="FU100" s="26">
        <f t="shared" si="35"/>
        <v>0</v>
      </c>
      <c r="FV100" s="26">
        <f t="shared" si="35"/>
        <v>0</v>
      </c>
      <c r="FW100" s="26">
        <f t="shared" si="35"/>
        <v>0</v>
      </c>
      <c r="FX100" s="26">
        <f t="shared" si="35"/>
        <v>0</v>
      </c>
      <c r="FY100" s="35"/>
      <c r="FZ100" s="26">
        <f t="shared" ref="FZ100:FZ105" si="36">SUM(C100:FX100)</f>
        <v>23</v>
      </c>
      <c r="GA100" s="25"/>
      <c r="GB100" s="26"/>
      <c r="GC100" s="26"/>
      <c r="GD100" s="26"/>
      <c r="GE100" s="7"/>
      <c r="GF100" s="23"/>
      <c r="GG100" s="23"/>
      <c r="GH100" s="23"/>
      <c r="GI100" s="23"/>
      <c r="GJ100" s="23"/>
      <c r="GK100" s="23"/>
      <c r="GL100" s="23"/>
      <c r="GM100" s="23"/>
    </row>
    <row r="101" spans="1:207" ht="15.5" x14ac:dyDescent="0.35">
      <c r="A101" s="12" t="s">
        <v>565</v>
      </c>
      <c r="B101" s="7" t="s">
        <v>822</v>
      </c>
      <c r="C101" s="25">
        <f t="shared" ref="C101:FX101" si="37">C12</f>
        <v>152</v>
      </c>
      <c r="D101" s="25">
        <f t="shared" si="37"/>
        <v>499</v>
      </c>
      <c r="E101" s="25">
        <f t="shared" si="37"/>
        <v>0</v>
      </c>
      <c r="F101" s="25">
        <f t="shared" si="37"/>
        <v>2031</v>
      </c>
      <c r="G101" s="25">
        <f t="shared" si="37"/>
        <v>0</v>
      </c>
      <c r="H101" s="25">
        <f t="shared" si="37"/>
        <v>0</v>
      </c>
      <c r="I101" s="25">
        <f t="shared" si="37"/>
        <v>0</v>
      </c>
      <c r="J101" s="25">
        <f t="shared" si="37"/>
        <v>0</v>
      </c>
      <c r="K101" s="25">
        <f t="shared" si="37"/>
        <v>0</v>
      </c>
      <c r="L101" s="25">
        <f t="shared" si="37"/>
        <v>0</v>
      </c>
      <c r="M101" s="25">
        <f t="shared" si="37"/>
        <v>0</v>
      </c>
      <c r="N101" s="25">
        <f t="shared" si="37"/>
        <v>0</v>
      </c>
      <c r="O101" s="25">
        <f t="shared" si="37"/>
        <v>0</v>
      </c>
      <c r="P101" s="25">
        <f t="shared" si="37"/>
        <v>0</v>
      </c>
      <c r="Q101" s="25">
        <f t="shared" si="37"/>
        <v>0</v>
      </c>
      <c r="R101" s="25">
        <f t="shared" si="37"/>
        <v>6618</v>
      </c>
      <c r="S101" s="25">
        <f t="shared" si="37"/>
        <v>14</v>
      </c>
      <c r="T101" s="25">
        <f t="shared" si="37"/>
        <v>0</v>
      </c>
      <c r="U101" s="25">
        <f t="shared" si="37"/>
        <v>0</v>
      </c>
      <c r="V101" s="25">
        <f t="shared" si="37"/>
        <v>0</v>
      </c>
      <c r="W101" s="25">
        <f t="shared" si="37"/>
        <v>0</v>
      </c>
      <c r="X101" s="25">
        <f t="shared" si="37"/>
        <v>0</v>
      </c>
      <c r="Y101" s="25">
        <f t="shared" si="37"/>
        <v>473.5</v>
      </c>
      <c r="Z101" s="25">
        <f t="shared" si="37"/>
        <v>0</v>
      </c>
      <c r="AA101" s="25">
        <f t="shared" si="37"/>
        <v>336.5</v>
      </c>
      <c r="AB101" s="25">
        <f t="shared" si="37"/>
        <v>224</v>
      </c>
      <c r="AC101" s="25">
        <f t="shared" si="37"/>
        <v>0</v>
      </c>
      <c r="AD101" s="25">
        <f t="shared" si="37"/>
        <v>0</v>
      </c>
      <c r="AE101" s="25">
        <f t="shared" si="37"/>
        <v>0</v>
      </c>
      <c r="AF101" s="25">
        <f t="shared" si="37"/>
        <v>0</v>
      </c>
      <c r="AG101" s="25">
        <f t="shared" si="37"/>
        <v>0</v>
      </c>
      <c r="AH101" s="25">
        <f t="shared" si="37"/>
        <v>0</v>
      </c>
      <c r="AI101" s="25">
        <f t="shared" si="37"/>
        <v>0</v>
      </c>
      <c r="AJ101" s="25">
        <f t="shared" si="37"/>
        <v>0</v>
      </c>
      <c r="AK101" s="25">
        <f t="shared" si="37"/>
        <v>0</v>
      </c>
      <c r="AL101" s="25">
        <f t="shared" si="37"/>
        <v>0</v>
      </c>
      <c r="AM101" s="25">
        <f t="shared" si="37"/>
        <v>0</v>
      </c>
      <c r="AN101" s="25">
        <f t="shared" si="37"/>
        <v>0</v>
      </c>
      <c r="AO101" s="25">
        <f t="shared" si="37"/>
        <v>370.5</v>
      </c>
      <c r="AP101" s="25">
        <f t="shared" si="37"/>
        <v>595.5</v>
      </c>
      <c r="AQ101" s="25">
        <f t="shared" si="37"/>
        <v>0</v>
      </c>
      <c r="AR101" s="25">
        <f t="shared" si="37"/>
        <v>1303</v>
      </c>
      <c r="AS101" s="25">
        <f t="shared" si="37"/>
        <v>0</v>
      </c>
      <c r="AT101" s="25">
        <f t="shared" si="37"/>
        <v>0</v>
      </c>
      <c r="AU101" s="25">
        <f t="shared" si="37"/>
        <v>0</v>
      </c>
      <c r="AV101" s="25">
        <f t="shared" si="37"/>
        <v>0</v>
      </c>
      <c r="AW101" s="25">
        <f t="shared" si="37"/>
        <v>0</v>
      </c>
      <c r="AX101" s="25">
        <f t="shared" si="37"/>
        <v>0</v>
      </c>
      <c r="AY101" s="25">
        <f t="shared" si="37"/>
        <v>0</v>
      </c>
      <c r="AZ101" s="25">
        <f t="shared" si="37"/>
        <v>98</v>
      </c>
      <c r="BA101" s="25">
        <f t="shared" si="37"/>
        <v>240</v>
      </c>
      <c r="BB101" s="25">
        <f t="shared" si="37"/>
        <v>0</v>
      </c>
      <c r="BC101" s="25">
        <f t="shared" si="37"/>
        <v>475</v>
      </c>
      <c r="BD101" s="25">
        <f t="shared" si="37"/>
        <v>0</v>
      </c>
      <c r="BE101" s="25">
        <f t="shared" si="37"/>
        <v>0</v>
      </c>
      <c r="BF101" s="25">
        <f t="shared" si="37"/>
        <v>1194.5</v>
      </c>
      <c r="BG101" s="25">
        <f t="shared" si="37"/>
        <v>0</v>
      </c>
      <c r="BH101" s="25">
        <f t="shared" si="37"/>
        <v>28</v>
      </c>
      <c r="BI101" s="25">
        <f t="shared" si="37"/>
        <v>0</v>
      </c>
      <c r="BJ101" s="25">
        <f t="shared" si="37"/>
        <v>0</v>
      </c>
      <c r="BK101" s="25">
        <f t="shared" si="37"/>
        <v>13175.5</v>
      </c>
      <c r="BL101" s="25">
        <f t="shared" si="37"/>
        <v>0</v>
      </c>
      <c r="BM101" s="25">
        <f t="shared" si="37"/>
        <v>0</v>
      </c>
      <c r="BN101" s="25">
        <f t="shared" si="37"/>
        <v>0</v>
      </c>
      <c r="BO101" s="25">
        <f t="shared" si="37"/>
        <v>0</v>
      </c>
      <c r="BP101" s="25">
        <f t="shared" si="37"/>
        <v>0</v>
      </c>
      <c r="BQ101" s="25">
        <f t="shared" si="37"/>
        <v>0</v>
      </c>
      <c r="BR101" s="25">
        <f t="shared" si="37"/>
        <v>0</v>
      </c>
      <c r="BS101" s="25">
        <f t="shared" si="37"/>
        <v>0</v>
      </c>
      <c r="BT101" s="25">
        <f t="shared" si="37"/>
        <v>0</v>
      </c>
      <c r="BU101" s="25">
        <f t="shared" si="37"/>
        <v>0</v>
      </c>
      <c r="BV101" s="25">
        <f t="shared" si="37"/>
        <v>0</v>
      </c>
      <c r="BW101" s="25">
        <f t="shared" si="37"/>
        <v>0</v>
      </c>
      <c r="BX101" s="25">
        <f t="shared" si="37"/>
        <v>0</v>
      </c>
      <c r="BY101" s="25">
        <f t="shared" si="37"/>
        <v>0</v>
      </c>
      <c r="BZ101" s="25">
        <f t="shared" si="37"/>
        <v>0</v>
      </c>
      <c r="CA101" s="25">
        <f t="shared" si="37"/>
        <v>0</v>
      </c>
      <c r="CB101" s="25">
        <f t="shared" si="37"/>
        <v>815.5</v>
      </c>
      <c r="CC101" s="25">
        <f t="shared" si="37"/>
        <v>0</v>
      </c>
      <c r="CD101" s="25">
        <f t="shared" si="37"/>
        <v>0</v>
      </c>
      <c r="CE101" s="25">
        <f t="shared" si="37"/>
        <v>0</v>
      </c>
      <c r="CF101" s="25">
        <f t="shared" si="37"/>
        <v>0</v>
      </c>
      <c r="CG101" s="25">
        <f t="shared" si="37"/>
        <v>0</v>
      </c>
      <c r="CH101" s="25">
        <f t="shared" si="37"/>
        <v>0</v>
      </c>
      <c r="CI101" s="25">
        <f t="shared" si="37"/>
        <v>0</v>
      </c>
      <c r="CJ101" s="25">
        <f t="shared" si="37"/>
        <v>0</v>
      </c>
      <c r="CK101" s="25">
        <f t="shared" si="37"/>
        <v>23.5</v>
      </c>
      <c r="CL101" s="25">
        <f t="shared" si="37"/>
        <v>5.5</v>
      </c>
      <c r="CM101" s="25">
        <f t="shared" si="37"/>
        <v>2</v>
      </c>
      <c r="CN101" s="25">
        <f t="shared" si="37"/>
        <v>254</v>
      </c>
      <c r="CO101" s="25">
        <f t="shared" si="37"/>
        <v>0</v>
      </c>
      <c r="CP101" s="25">
        <f t="shared" si="37"/>
        <v>0</v>
      </c>
      <c r="CQ101" s="25">
        <f t="shared" si="37"/>
        <v>0</v>
      </c>
      <c r="CR101" s="25">
        <f t="shared" si="37"/>
        <v>0</v>
      </c>
      <c r="CS101" s="25">
        <f t="shared" si="37"/>
        <v>0</v>
      </c>
      <c r="CT101" s="25">
        <f t="shared" si="37"/>
        <v>0</v>
      </c>
      <c r="CU101" s="25">
        <f t="shared" si="37"/>
        <v>396</v>
      </c>
      <c r="CV101" s="25">
        <f t="shared" si="37"/>
        <v>0</v>
      </c>
      <c r="CW101" s="25">
        <f t="shared" si="37"/>
        <v>0</v>
      </c>
      <c r="CX101" s="25">
        <f t="shared" si="37"/>
        <v>0</v>
      </c>
      <c r="CY101" s="25">
        <f t="shared" si="37"/>
        <v>0</v>
      </c>
      <c r="CZ101" s="25">
        <f t="shared" si="37"/>
        <v>0</v>
      </c>
      <c r="DA101" s="25">
        <f t="shared" si="37"/>
        <v>0</v>
      </c>
      <c r="DB101" s="25">
        <f t="shared" si="37"/>
        <v>0</v>
      </c>
      <c r="DC101" s="25">
        <f t="shared" si="37"/>
        <v>0</v>
      </c>
      <c r="DD101" s="25">
        <f t="shared" si="37"/>
        <v>0</v>
      </c>
      <c r="DE101" s="25">
        <f t="shared" si="37"/>
        <v>0</v>
      </c>
      <c r="DF101" s="25">
        <f t="shared" si="37"/>
        <v>0</v>
      </c>
      <c r="DG101" s="25">
        <f t="shared" si="37"/>
        <v>0</v>
      </c>
      <c r="DH101" s="25">
        <f t="shared" si="37"/>
        <v>0</v>
      </c>
      <c r="DI101" s="25">
        <f t="shared" si="37"/>
        <v>4</v>
      </c>
      <c r="DJ101" s="25">
        <f t="shared" si="37"/>
        <v>1</v>
      </c>
      <c r="DK101" s="25">
        <f t="shared" si="37"/>
        <v>1</v>
      </c>
      <c r="DL101" s="25">
        <f t="shared" si="37"/>
        <v>0</v>
      </c>
      <c r="DM101" s="25">
        <f t="shared" si="37"/>
        <v>0</v>
      </c>
      <c r="DN101" s="25">
        <f t="shared" si="37"/>
        <v>0</v>
      </c>
      <c r="DO101" s="25">
        <f t="shared" si="37"/>
        <v>0</v>
      </c>
      <c r="DP101" s="25">
        <f t="shared" si="37"/>
        <v>0</v>
      </c>
      <c r="DQ101" s="25">
        <f t="shared" si="37"/>
        <v>0</v>
      </c>
      <c r="DR101" s="25">
        <f t="shared" si="37"/>
        <v>0</v>
      </c>
      <c r="DS101" s="25">
        <f t="shared" si="37"/>
        <v>0</v>
      </c>
      <c r="DT101" s="25">
        <f t="shared" si="37"/>
        <v>0</v>
      </c>
      <c r="DU101" s="25">
        <f t="shared" si="37"/>
        <v>0</v>
      </c>
      <c r="DV101" s="25">
        <f t="shared" si="37"/>
        <v>0</v>
      </c>
      <c r="DW101" s="25">
        <f t="shared" si="37"/>
        <v>0</v>
      </c>
      <c r="DX101" s="25">
        <f t="shared" si="37"/>
        <v>0</v>
      </c>
      <c r="DY101" s="25">
        <f t="shared" si="37"/>
        <v>0</v>
      </c>
      <c r="DZ101" s="25">
        <f t="shared" si="37"/>
        <v>0</v>
      </c>
      <c r="EA101" s="25">
        <f t="shared" si="37"/>
        <v>0</v>
      </c>
      <c r="EB101" s="25">
        <f t="shared" si="37"/>
        <v>0</v>
      </c>
      <c r="EC101" s="25">
        <f t="shared" si="37"/>
        <v>0</v>
      </c>
      <c r="ED101" s="25">
        <f t="shared" si="37"/>
        <v>0</v>
      </c>
      <c r="EE101" s="25">
        <f t="shared" si="37"/>
        <v>0</v>
      </c>
      <c r="EF101" s="25">
        <f t="shared" si="37"/>
        <v>0</v>
      </c>
      <c r="EG101" s="25">
        <f t="shared" si="37"/>
        <v>0</v>
      </c>
      <c r="EH101" s="25">
        <f t="shared" si="37"/>
        <v>0</v>
      </c>
      <c r="EI101" s="25">
        <f t="shared" si="37"/>
        <v>0</v>
      </c>
      <c r="EJ101" s="25">
        <f t="shared" si="37"/>
        <v>207.5</v>
      </c>
      <c r="EK101" s="25">
        <f t="shared" si="37"/>
        <v>0</v>
      </c>
      <c r="EL101" s="25">
        <f t="shared" si="37"/>
        <v>0</v>
      </c>
      <c r="EM101" s="25">
        <f t="shared" si="37"/>
        <v>0</v>
      </c>
      <c r="EN101" s="25">
        <f t="shared" si="37"/>
        <v>43</v>
      </c>
      <c r="EO101" s="25">
        <f t="shared" si="37"/>
        <v>0</v>
      </c>
      <c r="EP101" s="25">
        <f t="shared" si="37"/>
        <v>0</v>
      </c>
      <c r="EQ101" s="25">
        <f t="shared" si="37"/>
        <v>0</v>
      </c>
      <c r="ER101" s="25">
        <f t="shared" si="37"/>
        <v>0</v>
      </c>
      <c r="ES101" s="25">
        <f t="shared" si="37"/>
        <v>0</v>
      </c>
      <c r="ET101" s="25">
        <f t="shared" si="37"/>
        <v>0</v>
      </c>
      <c r="EU101" s="25">
        <f t="shared" si="37"/>
        <v>0</v>
      </c>
      <c r="EV101" s="25">
        <f t="shared" si="37"/>
        <v>0</v>
      </c>
      <c r="EW101" s="25">
        <f t="shared" si="37"/>
        <v>0</v>
      </c>
      <c r="EX101" s="25">
        <f t="shared" si="37"/>
        <v>0</v>
      </c>
      <c r="EY101" s="25">
        <f t="shared" si="37"/>
        <v>450</v>
      </c>
      <c r="EZ101" s="25">
        <f t="shared" si="37"/>
        <v>0</v>
      </c>
      <c r="FA101" s="25">
        <f t="shared" si="37"/>
        <v>0</v>
      </c>
      <c r="FB101" s="25">
        <f t="shared" si="37"/>
        <v>0</v>
      </c>
      <c r="FC101" s="25">
        <f t="shared" si="37"/>
        <v>0</v>
      </c>
      <c r="FD101" s="25">
        <f t="shared" si="37"/>
        <v>0</v>
      </c>
      <c r="FE101" s="25">
        <f t="shared" si="37"/>
        <v>0</v>
      </c>
      <c r="FF101" s="25">
        <f t="shared" si="37"/>
        <v>0</v>
      </c>
      <c r="FG101" s="25">
        <f t="shared" si="37"/>
        <v>0</v>
      </c>
      <c r="FH101" s="25">
        <f t="shared" si="37"/>
        <v>0</v>
      </c>
      <c r="FI101" s="25">
        <f t="shared" si="37"/>
        <v>0</v>
      </c>
      <c r="FJ101" s="25">
        <f t="shared" si="37"/>
        <v>0</v>
      </c>
      <c r="FK101" s="25">
        <f t="shared" si="37"/>
        <v>0</v>
      </c>
      <c r="FL101" s="25">
        <f t="shared" si="37"/>
        <v>0</v>
      </c>
      <c r="FM101" s="25">
        <f t="shared" si="37"/>
        <v>0</v>
      </c>
      <c r="FN101" s="25">
        <f t="shared" si="37"/>
        <v>254.5</v>
      </c>
      <c r="FO101" s="25">
        <f t="shared" si="37"/>
        <v>0</v>
      </c>
      <c r="FP101" s="25">
        <f t="shared" si="37"/>
        <v>0</v>
      </c>
      <c r="FQ101" s="25">
        <f t="shared" si="37"/>
        <v>0</v>
      </c>
      <c r="FR101" s="25">
        <f t="shared" si="37"/>
        <v>0</v>
      </c>
      <c r="FS101" s="25">
        <f t="shared" si="37"/>
        <v>0</v>
      </c>
      <c r="FT101" s="25">
        <f t="shared" si="37"/>
        <v>0</v>
      </c>
      <c r="FU101" s="25">
        <f t="shared" si="37"/>
        <v>0</v>
      </c>
      <c r="FV101" s="25">
        <f t="shared" si="37"/>
        <v>0</v>
      </c>
      <c r="FW101" s="25">
        <f t="shared" si="37"/>
        <v>0</v>
      </c>
      <c r="FX101" s="25">
        <f t="shared" si="37"/>
        <v>0</v>
      </c>
      <c r="FY101" s="35"/>
      <c r="FZ101" s="25">
        <f t="shared" si="36"/>
        <v>30285.5</v>
      </c>
      <c r="GA101" s="25"/>
      <c r="GB101" s="26"/>
      <c r="GC101" s="26"/>
      <c r="GD101" s="7"/>
      <c r="GE101" s="7"/>
      <c r="GF101" s="23"/>
      <c r="GG101" s="23"/>
      <c r="GH101" s="23"/>
      <c r="GI101" s="23"/>
      <c r="GJ101" s="23"/>
      <c r="GK101" s="23"/>
      <c r="GL101" s="23"/>
      <c r="GM101" s="23"/>
    </row>
    <row r="102" spans="1:207" ht="15.5" x14ac:dyDescent="0.35">
      <c r="A102" s="12" t="s">
        <v>567</v>
      </c>
      <c r="B102" s="7" t="s">
        <v>823</v>
      </c>
      <c r="C102" s="25">
        <f t="shared" ref="C102:FX102" si="38">C33</f>
        <v>0</v>
      </c>
      <c r="D102" s="25">
        <f t="shared" si="38"/>
        <v>0</v>
      </c>
      <c r="E102" s="25">
        <f t="shared" si="38"/>
        <v>0</v>
      </c>
      <c r="F102" s="25">
        <f t="shared" si="38"/>
        <v>0</v>
      </c>
      <c r="G102" s="25">
        <f t="shared" si="38"/>
        <v>0</v>
      </c>
      <c r="H102" s="25">
        <f t="shared" si="38"/>
        <v>0</v>
      </c>
      <c r="I102" s="25">
        <f t="shared" si="38"/>
        <v>0</v>
      </c>
      <c r="J102" s="25">
        <f t="shared" si="38"/>
        <v>0</v>
      </c>
      <c r="K102" s="25">
        <f t="shared" si="38"/>
        <v>0</v>
      </c>
      <c r="L102" s="25">
        <f t="shared" si="38"/>
        <v>0</v>
      </c>
      <c r="M102" s="25">
        <f t="shared" si="38"/>
        <v>0</v>
      </c>
      <c r="N102" s="25">
        <f t="shared" si="38"/>
        <v>0</v>
      </c>
      <c r="O102" s="25">
        <f t="shared" si="38"/>
        <v>0</v>
      </c>
      <c r="P102" s="25">
        <f t="shared" si="38"/>
        <v>0</v>
      </c>
      <c r="Q102" s="25">
        <f t="shared" si="38"/>
        <v>0</v>
      </c>
      <c r="R102" s="25">
        <f t="shared" si="38"/>
        <v>0</v>
      </c>
      <c r="S102" s="25">
        <f t="shared" si="38"/>
        <v>0</v>
      </c>
      <c r="T102" s="25">
        <f t="shared" si="38"/>
        <v>0</v>
      </c>
      <c r="U102" s="25">
        <f t="shared" si="38"/>
        <v>0</v>
      </c>
      <c r="V102" s="25">
        <f t="shared" si="38"/>
        <v>0</v>
      </c>
      <c r="W102" s="25">
        <f t="shared" si="38"/>
        <v>0</v>
      </c>
      <c r="X102" s="25">
        <f t="shared" si="38"/>
        <v>0</v>
      </c>
      <c r="Y102" s="25">
        <f t="shared" si="38"/>
        <v>0</v>
      </c>
      <c r="Z102" s="25">
        <f t="shared" si="38"/>
        <v>0</v>
      </c>
      <c r="AA102" s="25">
        <f t="shared" si="38"/>
        <v>0</v>
      </c>
      <c r="AB102" s="25">
        <f t="shared" si="38"/>
        <v>0</v>
      </c>
      <c r="AC102" s="25">
        <f t="shared" si="38"/>
        <v>0</v>
      </c>
      <c r="AD102" s="25">
        <f t="shared" si="38"/>
        <v>0</v>
      </c>
      <c r="AE102" s="25">
        <f t="shared" si="38"/>
        <v>0</v>
      </c>
      <c r="AF102" s="25">
        <f t="shared" si="38"/>
        <v>0</v>
      </c>
      <c r="AG102" s="25">
        <f t="shared" si="38"/>
        <v>0</v>
      </c>
      <c r="AH102" s="25">
        <f t="shared" si="38"/>
        <v>0</v>
      </c>
      <c r="AI102" s="25">
        <f t="shared" si="38"/>
        <v>0</v>
      </c>
      <c r="AJ102" s="25">
        <f t="shared" si="38"/>
        <v>0</v>
      </c>
      <c r="AK102" s="25">
        <f t="shared" si="38"/>
        <v>0</v>
      </c>
      <c r="AL102" s="25">
        <f t="shared" si="38"/>
        <v>0</v>
      </c>
      <c r="AM102" s="25">
        <f t="shared" si="38"/>
        <v>0</v>
      </c>
      <c r="AN102" s="25">
        <f t="shared" si="38"/>
        <v>0</v>
      </c>
      <c r="AO102" s="25">
        <f t="shared" si="38"/>
        <v>0</v>
      </c>
      <c r="AP102" s="25">
        <f t="shared" si="38"/>
        <v>0</v>
      </c>
      <c r="AQ102" s="25">
        <f t="shared" si="38"/>
        <v>0</v>
      </c>
      <c r="AR102" s="25">
        <f t="shared" si="38"/>
        <v>0</v>
      </c>
      <c r="AS102" s="25">
        <f t="shared" si="38"/>
        <v>0</v>
      </c>
      <c r="AT102" s="25">
        <f t="shared" si="38"/>
        <v>0</v>
      </c>
      <c r="AU102" s="25">
        <f t="shared" si="38"/>
        <v>0</v>
      </c>
      <c r="AV102" s="25">
        <f t="shared" si="38"/>
        <v>0</v>
      </c>
      <c r="AW102" s="25">
        <f t="shared" si="38"/>
        <v>0</v>
      </c>
      <c r="AX102" s="25">
        <f t="shared" si="38"/>
        <v>0</v>
      </c>
      <c r="AY102" s="25">
        <f t="shared" si="38"/>
        <v>0</v>
      </c>
      <c r="AZ102" s="25">
        <f t="shared" si="38"/>
        <v>0</v>
      </c>
      <c r="BA102" s="25">
        <f t="shared" si="38"/>
        <v>0</v>
      </c>
      <c r="BB102" s="25">
        <f t="shared" si="38"/>
        <v>0</v>
      </c>
      <c r="BC102" s="25">
        <f t="shared" si="38"/>
        <v>0</v>
      </c>
      <c r="BD102" s="25">
        <f t="shared" si="38"/>
        <v>0</v>
      </c>
      <c r="BE102" s="25">
        <f t="shared" si="38"/>
        <v>0</v>
      </c>
      <c r="BF102" s="25">
        <f t="shared" si="38"/>
        <v>0</v>
      </c>
      <c r="BG102" s="25">
        <f t="shared" si="38"/>
        <v>0</v>
      </c>
      <c r="BH102" s="25">
        <f t="shared" si="38"/>
        <v>0</v>
      </c>
      <c r="BI102" s="25">
        <f t="shared" si="38"/>
        <v>0</v>
      </c>
      <c r="BJ102" s="25">
        <f t="shared" si="38"/>
        <v>0</v>
      </c>
      <c r="BK102" s="25">
        <f t="shared" si="38"/>
        <v>0</v>
      </c>
      <c r="BL102" s="25">
        <f t="shared" si="38"/>
        <v>0</v>
      </c>
      <c r="BM102" s="25">
        <f t="shared" si="38"/>
        <v>0</v>
      </c>
      <c r="BN102" s="25">
        <f t="shared" si="38"/>
        <v>0</v>
      </c>
      <c r="BO102" s="25">
        <f t="shared" si="38"/>
        <v>0</v>
      </c>
      <c r="BP102" s="25">
        <f t="shared" si="38"/>
        <v>0</v>
      </c>
      <c r="BQ102" s="25">
        <f t="shared" si="38"/>
        <v>0</v>
      </c>
      <c r="BR102" s="25">
        <f t="shared" si="38"/>
        <v>0</v>
      </c>
      <c r="BS102" s="25">
        <f t="shared" si="38"/>
        <v>0</v>
      </c>
      <c r="BT102" s="25">
        <f t="shared" si="38"/>
        <v>0</v>
      </c>
      <c r="BU102" s="25">
        <f t="shared" si="38"/>
        <v>0</v>
      </c>
      <c r="BV102" s="25">
        <f t="shared" si="38"/>
        <v>0</v>
      </c>
      <c r="BW102" s="25">
        <f t="shared" si="38"/>
        <v>0</v>
      </c>
      <c r="BX102" s="25">
        <f t="shared" si="38"/>
        <v>0</v>
      </c>
      <c r="BY102" s="25">
        <f t="shared" si="38"/>
        <v>0</v>
      </c>
      <c r="BZ102" s="25">
        <f t="shared" si="38"/>
        <v>0</v>
      </c>
      <c r="CA102" s="25">
        <f t="shared" si="38"/>
        <v>0</v>
      </c>
      <c r="CB102" s="25">
        <f t="shared" si="38"/>
        <v>0</v>
      </c>
      <c r="CC102" s="25">
        <f t="shared" si="38"/>
        <v>0</v>
      </c>
      <c r="CD102" s="25">
        <f t="shared" si="38"/>
        <v>0</v>
      </c>
      <c r="CE102" s="25">
        <f t="shared" si="38"/>
        <v>0</v>
      </c>
      <c r="CF102" s="25">
        <f t="shared" si="38"/>
        <v>0</v>
      </c>
      <c r="CG102" s="25">
        <f t="shared" si="38"/>
        <v>0</v>
      </c>
      <c r="CH102" s="25">
        <f t="shared" si="38"/>
        <v>0</v>
      </c>
      <c r="CI102" s="25">
        <f t="shared" si="38"/>
        <v>0</v>
      </c>
      <c r="CJ102" s="25">
        <f t="shared" si="38"/>
        <v>0</v>
      </c>
      <c r="CK102" s="25">
        <f t="shared" si="38"/>
        <v>0</v>
      </c>
      <c r="CL102" s="25">
        <f t="shared" si="38"/>
        <v>0</v>
      </c>
      <c r="CM102" s="25">
        <f t="shared" si="38"/>
        <v>0</v>
      </c>
      <c r="CN102" s="25">
        <f t="shared" si="38"/>
        <v>408</v>
      </c>
      <c r="CO102" s="25">
        <f t="shared" si="38"/>
        <v>0</v>
      </c>
      <c r="CP102" s="25">
        <f t="shared" si="38"/>
        <v>0</v>
      </c>
      <c r="CQ102" s="25">
        <f t="shared" si="38"/>
        <v>0</v>
      </c>
      <c r="CR102" s="25">
        <f t="shared" si="38"/>
        <v>0</v>
      </c>
      <c r="CS102" s="25">
        <f t="shared" si="38"/>
        <v>0</v>
      </c>
      <c r="CT102" s="25">
        <f t="shared" si="38"/>
        <v>0</v>
      </c>
      <c r="CU102" s="25">
        <f t="shared" si="38"/>
        <v>0</v>
      </c>
      <c r="CV102" s="25">
        <f t="shared" si="38"/>
        <v>0</v>
      </c>
      <c r="CW102" s="25">
        <f t="shared" si="38"/>
        <v>0</v>
      </c>
      <c r="CX102" s="25">
        <f t="shared" si="38"/>
        <v>0</v>
      </c>
      <c r="CY102" s="25">
        <f t="shared" si="38"/>
        <v>0</v>
      </c>
      <c r="CZ102" s="25">
        <f t="shared" si="38"/>
        <v>0</v>
      </c>
      <c r="DA102" s="25">
        <f t="shared" si="38"/>
        <v>0</v>
      </c>
      <c r="DB102" s="25">
        <f t="shared" si="38"/>
        <v>0</v>
      </c>
      <c r="DC102" s="25">
        <f t="shared" si="38"/>
        <v>0</v>
      </c>
      <c r="DD102" s="25">
        <f t="shared" si="38"/>
        <v>0</v>
      </c>
      <c r="DE102" s="25">
        <f t="shared" si="38"/>
        <v>0</v>
      </c>
      <c r="DF102" s="25">
        <f t="shared" si="38"/>
        <v>0</v>
      </c>
      <c r="DG102" s="25">
        <f t="shared" si="38"/>
        <v>0</v>
      </c>
      <c r="DH102" s="25">
        <f t="shared" si="38"/>
        <v>0</v>
      </c>
      <c r="DI102" s="25">
        <f t="shared" si="38"/>
        <v>0</v>
      </c>
      <c r="DJ102" s="25">
        <f t="shared" si="38"/>
        <v>0</v>
      </c>
      <c r="DK102" s="25">
        <f t="shared" si="38"/>
        <v>0</v>
      </c>
      <c r="DL102" s="25">
        <f t="shared" si="38"/>
        <v>0</v>
      </c>
      <c r="DM102" s="25">
        <f t="shared" si="38"/>
        <v>0</v>
      </c>
      <c r="DN102" s="25">
        <f t="shared" si="38"/>
        <v>0</v>
      </c>
      <c r="DO102" s="25">
        <f t="shared" si="38"/>
        <v>0</v>
      </c>
      <c r="DP102" s="25">
        <f t="shared" si="38"/>
        <v>0</v>
      </c>
      <c r="DQ102" s="25">
        <f t="shared" si="38"/>
        <v>0</v>
      </c>
      <c r="DR102" s="25">
        <f t="shared" si="38"/>
        <v>0</v>
      </c>
      <c r="DS102" s="25">
        <f t="shared" si="38"/>
        <v>0</v>
      </c>
      <c r="DT102" s="25">
        <f t="shared" si="38"/>
        <v>0</v>
      </c>
      <c r="DU102" s="25">
        <f t="shared" si="38"/>
        <v>0</v>
      </c>
      <c r="DV102" s="25">
        <f t="shared" si="38"/>
        <v>0</v>
      </c>
      <c r="DW102" s="25">
        <f t="shared" si="38"/>
        <v>0</v>
      </c>
      <c r="DX102" s="25">
        <f t="shared" si="38"/>
        <v>0</v>
      </c>
      <c r="DY102" s="25">
        <f t="shared" si="38"/>
        <v>0</v>
      </c>
      <c r="DZ102" s="25">
        <f t="shared" si="38"/>
        <v>0</v>
      </c>
      <c r="EA102" s="25">
        <f t="shared" si="38"/>
        <v>0</v>
      </c>
      <c r="EB102" s="25">
        <f t="shared" si="38"/>
        <v>0</v>
      </c>
      <c r="EC102" s="25">
        <f t="shared" si="38"/>
        <v>0</v>
      </c>
      <c r="ED102" s="25">
        <f t="shared" si="38"/>
        <v>0</v>
      </c>
      <c r="EE102" s="25">
        <f t="shared" si="38"/>
        <v>0</v>
      </c>
      <c r="EF102" s="25">
        <f t="shared" si="38"/>
        <v>0</v>
      </c>
      <c r="EG102" s="25">
        <f t="shared" si="38"/>
        <v>0</v>
      </c>
      <c r="EH102" s="25">
        <f t="shared" si="38"/>
        <v>0</v>
      </c>
      <c r="EI102" s="25">
        <f t="shared" si="38"/>
        <v>0</v>
      </c>
      <c r="EJ102" s="25">
        <f t="shared" si="38"/>
        <v>0</v>
      </c>
      <c r="EK102" s="25">
        <f t="shared" si="38"/>
        <v>0</v>
      </c>
      <c r="EL102" s="25">
        <f t="shared" si="38"/>
        <v>0</v>
      </c>
      <c r="EM102" s="25">
        <f t="shared" si="38"/>
        <v>0</v>
      </c>
      <c r="EN102" s="25">
        <f t="shared" si="38"/>
        <v>0</v>
      </c>
      <c r="EO102" s="25">
        <f t="shared" si="38"/>
        <v>0</v>
      </c>
      <c r="EP102" s="25">
        <f t="shared" si="38"/>
        <v>0</v>
      </c>
      <c r="EQ102" s="25">
        <f t="shared" si="38"/>
        <v>0</v>
      </c>
      <c r="ER102" s="25">
        <f t="shared" si="38"/>
        <v>0</v>
      </c>
      <c r="ES102" s="25">
        <f t="shared" si="38"/>
        <v>0</v>
      </c>
      <c r="ET102" s="25">
        <f t="shared" si="38"/>
        <v>0</v>
      </c>
      <c r="EU102" s="25">
        <f t="shared" si="38"/>
        <v>0</v>
      </c>
      <c r="EV102" s="25">
        <f t="shared" si="38"/>
        <v>0</v>
      </c>
      <c r="EW102" s="25">
        <f t="shared" si="38"/>
        <v>0</v>
      </c>
      <c r="EX102" s="25">
        <f t="shared" si="38"/>
        <v>0</v>
      </c>
      <c r="EY102" s="25">
        <f t="shared" si="38"/>
        <v>0</v>
      </c>
      <c r="EZ102" s="25">
        <f t="shared" si="38"/>
        <v>0</v>
      </c>
      <c r="FA102" s="25">
        <f t="shared" si="38"/>
        <v>0</v>
      </c>
      <c r="FB102" s="25">
        <f t="shared" si="38"/>
        <v>0</v>
      </c>
      <c r="FC102" s="25">
        <f t="shared" si="38"/>
        <v>0</v>
      </c>
      <c r="FD102" s="25">
        <f t="shared" si="38"/>
        <v>0</v>
      </c>
      <c r="FE102" s="25">
        <f t="shared" si="38"/>
        <v>0</v>
      </c>
      <c r="FF102" s="25">
        <f t="shared" si="38"/>
        <v>0</v>
      </c>
      <c r="FG102" s="25">
        <f t="shared" si="38"/>
        <v>0</v>
      </c>
      <c r="FH102" s="25">
        <f t="shared" si="38"/>
        <v>0</v>
      </c>
      <c r="FI102" s="25">
        <f t="shared" si="38"/>
        <v>0</v>
      </c>
      <c r="FJ102" s="25">
        <f t="shared" si="38"/>
        <v>0</v>
      </c>
      <c r="FK102" s="25">
        <f t="shared" si="38"/>
        <v>0</v>
      </c>
      <c r="FL102" s="25">
        <f t="shared" si="38"/>
        <v>0</v>
      </c>
      <c r="FM102" s="25">
        <f t="shared" si="38"/>
        <v>0</v>
      </c>
      <c r="FN102" s="25">
        <f t="shared" si="38"/>
        <v>0</v>
      </c>
      <c r="FO102" s="25">
        <f t="shared" si="38"/>
        <v>0</v>
      </c>
      <c r="FP102" s="25">
        <f t="shared" si="38"/>
        <v>0</v>
      </c>
      <c r="FQ102" s="25">
        <f t="shared" si="38"/>
        <v>0</v>
      </c>
      <c r="FR102" s="25">
        <f t="shared" si="38"/>
        <v>0</v>
      </c>
      <c r="FS102" s="25">
        <f t="shared" si="38"/>
        <v>0</v>
      </c>
      <c r="FT102" s="25">
        <f t="shared" si="38"/>
        <v>0</v>
      </c>
      <c r="FU102" s="25">
        <f t="shared" si="38"/>
        <v>0</v>
      </c>
      <c r="FV102" s="25">
        <f t="shared" si="38"/>
        <v>0</v>
      </c>
      <c r="FW102" s="25">
        <f t="shared" si="38"/>
        <v>0</v>
      </c>
      <c r="FX102" s="25">
        <f t="shared" si="38"/>
        <v>0</v>
      </c>
      <c r="FY102" s="25"/>
      <c r="FZ102" s="25">
        <f t="shared" si="36"/>
        <v>408</v>
      </c>
      <c r="GA102" s="58"/>
      <c r="GB102" s="26"/>
      <c r="GC102" s="26"/>
      <c r="GD102" s="7"/>
      <c r="GE102" s="7"/>
      <c r="GF102" s="23"/>
      <c r="GG102" s="23"/>
      <c r="GH102" s="23"/>
      <c r="GI102" s="23"/>
      <c r="GJ102" s="23"/>
      <c r="GK102" s="23"/>
      <c r="GL102" s="23"/>
      <c r="GM102" s="23"/>
    </row>
    <row r="103" spans="1:207" ht="15.5" x14ac:dyDescent="0.35">
      <c r="A103" s="12" t="s">
        <v>2</v>
      </c>
      <c r="B103" s="7" t="s">
        <v>824</v>
      </c>
      <c r="C103" s="35">
        <f t="shared" ref="C103:AQ103" si="39">ROUND(SUM(C96:C102),1)</f>
        <v>6540.5</v>
      </c>
      <c r="D103" s="35">
        <f t="shared" si="39"/>
        <v>38720.400000000001</v>
      </c>
      <c r="E103" s="35">
        <f t="shared" si="39"/>
        <v>5749</v>
      </c>
      <c r="F103" s="35">
        <f t="shared" si="39"/>
        <v>24441.599999999999</v>
      </c>
      <c r="G103" s="35">
        <f t="shared" si="39"/>
        <v>1845</v>
      </c>
      <c r="H103" s="35">
        <f t="shared" si="39"/>
        <v>1096.7</v>
      </c>
      <c r="I103" s="35">
        <f t="shared" si="39"/>
        <v>8070</v>
      </c>
      <c r="J103" s="35">
        <f t="shared" si="39"/>
        <v>2066.8000000000002</v>
      </c>
      <c r="K103" s="35">
        <f t="shared" si="39"/>
        <v>251.7</v>
      </c>
      <c r="L103" s="35">
        <f t="shared" si="39"/>
        <v>2156.1</v>
      </c>
      <c r="M103" s="35">
        <f t="shared" si="39"/>
        <v>950.7</v>
      </c>
      <c r="N103" s="35">
        <f t="shared" si="39"/>
        <v>50642.1</v>
      </c>
      <c r="O103" s="35">
        <f t="shared" si="39"/>
        <v>12912.4</v>
      </c>
      <c r="P103" s="35">
        <f t="shared" si="39"/>
        <v>315.3</v>
      </c>
      <c r="Q103" s="35">
        <f t="shared" si="39"/>
        <v>39533.800000000003</v>
      </c>
      <c r="R103" s="35">
        <f t="shared" si="39"/>
        <v>7100.8</v>
      </c>
      <c r="S103" s="35">
        <f t="shared" si="39"/>
        <v>1605.4</v>
      </c>
      <c r="T103" s="35">
        <f t="shared" si="39"/>
        <v>161.1</v>
      </c>
      <c r="U103" s="35">
        <f t="shared" si="39"/>
        <v>55.5</v>
      </c>
      <c r="V103" s="35">
        <f t="shared" si="39"/>
        <v>256.39999999999998</v>
      </c>
      <c r="W103" s="35">
        <f t="shared" si="39"/>
        <v>59.7</v>
      </c>
      <c r="X103" s="35">
        <f t="shared" si="39"/>
        <v>50</v>
      </c>
      <c r="Y103" s="35">
        <f t="shared" si="39"/>
        <v>897.3</v>
      </c>
      <c r="Z103" s="35">
        <f t="shared" si="39"/>
        <v>231.1</v>
      </c>
      <c r="AA103" s="35">
        <f t="shared" si="39"/>
        <v>30969.9</v>
      </c>
      <c r="AB103" s="35">
        <f t="shared" si="39"/>
        <v>27219.200000000001</v>
      </c>
      <c r="AC103" s="35">
        <f t="shared" si="39"/>
        <v>906.3</v>
      </c>
      <c r="AD103" s="35">
        <f t="shared" si="39"/>
        <v>1441.6</v>
      </c>
      <c r="AE103" s="35">
        <f t="shared" si="39"/>
        <v>97</v>
      </c>
      <c r="AF103" s="35">
        <f t="shared" si="39"/>
        <v>167.5</v>
      </c>
      <c r="AG103" s="35">
        <f t="shared" si="39"/>
        <v>601.1</v>
      </c>
      <c r="AH103" s="35">
        <f t="shared" si="39"/>
        <v>957.7</v>
      </c>
      <c r="AI103" s="35">
        <f t="shared" si="39"/>
        <v>383</v>
      </c>
      <c r="AJ103" s="35">
        <f t="shared" si="39"/>
        <v>181.5</v>
      </c>
      <c r="AK103" s="35">
        <f t="shared" si="39"/>
        <v>165.7</v>
      </c>
      <c r="AL103" s="35">
        <f t="shared" si="39"/>
        <v>288.5</v>
      </c>
      <c r="AM103" s="35">
        <f t="shared" si="39"/>
        <v>352.6</v>
      </c>
      <c r="AN103" s="35">
        <f t="shared" si="39"/>
        <v>300.5</v>
      </c>
      <c r="AO103" s="35">
        <f t="shared" si="39"/>
        <v>4406.5</v>
      </c>
      <c r="AP103" s="35">
        <f t="shared" si="39"/>
        <v>84753.600000000006</v>
      </c>
      <c r="AQ103" s="35">
        <f t="shared" si="39"/>
        <v>251</v>
      </c>
      <c r="AR103" s="35">
        <f>ROUND(SUM(AR96:AR102),2)</f>
        <v>62161.1</v>
      </c>
      <c r="AS103" s="35">
        <f t="shared" ref="AS103:FX103" si="40">ROUND(SUM(AS96:AS102),1)</f>
        <v>6500</v>
      </c>
      <c r="AT103" s="35">
        <f t="shared" si="40"/>
        <v>2363.1999999999998</v>
      </c>
      <c r="AU103" s="35">
        <f t="shared" si="40"/>
        <v>271</v>
      </c>
      <c r="AV103" s="35">
        <f t="shared" si="40"/>
        <v>305.39999999999998</v>
      </c>
      <c r="AW103" s="35">
        <f t="shared" si="40"/>
        <v>257</v>
      </c>
      <c r="AX103" s="35">
        <f t="shared" si="40"/>
        <v>81</v>
      </c>
      <c r="AY103" s="35">
        <f t="shared" si="40"/>
        <v>406.8</v>
      </c>
      <c r="AZ103" s="35">
        <f t="shared" si="40"/>
        <v>12222.4</v>
      </c>
      <c r="BA103" s="35">
        <f t="shared" si="40"/>
        <v>9136.2999999999993</v>
      </c>
      <c r="BB103" s="35">
        <f t="shared" si="40"/>
        <v>7564.3</v>
      </c>
      <c r="BC103" s="35">
        <f t="shared" si="40"/>
        <v>24699.9</v>
      </c>
      <c r="BD103" s="35">
        <f t="shared" si="40"/>
        <v>3637.5</v>
      </c>
      <c r="BE103" s="35">
        <f t="shared" si="40"/>
        <v>1198.7</v>
      </c>
      <c r="BF103" s="35">
        <f t="shared" si="40"/>
        <v>25614.3</v>
      </c>
      <c r="BG103" s="35">
        <f t="shared" si="40"/>
        <v>920.6</v>
      </c>
      <c r="BH103" s="35">
        <f t="shared" si="40"/>
        <v>583.5</v>
      </c>
      <c r="BI103" s="35">
        <f t="shared" si="40"/>
        <v>257.39999999999998</v>
      </c>
      <c r="BJ103" s="35">
        <f t="shared" si="40"/>
        <v>6314.9</v>
      </c>
      <c r="BK103" s="35">
        <f t="shared" si="40"/>
        <v>35146.699999999997</v>
      </c>
      <c r="BL103" s="35">
        <f t="shared" si="40"/>
        <v>77.3</v>
      </c>
      <c r="BM103" s="35">
        <f t="shared" si="40"/>
        <v>359.3</v>
      </c>
      <c r="BN103" s="35">
        <f t="shared" si="40"/>
        <v>3145.6</v>
      </c>
      <c r="BO103" s="35">
        <f t="shared" si="40"/>
        <v>1257.3</v>
      </c>
      <c r="BP103" s="35">
        <f t="shared" si="40"/>
        <v>160.4</v>
      </c>
      <c r="BQ103" s="35">
        <f t="shared" si="40"/>
        <v>5887.2</v>
      </c>
      <c r="BR103" s="35">
        <f t="shared" si="40"/>
        <v>4488.3999999999996</v>
      </c>
      <c r="BS103" s="35">
        <f t="shared" si="40"/>
        <v>1158.0999999999999</v>
      </c>
      <c r="BT103" s="35">
        <f t="shared" si="40"/>
        <v>372.5</v>
      </c>
      <c r="BU103" s="35">
        <f t="shared" si="40"/>
        <v>393.7</v>
      </c>
      <c r="BV103" s="35">
        <f t="shared" si="40"/>
        <v>1245.3</v>
      </c>
      <c r="BW103" s="35">
        <f t="shared" si="40"/>
        <v>2017.5</v>
      </c>
      <c r="BX103" s="35">
        <f t="shared" si="40"/>
        <v>66.5</v>
      </c>
      <c r="BY103" s="35">
        <f t="shared" si="40"/>
        <v>430.7</v>
      </c>
      <c r="BZ103" s="35">
        <f t="shared" si="40"/>
        <v>228</v>
      </c>
      <c r="CA103" s="35">
        <f t="shared" si="40"/>
        <v>146.19999999999999</v>
      </c>
      <c r="CB103" s="35">
        <f t="shared" si="40"/>
        <v>73642.899999999994</v>
      </c>
      <c r="CC103" s="35">
        <f t="shared" si="40"/>
        <v>189.3</v>
      </c>
      <c r="CD103" s="35">
        <f t="shared" si="40"/>
        <v>50</v>
      </c>
      <c r="CE103" s="35">
        <f t="shared" si="40"/>
        <v>158.30000000000001</v>
      </c>
      <c r="CF103" s="35">
        <f t="shared" si="40"/>
        <v>112.5</v>
      </c>
      <c r="CG103" s="35">
        <f t="shared" si="40"/>
        <v>199.9</v>
      </c>
      <c r="CH103" s="35">
        <f t="shared" si="40"/>
        <v>96.5</v>
      </c>
      <c r="CI103" s="35">
        <f t="shared" si="40"/>
        <v>687.9</v>
      </c>
      <c r="CJ103" s="35">
        <f t="shared" si="40"/>
        <v>872.3</v>
      </c>
      <c r="CK103" s="35">
        <f t="shared" si="40"/>
        <v>4911.5</v>
      </c>
      <c r="CL103" s="35">
        <f t="shared" si="40"/>
        <v>1237.9000000000001</v>
      </c>
      <c r="CM103" s="35">
        <f t="shared" si="40"/>
        <v>687.4</v>
      </c>
      <c r="CN103" s="35">
        <f t="shared" si="40"/>
        <v>31536.3</v>
      </c>
      <c r="CO103" s="35">
        <f t="shared" si="40"/>
        <v>14394.7</v>
      </c>
      <c r="CP103" s="35">
        <f t="shared" si="40"/>
        <v>934.4</v>
      </c>
      <c r="CQ103" s="35">
        <f t="shared" si="40"/>
        <v>770.1</v>
      </c>
      <c r="CR103" s="35">
        <f t="shared" si="40"/>
        <v>215.8</v>
      </c>
      <c r="CS103" s="35">
        <f t="shared" si="40"/>
        <v>285.5</v>
      </c>
      <c r="CT103" s="35">
        <f t="shared" si="40"/>
        <v>113.5</v>
      </c>
      <c r="CU103" s="35">
        <f t="shared" si="40"/>
        <v>469.8</v>
      </c>
      <c r="CV103" s="35">
        <f t="shared" si="40"/>
        <v>50</v>
      </c>
      <c r="CW103" s="35">
        <f t="shared" si="40"/>
        <v>198.7</v>
      </c>
      <c r="CX103" s="35">
        <f t="shared" si="40"/>
        <v>461.4</v>
      </c>
      <c r="CY103" s="35">
        <f t="shared" si="40"/>
        <v>50</v>
      </c>
      <c r="CZ103" s="35">
        <f t="shared" si="40"/>
        <v>1806.8</v>
      </c>
      <c r="DA103" s="35">
        <f t="shared" si="40"/>
        <v>203.5</v>
      </c>
      <c r="DB103" s="35">
        <f t="shared" si="40"/>
        <v>315.8</v>
      </c>
      <c r="DC103" s="35">
        <f t="shared" si="40"/>
        <v>193</v>
      </c>
      <c r="DD103" s="35">
        <f t="shared" si="40"/>
        <v>174.5</v>
      </c>
      <c r="DE103" s="35">
        <f t="shared" si="40"/>
        <v>285.3</v>
      </c>
      <c r="DF103" s="35">
        <f t="shared" si="40"/>
        <v>20834.599999999999</v>
      </c>
      <c r="DG103" s="35">
        <f t="shared" si="40"/>
        <v>93.5</v>
      </c>
      <c r="DH103" s="35">
        <f t="shared" si="40"/>
        <v>1805.4</v>
      </c>
      <c r="DI103" s="35">
        <f t="shared" si="40"/>
        <v>2452.3000000000002</v>
      </c>
      <c r="DJ103" s="35">
        <f t="shared" si="40"/>
        <v>624</v>
      </c>
      <c r="DK103" s="35">
        <f t="shared" si="40"/>
        <v>478.7</v>
      </c>
      <c r="DL103" s="35">
        <f t="shared" si="40"/>
        <v>5694</v>
      </c>
      <c r="DM103" s="35">
        <f t="shared" si="40"/>
        <v>235</v>
      </c>
      <c r="DN103" s="35">
        <f t="shared" si="40"/>
        <v>1296</v>
      </c>
      <c r="DO103" s="35">
        <f t="shared" si="40"/>
        <v>3290</v>
      </c>
      <c r="DP103" s="35">
        <f t="shared" si="40"/>
        <v>200</v>
      </c>
      <c r="DQ103" s="35">
        <f t="shared" si="40"/>
        <v>888</v>
      </c>
      <c r="DR103" s="35">
        <f t="shared" si="40"/>
        <v>1315.2</v>
      </c>
      <c r="DS103" s="35">
        <f t="shared" si="40"/>
        <v>599.9</v>
      </c>
      <c r="DT103" s="35">
        <f t="shared" si="40"/>
        <v>176.5</v>
      </c>
      <c r="DU103" s="35">
        <f t="shared" si="40"/>
        <v>351.4</v>
      </c>
      <c r="DV103" s="35">
        <f t="shared" si="40"/>
        <v>208</v>
      </c>
      <c r="DW103" s="35">
        <f t="shared" si="40"/>
        <v>300.2</v>
      </c>
      <c r="DX103" s="35">
        <f t="shared" si="40"/>
        <v>168</v>
      </c>
      <c r="DY103" s="35">
        <f t="shared" si="40"/>
        <v>296.60000000000002</v>
      </c>
      <c r="DZ103" s="35">
        <f t="shared" si="40"/>
        <v>681.8</v>
      </c>
      <c r="EA103" s="35">
        <f t="shared" si="40"/>
        <v>530.6</v>
      </c>
      <c r="EB103" s="35">
        <f t="shared" si="40"/>
        <v>534.4</v>
      </c>
      <c r="EC103" s="35">
        <f t="shared" si="40"/>
        <v>285.10000000000002</v>
      </c>
      <c r="ED103" s="35">
        <f t="shared" si="40"/>
        <v>1561.8</v>
      </c>
      <c r="EE103" s="35">
        <f t="shared" si="40"/>
        <v>191.6</v>
      </c>
      <c r="EF103" s="35">
        <f t="shared" si="40"/>
        <v>1355.2</v>
      </c>
      <c r="EG103" s="35">
        <f t="shared" si="40"/>
        <v>253.5</v>
      </c>
      <c r="EH103" s="35">
        <f t="shared" si="40"/>
        <v>247.4</v>
      </c>
      <c r="EI103" s="35">
        <f t="shared" si="40"/>
        <v>13890.3</v>
      </c>
      <c r="EJ103" s="35">
        <f t="shared" si="40"/>
        <v>10185.299999999999</v>
      </c>
      <c r="EK103" s="35">
        <f t="shared" si="40"/>
        <v>668.7</v>
      </c>
      <c r="EL103" s="35">
        <f t="shared" si="40"/>
        <v>459.4</v>
      </c>
      <c r="EM103" s="35">
        <f t="shared" si="40"/>
        <v>378.1</v>
      </c>
      <c r="EN103" s="35">
        <f t="shared" si="40"/>
        <v>939.9</v>
      </c>
      <c r="EO103" s="35">
        <f t="shared" si="40"/>
        <v>305.39999999999998</v>
      </c>
      <c r="EP103" s="35">
        <f t="shared" si="40"/>
        <v>428.5</v>
      </c>
      <c r="EQ103" s="35">
        <f t="shared" si="40"/>
        <v>2616.4</v>
      </c>
      <c r="ER103" s="35">
        <f t="shared" si="40"/>
        <v>309.60000000000002</v>
      </c>
      <c r="ES103" s="35">
        <f t="shared" si="40"/>
        <v>163</v>
      </c>
      <c r="ET103" s="35">
        <f t="shared" si="40"/>
        <v>197.5</v>
      </c>
      <c r="EU103" s="35">
        <f t="shared" si="40"/>
        <v>575.29999999999995</v>
      </c>
      <c r="EV103" s="35">
        <f t="shared" si="40"/>
        <v>72.599999999999994</v>
      </c>
      <c r="EW103" s="35">
        <f t="shared" si="40"/>
        <v>819.4</v>
      </c>
      <c r="EX103" s="35">
        <f t="shared" si="40"/>
        <v>173.5</v>
      </c>
      <c r="EY103" s="35">
        <f t="shared" si="40"/>
        <v>656.5</v>
      </c>
      <c r="EZ103" s="35">
        <f t="shared" si="40"/>
        <v>129.30000000000001</v>
      </c>
      <c r="FA103" s="35">
        <f t="shared" si="40"/>
        <v>3397.2</v>
      </c>
      <c r="FB103" s="35">
        <f t="shared" si="40"/>
        <v>288.10000000000002</v>
      </c>
      <c r="FC103" s="35">
        <f t="shared" si="40"/>
        <v>1826.2</v>
      </c>
      <c r="FD103" s="35">
        <f t="shared" si="40"/>
        <v>402</v>
      </c>
      <c r="FE103" s="35">
        <f t="shared" si="40"/>
        <v>79</v>
      </c>
      <c r="FF103" s="35">
        <f t="shared" si="40"/>
        <v>185</v>
      </c>
      <c r="FG103" s="35">
        <f t="shared" si="40"/>
        <v>120.8</v>
      </c>
      <c r="FH103" s="35">
        <f t="shared" si="40"/>
        <v>70</v>
      </c>
      <c r="FI103" s="35">
        <f t="shared" si="40"/>
        <v>1702.5</v>
      </c>
      <c r="FJ103" s="35">
        <f t="shared" si="40"/>
        <v>2016.5</v>
      </c>
      <c r="FK103" s="35">
        <f t="shared" si="40"/>
        <v>2529.1</v>
      </c>
      <c r="FL103" s="35">
        <f t="shared" si="40"/>
        <v>8538.5</v>
      </c>
      <c r="FM103" s="35">
        <f t="shared" si="40"/>
        <v>3981.5</v>
      </c>
      <c r="FN103" s="35">
        <f t="shared" si="40"/>
        <v>22705.3</v>
      </c>
      <c r="FO103" s="35">
        <f t="shared" si="40"/>
        <v>1119.2</v>
      </c>
      <c r="FP103" s="35">
        <f t="shared" si="40"/>
        <v>2341.5</v>
      </c>
      <c r="FQ103" s="35">
        <f t="shared" si="40"/>
        <v>984.9</v>
      </c>
      <c r="FR103" s="35">
        <f t="shared" si="40"/>
        <v>168.1</v>
      </c>
      <c r="FS103" s="35">
        <f t="shared" si="40"/>
        <v>168.3</v>
      </c>
      <c r="FT103" s="35">
        <f t="shared" si="40"/>
        <v>56.5</v>
      </c>
      <c r="FU103" s="35">
        <f t="shared" si="40"/>
        <v>791.1</v>
      </c>
      <c r="FV103" s="35">
        <f t="shared" si="40"/>
        <v>693.7</v>
      </c>
      <c r="FW103" s="35">
        <f t="shared" si="40"/>
        <v>149.5</v>
      </c>
      <c r="FX103" s="35">
        <f t="shared" si="40"/>
        <v>64.5</v>
      </c>
      <c r="FY103" s="25"/>
      <c r="FZ103" s="59">
        <f t="shared" si="36"/>
        <v>849830.50000000035</v>
      </c>
      <c r="GA103" s="57">
        <v>849830.5</v>
      </c>
      <c r="GB103" s="26">
        <f>FZ103-GA103</f>
        <v>0</v>
      </c>
      <c r="GC103" s="26"/>
      <c r="GD103" s="7"/>
      <c r="GE103" s="7"/>
      <c r="GF103" s="23"/>
      <c r="GG103" s="23"/>
      <c r="GH103" s="23"/>
      <c r="GI103" s="23"/>
      <c r="GJ103" s="23"/>
      <c r="GK103" s="23"/>
      <c r="GL103" s="23"/>
      <c r="GM103" s="23"/>
    </row>
    <row r="104" spans="1:207" ht="15.5" x14ac:dyDescent="0.35">
      <c r="A104" s="12" t="s">
        <v>570</v>
      </c>
      <c r="B104" s="5" t="s">
        <v>825</v>
      </c>
      <c r="C104" s="26">
        <f t="shared" ref="C104:FX104" si="41">C103-C105</f>
        <v>6540.5</v>
      </c>
      <c r="D104" s="26">
        <f t="shared" si="41"/>
        <v>34024.5</v>
      </c>
      <c r="E104" s="26">
        <f t="shared" si="41"/>
        <v>5086.3</v>
      </c>
      <c r="F104" s="26">
        <f t="shared" si="41"/>
        <v>23508.3</v>
      </c>
      <c r="G104" s="26">
        <f t="shared" si="41"/>
        <v>1845</v>
      </c>
      <c r="H104" s="26">
        <f t="shared" si="41"/>
        <v>1096.7</v>
      </c>
      <c r="I104" s="26">
        <f t="shared" si="41"/>
        <v>7319.8</v>
      </c>
      <c r="J104" s="26">
        <f t="shared" si="41"/>
        <v>2066.8000000000002</v>
      </c>
      <c r="K104" s="26">
        <f t="shared" si="41"/>
        <v>251.7</v>
      </c>
      <c r="L104" s="26">
        <f t="shared" si="41"/>
        <v>2156.1</v>
      </c>
      <c r="M104" s="26">
        <f t="shared" si="41"/>
        <v>950.7</v>
      </c>
      <c r="N104" s="26">
        <f t="shared" si="41"/>
        <v>50552.1</v>
      </c>
      <c r="O104" s="26">
        <f t="shared" si="41"/>
        <v>12912.4</v>
      </c>
      <c r="P104" s="26">
        <f t="shared" si="41"/>
        <v>315.3</v>
      </c>
      <c r="Q104" s="26">
        <f t="shared" si="41"/>
        <v>37572.5</v>
      </c>
      <c r="R104" s="26">
        <f t="shared" si="41"/>
        <v>7100.8</v>
      </c>
      <c r="S104" s="26">
        <f t="shared" si="41"/>
        <v>1605.4</v>
      </c>
      <c r="T104" s="26">
        <f t="shared" si="41"/>
        <v>161.1</v>
      </c>
      <c r="U104" s="26">
        <f t="shared" si="41"/>
        <v>55.5</v>
      </c>
      <c r="V104" s="26">
        <f t="shared" si="41"/>
        <v>256.39999999999998</v>
      </c>
      <c r="W104" s="26">
        <f t="shared" si="41"/>
        <v>59.7</v>
      </c>
      <c r="X104" s="26">
        <f t="shared" si="41"/>
        <v>50</v>
      </c>
      <c r="Y104" s="26">
        <f t="shared" si="41"/>
        <v>897.3</v>
      </c>
      <c r="Z104" s="26">
        <f t="shared" si="41"/>
        <v>231.1</v>
      </c>
      <c r="AA104" s="26">
        <f t="shared" si="41"/>
        <v>30969.9</v>
      </c>
      <c r="AB104" s="26">
        <f t="shared" si="41"/>
        <v>27219.200000000001</v>
      </c>
      <c r="AC104" s="26">
        <f t="shared" si="41"/>
        <v>906.3</v>
      </c>
      <c r="AD104" s="26">
        <f t="shared" si="41"/>
        <v>1287.5999999999999</v>
      </c>
      <c r="AE104" s="26">
        <f t="shared" si="41"/>
        <v>97</v>
      </c>
      <c r="AF104" s="26">
        <f t="shared" si="41"/>
        <v>167.5</v>
      </c>
      <c r="AG104" s="26">
        <f t="shared" si="41"/>
        <v>601.1</v>
      </c>
      <c r="AH104" s="26">
        <f t="shared" si="41"/>
        <v>957.7</v>
      </c>
      <c r="AI104" s="26">
        <f t="shared" si="41"/>
        <v>383</v>
      </c>
      <c r="AJ104" s="26">
        <f t="shared" si="41"/>
        <v>181.5</v>
      </c>
      <c r="AK104" s="26">
        <f t="shared" si="41"/>
        <v>165.7</v>
      </c>
      <c r="AL104" s="26">
        <f t="shared" si="41"/>
        <v>288.5</v>
      </c>
      <c r="AM104" s="26">
        <f t="shared" si="41"/>
        <v>352.6</v>
      </c>
      <c r="AN104" s="26">
        <f t="shared" si="41"/>
        <v>300.5</v>
      </c>
      <c r="AO104" s="26">
        <f t="shared" si="41"/>
        <v>4406.5</v>
      </c>
      <c r="AP104" s="26">
        <f t="shared" si="41"/>
        <v>84753.600000000006</v>
      </c>
      <c r="AQ104" s="26">
        <f t="shared" si="41"/>
        <v>251</v>
      </c>
      <c r="AR104" s="26">
        <f t="shared" si="41"/>
        <v>60153.799999999996</v>
      </c>
      <c r="AS104" s="26">
        <f t="shared" si="41"/>
        <v>6199.7</v>
      </c>
      <c r="AT104" s="26">
        <f t="shared" si="41"/>
        <v>2363.1999999999998</v>
      </c>
      <c r="AU104" s="26">
        <f t="shared" si="41"/>
        <v>271</v>
      </c>
      <c r="AV104" s="26">
        <f t="shared" si="41"/>
        <v>305.39999999999998</v>
      </c>
      <c r="AW104" s="26">
        <f t="shared" si="41"/>
        <v>257</v>
      </c>
      <c r="AX104" s="26">
        <f t="shared" si="41"/>
        <v>81</v>
      </c>
      <c r="AY104" s="26">
        <f t="shared" si="41"/>
        <v>406.8</v>
      </c>
      <c r="AZ104" s="26">
        <f t="shared" si="41"/>
        <v>12222.4</v>
      </c>
      <c r="BA104" s="26">
        <f t="shared" si="41"/>
        <v>9136.2999999999993</v>
      </c>
      <c r="BB104" s="26">
        <f t="shared" si="41"/>
        <v>7564.3</v>
      </c>
      <c r="BC104" s="26">
        <f t="shared" si="41"/>
        <v>21734.800000000003</v>
      </c>
      <c r="BD104" s="26">
        <f t="shared" si="41"/>
        <v>3637.5</v>
      </c>
      <c r="BE104" s="26">
        <f t="shared" si="41"/>
        <v>1198.7</v>
      </c>
      <c r="BF104" s="26">
        <f t="shared" si="41"/>
        <v>25614.3</v>
      </c>
      <c r="BG104" s="26">
        <f t="shared" si="41"/>
        <v>920.6</v>
      </c>
      <c r="BH104" s="26">
        <f t="shared" si="41"/>
        <v>583.5</v>
      </c>
      <c r="BI104" s="26">
        <f t="shared" si="41"/>
        <v>257.39999999999998</v>
      </c>
      <c r="BJ104" s="26">
        <f t="shared" si="41"/>
        <v>6314.9</v>
      </c>
      <c r="BK104" s="26">
        <f t="shared" si="41"/>
        <v>35146.699999999997</v>
      </c>
      <c r="BL104" s="26">
        <f t="shared" si="41"/>
        <v>77.3</v>
      </c>
      <c r="BM104" s="26">
        <f t="shared" si="41"/>
        <v>359.3</v>
      </c>
      <c r="BN104" s="26">
        <f t="shared" si="41"/>
        <v>3145.6</v>
      </c>
      <c r="BO104" s="26">
        <f t="shared" si="41"/>
        <v>1257.3</v>
      </c>
      <c r="BP104" s="26">
        <f t="shared" si="41"/>
        <v>160.4</v>
      </c>
      <c r="BQ104" s="26">
        <f t="shared" si="41"/>
        <v>5634.5999999999995</v>
      </c>
      <c r="BR104" s="26">
        <f t="shared" si="41"/>
        <v>4488.3999999999996</v>
      </c>
      <c r="BS104" s="26">
        <f t="shared" si="41"/>
        <v>1158.0999999999999</v>
      </c>
      <c r="BT104" s="26">
        <f t="shared" si="41"/>
        <v>372.5</v>
      </c>
      <c r="BU104" s="26">
        <f t="shared" si="41"/>
        <v>393.7</v>
      </c>
      <c r="BV104" s="26">
        <f t="shared" si="41"/>
        <v>1245.3</v>
      </c>
      <c r="BW104" s="26">
        <f t="shared" si="41"/>
        <v>2017.5</v>
      </c>
      <c r="BX104" s="26">
        <f t="shared" si="41"/>
        <v>66.5</v>
      </c>
      <c r="BY104" s="26">
        <f t="shared" si="41"/>
        <v>430.7</v>
      </c>
      <c r="BZ104" s="26">
        <f t="shared" si="41"/>
        <v>228</v>
      </c>
      <c r="CA104" s="26">
        <f t="shared" si="41"/>
        <v>146.19999999999999</v>
      </c>
      <c r="CB104" s="26">
        <f t="shared" si="41"/>
        <v>72808.099999999991</v>
      </c>
      <c r="CC104" s="26">
        <f t="shared" si="41"/>
        <v>189.3</v>
      </c>
      <c r="CD104" s="26">
        <f t="shared" si="41"/>
        <v>50</v>
      </c>
      <c r="CE104" s="26">
        <f t="shared" si="41"/>
        <v>158.30000000000001</v>
      </c>
      <c r="CF104" s="26">
        <f t="shared" si="41"/>
        <v>112.5</v>
      </c>
      <c r="CG104" s="26">
        <f t="shared" si="41"/>
        <v>199.9</v>
      </c>
      <c r="CH104" s="26">
        <f t="shared" si="41"/>
        <v>96.5</v>
      </c>
      <c r="CI104" s="26">
        <f t="shared" si="41"/>
        <v>687.9</v>
      </c>
      <c r="CJ104" s="26">
        <f t="shared" si="41"/>
        <v>872.3</v>
      </c>
      <c r="CK104" s="26">
        <f t="shared" si="41"/>
        <v>4329.3</v>
      </c>
      <c r="CL104" s="26">
        <f t="shared" si="41"/>
        <v>1237.9000000000001</v>
      </c>
      <c r="CM104" s="26">
        <f t="shared" si="41"/>
        <v>687.4</v>
      </c>
      <c r="CN104" s="26">
        <f t="shared" si="41"/>
        <v>28773.3</v>
      </c>
      <c r="CO104" s="26">
        <f t="shared" si="41"/>
        <v>14394.7</v>
      </c>
      <c r="CP104" s="26">
        <f t="shared" si="41"/>
        <v>934.4</v>
      </c>
      <c r="CQ104" s="26">
        <f t="shared" si="41"/>
        <v>770.1</v>
      </c>
      <c r="CR104" s="26">
        <f t="shared" si="41"/>
        <v>215.8</v>
      </c>
      <c r="CS104" s="26">
        <f t="shared" si="41"/>
        <v>285.5</v>
      </c>
      <c r="CT104" s="26">
        <f t="shared" si="41"/>
        <v>113.5</v>
      </c>
      <c r="CU104" s="26">
        <f t="shared" si="41"/>
        <v>469.8</v>
      </c>
      <c r="CV104" s="26">
        <f t="shared" si="41"/>
        <v>50</v>
      </c>
      <c r="CW104" s="26">
        <f t="shared" si="41"/>
        <v>198.7</v>
      </c>
      <c r="CX104" s="26">
        <f t="shared" si="41"/>
        <v>461.4</v>
      </c>
      <c r="CY104" s="26">
        <f t="shared" si="41"/>
        <v>50</v>
      </c>
      <c r="CZ104" s="26">
        <f t="shared" si="41"/>
        <v>1806.8</v>
      </c>
      <c r="DA104" s="26">
        <f t="shared" si="41"/>
        <v>203.5</v>
      </c>
      <c r="DB104" s="26">
        <f t="shared" si="41"/>
        <v>315.8</v>
      </c>
      <c r="DC104" s="26">
        <f t="shared" si="41"/>
        <v>193</v>
      </c>
      <c r="DD104" s="26">
        <f t="shared" si="41"/>
        <v>174.5</v>
      </c>
      <c r="DE104" s="26">
        <f t="shared" si="41"/>
        <v>285.3</v>
      </c>
      <c r="DF104" s="26">
        <f t="shared" si="41"/>
        <v>19451.599999999999</v>
      </c>
      <c r="DG104" s="26">
        <f t="shared" si="41"/>
        <v>93.5</v>
      </c>
      <c r="DH104" s="26">
        <f t="shared" si="41"/>
        <v>1805.4</v>
      </c>
      <c r="DI104" s="26">
        <f t="shared" si="41"/>
        <v>2373.1000000000004</v>
      </c>
      <c r="DJ104" s="26">
        <f t="shared" si="41"/>
        <v>624</v>
      </c>
      <c r="DK104" s="26">
        <f t="shared" si="41"/>
        <v>478.7</v>
      </c>
      <c r="DL104" s="26">
        <f t="shared" si="41"/>
        <v>5694</v>
      </c>
      <c r="DM104" s="26">
        <f t="shared" si="41"/>
        <v>235</v>
      </c>
      <c r="DN104" s="26">
        <f t="shared" si="41"/>
        <v>1296</v>
      </c>
      <c r="DO104" s="26">
        <f t="shared" si="41"/>
        <v>3290</v>
      </c>
      <c r="DP104" s="26">
        <f t="shared" si="41"/>
        <v>200</v>
      </c>
      <c r="DQ104" s="26">
        <f t="shared" si="41"/>
        <v>888</v>
      </c>
      <c r="DR104" s="26">
        <f t="shared" si="41"/>
        <v>1315.2</v>
      </c>
      <c r="DS104" s="26">
        <f t="shared" si="41"/>
        <v>599.9</v>
      </c>
      <c r="DT104" s="26">
        <f t="shared" si="41"/>
        <v>176.5</v>
      </c>
      <c r="DU104" s="26">
        <f t="shared" si="41"/>
        <v>351.4</v>
      </c>
      <c r="DV104" s="26">
        <f t="shared" si="41"/>
        <v>208</v>
      </c>
      <c r="DW104" s="26">
        <f t="shared" si="41"/>
        <v>300.2</v>
      </c>
      <c r="DX104" s="26">
        <f t="shared" si="41"/>
        <v>168</v>
      </c>
      <c r="DY104" s="26">
        <f t="shared" si="41"/>
        <v>296.60000000000002</v>
      </c>
      <c r="DZ104" s="26">
        <f t="shared" si="41"/>
        <v>681.8</v>
      </c>
      <c r="EA104" s="26">
        <f t="shared" si="41"/>
        <v>510.6</v>
      </c>
      <c r="EB104" s="26">
        <f t="shared" si="41"/>
        <v>534.4</v>
      </c>
      <c r="EC104" s="26">
        <f t="shared" si="41"/>
        <v>285.10000000000002</v>
      </c>
      <c r="ED104" s="26">
        <f t="shared" si="41"/>
        <v>1561.8</v>
      </c>
      <c r="EE104" s="26">
        <f t="shared" si="41"/>
        <v>191.6</v>
      </c>
      <c r="EF104" s="26">
        <f t="shared" si="41"/>
        <v>1355.2</v>
      </c>
      <c r="EG104" s="26">
        <f t="shared" si="41"/>
        <v>253.5</v>
      </c>
      <c r="EH104" s="26">
        <f t="shared" si="41"/>
        <v>247.4</v>
      </c>
      <c r="EI104" s="26">
        <f t="shared" si="41"/>
        <v>13890.3</v>
      </c>
      <c r="EJ104" s="26">
        <f t="shared" si="41"/>
        <v>10185.299999999999</v>
      </c>
      <c r="EK104" s="26">
        <f t="shared" si="41"/>
        <v>668.7</v>
      </c>
      <c r="EL104" s="26">
        <f t="shared" si="41"/>
        <v>459.4</v>
      </c>
      <c r="EM104" s="26">
        <f t="shared" si="41"/>
        <v>378.1</v>
      </c>
      <c r="EN104" s="26">
        <f t="shared" si="41"/>
        <v>939.9</v>
      </c>
      <c r="EO104" s="26">
        <f t="shared" si="41"/>
        <v>305.39999999999998</v>
      </c>
      <c r="EP104" s="26">
        <f t="shared" si="41"/>
        <v>428.5</v>
      </c>
      <c r="EQ104" s="26">
        <f t="shared" si="41"/>
        <v>2513.4</v>
      </c>
      <c r="ER104" s="26">
        <f t="shared" si="41"/>
        <v>309.60000000000002</v>
      </c>
      <c r="ES104" s="26">
        <f t="shared" si="41"/>
        <v>163</v>
      </c>
      <c r="ET104" s="26">
        <f t="shared" si="41"/>
        <v>197.5</v>
      </c>
      <c r="EU104" s="26">
        <f t="shared" si="41"/>
        <v>575.29999999999995</v>
      </c>
      <c r="EV104" s="26">
        <f t="shared" si="41"/>
        <v>72.599999999999994</v>
      </c>
      <c r="EW104" s="26">
        <f t="shared" si="41"/>
        <v>819.4</v>
      </c>
      <c r="EX104" s="26">
        <f t="shared" si="41"/>
        <v>173.5</v>
      </c>
      <c r="EY104" s="26">
        <f t="shared" si="41"/>
        <v>656.5</v>
      </c>
      <c r="EZ104" s="26">
        <f t="shared" si="41"/>
        <v>129.30000000000001</v>
      </c>
      <c r="FA104" s="26">
        <f t="shared" si="41"/>
        <v>3397.2</v>
      </c>
      <c r="FB104" s="26">
        <f t="shared" si="41"/>
        <v>288.10000000000002</v>
      </c>
      <c r="FC104" s="26">
        <f t="shared" si="41"/>
        <v>1826.2</v>
      </c>
      <c r="FD104" s="26">
        <f t="shared" si="41"/>
        <v>402</v>
      </c>
      <c r="FE104" s="26">
        <f t="shared" si="41"/>
        <v>79</v>
      </c>
      <c r="FF104" s="26">
        <f t="shared" si="41"/>
        <v>185</v>
      </c>
      <c r="FG104" s="26">
        <f t="shared" si="41"/>
        <v>120.8</v>
      </c>
      <c r="FH104" s="26">
        <f t="shared" si="41"/>
        <v>70</v>
      </c>
      <c r="FI104" s="26">
        <f t="shared" si="41"/>
        <v>1702.5</v>
      </c>
      <c r="FJ104" s="26">
        <f t="shared" si="41"/>
        <v>2016.5</v>
      </c>
      <c r="FK104" s="26">
        <f t="shared" si="41"/>
        <v>2529.1</v>
      </c>
      <c r="FL104" s="26">
        <f t="shared" si="41"/>
        <v>8538.5</v>
      </c>
      <c r="FM104" s="26">
        <f t="shared" si="41"/>
        <v>3981.5</v>
      </c>
      <c r="FN104" s="26">
        <f t="shared" si="41"/>
        <v>22705.3</v>
      </c>
      <c r="FO104" s="26">
        <f t="shared" si="41"/>
        <v>1119.2</v>
      </c>
      <c r="FP104" s="26">
        <f t="shared" si="41"/>
        <v>2341.5</v>
      </c>
      <c r="FQ104" s="26">
        <f t="shared" si="41"/>
        <v>984.9</v>
      </c>
      <c r="FR104" s="26">
        <f t="shared" si="41"/>
        <v>168.1</v>
      </c>
      <c r="FS104" s="26">
        <f t="shared" si="41"/>
        <v>168.3</v>
      </c>
      <c r="FT104" s="26">
        <f t="shared" si="41"/>
        <v>56.5</v>
      </c>
      <c r="FU104" s="26">
        <f t="shared" si="41"/>
        <v>791.1</v>
      </c>
      <c r="FV104" s="26">
        <f t="shared" si="41"/>
        <v>693.7</v>
      </c>
      <c r="FW104" s="26">
        <f t="shared" si="41"/>
        <v>149.5</v>
      </c>
      <c r="FX104" s="26">
        <f t="shared" si="41"/>
        <v>64.5</v>
      </c>
      <c r="FZ104" s="25">
        <f t="shared" si="36"/>
        <v>829292.60000000044</v>
      </c>
      <c r="GA104" s="25"/>
      <c r="GB104" s="25"/>
      <c r="GC104" s="25"/>
      <c r="GD104" s="7"/>
      <c r="GE104" s="7"/>
      <c r="GF104" s="23"/>
      <c r="GG104" s="23"/>
      <c r="GH104" s="23"/>
      <c r="GI104" s="23"/>
      <c r="GJ104" s="23"/>
      <c r="GK104" s="23"/>
      <c r="GL104" s="23"/>
      <c r="GM104" s="23"/>
    </row>
    <row r="105" spans="1:207" ht="15.5" x14ac:dyDescent="0.35">
      <c r="A105" s="12" t="s">
        <v>572</v>
      </c>
      <c r="B105" s="5" t="s">
        <v>826</v>
      </c>
      <c r="C105" s="23">
        <f t="shared" ref="C105:FX105" si="42">C94+C95+C102+C100</f>
        <v>0</v>
      </c>
      <c r="D105" s="23">
        <f t="shared" si="42"/>
        <v>4695.8999999999996</v>
      </c>
      <c r="E105" s="23">
        <f t="shared" si="42"/>
        <v>662.7</v>
      </c>
      <c r="F105" s="23">
        <f t="shared" si="42"/>
        <v>933.3</v>
      </c>
      <c r="G105" s="23">
        <f t="shared" si="42"/>
        <v>0</v>
      </c>
      <c r="H105" s="23">
        <f t="shared" si="42"/>
        <v>0</v>
      </c>
      <c r="I105" s="23">
        <f t="shared" si="42"/>
        <v>750.2</v>
      </c>
      <c r="J105" s="23">
        <f t="shared" si="42"/>
        <v>0</v>
      </c>
      <c r="K105" s="23">
        <f t="shared" si="42"/>
        <v>0</v>
      </c>
      <c r="L105" s="23">
        <f t="shared" si="42"/>
        <v>0</v>
      </c>
      <c r="M105" s="23">
        <f t="shared" si="42"/>
        <v>0</v>
      </c>
      <c r="N105" s="23">
        <f t="shared" si="42"/>
        <v>90</v>
      </c>
      <c r="O105" s="23">
        <f t="shared" si="42"/>
        <v>0</v>
      </c>
      <c r="P105" s="23">
        <f t="shared" si="42"/>
        <v>0</v>
      </c>
      <c r="Q105" s="23">
        <f t="shared" si="42"/>
        <v>1961.3</v>
      </c>
      <c r="R105" s="23">
        <f t="shared" si="42"/>
        <v>0</v>
      </c>
      <c r="S105" s="23">
        <f t="shared" si="42"/>
        <v>0</v>
      </c>
      <c r="T105" s="23">
        <f t="shared" si="42"/>
        <v>0</v>
      </c>
      <c r="U105" s="23">
        <f t="shared" si="42"/>
        <v>0</v>
      </c>
      <c r="V105" s="23">
        <f t="shared" si="42"/>
        <v>0</v>
      </c>
      <c r="W105" s="23">
        <f t="shared" si="42"/>
        <v>0</v>
      </c>
      <c r="X105" s="23">
        <f t="shared" si="42"/>
        <v>0</v>
      </c>
      <c r="Y105" s="23">
        <f t="shared" si="42"/>
        <v>0</v>
      </c>
      <c r="Z105" s="23">
        <f t="shared" si="42"/>
        <v>0</v>
      </c>
      <c r="AA105" s="23">
        <f t="shared" si="42"/>
        <v>0</v>
      </c>
      <c r="AB105" s="23">
        <f t="shared" si="42"/>
        <v>0</v>
      </c>
      <c r="AC105" s="23">
        <f t="shared" si="42"/>
        <v>0</v>
      </c>
      <c r="AD105" s="23">
        <f t="shared" si="42"/>
        <v>154</v>
      </c>
      <c r="AE105" s="23">
        <f t="shared" si="42"/>
        <v>0</v>
      </c>
      <c r="AF105" s="23">
        <f t="shared" si="42"/>
        <v>0</v>
      </c>
      <c r="AG105" s="23">
        <f t="shared" si="42"/>
        <v>0</v>
      </c>
      <c r="AH105" s="23">
        <f t="shared" si="42"/>
        <v>0</v>
      </c>
      <c r="AI105" s="23">
        <f t="shared" si="42"/>
        <v>0</v>
      </c>
      <c r="AJ105" s="23">
        <f t="shared" si="42"/>
        <v>0</v>
      </c>
      <c r="AK105" s="23">
        <f t="shared" si="42"/>
        <v>0</v>
      </c>
      <c r="AL105" s="23">
        <f t="shared" si="42"/>
        <v>0</v>
      </c>
      <c r="AM105" s="23">
        <f t="shared" si="42"/>
        <v>0</v>
      </c>
      <c r="AN105" s="23">
        <f t="shared" si="42"/>
        <v>0</v>
      </c>
      <c r="AO105" s="23">
        <f t="shared" si="42"/>
        <v>0</v>
      </c>
      <c r="AP105" s="23">
        <f t="shared" si="42"/>
        <v>0</v>
      </c>
      <c r="AQ105" s="23">
        <f t="shared" si="42"/>
        <v>0</v>
      </c>
      <c r="AR105" s="23">
        <f t="shared" si="42"/>
        <v>2007.3</v>
      </c>
      <c r="AS105" s="23">
        <f t="shared" si="42"/>
        <v>300.3</v>
      </c>
      <c r="AT105" s="23">
        <f t="shared" si="42"/>
        <v>0</v>
      </c>
      <c r="AU105" s="23">
        <f t="shared" si="42"/>
        <v>0</v>
      </c>
      <c r="AV105" s="23">
        <f t="shared" si="42"/>
        <v>0</v>
      </c>
      <c r="AW105" s="23">
        <f t="shared" si="42"/>
        <v>0</v>
      </c>
      <c r="AX105" s="23">
        <f t="shared" si="42"/>
        <v>0</v>
      </c>
      <c r="AY105" s="23">
        <f t="shared" si="42"/>
        <v>0</v>
      </c>
      <c r="AZ105" s="23">
        <f t="shared" si="42"/>
        <v>0</v>
      </c>
      <c r="BA105" s="23">
        <f t="shared" si="42"/>
        <v>0</v>
      </c>
      <c r="BB105" s="23">
        <f t="shared" si="42"/>
        <v>0</v>
      </c>
      <c r="BC105" s="23">
        <f t="shared" si="42"/>
        <v>2965.1</v>
      </c>
      <c r="BD105" s="23">
        <f t="shared" si="42"/>
        <v>0</v>
      </c>
      <c r="BE105" s="23">
        <f t="shared" si="42"/>
        <v>0</v>
      </c>
      <c r="BF105" s="23">
        <f t="shared" si="42"/>
        <v>0</v>
      </c>
      <c r="BG105" s="23">
        <f t="shared" si="42"/>
        <v>0</v>
      </c>
      <c r="BH105" s="23">
        <f t="shared" si="42"/>
        <v>0</v>
      </c>
      <c r="BI105" s="23">
        <f t="shared" si="42"/>
        <v>0</v>
      </c>
      <c r="BJ105" s="23">
        <f t="shared" si="42"/>
        <v>0</v>
      </c>
      <c r="BK105" s="23">
        <f t="shared" si="42"/>
        <v>0</v>
      </c>
      <c r="BL105" s="23">
        <f t="shared" si="42"/>
        <v>0</v>
      </c>
      <c r="BM105" s="23">
        <f t="shared" si="42"/>
        <v>0</v>
      </c>
      <c r="BN105" s="23">
        <f t="shared" si="42"/>
        <v>0</v>
      </c>
      <c r="BO105" s="23">
        <f t="shared" si="42"/>
        <v>0</v>
      </c>
      <c r="BP105" s="23">
        <f t="shared" si="42"/>
        <v>0</v>
      </c>
      <c r="BQ105" s="23">
        <f t="shared" si="42"/>
        <v>252.6</v>
      </c>
      <c r="BR105" s="23">
        <f t="shared" si="42"/>
        <v>0</v>
      </c>
      <c r="BS105" s="23">
        <f t="shared" si="42"/>
        <v>0</v>
      </c>
      <c r="BT105" s="23">
        <f t="shared" si="42"/>
        <v>0</v>
      </c>
      <c r="BU105" s="23">
        <f t="shared" si="42"/>
        <v>0</v>
      </c>
      <c r="BV105" s="23">
        <f t="shared" si="42"/>
        <v>0</v>
      </c>
      <c r="BW105" s="23">
        <f t="shared" si="42"/>
        <v>0</v>
      </c>
      <c r="BX105" s="23">
        <f t="shared" si="42"/>
        <v>0</v>
      </c>
      <c r="BY105" s="23">
        <f t="shared" si="42"/>
        <v>0</v>
      </c>
      <c r="BZ105" s="23">
        <f t="shared" si="42"/>
        <v>0</v>
      </c>
      <c r="CA105" s="23">
        <f t="shared" si="42"/>
        <v>0</v>
      </c>
      <c r="CB105" s="23">
        <f t="shared" si="42"/>
        <v>834.8</v>
      </c>
      <c r="CC105" s="23">
        <f t="shared" si="42"/>
        <v>0</v>
      </c>
      <c r="CD105" s="23">
        <f t="shared" si="42"/>
        <v>0</v>
      </c>
      <c r="CE105" s="23">
        <f t="shared" si="42"/>
        <v>0</v>
      </c>
      <c r="CF105" s="23">
        <f t="shared" si="42"/>
        <v>0</v>
      </c>
      <c r="CG105" s="23">
        <f t="shared" si="42"/>
        <v>0</v>
      </c>
      <c r="CH105" s="23">
        <f t="shared" si="42"/>
        <v>0</v>
      </c>
      <c r="CI105" s="23">
        <f t="shared" si="42"/>
        <v>0</v>
      </c>
      <c r="CJ105" s="23">
        <f t="shared" si="42"/>
        <v>0</v>
      </c>
      <c r="CK105" s="23">
        <f t="shared" si="42"/>
        <v>582.20000000000005</v>
      </c>
      <c r="CL105" s="23">
        <f t="shared" si="42"/>
        <v>0</v>
      </c>
      <c r="CM105" s="23">
        <f t="shared" si="42"/>
        <v>0</v>
      </c>
      <c r="CN105" s="23">
        <f t="shared" si="42"/>
        <v>2763</v>
      </c>
      <c r="CO105" s="23">
        <f t="shared" si="42"/>
        <v>0</v>
      </c>
      <c r="CP105" s="23">
        <f t="shared" si="42"/>
        <v>0</v>
      </c>
      <c r="CQ105" s="23">
        <f t="shared" si="42"/>
        <v>0</v>
      </c>
      <c r="CR105" s="23">
        <f t="shared" si="42"/>
        <v>0</v>
      </c>
      <c r="CS105" s="23">
        <f t="shared" si="42"/>
        <v>0</v>
      </c>
      <c r="CT105" s="23">
        <f t="shared" si="42"/>
        <v>0</v>
      </c>
      <c r="CU105" s="23">
        <f t="shared" si="42"/>
        <v>0</v>
      </c>
      <c r="CV105" s="23">
        <f t="shared" si="42"/>
        <v>0</v>
      </c>
      <c r="CW105" s="23">
        <f t="shared" si="42"/>
        <v>0</v>
      </c>
      <c r="CX105" s="23">
        <f t="shared" si="42"/>
        <v>0</v>
      </c>
      <c r="CY105" s="23">
        <f t="shared" si="42"/>
        <v>0</v>
      </c>
      <c r="CZ105" s="23">
        <f t="shared" si="42"/>
        <v>0</v>
      </c>
      <c r="DA105" s="23">
        <f t="shared" si="42"/>
        <v>0</v>
      </c>
      <c r="DB105" s="23">
        <f t="shared" si="42"/>
        <v>0</v>
      </c>
      <c r="DC105" s="23">
        <f t="shared" si="42"/>
        <v>0</v>
      </c>
      <c r="DD105" s="23">
        <f t="shared" si="42"/>
        <v>0</v>
      </c>
      <c r="DE105" s="23">
        <f t="shared" si="42"/>
        <v>0</v>
      </c>
      <c r="DF105" s="23">
        <f t="shared" si="42"/>
        <v>1383</v>
      </c>
      <c r="DG105" s="23">
        <f t="shared" si="42"/>
        <v>0</v>
      </c>
      <c r="DH105" s="23">
        <f t="shared" si="42"/>
        <v>0</v>
      </c>
      <c r="DI105" s="23">
        <f t="shared" si="42"/>
        <v>79.2</v>
      </c>
      <c r="DJ105" s="23">
        <f t="shared" si="42"/>
        <v>0</v>
      </c>
      <c r="DK105" s="23">
        <f t="shared" si="42"/>
        <v>0</v>
      </c>
      <c r="DL105" s="23">
        <f t="shared" si="42"/>
        <v>0</v>
      </c>
      <c r="DM105" s="23">
        <f t="shared" si="42"/>
        <v>0</v>
      </c>
      <c r="DN105" s="23">
        <f t="shared" si="42"/>
        <v>0</v>
      </c>
      <c r="DO105" s="23">
        <f t="shared" si="42"/>
        <v>0</v>
      </c>
      <c r="DP105" s="23">
        <f t="shared" si="42"/>
        <v>0</v>
      </c>
      <c r="DQ105" s="23">
        <f t="shared" si="42"/>
        <v>0</v>
      </c>
      <c r="DR105" s="23">
        <f t="shared" si="42"/>
        <v>0</v>
      </c>
      <c r="DS105" s="23">
        <f t="shared" si="42"/>
        <v>0</v>
      </c>
      <c r="DT105" s="23">
        <f t="shared" si="42"/>
        <v>0</v>
      </c>
      <c r="DU105" s="23">
        <f t="shared" si="42"/>
        <v>0</v>
      </c>
      <c r="DV105" s="23">
        <f t="shared" si="42"/>
        <v>0</v>
      </c>
      <c r="DW105" s="23">
        <f t="shared" si="42"/>
        <v>0</v>
      </c>
      <c r="DX105" s="23">
        <f t="shared" si="42"/>
        <v>0</v>
      </c>
      <c r="DY105" s="23">
        <f t="shared" si="42"/>
        <v>0</v>
      </c>
      <c r="DZ105" s="23">
        <f t="shared" si="42"/>
        <v>0</v>
      </c>
      <c r="EA105" s="23">
        <f t="shared" si="42"/>
        <v>20</v>
      </c>
      <c r="EB105" s="23">
        <f t="shared" si="42"/>
        <v>0</v>
      </c>
      <c r="EC105" s="23">
        <f t="shared" si="42"/>
        <v>0</v>
      </c>
      <c r="ED105" s="23">
        <f t="shared" si="42"/>
        <v>0</v>
      </c>
      <c r="EE105" s="23">
        <f t="shared" si="42"/>
        <v>0</v>
      </c>
      <c r="EF105" s="23">
        <f t="shared" si="42"/>
        <v>0</v>
      </c>
      <c r="EG105" s="23">
        <f t="shared" si="42"/>
        <v>0</v>
      </c>
      <c r="EH105" s="23">
        <f t="shared" si="42"/>
        <v>0</v>
      </c>
      <c r="EI105" s="23">
        <f t="shared" si="42"/>
        <v>0</v>
      </c>
      <c r="EJ105" s="23">
        <f t="shared" si="42"/>
        <v>0</v>
      </c>
      <c r="EK105" s="23">
        <f t="shared" si="42"/>
        <v>0</v>
      </c>
      <c r="EL105" s="23">
        <f t="shared" si="42"/>
        <v>0</v>
      </c>
      <c r="EM105" s="23">
        <f t="shared" si="42"/>
        <v>0</v>
      </c>
      <c r="EN105" s="23">
        <f t="shared" si="42"/>
        <v>0</v>
      </c>
      <c r="EO105" s="23">
        <f t="shared" si="42"/>
        <v>0</v>
      </c>
      <c r="EP105" s="23">
        <f t="shared" si="42"/>
        <v>0</v>
      </c>
      <c r="EQ105" s="23">
        <f t="shared" si="42"/>
        <v>103</v>
      </c>
      <c r="ER105" s="23">
        <f t="shared" si="42"/>
        <v>0</v>
      </c>
      <c r="ES105" s="23">
        <f t="shared" si="42"/>
        <v>0</v>
      </c>
      <c r="ET105" s="23">
        <f t="shared" si="42"/>
        <v>0</v>
      </c>
      <c r="EU105" s="23">
        <f t="shared" si="42"/>
        <v>0</v>
      </c>
      <c r="EV105" s="23">
        <f t="shared" si="42"/>
        <v>0</v>
      </c>
      <c r="EW105" s="23">
        <f t="shared" si="42"/>
        <v>0</v>
      </c>
      <c r="EX105" s="23">
        <f t="shared" si="42"/>
        <v>0</v>
      </c>
      <c r="EY105" s="23">
        <f t="shared" si="42"/>
        <v>0</v>
      </c>
      <c r="EZ105" s="23">
        <f t="shared" si="42"/>
        <v>0</v>
      </c>
      <c r="FA105" s="23">
        <f t="shared" si="42"/>
        <v>0</v>
      </c>
      <c r="FB105" s="23">
        <f t="shared" si="42"/>
        <v>0</v>
      </c>
      <c r="FC105" s="23">
        <f t="shared" si="42"/>
        <v>0</v>
      </c>
      <c r="FD105" s="23">
        <f t="shared" si="42"/>
        <v>0</v>
      </c>
      <c r="FE105" s="23">
        <f t="shared" si="42"/>
        <v>0</v>
      </c>
      <c r="FF105" s="23">
        <f t="shared" si="42"/>
        <v>0</v>
      </c>
      <c r="FG105" s="23">
        <f t="shared" si="42"/>
        <v>0</v>
      </c>
      <c r="FH105" s="23">
        <f t="shared" si="42"/>
        <v>0</v>
      </c>
      <c r="FI105" s="23">
        <f t="shared" si="42"/>
        <v>0</v>
      </c>
      <c r="FJ105" s="23">
        <f t="shared" si="42"/>
        <v>0</v>
      </c>
      <c r="FK105" s="23">
        <f t="shared" si="42"/>
        <v>0</v>
      </c>
      <c r="FL105" s="23">
        <f t="shared" si="42"/>
        <v>0</v>
      </c>
      <c r="FM105" s="23">
        <f t="shared" si="42"/>
        <v>0</v>
      </c>
      <c r="FN105" s="23">
        <f t="shared" si="42"/>
        <v>0</v>
      </c>
      <c r="FO105" s="23">
        <f t="shared" si="42"/>
        <v>0</v>
      </c>
      <c r="FP105" s="23">
        <f t="shared" si="42"/>
        <v>0</v>
      </c>
      <c r="FQ105" s="23">
        <f t="shared" si="42"/>
        <v>0</v>
      </c>
      <c r="FR105" s="23">
        <f t="shared" si="42"/>
        <v>0</v>
      </c>
      <c r="FS105" s="23">
        <f t="shared" si="42"/>
        <v>0</v>
      </c>
      <c r="FT105" s="23">
        <f t="shared" si="42"/>
        <v>0</v>
      </c>
      <c r="FU105" s="23">
        <f t="shared" si="42"/>
        <v>0</v>
      </c>
      <c r="FV105" s="23">
        <f t="shared" si="42"/>
        <v>0</v>
      </c>
      <c r="FW105" s="23">
        <f t="shared" si="42"/>
        <v>0</v>
      </c>
      <c r="FX105" s="23">
        <f t="shared" si="42"/>
        <v>0</v>
      </c>
      <c r="FY105" s="25"/>
      <c r="FZ105" s="25">
        <f t="shared" si="36"/>
        <v>20537.899999999998</v>
      </c>
      <c r="GA105" s="7"/>
      <c r="GB105" s="25"/>
      <c r="GC105" s="25"/>
      <c r="GD105" s="25"/>
      <c r="GE105" s="7"/>
      <c r="GF105" s="23"/>
      <c r="GG105" s="23"/>
      <c r="GH105" s="23"/>
      <c r="GI105" s="23"/>
      <c r="GJ105" s="23"/>
      <c r="GK105" s="23"/>
      <c r="GL105" s="23"/>
      <c r="GM105" s="23"/>
    </row>
    <row r="106" spans="1:207" ht="15.5" x14ac:dyDescent="0.35">
      <c r="A106" s="12"/>
      <c r="B106" s="5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5"/>
      <c r="FZ106" s="25"/>
      <c r="GA106" s="7"/>
      <c r="GB106" s="25"/>
      <c r="GC106" s="25"/>
      <c r="GD106" s="25"/>
      <c r="GE106" s="7"/>
      <c r="GF106" s="23"/>
      <c r="GG106" s="23"/>
      <c r="GH106" s="23"/>
      <c r="GI106" s="23"/>
      <c r="GJ106" s="23"/>
      <c r="GK106" s="23"/>
      <c r="GL106" s="23"/>
      <c r="GM106" s="23"/>
    </row>
    <row r="107" spans="1:207" ht="15.5" x14ac:dyDescent="0.35">
      <c r="A107" s="12"/>
      <c r="B107" s="5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5"/>
      <c r="FZ107" s="25"/>
      <c r="GA107" s="7"/>
      <c r="GB107" s="25"/>
      <c r="GC107" s="25"/>
      <c r="GD107" s="25"/>
      <c r="GE107" s="7"/>
      <c r="GF107" s="23"/>
      <c r="GG107" s="23"/>
      <c r="GH107" s="23"/>
      <c r="GI107" s="23"/>
      <c r="GJ107" s="23"/>
      <c r="GK107" s="23"/>
      <c r="GL107" s="23"/>
      <c r="GM107" s="23"/>
    </row>
    <row r="108" spans="1:207" ht="15.5" x14ac:dyDescent="0.35">
      <c r="A108" s="58"/>
      <c r="B108" s="100" t="s">
        <v>827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31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</row>
    <row r="109" spans="1:207" ht="15.5" x14ac:dyDescent="0.35">
      <c r="A109" s="12" t="s">
        <v>828</v>
      </c>
      <c r="B109" s="7" t="s">
        <v>829</v>
      </c>
      <c r="C109" s="33">
        <f t="shared" ref="C109:FX109" si="43">IF(AND(C22&gt;0,C103&lt;=500),C103-ROUND((C22*0.65),1),0)</f>
        <v>0</v>
      </c>
      <c r="D109" s="33">
        <f t="shared" si="43"/>
        <v>0</v>
      </c>
      <c r="E109" s="33">
        <f t="shared" si="43"/>
        <v>0</v>
      </c>
      <c r="F109" s="33">
        <f t="shared" si="43"/>
        <v>0</v>
      </c>
      <c r="G109" s="33">
        <f t="shared" si="43"/>
        <v>0</v>
      </c>
      <c r="H109" s="33">
        <f t="shared" si="43"/>
        <v>0</v>
      </c>
      <c r="I109" s="33">
        <f t="shared" si="43"/>
        <v>0</v>
      </c>
      <c r="J109" s="33">
        <f t="shared" si="43"/>
        <v>0</v>
      </c>
      <c r="K109" s="33">
        <f t="shared" si="43"/>
        <v>0</v>
      </c>
      <c r="L109" s="33">
        <f t="shared" si="43"/>
        <v>0</v>
      </c>
      <c r="M109" s="33">
        <f t="shared" si="43"/>
        <v>0</v>
      </c>
      <c r="N109" s="33">
        <f t="shared" si="43"/>
        <v>0</v>
      </c>
      <c r="O109" s="33">
        <f t="shared" si="43"/>
        <v>0</v>
      </c>
      <c r="P109" s="33">
        <f t="shared" si="43"/>
        <v>0</v>
      </c>
      <c r="Q109" s="33">
        <f t="shared" si="43"/>
        <v>0</v>
      </c>
      <c r="R109" s="33">
        <f t="shared" si="43"/>
        <v>0</v>
      </c>
      <c r="S109" s="33">
        <f t="shared" si="43"/>
        <v>0</v>
      </c>
      <c r="T109" s="33">
        <f t="shared" si="43"/>
        <v>0</v>
      </c>
      <c r="U109" s="33">
        <f t="shared" si="43"/>
        <v>0</v>
      </c>
      <c r="V109" s="33">
        <f t="shared" si="43"/>
        <v>0</v>
      </c>
      <c r="W109" s="33">
        <f t="shared" si="43"/>
        <v>0</v>
      </c>
      <c r="X109" s="33">
        <f t="shared" si="43"/>
        <v>0</v>
      </c>
      <c r="Y109" s="33">
        <f t="shared" si="43"/>
        <v>0</v>
      </c>
      <c r="Z109" s="33">
        <f t="shared" si="43"/>
        <v>0</v>
      </c>
      <c r="AA109" s="33">
        <f t="shared" si="43"/>
        <v>0</v>
      </c>
      <c r="AB109" s="33">
        <f t="shared" si="43"/>
        <v>0</v>
      </c>
      <c r="AC109" s="33">
        <f t="shared" si="43"/>
        <v>0</v>
      </c>
      <c r="AD109" s="33">
        <f t="shared" si="43"/>
        <v>0</v>
      </c>
      <c r="AE109" s="33">
        <f t="shared" si="43"/>
        <v>0</v>
      </c>
      <c r="AF109" s="33">
        <f t="shared" si="43"/>
        <v>0</v>
      </c>
      <c r="AG109" s="33">
        <f t="shared" si="43"/>
        <v>0</v>
      </c>
      <c r="AH109" s="33">
        <f t="shared" si="43"/>
        <v>0</v>
      </c>
      <c r="AI109" s="33">
        <f t="shared" si="43"/>
        <v>0</v>
      </c>
      <c r="AJ109" s="33">
        <f t="shared" si="43"/>
        <v>0</v>
      </c>
      <c r="AK109" s="33">
        <f t="shared" si="43"/>
        <v>0</v>
      </c>
      <c r="AL109" s="33">
        <f t="shared" si="43"/>
        <v>0</v>
      </c>
      <c r="AM109" s="33">
        <f t="shared" si="43"/>
        <v>0</v>
      </c>
      <c r="AN109" s="33">
        <f t="shared" si="43"/>
        <v>0</v>
      </c>
      <c r="AO109" s="33">
        <f t="shared" si="43"/>
        <v>0</v>
      </c>
      <c r="AP109" s="33">
        <f t="shared" si="43"/>
        <v>0</v>
      </c>
      <c r="AQ109" s="33">
        <f t="shared" si="43"/>
        <v>0</v>
      </c>
      <c r="AR109" s="33">
        <f t="shared" si="43"/>
        <v>0</v>
      </c>
      <c r="AS109" s="33">
        <f t="shared" si="43"/>
        <v>0</v>
      </c>
      <c r="AT109" s="33">
        <f t="shared" si="43"/>
        <v>0</v>
      </c>
      <c r="AU109" s="33">
        <f t="shared" si="43"/>
        <v>0</v>
      </c>
      <c r="AV109" s="33">
        <f t="shared" si="43"/>
        <v>0</v>
      </c>
      <c r="AW109" s="33">
        <f t="shared" si="43"/>
        <v>0</v>
      </c>
      <c r="AX109" s="33">
        <f t="shared" si="43"/>
        <v>0</v>
      </c>
      <c r="AY109" s="33">
        <f t="shared" si="43"/>
        <v>0</v>
      </c>
      <c r="AZ109" s="33">
        <f t="shared" si="43"/>
        <v>0</v>
      </c>
      <c r="BA109" s="33">
        <f t="shared" si="43"/>
        <v>0</v>
      </c>
      <c r="BB109" s="33">
        <f t="shared" si="43"/>
        <v>0</v>
      </c>
      <c r="BC109" s="33">
        <f t="shared" si="43"/>
        <v>0</v>
      </c>
      <c r="BD109" s="33">
        <f t="shared" si="43"/>
        <v>0</v>
      </c>
      <c r="BE109" s="33">
        <f t="shared" si="43"/>
        <v>0</v>
      </c>
      <c r="BF109" s="33">
        <f t="shared" si="43"/>
        <v>0</v>
      </c>
      <c r="BG109" s="33">
        <f t="shared" si="43"/>
        <v>0</v>
      </c>
      <c r="BH109" s="33">
        <f t="shared" si="43"/>
        <v>0</v>
      </c>
      <c r="BI109" s="33">
        <f t="shared" si="43"/>
        <v>0</v>
      </c>
      <c r="BJ109" s="33">
        <f t="shared" si="43"/>
        <v>0</v>
      </c>
      <c r="BK109" s="33">
        <f t="shared" si="43"/>
        <v>0</v>
      </c>
      <c r="BL109" s="33">
        <f t="shared" si="43"/>
        <v>0</v>
      </c>
      <c r="BM109" s="33">
        <f t="shared" si="43"/>
        <v>0</v>
      </c>
      <c r="BN109" s="33">
        <f t="shared" si="43"/>
        <v>0</v>
      </c>
      <c r="BO109" s="33">
        <f t="shared" si="43"/>
        <v>0</v>
      </c>
      <c r="BP109" s="33">
        <f t="shared" si="43"/>
        <v>0</v>
      </c>
      <c r="BQ109" s="33">
        <f t="shared" si="43"/>
        <v>0</v>
      </c>
      <c r="BR109" s="33">
        <f t="shared" si="43"/>
        <v>0</v>
      </c>
      <c r="BS109" s="33">
        <f t="shared" si="43"/>
        <v>0</v>
      </c>
      <c r="BT109" s="33">
        <f t="shared" si="43"/>
        <v>0</v>
      </c>
      <c r="BU109" s="33">
        <f t="shared" si="43"/>
        <v>0</v>
      </c>
      <c r="BV109" s="33">
        <f t="shared" si="43"/>
        <v>0</v>
      </c>
      <c r="BW109" s="33">
        <f t="shared" si="43"/>
        <v>0</v>
      </c>
      <c r="BX109" s="33">
        <f t="shared" si="43"/>
        <v>0</v>
      </c>
      <c r="BY109" s="33">
        <f t="shared" si="43"/>
        <v>384.2</v>
      </c>
      <c r="BZ109" s="33">
        <f t="shared" si="43"/>
        <v>0</v>
      </c>
      <c r="CA109" s="33">
        <f t="shared" si="43"/>
        <v>0</v>
      </c>
      <c r="CB109" s="33">
        <f t="shared" si="43"/>
        <v>0</v>
      </c>
      <c r="CC109" s="33">
        <f t="shared" si="43"/>
        <v>0</v>
      </c>
      <c r="CD109" s="33">
        <f t="shared" si="43"/>
        <v>0</v>
      </c>
      <c r="CE109" s="33">
        <f t="shared" si="43"/>
        <v>0</v>
      </c>
      <c r="CF109" s="33">
        <f t="shared" si="43"/>
        <v>0</v>
      </c>
      <c r="CG109" s="33">
        <f t="shared" si="43"/>
        <v>0</v>
      </c>
      <c r="CH109" s="33">
        <f t="shared" si="43"/>
        <v>0</v>
      </c>
      <c r="CI109" s="33">
        <f t="shared" si="43"/>
        <v>0</v>
      </c>
      <c r="CJ109" s="33">
        <f t="shared" si="43"/>
        <v>0</v>
      </c>
      <c r="CK109" s="33">
        <f t="shared" si="43"/>
        <v>0</v>
      </c>
      <c r="CL109" s="33">
        <f t="shared" si="43"/>
        <v>0</v>
      </c>
      <c r="CM109" s="33">
        <f t="shared" si="43"/>
        <v>0</v>
      </c>
      <c r="CN109" s="33">
        <f t="shared" si="43"/>
        <v>0</v>
      </c>
      <c r="CO109" s="33">
        <f t="shared" si="43"/>
        <v>0</v>
      </c>
      <c r="CP109" s="33">
        <f t="shared" si="43"/>
        <v>0</v>
      </c>
      <c r="CQ109" s="33">
        <f t="shared" si="43"/>
        <v>0</v>
      </c>
      <c r="CR109" s="33">
        <f t="shared" si="43"/>
        <v>0</v>
      </c>
      <c r="CS109" s="33">
        <f t="shared" si="43"/>
        <v>0</v>
      </c>
      <c r="CT109" s="33">
        <f t="shared" si="43"/>
        <v>0</v>
      </c>
      <c r="CU109" s="33">
        <f t="shared" si="43"/>
        <v>0</v>
      </c>
      <c r="CV109" s="33">
        <f t="shared" si="43"/>
        <v>0</v>
      </c>
      <c r="CW109" s="33">
        <f t="shared" si="43"/>
        <v>0</v>
      </c>
      <c r="CX109" s="33">
        <f t="shared" si="43"/>
        <v>0</v>
      </c>
      <c r="CY109" s="33">
        <f t="shared" si="43"/>
        <v>0</v>
      </c>
      <c r="CZ109" s="33">
        <f t="shared" si="43"/>
        <v>0</v>
      </c>
      <c r="DA109" s="33">
        <f t="shared" si="43"/>
        <v>0</v>
      </c>
      <c r="DB109" s="33">
        <f t="shared" si="43"/>
        <v>0</v>
      </c>
      <c r="DC109" s="33">
        <f t="shared" si="43"/>
        <v>0</v>
      </c>
      <c r="DD109" s="33">
        <f t="shared" si="43"/>
        <v>0</v>
      </c>
      <c r="DE109" s="33">
        <f t="shared" si="43"/>
        <v>0</v>
      </c>
      <c r="DF109" s="33">
        <f t="shared" si="43"/>
        <v>0</v>
      </c>
      <c r="DG109" s="33">
        <f t="shared" si="43"/>
        <v>0</v>
      </c>
      <c r="DH109" s="33">
        <f t="shared" si="43"/>
        <v>0</v>
      </c>
      <c r="DI109" s="33">
        <f t="shared" si="43"/>
        <v>0</v>
      </c>
      <c r="DJ109" s="33">
        <f t="shared" si="43"/>
        <v>0</v>
      </c>
      <c r="DK109" s="33">
        <f t="shared" si="43"/>
        <v>0</v>
      </c>
      <c r="DL109" s="33">
        <f t="shared" si="43"/>
        <v>0</v>
      </c>
      <c r="DM109" s="33">
        <f t="shared" si="43"/>
        <v>0</v>
      </c>
      <c r="DN109" s="33">
        <f t="shared" si="43"/>
        <v>0</v>
      </c>
      <c r="DO109" s="33">
        <f t="shared" si="43"/>
        <v>0</v>
      </c>
      <c r="DP109" s="33">
        <f t="shared" si="43"/>
        <v>0</v>
      </c>
      <c r="DQ109" s="33">
        <f t="shared" si="43"/>
        <v>0</v>
      </c>
      <c r="DR109" s="33">
        <f t="shared" si="43"/>
        <v>0</v>
      </c>
      <c r="DS109" s="33">
        <f t="shared" si="43"/>
        <v>0</v>
      </c>
      <c r="DT109" s="33">
        <f t="shared" si="43"/>
        <v>0</v>
      </c>
      <c r="DU109" s="33">
        <f t="shared" si="43"/>
        <v>0</v>
      </c>
      <c r="DV109" s="33">
        <f t="shared" si="43"/>
        <v>0</v>
      </c>
      <c r="DW109" s="33">
        <f t="shared" si="43"/>
        <v>0</v>
      </c>
      <c r="DX109" s="33">
        <f t="shared" si="43"/>
        <v>0</v>
      </c>
      <c r="DY109" s="33">
        <f t="shared" si="43"/>
        <v>0</v>
      </c>
      <c r="DZ109" s="33">
        <f t="shared" si="43"/>
        <v>0</v>
      </c>
      <c r="EA109" s="33">
        <f t="shared" si="43"/>
        <v>0</v>
      </c>
      <c r="EB109" s="33">
        <f t="shared" si="43"/>
        <v>0</v>
      </c>
      <c r="EC109" s="33">
        <f t="shared" si="43"/>
        <v>0</v>
      </c>
      <c r="ED109" s="33">
        <f t="shared" si="43"/>
        <v>0</v>
      </c>
      <c r="EE109" s="33">
        <f t="shared" si="43"/>
        <v>0</v>
      </c>
      <c r="EF109" s="33">
        <f t="shared" si="43"/>
        <v>0</v>
      </c>
      <c r="EG109" s="33">
        <f t="shared" si="43"/>
        <v>0</v>
      </c>
      <c r="EH109" s="33">
        <f t="shared" si="43"/>
        <v>0</v>
      </c>
      <c r="EI109" s="33">
        <f t="shared" si="43"/>
        <v>0</v>
      </c>
      <c r="EJ109" s="33">
        <f t="shared" si="43"/>
        <v>0</v>
      </c>
      <c r="EK109" s="33">
        <f t="shared" si="43"/>
        <v>0</v>
      </c>
      <c r="EL109" s="33">
        <f t="shared" si="43"/>
        <v>0</v>
      </c>
      <c r="EM109" s="33">
        <f t="shared" si="43"/>
        <v>0</v>
      </c>
      <c r="EN109" s="33">
        <f t="shared" si="43"/>
        <v>0</v>
      </c>
      <c r="EO109" s="33">
        <f t="shared" si="43"/>
        <v>0</v>
      </c>
      <c r="EP109" s="33">
        <f t="shared" si="43"/>
        <v>0</v>
      </c>
      <c r="EQ109" s="33">
        <f t="shared" si="43"/>
        <v>0</v>
      </c>
      <c r="ER109" s="33">
        <f t="shared" si="43"/>
        <v>0</v>
      </c>
      <c r="ES109" s="33">
        <f t="shared" si="43"/>
        <v>0</v>
      </c>
      <c r="ET109" s="33">
        <f t="shared" si="43"/>
        <v>132.5</v>
      </c>
      <c r="EU109" s="33">
        <f t="shared" si="43"/>
        <v>0</v>
      </c>
      <c r="EV109" s="33">
        <f t="shared" si="43"/>
        <v>0</v>
      </c>
      <c r="EW109" s="33">
        <f t="shared" si="43"/>
        <v>0</v>
      </c>
      <c r="EX109" s="33">
        <f t="shared" si="43"/>
        <v>0</v>
      </c>
      <c r="EY109" s="33">
        <f t="shared" si="43"/>
        <v>0</v>
      </c>
      <c r="EZ109" s="33">
        <f t="shared" si="43"/>
        <v>0</v>
      </c>
      <c r="FA109" s="33">
        <f t="shared" si="43"/>
        <v>0</v>
      </c>
      <c r="FB109" s="33">
        <f t="shared" si="43"/>
        <v>0</v>
      </c>
      <c r="FC109" s="33">
        <f t="shared" si="43"/>
        <v>0</v>
      </c>
      <c r="FD109" s="33">
        <f t="shared" si="43"/>
        <v>0</v>
      </c>
      <c r="FE109" s="33">
        <f t="shared" si="43"/>
        <v>0</v>
      </c>
      <c r="FF109" s="33">
        <f t="shared" si="43"/>
        <v>0</v>
      </c>
      <c r="FG109" s="33">
        <f t="shared" si="43"/>
        <v>0</v>
      </c>
      <c r="FH109" s="33">
        <f t="shared" si="43"/>
        <v>0</v>
      </c>
      <c r="FI109" s="33">
        <f t="shared" si="43"/>
        <v>0</v>
      </c>
      <c r="FJ109" s="33">
        <f t="shared" si="43"/>
        <v>0</v>
      </c>
      <c r="FK109" s="33">
        <f t="shared" si="43"/>
        <v>0</v>
      </c>
      <c r="FL109" s="33">
        <f t="shared" si="43"/>
        <v>0</v>
      </c>
      <c r="FM109" s="33">
        <f t="shared" si="43"/>
        <v>0</v>
      </c>
      <c r="FN109" s="33">
        <f t="shared" si="43"/>
        <v>0</v>
      </c>
      <c r="FO109" s="33">
        <f t="shared" si="43"/>
        <v>0</v>
      </c>
      <c r="FP109" s="33">
        <f t="shared" si="43"/>
        <v>0</v>
      </c>
      <c r="FQ109" s="33">
        <f t="shared" si="43"/>
        <v>0</v>
      </c>
      <c r="FR109" s="33">
        <f t="shared" si="43"/>
        <v>0</v>
      </c>
      <c r="FS109" s="33">
        <f t="shared" si="43"/>
        <v>0</v>
      </c>
      <c r="FT109" s="33">
        <f t="shared" si="43"/>
        <v>0</v>
      </c>
      <c r="FU109" s="33">
        <f t="shared" si="43"/>
        <v>0</v>
      </c>
      <c r="FV109" s="33">
        <f t="shared" si="43"/>
        <v>0</v>
      </c>
      <c r="FW109" s="33">
        <f t="shared" si="43"/>
        <v>0</v>
      </c>
      <c r="FX109" s="33">
        <f t="shared" si="43"/>
        <v>0</v>
      </c>
      <c r="FY109" s="26"/>
      <c r="FZ109" s="25">
        <f>SUM(C109:FY109)</f>
        <v>516.70000000000005</v>
      </c>
      <c r="GA109" s="31"/>
      <c r="GB109" s="26"/>
      <c r="GC109" s="25"/>
      <c r="GD109" s="25"/>
      <c r="GE109" s="23"/>
      <c r="GF109" s="23"/>
      <c r="GG109" s="23"/>
      <c r="GH109" s="23"/>
      <c r="GI109" s="23"/>
      <c r="GJ109" s="23"/>
      <c r="GK109" s="23"/>
    </row>
    <row r="110" spans="1:207" ht="15.5" x14ac:dyDescent="0.35">
      <c r="A110" s="7"/>
      <c r="B110" s="7" t="s">
        <v>830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26"/>
      <c r="FZ110" s="25"/>
      <c r="GA110" s="31"/>
      <c r="GB110" s="26"/>
      <c r="GC110" s="25"/>
      <c r="GD110" s="25"/>
      <c r="GE110" s="23"/>
      <c r="GF110" s="23"/>
      <c r="GG110" s="23"/>
      <c r="GH110" s="23"/>
      <c r="GI110" s="23"/>
      <c r="GJ110" s="23"/>
      <c r="GK110" s="23"/>
      <c r="GL110" s="31"/>
      <c r="GM110" s="31"/>
      <c r="GN110" s="31"/>
      <c r="GO110" s="31"/>
      <c r="GP110" s="31"/>
      <c r="GQ110" s="31"/>
      <c r="GR110" s="31"/>
      <c r="GS110" s="31"/>
    </row>
    <row r="111" spans="1:207" ht="15.5" x14ac:dyDescent="0.35">
      <c r="A111" s="12" t="s">
        <v>831</v>
      </c>
      <c r="B111" s="7" t="s">
        <v>832</v>
      </c>
      <c r="C111" s="31">
        <f t="shared" ref="C111:FX111" si="44">IF(C109&gt;0,ROUND(IF(C109&lt;276,((276-C109)*0.00376159)+1.5457,IF(C109&lt;459,((459-C109)*0.00167869)+1.2385,IF(C109&lt;1027,((1027-C109)*0.00020599)+1.1215,0))),4),0)</f>
        <v>0</v>
      </c>
      <c r="D111" s="31">
        <f t="shared" si="44"/>
        <v>0</v>
      </c>
      <c r="E111" s="31">
        <f t="shared" si="44"/>
        <v>0</v>
      </c>
      <c r="F111" s="31">
        <f t="shared" si="44"/>
        <v>0</v>
      </c>
      <c r="G111" s="31">
        <f t="shared" si="44"/>
        <v>0</v>
      </c>
      <c r="H111" s="31">
        <f t="shared" si="44"/>
        <v>0</v>
      </c>
      <c r="I111" s="31">
        <f t="shared" si="44"/>
        <v>0</v>
      </c>
      <c r="J111" s="31">
        <f t="shared" si="44"/>
        <v>0</v>
      </c>
      <c r="K111" s="31">
        <f t="shared" si="44"/>
        <v>0</v>
      </c>
      <c r="L111" s="31">
        <f t="shared" si="44"/>
        <v>0</v>
      </c>
      <c r="M111" s="31">
        <f t="shared" si="44"/>
        <v>0</v>
      </c>
      <c r="N111" s="31">
        <f t="shared" si="44"/>
        <v>0</v>
      </c>
      <c r="O111" s="31">
        <f t="shared" si="44"/>
        <v>0</v>
      </c>
      <c r="P111" s="31">
        <f t="shared" si="44"/>
        <v>0</v>
      </c>
      <c r="Q111" s="31">
        <f t="shared" si="44"/>
        <v>0</v>
      </c>
      <c r="R111" s="31">
        <f t="shared" si="44"/>
        <v>0</v>
      </c>
      <c r="S111" s="31">
        <f t="shared" si="44"/>
        <v>0</v>
      </c>
      <c r="T111" s="31">
        <f t="shared" si="44"/>
        <v>0</v>
      </c>
      <c r="U111" s="31">
        <f t="shared" si="44"/>
        <v>0</v>
      </c>
      <c r="V111" s="31">
        <f t="shared" si="44"/>
        <v>0</v>
      </c>
      <c r="W111" s="31">
        <f t="shared" si="44"/>
        <v>0</v>
      </c>
      <c r="X111" s="31">
        <f t="shared" si="44"/>
        <v>0</v>
      </c>
      <c r="Y111" s="31">
        <f t="shared" si="44"/>
        <v>0</v>
      </c>
      <c r="Z111" s="31">
        <f t="shared" si="44"/>
        <v>0</v>
      </c>
      <c r="AA111" s="31">
        <f t="shared" si="44"/>
        <v>0</v>
      </c>
      <c r="AB111" s="31">
        <f t="shared" si="44"/>
        <v>0</v>
      </c>
      <c r="AC111" s="31">
        <f t="shared" si="44"/>
        <v>0</v>
      </c>
      <c r="AD111" s="31">
        <f t="shared" si="44"/>
        <v>0</v>
      </c>
      <c r="AE111" s="31">
        <f t="shared" si="44"/>
        <v>0</v>
      </c>
      <c r="AF111" s="31">
        <f t="shared" si="44"/>
        <v>0</v>
      </c>
      <c r="AG111" s="31">
        <f t="shared" si="44"/>
        <v>0</v>
      </c>
      <c r="AH111" s="31">
        <f t="shared" si="44"/>
        <v>0</v>
      </c>
      <c r="AI111" s="31">
        <f t="shared" si="44"/>
        <v>0</v>
      </c>
      <c r="AJ111" s="31">
        <f t="shared" si="44"/>
        <v>0</v>
      </c>
      <c r="AK111" s="31">
        <f t="shared" si="44"/>
        <v>0</v>
      </c>
      <c r="AL111" s="31">
        <f t="shared" si="44"/>
        <v>0</v>
      </c>
      <c r="AM111" s="31">
        <f t="shared" si="44"/>
        <v>0</v>
      </c>
      <c r="AN111" s="31">
        <f t="shared" si="44"/>
        <v>0</v>
      </c>
      <c r="AO111" s="31">
        <f t="shared" si="44"/>
        <v>0</v>
      </c>
      <c r="AP111" s="31">
        <f t="shared" si="44"/>
        <v>0</v>
      </c>
      <c r="AQ111" s="31">
        <f t="shared" si="44"/>
        <v>0</v>
      </c>
      <c r="AR111" s="31">
        <f t="shared" si="44"/>
        <v>0</v>
      </c>
      <c r="AS111" s="31">
        <f t="shared" si="44"/>
        <v>0</v>
      </c>
      <c r="AT111" s="31">
        <f t="shared" si="44"/>
        <v>0</v>
      </c>
      <c r="AU111" s="31">
        <f t="shared" si="44"/>
        <v>0</v>
      </c>
      <c r="AV111" s="31">
        <f t="shared" si="44"/>
        <v>0</v>
      </c>
      <c r="AW111" s="31">
        <f t="shared" si="44"/>
        <v>0</v>
      </c>
      <c r="AX111" s="31">
        <f t="shared" si="44"/>
        <v>0</v>
      </c>
      <c r="AY111" s="31">
        <f t="shared" si="44"/>
        <v>0</v>
      </c>
      <c r="AZ111" s="31">
        <f t="shared" si="44"/>
        <v>0</v>
      </c>
      <c r="BA111" s="31">
        <f t="shared" si="44"/>
        <v>0</v>
      </c>
      <c r="BB111" s="31">
        <f t="shared" si="44"/>
        <v>0</v>
      </c>
      <c r="BC111" s="31">
        <f t="shared" si="44"/>
        <v>0</v>
      </c>
      <c r="BD111" s="31">
        <f t="shared" si="44"/>
        <v>0</v>
      </c>
      <c r="BE111" s="31">
        <f t="shared" si="44"/>
        <v>0</v>
      </c>
      <c r="BF111" s="31">
        <f t="shared" si="44"/>
        <v>0</v>
      </c>
      <c r="BG111" s="31">
        <f t="shared" si="44"/>
        <v>0</v>
      </c>
      <c r="BH111" s="31">
        <f t="shared" si="44"/>
        <v>0</v>
      </c>
      <c r="BI111" s="31">
        <f t="shared" si="44"/>
        <v>0</v>
      </c>
      <c r="BJ111" s="31">
        <f t="shared" si="44"/>
        <v>0</v>
      </c>
      <c r="BK111" s="31">
        <f t="shared" si="44"/>
        <v>0</v>
      </c>
      <c r="BL111" s="31">
        <f t="shared" si="44"/>
        <v>0</v>
      </c>
      <c r="BM111" s="31">
        <f t="shared" si="44"/>
        <v>0</v>
      </c>
      <c r="BN111" s="31">
        <f t="shared" si="44"/>
        <v>0</v>
      </c>
      <c r="BO111" s="31">
        <f t="shared" si="44"/>
        <v>0</v>
      </c>
      <c r="BP111" s="31">
        <f t="shared" si="44"/>
        <v>0</v>
      </c>
      <c r="BQ111" s="31">
        <f t="shared" si="44"/>
        <v>0</v>
      </c>
      <c r="BR111" s="31">
        <f t="shared" si="44"/>
        <v>0</v>
      </c>
      <c r="BS111" s="31">
        <f t="shared" si="44"/>
        <v>0</v>
      </c>
      <c r="BT111" s="31">
        <f t="shared" si="44"/>
        <v>0</v>
      </c>
      <c r="BU111" s="31">
        <f t="shared" si="44"/>
        <v>0</v>
      </c>
      <c r="BV111" s="31">
        <f t="shared" si="44"/>
        <v>0</v>
      </c>
      <c r="BW111" s="31">
        <f t="shared" si="44"/>
        <v>0</v>
      </c>
      <c r="BX111" s="31">
        <f t="shared" si="44"/>
        <v>0</v>
      </c>
      <c r="BY111" s="31">
        <f t="shared" si="44"/>
        <v>1.3641000000000001</v>
      </c>
      <c r="BZ111" s="31">
        <f t="shared" si="44"/>
        <v>0</v>
      </c>
      <c r="CA111" s="31">
        <f t="shared" si="44"/>
        <v>0</v>
      </c>
      <c r="CB111" s="31">
        <f t="shared" si="44"/>
        <v>0</v>
      </c>
      <c r="CC111" s="31">
        <f t="shared" si="44"/>
        <v>0</v>
      </c>
      <c r="CD111" s="31">
        <f t="shared" si="44"/>
        <v>0</v>
      </c>
      <c r="CE111" s="31">
        <f t="shared" si="44"/>
        <v>0</v>
      </c>
      <c r="CF111" s="31">
        <f t="shared" si="44"/>
        <v>0</v>
      </c>
      <c r="CG111" s="31">
        <f t="shared" si="44"/>
        <v>0</v>
      </c>
      <c r="CH111" s="31">
        <f t="shared" si="44"/>
        <v>0</v>
      </c>
      <c r="CI111" s="31">
        <f t="shared" si="44"/>
        <v>0</v>
      </c>
      <c r="CJ111" s="31">
        <f t="shared" si="44"/>
        <v>0</v>
      </c>
      <c r="CK111" s="31">
        <f t="shared" si="44"/>
        <v>0</v>
      </c>
      <c r="CL111" s="31">
        <f t="shared" si="44"/>
        <v>0</v>
      </c>
      <c r="CM111" s="31">
        <f t="shared" si="44"/>
        <v>0</v>
      </c>
      <c r="CN111" s="31">
        <f t="shared" si="44"/>
        <v>0</v>
      </c>
      <c r="CO111" s="31">
        <f t="shared" si="44"/>
        <v>0</v>
      </c>
      <c r="CP111" s="31">
        <f t="shared" si="44"/>
        <v>0</v>
      </c>
      <c r="CQ111" s="31">
        <f t="shared" si="44"/>
        <v>0</v>
      </c>
      <c r="CR111" s="31">
        <f t="shared" si="44"/>
        <v>0</v>
      </c>
      <c r="CS111" s="31">
        <f t="shared" si="44"/>
        <v>0</v>
      </c>
      <c r="CT111" s="31">
        <f t="shared" si="44"/>
        <v>0</v>
      </c>
      <c r="CU111" s="31">
        <f t="shared" si="44"/>
        <v>0</v>
      </c>
      <c r="CV111" s="31">
        <f t="shared" si="44"/>
        <v>0</v>
      </c>
      <c r="CW111" s="31">
        <f t="shared" si="44"/>
        <v>0</v>
      </c>
      <c r="CX111" s="31">
        <f t="shared" si="44"/>
        <v>0</v>
      </c>
      <c r="CY111" s="31">
        <f t="shared" si="44"/>
        <v>0</v>
      </c>
      <c r="CZ111" s="31">
        <f t="shared" si="44"/>
        <v>0</v>
      </c>
      <c r="DA111" s="31">
        <f t="shared" si="44"/>
        <v>0</v>
      </c>
      <c r="DB111" s="31">
        <f t="shared" si="44"/>
        <v>0</v>
      </c>
      <c r="DC111" s="31">
        <f t="shared" si="44"/>
        <v>0</v>
      </c>
      <c r="DD111" s="31">
        <f t="shared" si="44"/>
        <v>0</v>
      </c>
      <c r="DE111" s="31">
        <f t="shared" si="44"/>
        <v>0</v>
      </c>
      <c r="DF111" s="31">
        <f t="shared" si="44"/>
        <v>0</v>
      </c>
      <c r="DG111" s="31">
        <f t="shared" si="44"/>
        <v>0</v>
      </c>
      <c r="DH111" s="31">
        <f t="shared" si="44"/>
        <v>0</v>
      </c>
      <c r="DI111" s="31">
        <f t="shared" si="44"/>
        <v>0</v>
      </c>
      <c r="DJ111" s="31">
        <f t="shared" si="44"/>
        <v>0</v>
      </c>
      <c r="DK111" s="31">
        <f t="shared" si="44"/>
        <v>0</v>
      </c>
      <c r="DL111" s="31">
        <f t="shared" si="44"/>
        <v>0</v>
      </c>
      <c r="DM111" s="31">
        <f t="shared" si="44"/>
        <v>0</v>
      </c>
      <c r="DN111" s="31">
        <f t="shared" si="44"/>
        <v>0</v>
      </c>
      <c r="DO111" s="31">
        <f t="shared" si="44"/>
        <v>0</v>
      </c>
      <c r="DP111" s="31">
        <f t="shared" si="44"/>
        <v>0</v>
      </c>
      <c r="DQ111" s="31">
        <f t="shared" si="44"/>
        <v>0</v>
      </c>
      <c r="DR111" s="31">
        <f t="shared" si="44"/>
        <v>0</v>
      </c>
      <c r="DS111" s="31">
        <f t="shared" si="44"/>
        <v>0</v>
      </c>
      <c r="DT111" s="31">
        <f t="shared" si="44"/>
        <v>0</v>
      </c>
      <c r="DU111" s="31">
        <f t="shared" si="44"/>
        <v>0</v>
      </c>
      <c r="DV111" s="31">
        <f t="shared" si="44"/>
        <v>0</v>
      </c>
      <c r="DW111" s="31">
        <f t="shared" si="44"/>
        <v>0</v>
      </c>
      <c r="DX111" s="31">
        <f t="shared" si="44"/>
        <v>0</v>
      </c>
      <c r="DY111" s="31">
        <f t="shared" si="44"/>
        <v>0</v>
      </c>
      <c r="DZ111" s="31">
        <f t="shared" si="44"/>
        <v>0</v>
      </c>
      <c r="EA111" s="31">
        <f t="shared" si="44"/>
        <v>0</v>
      </c>
      <c r="EB111" s="31">
        <f t="shared" si="44"/>
        <v>0</v>
      </c>
      <c r="EC111" s="31">
        <f t="shared" si="44"/>
        <v>0</v>
      </c>
      <c r="ED111" s="31">
        <f t="shared" si="44"/>
        <v>0</v>
      </c>
      <c r="EE111" s="31">
        <f t="shared" si="44"/>
        <v>0</v>
      </c>
      <c r="EF111" s="31">
        <f t="shared" si="44"/>
        <v>0</v>
      </c>
      <c r="EG111" s="31">
        <f t="shared" si="44"/>
        <v>0</v>
      </c>
      <c r="EH111" s="31">
        <f t="shared" si="44"/>
        <v>0</v>
      </c>
      <c r="EI111" s="31">
        <f t="shared" si="44"/>
        <v>0</v>
      </c>
      <c r="EJ111" s="31">
        <f t="shared" si="44"/>
        <v>0</v>
      </c>
      <c r="EK111" s="31">
        <f t="shared" si="44"/>
        <v>0</v>
      </c>
      <c r="EL111" s="31">
        <f t="shared" si="44"/>
        <v>0</v>
      </c>
      <c r="EM111" s="31">
        <f t="shared" si="44"/>
        <v>0</v>
      </c>
      <c r="EN111" s="31">
        <f t="shared" si="44"/>
        <v>0</v>
      </c>
      <c r="EO111" s="31">
        <f t="shared" si="44"/>
        <v>0</v>
      </c>
      <c r="EP111" s="31">
        <f t="shared" si="44"/>
        <v>0</v>
      </c>
      <c r="EQ111" s="31">
        <f t="shared" si="44"/>
        <v>0</v>
      </c>
      <c r="ER111" s="31">
        <f t="shared" si="44"/>
        <v>0</v>
      </c>
      <c r="ES111" s="31">
        <f t="shared" si="44"/>
        <v>0</v>
      </c>
      <c r="ET111" s="31">
        <f t="shared" si="44"/>
        <v>2.0855000000000001</v>
      </c>
      <c r="EU111" s="31">
        <f t="shared" si="44"/>
        <v>0</v>
      </c>
      <c r="EV111" s="31">
        <f t="shared" si="44"/>
        <v>0</v>
      </c>
      <c r="EW111" s="31">
        <f t="shared" si="44"/>
        <v>0</v>
      </c>
      <c r="EX111" s="31">
        <f t="shared" si="44"/>
        <v>0</v>
      </c>
      <c r="EY111" s="31">
        <f t="shared" si="44"/>
        <v>0</v>
      </c>
      <c r="EZ111" s="31">
        <f t="shared" si="44"/>
        <v>0</v>
      </c>
      <c r="FA111" s="31">
        <f t="shared" si="44"/>
        <v>0</v>
      </c>
      <c r="FB111" s="31">
        <f t="shared" si="44"/>
        <v>0</v>
      </c>
      <c r="FC111" s="31">
        <f t="shared" si="44"/>
        <v>0</v>
      </c>
      <c r="FD111" s="31">
        <f t="shared" si="44"/>
        <v>0</v>
      </c>
      <c r="FE111" s="31">
        <f t="shared" si="44"/>
        <v>0</v>
      </c>
      <c r="FF111" s="31">
        <f t="shared" si="44"/>
        <v>0</v>
      </c>
      <c r="FG111" s="31">
        <f t="shared" si="44"/>
        <v>0</v>
      </c>
      <c r="FH111" s="31">
        <f t="shared" si="44"/>
        <v>0</v>
      </c>
      <c r="FI111" s="31">
        <f t="shared" si="44"/>
        <v>0</v>
      </c>
      <c r="FJ111" s="31">
        <f t="shared" si="44"/>
        <v>0</v>
      </c>
      <c r="FK111" s="31">
        <f t="shared" si="44"/>
        <v>0</v>
      </c>
      <c r="FL111" s="31">
        <f t="shared" si="44"/>
        <v>0</v>
      </c>
      <c r="FM111" s="31">
        <f t="shared" si="44"/>
        <v>0</v>
      </c>
      <c r="FN111" s="31">
        <f t="shared" si="44"/>
        <v>0</v>
      </c>
      <c r="FO111" s="31">
        <f t="shared" si="44"/>
        <v>0</v>
      </c>
      <c r="FP111" s="31">
        <f t="shared" si="44"/>
        <v>0</v>
      </c>
      <c r="FQ111" s="31">
        <f t="shared" si="44"/>
        <v>0</v>
      </c>
      <c r="FR111" s="31">
        <f t="shared" si="44"/>
        <v>0</v>
      </c>
      <c r="FS111" s="31">
        <f t="shared" si="44"/>
        <v>0</v>
      </c>
      <c r="FT111" s="31">
        <f t="shared" si="44"/>
        <v>0</v>
      </c>
      <c r="FU111" s="31">
        <f t="shared" si="44"/>
        <v>0</v>
      </c>
      <c r="FV111" s="31">
        <f t="shared" si="44"/>
        <v>0</v>
      </c>
      <c r="FW111" s="31">
        <f t="shared" si="44"/>
        <v>0</v>
      </c>
      <c r="FX111" s="31">
        <f t="shared" si="44"/>
        <v>0</v>
      </c>
      <c r="FY111" s="102"/>
      <c r="FZ111" s="7"/>
      <c r="GA111" s="7"/>
      <c r="GB111" s="26"/>
      <c r="GC111" s="25"/>
      <c r="GD111" s="25"/>
      <c r="GE111" s="23"/>
      <c r="GF111" s="23"/>
      <c r="GG111" s="23"/>
      <c r="GH111" s="23"/>
      <c r="GI111" s="23"/>
      <c r="GJ111" s="23"/>
      <c r="GK111" s="23"/>
    </row>
    <row r="112" spans="1:207" ht="15.5" x14ac:dyDescent="0.35">
      <c r="A112" s="12" t="s">
        <v>833</v>
      </c>
      <c r="B112" s="7" t="s">
        <v>834</v>
      </c>
      <c r="C112" s="31">
        <f t="shared" ref="C112:FX112" si="45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31">
        <f t="shared" si="45"/>
        <v>1.0297000000000001</v>
      </c>
      <c r="E112" s="31">
        <f t="shared" si="45"/>
        <v>1.0297000000000001</v>
      </c>
      <c r="F112" s="31">
        <f t="shared" si="45"/>
        <v>1.0297000000000001</v>
      </c>
      <c r="G112" s="31">
        <f t="shared" si="45"/>
        <v>1.0773999999999999</v>
      </c>
      <c r="H112" s="31">
        <f t="shared" si="45"/>
        <v>1.1176999999999999</v>
      </c>
      <c r="I112" s="31">
        <f t="shared" si="45"/>
        <v>1.0297000000000001</v>
      </c>
      <c r="J112" s="31">
        <f t="shared" si="45"/>
        <v>1.0654999999999999</v>
      </c>
      <c r="K112" s="31">
        <f t="shared" si="45"/>
        <v>1.6371</v>
      </c>
      <c r="L112" s="31">
        <f t="shared" si="45"/>
        <v>1.0607</v>
      </c>
      <c r="M112" s="31">
        <f t="shared" si="45"/>
        <v>1.1372</v>
      </c>
      <c r="N112" s="31">
        <f t="shared" si="45"/>
        <v>1.0297000000000001</v>
      </c>
      <c r="O112" s="31">
        <f t="shared" si="45"/>
        <v>1.0297000000000001</v>
      </c>
      <c r="P112" s="31">
        <f t="shared" si="45"/>
        <v>1.4797</v>
      </c>
      <c r="Q112" s="31">
        <f t="shared" si="45"/>
        <v>1.0297000000000001</v>
      </c>
      <c r="R112" s="31">
        <f t="shared" si="45"/>
        <v>1.0297000000000001</v>
      </c>
      <c r="S112" s="31">
        <f t="shared" si="45"/>
        <v>1.0903</v>
      </c>
      <c r="T112" s="31">
        <f t="shared" si="45"/>
        <v>1.9779</v>
      </c>
      <c r="U112" s="31">
        <f t="shared" si="45"/>
        <v>2.3751000000000002</v>
      </c>
      <c r="V112" s="31">
        <f t="shared" si="45"/>
        <v>1.6194</v>
      </c>
      <c r="W112" s="31">
        <f t="shared" si="45"/>
        <v>2.3593000000000002</v>
      </c>
      <c r="X112" s="31">
        <f t="shared" si="45"/>
        <v>2.3957999999999999</v>
      </c>
      <c r="Y112" s="31">
        <f t="shared" si="45"/>
        <v>1.1482000000000001</v>
      </c>
      <c r="Z112" s="31">
        <f t="shared" si="45"/>
        <v>1.7145999999999999</v>
      </c>
      <c r="AA112" s="31">
        <f t="shared" si="45"/>
        <v>1.0297000000000001</v>
      </c>
      <c r="AB112" s="31">
        <f t="shared" si="45"/>
        <v>1.0297000000000001</v>
      </c>
      <c r="AC112" s="31">
        <f t="shared" si="45"/>
        <v>1.1464000000000001</v>
      </c>
      <c r="AD112" s="31">
        <f t="shared" si="45"/>
        <v>1.0992</v>
      </c>
      <c r="AE112" s="31">
        <f t="shared" si="45"/>
        <v>2.2189999999999999</v>
      </c>
      <c r="AF112" s="31">
        <f t="shared" si="45"/>
        <v>1.9538</v>
      </c>
      <c r="AG112" s="31">
        <f t="shared" si="45"/>
        <v>1.2092000000000001</v>
      </c>
      <c r="AH112" s="31">
        <f t="shared" si="45"/>
        <v>1.1357999999999999</v>
      </c>
      <c r="AI112" s="31">
        <f t="shared" si="45"/>
        <v>1.3661000000000001</v>
      </c>
      <c r="AJ112" s="31">
        <f t="shared" si="45"/>
        <v>1.9012</v>
      </c>
      <c r="AK112" s="31">
        <f t="shared" si="45"/>
        <v>1.9605999999999999</v>
      </c>
      <c r="AL112" s="31">
        <f t="shared" si="45"/>
        <v>1.5246999999999999</v>
      </c>
      <c r="AM112" s="31">
        <f t="shared" si="45"/>
        <v>1.4171</v>
      </c>
      <c r="AN112" s="31">
        <f t="shared" si="45"/>
        <v>1.5045999999999999</v>
      </c>
      <c r="AO112" s="31">
        <f t="shared" si="45"/>
        <v>1.0325</v>
      </c>
      <c r="AP112" s="31">
        <f t="shared" si="45"/>
        <v>1.0297000000000001</v>
      </c>
      <c r="AQ112" s="31">
        <f t="shared" si="45"/>
        <v>1.6396999999999999</v>
      </c>
      <c r="AR112" s="31">
        <f t="shared" si="45"/>
        <v>1.0297000000000001</v>
      </c>
      <c r="AS112" s="31">
        <f t="shared" si="45"/>
        <v>1.0297000000000001</v>
      </c>
      <c r="AT112" s="31">
        <f t="shared" si="45"/>
        <v>1.0523</v>
      </c>
      <c r="AU112" s="31">
        <f t="shared" si="45"/>
        <v>1.5645</v>
      </c>
      <c r="AV112" s="31">
        <f t="shared" si="45"/>
        <v>1.4963</v>
      </c>
      <c r="AW112" s="31">
        <f t="shared" si="45"/>
        <v>1.6172</v>
      </c>
      <c r="AX112" s="31">
        <f t="shared" si="45"/>
        <v>2.2791999999999999</v>
      </c>
      <c r="AY112" s="31">
        <f t="shared" si="45"/>
        <v>1.3261000000000001</v>
      </c>
      <c r="AZ112" s="31">
        <f t="shared" si="45"/>
        <v>1.0297000000000001</v>
      </c>
      <c r="BA112" s="31">
        <f t="shared" si="45"/>
        <v>1.0297000000000001</v>
      </c>
      <c r="BB112" s="31">
        <f t="shared" si="45"/>
        <v>1.0297000000000001</v>
      </c>
      <c r="BC112" s="31">
        <f t="shared" si="45"/>
        <v>1.0297000000000001</v>
      </c>
      <c r="BD112" s="31">
        <f t="shared" si="45"/>
        <v>1.0361</v>
      </c>
      <c r="BE112" s="31">
        <f t="shared" si="45"/>
        <v>1.1122000000000001</v>
      </c>
      <c r="BF112" s="31">
        <f t="shared" si="45"/>
        <v>1.0297000000000001</v>
      </c>
      <c r="BG112" s="31">
        <f t="shared" si="45"/>
        <v>1.1434</v>
      </c>
      <c r="BH112" s="31">
        <f t="shared" si="45"/>
        <v>1.2129000000000001</v>
      </c>
      <c r="BI112" s="31">
        <f t="shared" si="45"/>
        <v>1.6156999999999999</v>
      </c>
      <c r="BJ112" s="31">
        <f t="shared" si="45"/>
        <v>1.0297000000000001</v>
      </c>
      <c r="BK112" s="31">
        <f t="shared" si="45"/>
        <v>1.0297000000000001</v>
      </c>
      <c r="BL112" s="31">
        <f t="shared" si="45"/>
        <v>2.2930999999999999</v>
      </c>
      <c r="BM112" s="31">
        <f t="shared" si="45"/>
        <v>1.4058999999999999</v>
      </c>
      <c r="BN112" s="31">
        <f t="shared" si="45"/>
        <v>1.0416000000000001</v>
      </c>
      <c r="BO112" s="31">
        <f t="shared" si="45"/>
        <v>1.1091</v>
      </c>
      <c r="BP112" s="31">
        <f t="shared" si="45"/>
        <v>1.9804999999999999</v>
      </c>
      <c r="BQ112" s="31">
        <f t="shared" si="45"/>
        <v>1.0297000000000001</v>
      </c>
      <c r="BR112" s="31">
        <f t="shared" si="45"/>
        <v>1.0321</v>
      </c>
      <c r="BS112" s="31">
        <f t="shared" si="45"/>
        <v>1.1144000000000001</v>
      </c>
      <c r="BT112" s="31">
        <f t="shared" si="45"/>
        <v>1.3836999999999999</v>
      </c>
      <c r="BU112" s="31">
        <f t="shared" si="45"/>
        <v>1.3481000000000001</v>
      </c>
      <c r="BV112" s="31">
        <f t="shared" si="45"/>
        <v>1.1096999999999999</v>
      </c>
      <c r="BW112" s="31">
        <f t="shared" si="45"/>
        <v>1.0681</v>
      </c>
      <c r="BX112" s="31">
        <f t="shared" si="45"/>
        <v>2.3338000000000001</v>
      </c>
      <c r="BY112" s="31">
        <f t="shared" si="45"/>
        <v>1.286</v>
      </c>
      <c r="BZ112" s="31">
        <f t="shared" si="45"/>
        <v>1.7262999999999999</v>
      </c>
      <c r="CA112" s="31">
        <f t="shared" si="45"/>
        <v>2.0339999999999998</v>
      </c>
      <c r="CB112" s="31">
        <f t="shared" si="45"/>
        <v>1.0297000000000001</v>
      </c>
      <c r="CC112" s="31">
        <f t="shared" si="45"/>
        <v>1.8717999999999999</v>
      </c>
      <c r="CD112" s="31">
        <f t="shared" si="45"/>
        <v>2.3957999999999999</v>
      </c>
      <c r="CE112" s="31">
        <f t="shared" si="45"/>
        <v>1.9883999999999999</v>
      </c>
      <c r="CF112" s="31">
        <f t="shared" si="45"/>
        <v>2.1606999999999998</v>
      </c>
      <c r="CG112" s="31">
        <f t="shared" si="45"/>
        <v>1.8320000000000001</v>
      </c>
      <c r="CH112" s="31">
        <f t="shared" si="45"/>
        <v>2.2208999999999999</v>
      </c>
      <c r="CI112" s="31">
        <f t="shared" si="45"/>
        <v>1.1914</v>
      </c>
      <c r="CJ112" s="31">
        <f t="shared" si="45"/>
        <v>1.1534</v>
      </c>
      <c r="CK112" s="31">
        <f t="shared" si="45"/>
        <v>1.0301</v>
      </c>
      <c r="CL112" s="31">
        <f t="shared" si="45"/>
        <v>1.1101000000000001</v>
      </c>
      <c r="CM112" s="31">
        <f t="shared" si="45"/>
        <v>1.1915</v>
      </c>
      <c r="CN112" s="31">
        <f t="shared" si="45"/>
        <v>1.0297000000000001</v>
      </c>
      <c r="CO112" s="31">
        <f t="shared" si="45"/>
        <v>1.0297000000000001</v>
      </c>
      <c r="CP112" s="31">
        <f t="shared" si="45"/>
        <v>1.1406000000000001</v>
      </c>
      <c r="CQ112" s="31">
        <f t="shared" si="45"/>
        <v>1.1744000000000001</v>
      </c>
      <c r="CR112" s="31">
        <f t="shared" si="45"/>
        <v>1.7721</v>
      </c>
      <c r="CS112" s="31">
        <f t="shared" si="45"/>
        <v>1.5298</v>
      </c>
      <c r="CT112" s="31">
        <f t="shared" si="45"/>
        <v>2.157</v>
      </c>
      <c r="CU112" s="31">
        <f t="shared" si="45"/>
        <v>1.2363</v>
      </c>
      <c r="CV112" s="31">
        <f t="shared" si="45"/>
        <v>2.3957999999999999</v>
      </c>
      <c r="CW112" s="31">
        <f t="shared" si="45"/>
        <v>1.8365</v>
      </c>
      <c r="CX112" s="31">
        <f t="shared" si="45"/>
        <v>1.238</v>
      </c>
      <c r="CY112" s="31">
        <f t="shared" si="45"/>
        <v>2.3957999999999999</v>
      </c>
      <c r="CZ112" s="31">
        <f t="shared" si="45"/>
        <v>1.0794999999999999</v>
      </c>
      <c r="DA112" s="31">
        <f t="shared" si="45"/>
        <v>1.8184</v>
      </c>
      <c r="DB112" s="31">
        <f t="shared" si="45"/>
        <v>1.4789000000000001</v>
      </c>
      <c r="DC112" s="31">
        <f t="shared" si="45"/>
        <v>1.8579000000000001</v>
      </c>
      <c r="DD112" s="31">
        <f t="shared" si="45"/>
        <v>1.9275</v>
      </c>
      <c r="DE112" s="31">
        <f t="shared" si="45"/>
        <v>1.5301</v>
      </c>
      <c r="DF112" s="31">
        <f t="shared" si="45"/>
        <v>1.0297000000000001</v>
      </c>
      <c r="DG112" s="31">
        <f t="shared" si="45"/>
        <v>2.2322000000000002</v>
      </c>
      <c r="DH112" s="31">
        <f t="shared" si="45"/>
        <v>1.0795999999999999</v>
      </c>
      <c r="DI112" s="31">
        <f t="shared" si="45"/>
        <v>1.0510999999999999</v>
      </c>
      <c r="DJ112" s="31">
        <f t="shared" si="45"/>
        <v>1.2044999999999999</v>
      </c>
      <c r="DK112" s="31">
        <f t="shared" si="45"/>
        <v>1.2343999999999999</v>
      </c>
      <c r="DL112" s="31">
        <f t="shared" si="45"/>
        <v>1.0297000000000001</v>
      </c>
      <c r="DM112" s="31">
        <f t="shared" si="45"/>
        <v>1.6999</v>
      </c>
      <c r="DN112" s="31">
        <f t="shared" si="45"/>
        <v>1.107</v>
      </c>
      <c r="DO112" s="31">
        <f t="shared" si="45"/>
        <v>1.0397000000000001</v>
      </c>
      <c r="DP112" s="31">
        <f t="shared" si="45"/>
        <v>1.8315999999999999</v>
      </c>
      <c r="DQ112" s="31">
        <f t="shared" si="45"/>
        <v>1.1500999999999999</v>
      </c>
      <c r="DR112" s="31">
        <f t="shared" si="45"/>
        <v>1.1060000000000001</v>
      </c>
      <c r="DS112" s="31">
        <f t="shared" si="45"/>
        <v>1.2095</v>
      </c>
      <c r="DT112" s="31">
        <f t="shared" si="45"/>
        <v>1.92</v>
      </c>
      <c r="DU112" s="31">
        <f t="shared" si="45"/>
        <v>1.4191</v>
      </c>
      <c r="DV112" s="31">
        <f t="shared" si="45"/>
        <v>1.8015000000000001</v>
      </c>
      <c r="DW112" s="31">
        <f t="shared" si="45"/>
        <v>1.5051000000000001</v>
      </c>
      <c r="DX112" s="31">
        <f t="shared" si="45"/>
        <v>1.952</v>
      </c>
      <c r="DY112" s="31">
        <f t="shared" si="45"/>
        <v>1.5111000000000001</v>
      </c>
      <c r="DZ112" s="31">
        <f t="shared" si="45"/>
        <v>1.1926000000000001</v>
      </c>
      <c r="EA112" s="31">
        <f t="shared" si="45"/>
        <v>1.2238</v>
      </c>
      <c r="EB112" s="31">
        <f t="shared" si="45"/>
        <v>1.2230000000000001</v>
      </c>
      <c r="EC112" s="31">
        <f t="shared" si="45"/>
        <v>1.5304</v>
      </c>
      <c r="ED112" s="31">
        <f t="shared" si="45"/>
        <v>1.0927</v>
      </c>
      <c r="EE112" s="31">
        <f t="shared" si="45"/>
        <v>1.8632</v>
      </c>
      <c r="EF112" s="31">
        <f t="shared" si="45"/>
        <v>1.1037999999999999</v>
      </c>
      <c r="EG112" s="31">
        <f t="shared" si="45"/>
        <v>1.6303000000000001</v>
      </c>
      <c r="EH112" s="31">
        <f t="shared" si="45"/>
        <v>1.6533</v>
      </c>
      <c r="EI112" s="31">
        <f t="shared" si="45"/>
        <v>1.0297000000000001</v>
      </c>
      <c r="EJ112" s="31">
        <f t="shared" si="45"/>
        <v>1.0297000000000001</v>
      </c>
      <c r="EK112" s="31">
        <f t="shared" si="45"/>
        <v>1.1953</v>
      </c>
      <c r="EL112" s="31">
        <f t="shared" si="45"/>
        <v>1.2383999999999999</v>
      </c>
      <c r="EM112" s="31">
        <f t="shared" si="45"/>
        <v>1.3743000000000001</v>
      </c>
      <c r="EN112" s="31">
        <f t="shared" si="45"/>
        <v>1.1394</v>
      </c>
      <c r="EO112" s="31">
        <f t="shared" si="45"/>
        <v>1.4963</v>
      </c>
      <c r="EP112" s="31">
        <f t="shared" si="45"/>
        <v>1.2897000000000001</v>
      </c>
      <c r="EQ112" s="31">
        <f t="shared" si="45"/>
        <v>1.0488999999999999</v>
      </c>
      <c r="ER112" s="31">
        <f t="shared" si="45"/>
        <v>1.4893000000000001</v>
      </c>
      <c r="ES112" s="31">
        <f t="shared" si="45"/>
        <v>1.9708000000000001</v>
      </c>
      <c r="ET112" s="31">
        <f t="shared" si="45"/>
        <v>1.841</v>
      </c>
      <c r="EU112" s="31">
        <f t="shared" si="45"/>
        <v>1.2144999999999999</v>
      </c>
      <c r="EV112" s="31">
        <f t="shared" si="45"/>
        <v>2.3108</v>
      </c>
      <c r="EW112" s="31">
        <f t="shared" si="45"/>
        <v>1.1642999999999999</v>
      </c>
      <c r="EX112" s="31">
        <f t="shared" si="45"/>
        <v>1.9313</v>
      </c>
      <c r="EY112" s="31">
        <f t="shared" si="45"/>
        <v>1.1978</v>
      </c>
      <c r="EZ112" s="31">
        <f t="shared" si="45"/>
        <v>2.0975000000000001</v>
      </c>
      <c r="FA112" s="31">
        <f t="shared" si="45"/>
        <v>1.0382</v>
      </c>
      <c r="FB112" s="31">
        <f t="shared" si="45"/>
        <v>1.5254000000000001</v>
      </c>
      <c r="FC112" s="31">
        <f t="shared" si="45"/>
        <v>1.0784</v>
      </c>
      <c r="FD112" s="31">
        <f t="shared" si="45"/>
        <v>1.3342000000000001</v>
      </c>
      <c r="FE112" s="31">
        <f t="shared" si="45"/>
        <v>2.2867000000000002</v>
      </c>
      <c r="FF112" s="31">
        <f t="shared" si="45"/>
        <v>1.8879999999999999</v>
      </c>
      <c r="FG112" s="31">
        <f t="shared" si="45"/>
        <v>2.1295000000000002</v>
      </c>
      <c r="FH112" s="31">
        <f t="shared" si="45"/>
        <v>2.3206000000000002</v>
      </c>
      <c r="FI112" s="31">
        <f t="shared" si="45"/>
        <v>1.0851</v>
      </c>
      <c r="FJ112" s="31">
        <f t="shared" si="45"/>
        <v>1.0682</v>
      </c>
      <c r="FK112" s="31">
        <f t="shared" si="45"/>
        <v>1.0501</v>
      </c>
      <c r="FL112" s="31">
        <f t="shared" si="45"/>
        <v>1.0297000000000001</v>
      </c>
      <c r="FM112" s="31">
        <f t="shared" si="45"/>
        <v>1.0345</v>
      </c>
      <c r="FN112" s="31">
        <f t="shared" si="45"/>
        <v>1.0297000000000001</v>
      </c>
      <c r="FO112" s="31">
        <f t="shared" si="45"/>
        <v>1.1165</v>
      </c>
      <c r="FP112" s="31">
        <f t="shared" si="45"/>
        <v>1.0526</v>
      </c>
      <c r="FQ112" s="31">
        <f t="shared" si="45"/>
        <v>1.1302000000000001</v>
      </c>
      <c r="FR112" s="31">
        <f t="shared" si="45"/>
        <v>1.9516</v>
      </c>
      <c r="FS112" s="31">
        <f t="shared" si="45"/>
        <v>1.9508000000000001</v>
      </c>
      <c r="FT112" s="31">
        <f t="shared" si="45"/>
        <v>2.3714</v>
      </c>
      <c r="FU112" s="31">
        <f t="shared" si="45"/>
        <v>1.1700999999999999</v>
      </c>
      <c r="FV112" s="31">
        <f t="shared" si="45"/>
        <v>1.1901999999999999</v>
      </c>
      <c r="FW112" s="31">
        <f t="shared" si="45"/>
        <v>2.0215000000000001</v>
      </c>
      <c r="FX112" s="31">
        <f t="shared" si="45"/>
        <v>2.3412999999999999</v>
      </c>
      <c r="FY112" s="33"/>
      <c r="FZ112" s="7"/>
      <c r="GA112" s="7"/>
      <c r="GB112" s="26"/>
      <c r="GC112" s="25"/>
      <c r="GD112" s="25"/>
      <c r="GE112" s="7"/>
      <c r="GF112" s="7"/>
      <c r="GG112" s="7"/>
      <c r="GH112" s="7"/>
      <c r="GI112" s="7"/>
      <c r="GJ112" s="7"/>
      <c r="GK112" s="7"/>
    </row>
    <row r="113" spans="1:202" ht="15.5" x14ac:dyDescent="0.35">
      <c r="A113" s="12" t="s">
        <v>835</v>
      </c>
      <c r="B113" s="7" t="s">
        <v>836</v>
      </c>
      <c r="C113" s="31">
        <f t="shared" ref="C113:FX113" si="46">MAX(C111,C112)</f>
        <v>1.0297000000000001</v>
      </c>
      <c r="D113" s="31">
        <f t="shared" si="46"/>
        <v>1.0297000000000001</v>
      </c>
      <c r="E113" s="31">
        <f t="shared" si="46"/>
        <v>1.0297000000000001</v>
      </c>
      <c r="F113" s="31">
        <f t="shared" si="46"/>
        <v>1.0297000000000001</v>
      </c>
      <c r="G113" s="31">
        <f t="shared" si="46"/>
        <v>1.0773999999999999</v>
      </c>
      <c r="H113" s="31">
        <f t="shared" si="46"/>
        <v>1.1176999999999999</v>
      </c>
      <c r="I113" s="31">
        <f t="shared" si="46"/>
        <v>1.0297000000000001</v>
      </c>
      <c r="J113" s="31">
        <f t="shared" si="46"/>
        <v>1.0654999999999999</v>
      </c>
      <c r="K113" s="31">
        <f t="shared" si="46"/>
        <v>1.6371</v>
      </c>
      <c r="L113" s="31">
        <f t="shared" si="46"/>
        <v>1.0607</v>
      </c>
      <c r="M113" s="31">
        <f t="shared" si="46"/>
        <v>1.1372</v>
      </c>
      <c r="N113" s="31">
        <f t="shared" si="46"/>
        <v>1.0297000000000001</v>
      </c>
      <c r="O113" s="31">
        <f t="shared" si="46"/>
        <v>1.0297000000000001</v>
      </c>
      <c r="P113" s="31">
        <f t="shared" si="46"/>
        <v>1.4797</v>
      </c>
      <c r="Q113" s="31">
        <f t="shared" si="46"/>
        <v>1.0297000000000001</v>
      </c>
      <c r="R113" s="31">
        <f t="shared" si="46"/>
        <v>1.0297000000000001</v>
      </c>
      <c r="S113" s="31">
        <f t="shared" si="46"/>
        <v>1.0903</v>
      </c>
      <c r="T113" s="31">
        <f t="shared" si="46"/>
        <v>1.9779</v>
      </c>
      <c r="U113" s="31">
        <f t="shared" si="46"/>
        <v>2.3751000000000002</v>
      </c>
      <c r="V113" s="31">
        <f t="shared" si="46"/>
        <v>1.6194</v>
      </c>
      <c r="W113" s="31">
        <f t="shared" si="46"/>
        <v>2.3593000000000002</v>
      </c>
      <c r="X113" s="31">
        <f t="shared" si="46"/>
        <v>2.3957999999999999</v>
      </c>
      <c r="Y113" s="31">
        <f t="shared" si="46"/>
        <v>1.1482000000000001</v>
      </c>
      <c r="Z113" s="31">
        <f t="shared" si="46"/>
        <v>1.7145999999999999</v>
      </c>
      <c r="AA113" s="31">
        <f t="shared" si="46"/>
        <v>1.0297000000000001</v>
      </c>
      <c r="AB113" s="31">
        <f t="shared" si="46"/>
        <v>1.0297000000000001</v>
      </c>
      <c r="AC113" s="31">
        <f t="shared" si="46"/>
        <v>1.1464000000000001</v>
      </c>
      <c r="AD113" s="31">
        <f t="shared" si="46"/>
        <v>1.0992</v>
      </c>
      <c r="AE113" s="31">
        <f t="shared" si="46"/>
        <v>2.2189999999999999</v>
      </c>
      <c r="AF113" s="31">
        <f t="shared" si="46"/>
        <v>1.9538</v>
      </c>
      <c r="AG113" s="31">
        <f t="shared" si="46"/>
        <v>1.2092000000000001</v>
      </c>
      <c r="AH113" s="31">
        <f t="shared" si="46"/>
        <v>1.1357999999999999</v>
      </c>
      <c r="AI113" s="31">
        <f t="shared" si="46"/>
        <v>1.3661000000000001</v>
      </c>
      <c r="AJ113" s="31">
        <f t="shared" si="46"/>
        <v>1.9012</v>
      </c>
      <c r="AK113" s="31">
        <f t="shared" si="46"/>
        <v>1.9605999999999999</v>
      </c>
      <c r="AL113" s="31">
        <f t="shared" si="46"/>
        <v>1.5246999999999999</v>
      </c>
      <c r="AM113" s="31">
        <f t="shared" si="46"/>
        <v>1.4171</v>
      </c>
      <c r="AN113" s="31">
        <f t="shared" si="46"/>
        <v>1.5045999999999999</v>
      </c>
      <c r="AO113" s="31">
        <f t="shared" si="46"/>
        <v>1.0325</v>
      </c>
      <c r="AP113" s="31">
        <f t="shared" si="46"/>
        <v>1.0297000000000001</v>
      </c>
      <c r="AQ113" s="31">
        <f t="shared" si="46"/>
        <v>1.6396999999999999</v>
      </c>
      <c r="AR113" s="31">
        <f t="shared" si="46"/>
        <v>1.0297000000000001</v>
      </c>
      <c r="AS113" s="31">
        <f t="shared" si="46"/>
        <v>1.0297000000000001</v>
      </c>
      <c r="AT113" s="31">
        <f t="shared" si="46"/>
        <v>1.0523</v>
      </c>
      <c r="AU113" s="31">
        <f t="shared" si="46"/>
        <v>1.5645</v>
      </c>
      <c r="AV113" s="31">
        <f t="shared" si="46"/>
        <v>1.4963</v>
      </c>
      <c r="AW113" s="31">
        <f t="shared" si="46"/>
        <v>1.6172</v>
      </c>
      <c r="AX113" s="31">
        <f t="shared" si="46"/>
        <v>2.2791999999999999</v>
      </c>
      <c r="AY113" s="31">
        <f t="shared" si="46"/>
        <v>1.3261000000000001</v>
      </c>
      <c r="AZ113" s="31">
        <f t="shared" si="46"/>
        <v>1.0297000000000001</v>
      </c>
      <c r="BA113" s="31">
        <f t="shared" si="46"/>
        <v>1.0297000000000001</v>
      </c>
      <c r="BB113" s="31">
        <f t="shared" si="46"/>
        <v>1.0297000000000001</v>
      </c>
      <c r="BC113" s="31">
        <f t="shared" si="46"/>
        <v>1.0297000000000001</v>
      </c>
      <c r="BD113" s="31">
        <f t="shared" si="46"/>
        <v>1.0361</v>
      </c>
      <c r="BE113" s="31">
        <f t="shared" si="46"/>
        <v>1.1122000000000001</v>
      </c>
      <c r="BF113" s="31">
        <f t="shared" si="46"/>
        <v>1.0297000000000001</v>
      </c>
      <c r="BG113" s="31">
        <f t="shared" si="46"/>
        <v>1.1434</v>
      </c>
      <c r="BH113" s="31">
        <f t="shared" si="46"/>
        <v>1.2129000000000001</v>
      </c>
      <c r="BI113" s="31">
        <f t="shared" si="46"/>
        <v>1.6156999999999999</v>
      </c>
      <c r="BJ113" s="31">
        <f t="shared" si="46"/>
        <v>1.0297000000000001</v>
      </c>
      <c r="BK113" s="31">
        <f t="shared" si="46"/>
        <v>1.0297000000000001</v>
      </c>
      <c r="BL113" s="31">
        <f t="shared" si="46"/>
        <v>2.2930999999999999</v>
      </c>
      <c r="BM113" s="31">
        <f t="shared" si="46"/>
        <v>1.4058999999999999</v>
      </c>
      <c r="BN113" s="31">
        <f t="shared" si="46"/>
        <v>1.0416000000000001</v>
      </c>
      <c r="BO113" s="31">
        <f t="shared" si="46"/>
        <v>1.1091</v>
      </c>
      <c r="BP113" s="31">
        <f t="shared" si="46"/>
        <v>1.9804999999999999</v>
      </c>
      <c r="BQ113" s="31">
        <f t="shared" si="46"/>
        <v>1.0297000000000001</v>
      </c>
      <c r="BR113" s="31">
        <f t="shared" si="46"/>
        <v>1.0321</v>
      </c>
      <c r="BS113" s="31">
        <f t="shared" si="46"/>
        <v>1.1144000000000001</v>
      </c>
      <c r="BT113" s="31">
        <f t="shared" si="46"/>
        <v>1.3836999999999999</v>
      </c>
      <c r="BU113" s="31">
        <f t="shared" si="46"/>
        <v>1.3481000000000001</v>
      </c>
      <c r="BV113" s="31">
        <f t="shared" si="46"/>
        <v>1.1096999999999999</v>
      </c>
      <c r="BW113" s="31">
        <f t="shared" si="46"/>
        <v>1.0681</v>
      </c>
      <c r="BX113" s="31">
        <f t="shared" si="46"/>
        <v>2.3338000000000001</v>
      </c>
      <c r="BY113" s="31">
        <f t="shared" si="46"/>
        <v>1.3641000000000001</v>
      </c>
      <c r="BZ113" s="31">
        <f t="shared" si="46"/>
        <v>1.7262999999999999</v>
      </c>
      <c r="CA113" s="31">
        <f t="shared" si="46"/>
        <v>2.0339999999999998</v>
      </c>
      <c r="CB113" s="31">
        <f t="shared" si="46"/>
        <v>1.0297000000000001</v>
      </c>
      <c r="CC113" s="31">
        <f t="shared" si="46"/>
        <v>1.8717999999999999</v>
      </c>
      <c r="CD113" s="31">
        <f t="shared" si="46"/>
        <v>2.3957999999999999</v>
      </c>
      <c r="CE113" s="31">
        <f t="shared" si="46"/>
        <v>1.9883999999999999</v>
      </c>
      <c r="CF113" s="31">
        <f t="shared" si="46"/>
        <v>2.1606999999999998</v>
      </c>
      <c r="CG113" s="31">
        <f t="shared" si="46"/>
        <v>1.8320000000000001</v>
      </c>
      <c r="CH113" s="31">
        <f t="shared" si="46"/>
        <v>2.2208999999999999</v>
      </c>
      <c r="CI113" s="31">
        <f t="shared" si="46"/>
        <v>1.1914</v>
      </c>
      <c r="CJ113" s="31">
        <f t="shared" si="46"/>
        <v>1.1534</v>
      </c>
      <c r="CK113" s="31">
        <f t="shared" si="46"/>
        <v>1.0301</v>
      </c>
      <c r="CL113" s="31">
        <f t="shared" si="46"/>
        <v>1.1101000000000001</v>
      </c>
      <c r="CM113" s="31">
        <f t="shared" si="46"/>
        <v>1.1915</v>
      </c>
      <c r="CN113" s="31">
        <f t="shared" si="46"/>
        <v>1.0297000000000001</v>
      </c>
      <c r="CO113" s="31">
        <f t="shared" si="46"/>
        <v>1.0297000000000001</v>
      </c>
      <c r="CP113" s="31">
        <f t="shared" si="46"/>
        <v>1.1406000000000001</v>
      </c>
      <c r="CQ113" s="31">
        <f t="shared" si="46"/>
        <v>1.1744000000000001</v>
      </c>
      <c r="CR113" s="31">
        <f t="shared" si="46"/>
        <v>1.7721</v>
      </c>
      <c r="CS113" s="31">
        <f t="shared" si="46"/>
        <v>1.5298</v>
      </c>
      <c r="CT113" s="31">
        <f t="shared" si="46"/>
        <v>2.157</v>
      </c>
      <c r="CU113" s="31">
        <f t="shared" si="46"/>
        <v>1.2363</v>
      </c>
      <c r="CV113" s="31">
        <f t="shared" si="46"/>
        <v>2.3957999999999999</v>
      </c>
      <c r="CW113" s="31">
        <f t="shared" si="46"/>
        <v>1.8365</v>
      </c>
      <c r="CX113" s="31">
        <f t="shared" si="46"/>
        <v>1.238</v>
      </c>
      <c r="CY113" s="31">
        <f t="shared" si="46"/>
        <v>2.3957999999999999</v>
      </c>
      <c r="CZ113" s="31">
        <f t="shared" si="46"/>
        <v>1.0794999999999999</v>
      </c>
      <c r="DA113" s="31">
        <f t="shared" si="46"/>
        <v>1.8184</v>
      </c>
      <c r="DB113" s="31">
        <f t="shared" si="46"/>
        <v>1.4789000000000001</v>
      </c>
      <c r="DC113" s="31">
        <f t="shared" si="46"/>
        <v>1.8579000000000001</v>
      </c>
      <c r="DD113" s="31">
        <f t="shared" si="46"/>
        <v>1.9275</v>
      </c>
      <c r="DE113" s="31">
        <f t="shared" si="46"/>
        <v>1.5301</v>
      </c>
      <c r="DF113" s="31">
        <f t="shared" si="46"/>
        <v>1.0297000000000001</v>
      </c>
      <c r="DG113" s="31">
        <f t="shared" si="46"/>
        <v>2.2322000000000002</v>
      </c>
      <c r="DH113" s="31">
        <f t="shared" si="46"/>
        <v>1.0795999999999999</v>
      </c>
      <c r="DI113" s="31">
        <f t="shared" si="46"/>
        <v>1.0510999999999999</v>
      </c>
      <c r="DJ113" s="31">
        <f t="shared" si="46"/>
        <v>1.2044999999999999</v>
      </c>
      <c r="DK113" s="31">
        <f t="shared" si="46"/>
        <v>1.2343999999999999</v>
      </c>
      <c r="DL113" s="31">
        <f t="shared" si="46"/>
        <v>1.0297000000000001</v>
      </c>
      <c r="DM113" s="31">
        <f t="shared" si="46"/>
        <v>1.6999</v>
      </c>
      <c r="DN113" s="31">
        <f t="shared" si="46"/>
        <v>1.107</v>
      </c>
      <c r="DO113" s="31">
        <f t="shared" si="46"/>
        <v>1.0397000000000001</v>
      </c>
      <c r="DP113" s="31">
        <f t="shared" si="46"/>
        <v>1.8315999999999999</v>
      </c>
      <c r="DQ113" s="31">
        <f t="shared" si="46"/>
        <v>1.1500999999999999</v>
      </c>
      <c r="DR113" s="31">
        <f t="shared" si="46"/>
        <v>1.1060000000000001</v>
      </c>
      <c r="DS113" s="31">
        <f t="shared" si="46"/>
        <v>1.2095</v>
      </c>
      <c r="DT113" s="31">
        <f t="shared" si="46"/>
        <v>1.92</v>
      </c>
      <c r="DU113" s="31">
        <f t="shared" si="46"/>
        <v>1.4191</v>
      </c>
      <c r="DV113" s="31">
        <f t="shared" si="46"/>
        <v>1.8015000000000001</v>
      </c>
      <c r="DW113" s="31">
        <f t="shared" si="46"/>
        <v>1.5051000000000001</v>
      </c>
      <c r="DX113" s="31">
        <f t="shared" si="46"/>
        <v>1.952</v>
      </c>
      <c r="DY113" s="31">
        <f t="shared" si="46"/>
        <v>1.5111000000000001</v>
      </c>
      <c r="DZ113" s="31">
        <f t="shared" si="46"/>
        <v>1.1926000000000001</v>
      </c>
      <c r="EA113" s="31">
        <f t="shared" si="46"/>
        <v>1.2238</v>
      </c>
      <c r="EB113" s="31">
        <f t="shared" si="46"/>
        <v>1.2230000000000001</v>
      </c>
      <c r="EC113" s="31">
        <f t="shared" si="46"/>
        <v>1.5304</v>
      </c>
      <c r="ED113" s="31">
        <f t="shared" si="46"/>
        <v>1.0927</v>
      </c>
      <c r="EE113" s="31">
        <f t="shared" si="46"/>
        <v>1.8632</v>
      </c>
      <c r="EF113" s="31">
        <f t="shared" si="46"/>
        <v>1.1037999999999999</v>
      </c>
      <c r="EG113" s="31">
        <f t="shared" si="46"/>
        <v>1.6303000000000001</v>
      </c>
      <c r="EH113" s="31">
        <f t="shared" si="46"/>
        <v>1.6533</v>
      </c>
      <c r="EI113" s="31">
        <f t="shared" si="46"/>
        <v>1.0297000000000001</v>
      </c>
      <c r="EJ113" s="31">
        <f t="shared" si="46"/>
        <v>1.0297000000000001</v>
      </c>
      <c r="EK113" s="31">
        <f t="shared" si="46"/>
        <v>1.1953</v>
      </c>
      <c r="EL113" s="31">
        <f t="shared" si="46"/>
        <v>1.2383999999999999</v>
      </c>
      <c r="EM113" s="31">
        <f t="shared" si="46"/>
        <v>1.3743000000000001</v>
      </c>
      <c r="EN113" s="31">
        <f t="shared" si="46"/>
        <v>1.1394</v>
      </c>
      <c r="EO113" s="31">
        <f t="shared" si="46"/>
        <v>1.4963</v>
      </c>
      <c r="EP113" s="31">
        <f t="shared" si="46"/>
        <v>1.2897000000000001</v>
      </c>
      <c r="EQ113" s="31">
        <f t="shared" si="46"/>
        <v>1.0488999999999999</v>
      </c>
      <c r="ER113" s="31">
        <f t="shared" si="46"/>
        <v>1.4893000000000001</v>
      </c>
      <c r="ES113" s="31">
        <f t="shared" si="46"/>
        <v>1.9708000000000001</v>
      </c>
      <c r="ET113" s="31">
        <f t="shared" si="46"/>
        <v>2.0855000000000001</v>
      </c>
      <c r="EU113" s="31">
        <f t="shared" si="46"/>
        <v>1.2144999999999999</v>
      </c>
      <c r="EV113" s="31">
        <f t="shared" si="46"/>
        <v>2.3108</v>
      </c>
      <c r="EW113" s="31">
        <f t="shared" si="46"/>
        <v>1.1642999999999999</v>
      </c>
      <c r="EX113" s="31">
        <f t="shared" si="46"/>
        <v>1.9313</v>
      </c>
      <c r="EY113" s="31">
        <f t="shared" si="46"/>
        <v>1.1978</v>
      </c>
      <c r="EZ113" s="31">
        <f t="shared" si="46"/>
        <v>2.0975000000000001</v>
      </c>
      <c r="FA113" s="31">
        <f t="shared" si="46"/>
        <v>1.0382</v>
      </c>
      <c r="FB113" s="31">
        <f t="shared" si="46"/>
        <v>1.5254000000000001</v>
      </c>
      <c r="FC113" s="31">
        <f t="shared" si="46"/>
        <v>1.0784</v>
      </c>
      <c r="FD113" s="31">
        <f t="shared" si="46"/>
        <v>1.3342000000000001</v>
      </c>
      <c r="FE113" s="31">
        <f t="shared" si="46"/>
        <v>2.2867000000000002</v>
      </c>
      <c r="FF113" s="31">
        <f t="shared" si="46"/>
        <v>1.8879999999999999</v>
      </c>
      <c r="FG113" s="31">
        <f t="shared" si="46"/>
        <v>2.1295000000000002</v>
      </c>
      <c r="FH113" s="31">
        <f t="shared" si="46"/>
        <v>2.3206000000000002</v>
      </c>
      <c r="FI113" s="31">
        <f t="shared" si="46"/>
        <v>1.0851</v>
      </c>
      <c r="FJ113" s="31">
        <f t="shared" si="46"/>
        <v>1.0682</v>
      </c>
      <c r="FK113" s="31">
        <f t="shared" si="46"/>
        <v>1.0501</v>
      </c>
      <c r="FL113" s="31">
        <f t="shared" si="46"/>
        <v>1.0297000000000001</v>
      </c>
      <c r="FM113" s="31">
        <f t="shared" si="46"/>
        <v>1.0345</v>
      </c>
      <c r="FN113" s="31">
        <f t="shared" si="46"/>
        <v>1.0297000000000001</v>
      </c>
      <c r="FO113" s="31">
        <f t="shared" si="46"/>
        <v>1.1165</v>
      </c>
      <c r="FP113" s="31">
        <f t="shared" si="46"/>
        <v>1.0526</v>
      </c>
      <c r="FQ113" s="31">
        <f t="shared" si="46"/>
        <v>1.1302000000000001</v>
      </c>
      <c r="FR113" s="31">
        <f t="shared" si="46"/>
        <v>1.9516</v>
      </c>
      <c r="FS113" s="31">
        <f t="shared" si="46"/>
        <v>1.9508000000000001</v>
      </c>
      <c r="FT113" s="31">
        <f t="shared" si="46"/>
        <v>2.3714</v>
      </c>
      <c r="FU113" s="31">
        <f t="shared" si="46"/>
        <v>1.1700999999999999</v>
      </c>
      <c r="FV113" s="31">
        <f t="shared" si="46"/>
        <v>1.1901999999999999</v>
      </c>
      <c r="FW113" s="31">
        <f t="shared" si="46"/>
        <v>2.0215000000000001</v>
      </c>
      <c r="FX113" s="31">
        <f t="shared" si="46"/>
        <v>2.3412999999999999</v>
      </c>
      <c r="FY113" s="101"/>
      <c r="FZ113" s="101">
        <f>SUM(C113:FX113)</f>
        <v>255.74830000000006</v>
      </c>
      <c r="GA113" s="7"/>
      <c r="GB113" s="25"/>
      <c r="GC113" s="25"/>
      <c r="GD113" s="25"/>
      <c r="GE113" s="7"/>
      <c r="GF113" s="7"/>
      <c r="GG113" s="7"/>
      <c r="GH113" s="7"/>
      <c r="GI113" s="7"/>
      <c r="GJ113" s="7"/>
      <c r="GK113" s="7"/>
    </row>
    <row r="114" spans="1:202" ht="15.5" x14ac:dyDescent="0.35">
      <c r="A114" s="7"/>
      <c r="B114" s="7" t="s">
        <v>684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31"/>
      <c r="FZ114" s="31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</row>
    <row r="115" spans="1:202" ht="15.5" x14ac:dyDescent="0.35">
      <c r="A115" s="12" t="s">
        <v>837</v>
      </c>
      <c r="B115" s="5" t="s">
        <v>838</v>
      </c>
      <c r="C115" s="31">
        <f t="shared" ref="C115:FX115" si="47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31">
        <f t="shared" si="47"/>
        <v>0.90500000000000003</v>
      </c>
      <c r="E115" s="31">
        <f t="shared" si="47"/>
        <v>0.88029999999999997</v>
      </c>
      <c r="F115" s="31">
        <f t="shared" si="47"/>
        <v>0.9</v>
      </c>
      <c r="G115" s="31">
        <f t="shared" si="47"/>
        <v>0.86080000000000001</v>
      </c>
      <c r="H115" s="31">
        <f t="shared" si="47"/>
        <v>0.84489999999999998</v>
      </c>
      <c r="I115" s="31">
        <f t="shared" si="47"/>
        <v>0.88529999999999998</v>
      </c>
      <c r="J115" s="31">
        <f t="shared" si="47"/>
        <v>0.8619</v>
      </c>
      <c r="K115" s="31">
        <f t="shared" si="47"/>
        <v>0.81210000000000004</v>
      </c>
      <c r="L115" s="31">
        <f t="shared" si="47"/>
        <v>0.86240000000000006</v>
      </c>
      <c r="M115" s="31">
        <f t="shared" si="47"/>
        <v>0.84040000000000004</v>
      </c>
      <c r="N115" s="31">
        <f t="shared" si="47"/>
        <v>0.90500000000000003</v>
      </c>
      <c r="O115" s="31">
        <f t="shared" si="47"/>
        <v>0.88959999999999995</v>
      </c>
      <c r="P115" s="31">
        <f t="shared" si="47"/>
        <v>0.81620000000000004</v>
      </c>
      <c r="Q115" s="31">
        <f t="shared" si="47"/>
        <v>0.90500000000000003</v>
      </c>
      <c r="R115" s="31">
        <f t="shared" si="47"/>
        <v>0.88439999999999996</v>
      </c>
      <c r="S115" s="31">
        <f t="shared" si="47"/>
        <v>0.85960000000000003</v>
      </c>
      <c r="T115" s="31">
        <f t="shared" si="47"/>
        <v>0.80630000000000002</v>
      </c>
      <c r="U115" s="31">
        <f t="shared" si="47"/>
        <v>0.79959999999999998</v>
      </c>
      <c r="V115" s="31">
        <f t="shared" si="47"/>
        <v>0.81240000000000001</v>
      </c>
      <c r="W115" s="31">
        <f t="shared" si="47"/>
        <v>0.79979999999999996</v>
      </c>
      <c r="X115" s="31">
        <f t="shared" si="47"/>
        <v>0.79920000000000002</v>
      </c>
      <c r="Y115" s="31">
        <f t="shared" si="47"/>
        <v>0.8387</v>
      </c>
      <c r="Z115" s="31">
        <f t="shared" si="47"/>
        <v>0.81079999999999997</v>
      </c>
      <c r="AA115" s="31">
        <f t="shared" si="47"/>
        <v>0.90500000000000003</v>
      </c>
      <c r="AB115" s="31">
        <f t="shared" si="47"/>
        <v>0.90249999999999997</v>
      </c>
      <c r="AC115" s="31">
        <f t="shared" si="47"/>
        <v>0.83899999999999997</v>
      </c>
      <c r="AD115" s="31">
        <f t="shared" si="47"/>
        <v>0.85560000000000003</v>
      </c>
      <c r="AE115" s="31">
        <f t="shared" si="47"/>
        <v>0.80220000000000002</v>
      </c>
      <c r="AF115" s="31">
        <f t="shared" si="47"/>
        <v>0.80669999999999997</v>
      </c>
      <c r="AG115" s="31">
        <f t="shared" si="47"/>
        <v>0.82950000000000002</v>
      </c>
      <c r="AH115" s="31">
        <f t="shared" si="47"/>
        <v>0.84060000000000001</v>
      </c>
      <c r="AI115" s="31">
        <f t="shared" si="47"/>
        <v>0.82050000000000001</v>
      </c>
      <c r="AJ115" s="31">
        <f t="shared" si="47"/>
        <v>0.80759999999999998</v>
      </c>
      <c r="AK115" s="31">
        <f t="shared" si="47"/>
        <v>0.80659999999999998</v>
      </c>
      <c r="AL115" s="31">
        <f t="shared" si="47"/>
        <v>0.8145</v>
      </c>
      <c r="AM115" s="31">
        <f t="shared" si="47"/>
        <v>0.81859999999999999</v>
      </c>
      <c r="AN115" s="31">
        <f t="shared" si="47"/>
        <v>0.81520000000000004</v>
      </c>
      <c r="AO115" s="31">
        <f t="shared" si="47"/>
        <v>0.87360000000000004</v>
      </c>
      <c r="AP115" s="31">
        <f t="shared" si="47"/>
        <v>0.90500000000000003</v>
      </c>
      <c r="AQ115" s="31">
        <f t="shared" si="47"/>
        <v>0.81210000000000004</v>
      </c>
      <c r="AR115" s="31">
        <f t="shared" si="47"/>
        <v>0.90500000000000003</v>
      </c>
      <c r="AS115" s="31">
        <f t="shared" si="47"/>
        <v>0.8841</v>
      </c>
      <c r="AT115" s="31">
        <f t="shared" si="47"/>
        <v>0.86339999999999995</v>
      </c>
      <c r="AU115" s="31">
        <f t="shared" si="47"/>
        <v>0.81330000000000002</v>
      </c>
      <c r="AV115" s="31">
        <f t="shared" si="47"/>
        <v>0.8155</v>
      </c>
      <c r="AW115" s="31">
        <f t="shared" si="47"/>
        <v>0.81240000000000001</v>
      </c>
      <c r="AX115" s="31">
        <f t="shared" si="47"/>
        <v>0.80120000000000002</v>
      </c>
      <c r="AY115" s="31">
        <f t="shared" si="47"/>
        <v>0.82199999999999995</v>
      </c>
      <c r="AZ115" s="31">
        <f t="shared" si="47"/>
        <v>0.88900000000000001</v>
      </c>
      <c r="BA115" s="31">
        <f t="shared" si="47"/>
        <v>0.88619999999999999</v>
      </c>
      <c r="BB115" s="31">
        <f t="shared" si="47"/>
        <v>0.88480000000000003</v>
      </c>
      <c r="BC115" s="31">
        <f t="shared" si="47"/>
        <v>0.9002</v>
      </c>
      <c r="BD115" s="31">
        <f t="shared" si="47"/>
        <v>0.86980000000000002</v>
      </c>
      <c r="BE115" s="31">
        <f t="shared" si="47"/>
        <v>0.84809999999999997</v>
      </c>
      <c r="BF115" s="31">
        <f t="shared" si="47"/>
        <v>0.90110000000000001</v>
      </c>
      <c r="BG115" s="31">
        <f t="shared" si="47"/>
        <v>0.83940000000000003</v>
      </c>
      <c r="BH115" s="31">
        <f t="shared" si="47"/>
        <v>0.82899999999999996</v>
      </c>
      <c r="BI115" s="31">
        <f t="shared" si="47"/>
        <v>0.8125</v>
      </c>
      <c r="BJ115" s="31">
        <f t="shared" si="47"/>
        <v>0.88319999999999999</v>
      </c>
      <c r="BK115" s="31">
        <f t="shared" si="47"/>
        <v>0.90500000000000003</v>
      </c>
      <c r="BL115" s="31">
        <f t="shared" si="47"/>
        <v>0.80100000000000005</v>
      </c>
      <c r="BM115" s="31">
        <f t="shared" si="47"/>
        <v>0.81899999999999995</v>
      </c>
      <c r="BN115" s="31">
        <f t="shared" si="47"/>
        <v>0.86729999999999996</v>
      </c>
      <c r="BO115" s="31">
        <f t="shared" si="47"/>
        <v>0.84989999999999999</v>
      </c>
      <c r="BP115" s="31">
        <f t="shared" si="47"/>
        <v>0.80630000000000002</v>
      </c>
      <c r="BQ115" s="31">
        <f t="shared" si="47"/>
        <v>0.88100000000000001</v>
      </c>
      <c r="BR115" s="31">
        <f t="shared" si="47"/>
        <v>0.874</v>
      </c>
      <c r="BS115" s="31">
        <f t="shared" si="47"/>
        <v>0.8468</v>
      </c>
      <c r="BT115" s="31">
        <f t="shared" si="47"/>
        <v>0.81979999999999997</v>
      </c>
      <c r="BU115" s="31">
        <f t="shared" si="47"/>
        <v>0.82120000000000004</v>
      </c>
      <c r="BV115" s="31">
        <f t="shared" si="47"/>
        <v>0.84950000000000003</v>
      </c>
      <c r="BW115" s="31">
        <f t="shared" si="47"/>
        <v>0.86170000000000002</v>
      </c>
      <c r="BX115" s="31">
        <f t="shared" si="47"/>
        <v>0.80030000000000001</v>
      </c>
      <c r="BY115" s="31">
        <f t="shared" si="47"/>
        <v>0.82350000000000001</v>
      </c>
      <c r="BZ115" s="31">
        <f t="shared" si="47"/>
        <v>0.81059999999999999</v>
      </c>
      <c r="CA115" s="31">
        <f t="shared" si="47"/>
        <v>0.8054</v>
      </c>
      <c r="CB115" s="31">
        <f t="shared" si="47"/>
        <v>0.90500000000000003</v>
      </c>
      <c r="CC115" s="31">
        <f t="shared" si="47"/>
        <v>0.80810000000000004</v>
      </c>
      <c r="CD115" s="31">
        <f t="shared" si="47"/>
        <v>0.79920000000000002</v>
      </c>
      <c r="CE115" s="31">
        <f t="shared" si="47"/>
        <v>0.80610000000000004</v>
      </c>
      <c r="CF115" s="31">
        <f t="shared" si="47"/>
        <v>0.80320000000000003</v>
      </c>
      <c r="CG115" s="31">
        <f t="shared" si="47"/>
        <v>0.80879999999999996</v>
      </c>
      <c r="CH115" s="31">
        <f t="shared" si="47"/>
        <v>0.80220000000000002</v>
      </c>
      <c r="CI115" s="31">
        <f t="shared" si="47"/>
        <v>0.83220000000000005</v>
      </c>
      <c r="CJ115" s="31">
        <f t="shared" si="47"/>
        <v>0.83789999999999998</v>
      </c>
      <c r="CK115" s="31">
        <f t="shared" si="47"/>
        <v>0.87609999999999999</v>
      </c>
      <c r="CL115" s="31">
        <f t="shared" si="47"/>
        <v>0.84930000000000005</v>
      </c>
      <c r="CM115" s="31">
        <f t="shared" si="47"/>
        <v>0.83220000000000005</v>
      </c>
      <c r="CN115" s="31">
        <f t="shared" si="47"/>
        <v>0.90500000000000003</v>
      </c>
      <c r="CO115" s="31">
        <f t="shared" si="47"/>
        <v>0.89100000000000001</v>
      </c>
      <c r="CP115" s="31">
        <f t="shared" si="47"/>
        <v>0.83989999999999998</v>
      </c>
      <c r="CQ115" s="31">
        <f t="shared" si="47"/>
        <v>0.83479999999999999</v>
      </c>
      <c r="CR115" s="31">
        <f t="shared" si="47"/>
        <v>0.80979999999999996</v>
      </c>
      <c r="CS115" s="31">
        <f t="shared" si="47"/>
        <v>0.81430000000000002</v>
      </c>
      <c r="CT115" s="31">
        <f t="shared" si="47"/>
        <v>0.80330000000000001</v>
      </c>
      <c r="CU115" s="31">
        <f t="shared" si="47"/>
        <v>0.82550000000000001</v>
      </c>
      <c r="CV115" s="31">
        <f t="shared" si="47"/>
        <v>0.79920000000000002</v>
      </c>
      <c r="CW115" s="31">
        <f t="shared" si="47"/>
        <v>0.80869999999999997</v>
      </c>
      <c r="CX115" s="31">
        <f t="shared" si="47"/>
        <v>0.82520000000000004</v>
      </c>
      <c r="CY115" s="31">
        <f t="shared" si="47"/>
        <v>0.79920000000000002</v>
      </c>
      <c r="CZ115" s="31">
        <f t="shared" si="47"/>
        <v>0.86060000000000003</v>
      </c>
      <c r="DA115" s="31">
        <f t="shared" si="47"/>
        <v>0.80900000000000005</v>
      </c>
      <c r="DB115" s="31">
        <f t="shared" si="47"/>
        <v>0.81620000000000004</v>
      </c>
      <c r="DC115" s="31">
        <f t="shared" si="47"/>
        <v>0.80840000000000001</v>
      </c>
      <c r="DD115" s="31">
        <f t="shared" si="47"/>
        <v>0.80720000000000003</v>
      </c>
      <c r="DE115" s="31">
        <f t="shared" si="47"/>
        <v>0.81430000000000002</v>
      </c>
      <c r="DF115" s="31">
        <f t="shared" si="47"/>
        <v>0.89680000000000004</v>
      </c>
      <c r="DG115" s="31">
        <f t="shared" si="47"/>
        <v>0.80200000000000005</v>
      </c>
      <c r="DH115" s="31">
        <f t="shared" si="47"/>
        <v>0.86060000000000003</v>
      </c>
      <c r="DI115" s="31">
        <f t="shared" si="47"/>
        <v>0.8639</v>
      </c>
      <c r="DJ115" s="31">
        <f t="shared" si="47"/>
        <v>0.83030000000000004</v>
      </c>
      <c r="DK115" s="31">
        <f t="shared" si="47"/>
        <v>0.82569999999999999</v>
      </c>
      <c r="DL115" s="31">
        <f t="shared" si="47"/>
        <v>0.88009999999999999</v>
      </c>
      <c r="DM115" s="31">
        <f t="shared" si="47"/>
        <v>0.81100000000000005</v>
      </c>
      <c r="DN115" s="31">
        <f t="shared" si="47"/>
        <v>0.85109999999999997</v>
      </c>
      <c r="DO115" s="31">
        <f t="shared" si="47"/>
        <v>0.86799999999999999</v>
      </c>
      <c r="DP115" s="31">
        <f t="shared" si="47"/>
        <v>0.80879999999999996</v>
      </c>
      <c r="DQ115" s="31">
        <f t="shared" si="47"/>
        <v>0.83840000000000003</v>
      </c>
      <c r="DR115" s="31">
        <f t="shared" si="47"/>
        <v>0.85170000000000001</v>
      </c>
      <c r="DS115" s="31">
        <f t="shared" si="47"/>
        <v>0.82950000000000002</v>
      </c>
      <c r="DT115" s="31">
        <f t="shared" si="47"/>
        <v>0.80730000000000002</v>
      </c>
      <c r="DU115" s="31">
        <f t="shared" si="47"/>
        <v>0.81850000000000001</v>
      </c>
      <c r="DV115" s="31">
        <f t="shared" si="47"/>
        <v>0.80930000000000002</v>
      </c>
      <c r="DW115" s="31">
        <f t="shared" si="47"/>
        <v>0.81520000000000004</v>
      </c>
      <c r="DX115" s="31">
        <f t="shared" si="47"/>
        <v>0.80679999999999996</v>
      </c>
      <c r="DY115" s="31">
        <f t="shared" si="47"/>
        <v>0.81499999999999995</v>
      </c>
      <c r="DZ115" s="31">
        <f t="shared" si="47"/>
        <v>0.83199999999999996</v>
      </c>
      <c r="EA115" s="31">
        <f t="shared" si="47"/>
        <v>0.82740000000000002</v>
      </c>
      <c r="EB115" s="31">
        <f t="shared" si="47"/>
        <v>0.82750000000000001</v>
      </c>
      <c r="EC115" s="31">
        <f t="shared" si="47"/>
        <v>0.81420000000000003</v>
      </c>
      <c r="ED115" s="31">
        <f t="shared" si="47"/>
        <v>0.85929999999999995</v>
      </c>
      <c r="EE115" s="31">
        <f t="shared" si="47"/>
        <v>0.80830000000000002</v>
      </c>
      <c r="EF115" s="31">
        <f t="shared" si="47"/>
        <v>0.85289999999999999</v>
      </c>
      <c r="EG115" s="31">
        <f t="shared" si="47"/>
        <v>0.81220000000000003</v>
      </c>
      <c r="EH115" s="31">
        <f t="shared" si="47"/>
        <v>0.81179999999999997</v>
      </c>
      <c r="EI115" s="31">
        <f t="shared" si="47"/>
        <v>0.89049999999999996</v>
      </c>
      <c r="EJ115" s="31">
        <f t="shared" si="47"/>
        <v>0.88719999999999999</v>
      </c>
      <c r="EK115" s="31">
        <f t="shared" si="47"/>
        <v>0.83160000000000001</v>
      </c>
      <c r="EL115" s="31">
        <f t="shared" si="47"/>
        <v>0.82509999999999994</v>
      </c>
      <c r="EM115" s="31">
        <f t="shared" si="47"/>
        <v>0.82020000000000004</v>
      </c>
      <c r="EN115" s="31">
        <f t="shared" si="47"/>
        <v>0.84</v>
      </c>
      <c r="EO115" s="31">
        <f t="shared" si="47"/>
        <v>0.8155</v>
      </c>
      <c r="EP115" s="31">
        <f t="shared" si="47"/>
        <v>0.82340000000000002</v>
      </c>
      <c r="EQ115" s="31">
        <f t="shared" si="47"/>
        <v>0.86470000000000002</v>
      </c>
      <c r="ER115" s="31">
        <f t="shared" si="47"/>
        <v>0.81579999999999997</v>
      </c>
      <c r="ES115" s="31">
        <f t="shared" si="47"/>
        <v>0.80640000000000001</v>
      </c>
      <c r="ET115" s="31">
        <f t="shared" si="47"/>
        <v>0.80859999999999999</v>
      </c>
      <c r="EU115" s="31">
        <f t="shared" si="47"/>
        <v>0.82869999999999999</v>
      </c>
      <c r="EV115" s="31">
        <f t="shared" si="47"/>
        <v>0.80069999999999997</v>
      </c>
      <c r="EW115" s="31">
        <f t="shared" si="47"/>
        <v>0.83630000000000004</v>
      </c>
      <c r="EX115" s="31">
        <f t="shared" si="47"/>
        <v>0.80710000000000004</v>
      </c>
      <c r="EY115" s="31">
        <f t="shared" si="47"/>
        <v>0.83130000000000004</v>
      </c>
      <c r="EZ115" s="31">
        <f t="shared" si="47"/>
        <v>0.80430000000000001</v>
      </c>
      <c r="FA115" s="31">
        <f t="shared" si="47"/>
        <v>0.86860000000000004</v>
      </c>
      <c r="FB115" s="31">
        <f t="shared" si="47"/>
        <v>0.81440000000000001</v>
      </c>
      <c r="FC115" s="31">
        <f t="shared" si="47"/>
        <v>0.86070000000000002</v>
      </c>
      <c r="FD115" s="31">
        <f t="shared" si="47"/>
        <v>0.82169999999999999</v>
      </c>
      <c r="FE115" s="31">
        <f t="shared" si="47"/>
        <v>0.80110000000000003</v>
      </c>
      <c r="FF115" s="31">
        <f t="shared" si="47"/>
        <v>0.80779999999999996</v>
      </c>
      <c r="FG115" s="31">
        <f t="shared" si="47"/>
        <v>0.80369999999999997</v>
      </c>
      <c r="FH115" s="31">
        <f t="shared" si="47"/>
        <v>0.80049999999999999</v>
      </c>
      <c r="FI115" s="31">
        <f t="shared" si="47"/>
        <v>0.86009999999999998</v>
      </c>
      <c r="FJ115" s="31">
        <f t="shared" si="47"/>
        <v>0.86170000000000002</v>
      </c>
      <c r="FK115" s="31">
        <f t="shared" si="47"/>
        <v>0.86419999999999997</v>
      </c>
      <c r="FL115" s="31">
        <f t="shared" si="47"/>
        <v>0.88570000000000004</v>
      </c>
      <c r="FM115" s="31">
        <f t="shared" si="47"/>
        <v>0.87150000000000005</v>
      </c>
      <c r="FN115" s="31">
        <f t="shared" si="47"/>
        <v>0.89839999999999998</v>
      </c>
      <c r="FO115" s="31">
        <f t="shared" si="47"/>
        <v>0.84560000000000002</v>
      </c>
      <c r="FP115" s="31">
        <f t="shared" si="47"/>
        <v>0.86329999999999996</v>
      </c>
      <c r="FQ115" s="31">
        <f t="shared" si="47"/>
        <v>0.84140000000000004</v>
      </c>
      <c r="FR115" s="31">
        <f t="shared" si="47"/>
        <v>0.80679999999999996</v>
      </c>
      <c r="FS115" s="31">
        <f t="shared" si="47"/>
        <v>0.80679999999999996</v>
      </c>
      <c r="FT115" s="31">
        <f t="shared" si="47"/>
        <v>0.79959999999999998</v>
      </c>
      <c r="FU115" s="31">
        <f t="shared" si="47"/>
        <v>0.83540000000000003</v>
      </c>
      <c r="FV115" s="31">
        <f t="shared" si="47"/>
        <v>0.83240000000000003</v>
      </c>
      <c r="FW115" s="31">
        <f t="shared" si="47"/>
        <v>0.80559999999999998</v>
      </c>
      <c r="FX115" s="31">
        <f t="shared" si="47"/>
        <v>0.80010000000000003</v>
      </c>
      <c r="FY115" s="31"/>
      <c r="FZ115" s="31" t="s">
        <v>739</v>
      </c>
      <c r="GA115" s="31"/>
      <c r="GB115" s="7"/>
      <c r="GC115" s="7"/>
      <c r="GD115" s="7"/>
      <c r="GE115" s="7"/>
      <c r="GF115" s="7"/>
      <c r="GG115" s="7"/>
      <c r="GH115" s="7"/>
      <c r="GI115" s="7"/>
      <c r="GJ115" s="7"/>
      <c r="GK115" s="7"/>
    </row>
    <row r="116" spans="1:202" ht="15.5" x14ac:dyDescent="0.35">
      <c r="A116" s="7"/>
      <c r="B116" s="7" t="s">
        <v>684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31"/>
      <c r="FZ116" s="7"/>
      <c r="GA116" s="7"/>
      <c r="GB116" s="31"/>
      <c r="GC116" s="31"/>
      <c r="GD116" s="31"/>
      <c r="GE116" s="31"/>
      <c r="GF116" s="31"/>
      <c r="GG116" s="31"/>
      <c r="GH116" s="31"/>
      <c r="GI116" s="7"/>
      <c r="GJ116" s="7"/>
      <c r="GK116" s="7"/>
    </row>
    <row r="117" spans="1:202" ht="15.5" x14ac:dyDescent="0.35">
      <c r="A117" s="12" t="s">
        <v>684</v>
      </c>
      <c r="B117" s="5" t="s">
        <v>839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31"/>
      <c r="FZ117" s="7"/>
      <c r="GA117" s="7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</row>
    <row r="118" spans="1:202" ht="15.5" x14ac:dyDescent="0.35">
      <c r="A118" s="12" t="s">
        <v>840</v>
      </c>
      <c r="B118" s="7" t="s">
        <v>841</v>
      </c>
      <c r="C118" s="7">
        <f ca="1">IFERROR(__xludf.DUMMYFUNCTION("+C39"),8691.8)</f>
        <v>8691.7999999999993</v>
      </c>
      <c r="D118" s="7">
        <f ca="1">IFERROR(__xludf.DUMMYFUNCTION("+D39"),8691.8)</f>
        <v>8691.7999999999993</v>
      </c>
      <c r="E118" s="7">
        <f ca="1">IFERROR(__xludf.DUMMYFUNCTION("+E39"),8691.8)</f>
        <v>8691.7999999999993</v>
      </c>
      <c r="F118" s="7">
        <f ca="1">IFERROR(__xludf.DUMMYFUNCTION("+F39"),8691.8)</f>
        <v>8691.7999999999993</v>
      </c>
      <c r="G118" s="7">
        <f ca="1">IFERROR(__xludf.DUMMYFUNCTION("+G39"),8691.8)</f>
        <v>8691.7999999999993</v>
      </c>
      <c r="H118" s="7">
        <f ca="1">IFERROR(__xludf.DUMMYFUNCTION("+H39"),8691.8)</f>
        <v>8691.7999999999993</v>
      </c>
      <c r="I118" s="7">
        <f ca="1">IFERROR(__xludf.DUMMYFUNCTION("+I39"),8691.8)</f>
        <v>8691.7999999999993</v>
      </c>
      <c r="J118" s="7">
        <f ca="1">IFERROR(__xludf.DUMMYFUNCTION("+J39"),8691.8)</f>
        <v>8691.7999999999993</v>
      </c>
      <c r="K118" s="7">
        <f ca="1">IFERROR(__xludf.DUMMYFUNCTION("+K39"),8691.8)</f>
        <v>8691.7999999999993</v>
      </c>
      <c r="L118" s="7">
        <f ca="1">IFERROR(__xludf.DUMMYFUNCTION("+L39"),8691.8)</f>
        <v>8691.7999999999993</v>
      </c>
      <c r="M118" s="7">
        <f ca="1">IFERROR(__xludf.DUMMYFUNCTION("+M39"),8691.8)</f>
        <v>8691.7999999999993</v>
      </c>
      <c r="N118" s="7">
        <f ca="1">IFERROR(__xludf.DUMMYFUNCTION("+N39"),8691.8)</f>
        <v>8691.7999999999993</v>
      </c>
      <c r="O118" s="7">
        <f ca="1">IFERROR(__xludf.DUMMYFUNCTION("+O39"),8691.8)</f>
        <v>8691.7999999999993</v>
      </c>
      <c r="P118" s="7">
        <f ca="1">IFERROR(__xludf.DUMMYFUNCTION("+P39"),8691.8)</f>
        <v>8691.7999999999993</v>
      </c>
      <c r="Q118" s="7">
        <f ca="1">IFERROR(__xludf.DUMMYFUNCTION("+Q39"),8691.8)</f>
        <v>8691.7999999999993</v>
      </c>
      <c r="R118" s="7">
        <f ca="1">IFERROR(__xludf.DUMMYFUNCTION("+R39"),8691.8)</f>
        <v>8691.7999999999993</v>
      </c>
      <c r="S118" s="7">
        <f ca="1">IFERROR(__xludf.DUMMYFUNCTION("+S39"),8691.8)</f>
        <v>8691.7999999999993</v>
      </c>
      <c r="T118" s="7">
        <f ca="1">IFERROR(__xludf.DUMMYFUNCTION("+T39"),8691.8)</f>
        <v>8691.7999999999993</v>
      </c>
      <c r="U118" s="7">
        <f ca="1">IFERROR(__xludf.DUMMYFUNCTION("+U39"),8691.8)</f>
        <v>8691.7999999999993</v>
      </c>
      <c r="V118" s="7">
        <f ca="1">IFERROR(__xludf.DUMMYFUNCTION("+V39"),8691.8)</f>
        <v>8691.7999999999993</v>
      </c>
      <c r="W118" s="7">
        <f ca="1">IFERROR(__xludf.DUMMYFUNCTION("+W39"),8691.8)</f>
        <v>8691.7999999999993</v>
      </c>
      <c r="X118" s="7">
        <f ca="1">IFERROR(__xludf.DUMMYFUNCTION("+X39"),8691.8)</f>
        <v>8691.7999999999993</v>
      </c>
      <c r="Y118" s="7">
        <f ca="1">IFERROR(__xludf.DUMMYFUNCTION("+Y39"),8691.8)</f>
        <v>8691.7999999999993</v>
      </c>
      <c r="Z118" s="7">
        <f ca="1">IFERROR(__xludf.DUMMYFUNCTION("+Z39"),8691.8)</f>
        <v>8691.7999999999993</v>
      </c>
      <c r="AA118" s="7">
        <f ca="1">IFERROR(__xludf.DUMMYFUNCTION("+AA39"),8691.8)</f>
        <v>8691.7999999999993</v>
      </c>
      <c r="AB118" s="7">
        <f ca="1">IFERROR(__xludf.DUMMYFUNCTION("+AB39"),8691.8)</f>
        <v>8691.7999999999993</v>
      </c>
      <c r="AC118" s="7">
        <f ca="1">IFERROR(__xludf.DUMMYFUNCTION("+AC39"),8691.8)</f>
        <v>8691.7999999999993</v>
      </c>
      <c r="AD118" s="7">
        <f ca="1">IFERROR(__xludf.DUMMYFUNCTION("+AD39"),8691.8)</f>
        <v>8691.7999999999993</v>
      </c>
      <c r="AE118" s="7">
        <f ca="1">IFERROR(__xludf.DUMMYFUNCTION("+AE39"),8691.8)</f>
        <v>8691.7999999999993</v>
      </c>
      <c r="AF118" s="7">
        <f ca="1">IFERROR(__xludf.DUMMYFUNCTION("+AF39"),8691.8)</f>
        <v>8691.7999999999993</v>
      </c>
      <c r="AG118" s="7">
        <f ca="1">IFERROR(__xludf.DUMMYFUNCTION("+AG39"),8691.8)</f>
        <v>8691.7999999999993</v>
      </c>
      <c r="AH118" s="7">
        <f ca="1">IFERROR(__xludf.DUMMYFUNCTION("+AH39"),8691.8)</f>
        <v>8691.7999999999993</v>
      </c>
      <c r="AI118" s="7">
        <f ca="1">IFERROR(__xludf.DUMMYFUNCTION("+AI39"),8691.8)</f>
        <v>8691.7999999999993</v>
      </c>
      <c r="AJ118" s="7">
        <f ca="1">IFERROR(__xludf.DUMMYFUNCTION("+AJ39"),8691.8)</f>
        <v>8691.7999999999993</v>
      </c>
      <c r="AK118" s="7">
        <f ca="1">IFERROR(__xludf.DUMMYFUNCTION("+AK39"),8691.8)</f>
        <v>8691.7999999999993</v>
      </c>
      <c r="AL118" s="7">
        <f ca="1">IFERROR(__xludf.DUMMYFUNCTION("+AL39"),8691.8)</f>
        <v>8691.7999999999993</v>
      </c>
      <c r="AM118" s="7">
        <f ca="1">IFERROR(__xludf.DUMMYFUNCTION("+AM39"),8691.8)</f>
        <v>8691.7999999999993</v>
      </c>
      <c r="AN118" s="7">
        <f ca="1">IFERROR(__xludf.DUMMYFUNCTION("+AN39"),8691.8)</f>
        <v>8691.7999999999993</v>
      </c>
      <c r="AO118" s="7">
        <f ca="1">IFERROR(__xludf.DUMMYFUNCTION("+AO39"),8691.8)</f>
        <v>8691.7999999999993</v>
      </c>
      <c r="AP118" s="7">
        <f ca="1">IFERROR(__xludf.DUMMYFUNCTION("+AP39"),8691.8)</f>
        <v>8691.7999999999993</v>
      </c>
      <c r="AQ118" s="7">
        <f ca="1">IFERROR(__xludf.DUMMYFUNCTION("+AQ39"),8691.8)</f>
        <v>8691.7999999999993</v>
      </c>
      <c r="AR118" s="7">
        <f ca="1">IFERROR(__xludf.DUMMYFUNCTION("+AR39"),8691.8)</f>
        <v>8691.7999999999993</v>
      </c>
      <c r="AS118" s="7">
        <f ca="1">IFERROR(__xludf.DUMMYFUNCTION("+AS39"),8691.8)</f>
        <v>8691.7999999999993</v>
      </c>
      <c r="AT118" s="7">
        <f ca="1">IFERROR(__xludf.DUMMYFUNCTION("+AT39"),8691.8)</f>
        <v>8691.7999999999993</v>
      </c>
      <c r="AU118" s="7">
        <f ca="1">IFERROR(__xludf.DUMMYFUNCTION("+AU39"),8691.8)</f>
        <v>8691.7999999999993</v>
      </c>
      <c r="AV118" s="7">
        <f ca="1">IFERROR(__xludf.DUMMYFUNCTION("+AV39"),8691.8)</f>
        <v>8691.7999999999993</v>
      </c>
      <c r="AW118" s="7">
        <f ca="1">IFERROR(__xludf.DUMMYFUNCTION("+AW39"),8691.8)</f>
        <v>8691.7999999999993</v>
      </c>
      <c r="AX118" s="7">
        <f ca="1">IFERROR(__xludf.DUMMYFUNCTION("+AX39"),8691.8)</f>
        <v>8691.7999999999993</v>
      </c>
      <c r="AY118" s="7">
        <f ca="1">IFERROR(__xludf.DUMMYFUNCTION("+AY39"),8691.8)</f>
        <v>8691.7999999999993</v>
      </c>
      <c r="AZ118" s="7">
        <f ca="1">IFERROR(__xludf.DUMMYFUNCTION("+AZ39"),8691.8)</f>
        <v>8691.7999999999993</v>
      </c>
      <c r="BA118" s="7">
        <f ca="1">IFERROR(__xludf.DUMMYFUNCTION("+BA39"),8691.8)</f>
        <v>8691.7999999999993</v>
      </c>
      <c r="BB118" s="7">
        <f ca="1">IFERROR(__xludf.DUMMYFUNCTION("+BB39"),8691.8)</f>
        <v>8691.7999999999993</v>
      </c>
      <c r="BC118" s="7">
        <f ca="1">IFERROR(__xludf.DUMMYFUNCTION("+BC39"),8691.8)</f>
        <v>8691.7999999999993</v>
      </c>
      <c r="BD118" s="7">
        <f ca="1">IFERROR(__xludf.DUMMYFUNCTION("+BD39"),8691.8)</f>
        <v>8691.7999999999993</v>
      </c>
      <c r="BE118" s="7">
        <f ca="1">IFERROR(__xludf.DUMMYFUNCTION("+BE39"),8691.8)</f>
        <v>8691.7999999999993</v>
      </c>
      <c r="BF118" s="7">
        <f ca="1">IFERROR(__xludf.DUMMYFUNCTION("+BF39"),8691.8)</f>
        <v>8691.7999999999993</v>
      </c>
      <c r="BG118" s="7">
        <f ca="1">IFERROR(__xludf.DUMMYFUNCTION("+BG39"),8691.8)</f>
        <v>8691.7999999999993</v>
      </c>
      <c r="BH118" s="7">
        <f ca="1">IFERROR(__xludf.DUMMYFUNCTION("+BH39"),8691.8)</f>
        <v>8691.7999999999993</v>
      </c>
      <c r="BI118" s="7">
        <f ca="1">IFERROR(__xludf.DUMMYFUNCTION("+BI39"),8691.8)</f>
        <v>8691.7999999999993</v>
      </c>
      <c r="BJ118" s="7">
        <f ca="1">IFERROR(__xludf.DUMMYFUNCTION("+BJ39"),8691.8)</f>
        <v>8691.7999999999993</v>
      </c>
      <c r="BK118" s="7">
        <f ca="1">IFERROR(__xludf.DUMMYFUNCTION("+BK39"),8691.8)</f>
        <v>8691.7999999999993</v>
      </c>
      <c r="BL118" s="7">
        <f ca="1">IFERROR(__xludf.DUMMYFUNCTION("+BL39"),8691.8)</f>
        <v>8691.7999999999993</v>
      </c>
      <c r="BM118" s="7">
        <f ca="1">IFERROR(__xludf.DUMMYFUNCTION("+BM39"),8691.8)</f>
        <v>8691.7999999999993</v>
      </c>
      <c r="BN118" s="7">
        <f ca="1">IFERROR(__xludf.DUMMYFUNCTION("+BN39"),8691.8)</f>
        <v>8691.7999999999993</v>
      </c>
      <c r="BO118" s="7">
        <f ca="1">IFERROR(__xludf.DUMMYFUNCTION("+BO39"),8691.8)</f>
        <v>8691.7999999999993</v>
      </c>
      <c r="BP118" s="7">
        <f ca="1">IFERROR(__xludf.DUMMYFUNCTION("+BP39"),8691.8)</f>
        <v>8691.7999999999993</v>
      </c>
      <c r="BQ118" s="7">
        <f ca="1">IFERROR(__xludf.DUMMYFUNCTION("+BQ39"),8691.8)</f>
        <v>8691.7999999999993</v>
      </c>
      <c r="BR118" s="7">
        <f ca="1">IFERROR(__xludf.DUMMYFUNCTION("+BR39"),8691.8)</f>
        <v>8691.7999999999993</v>
      </c>
      <c r="BS118" s="7">
        <f ca="1">IFERROR(__xludf.DUMMYFUNCTION("+BS39"),8691.8)</f>
        <v>8691.7999999999993</v>
      </c>
      <c r="BT118" s="7">
        <f ca="1">IFERROR(__xludf.DUMMYFUNCTION("+BT39"),8691.8)</f>
        <v>8691.7999999999993</v>
      </c>
      <c r="BU118" s="7">
        <f ca="1">IFERROR(__xludf.DUMMYFUNCTION("+BU39"),8691.8)</f>
        <v>8691.7999999999993</v>
      </c>
      <c r="BV118" s="7">
        <f ca="1">IFERROR(__xludf.DUMMYFUNCTION("+BV39"),8691.8)</f>
        <v>8691.7999999999993</v>
      </c>
      <c r="BW118" s="7">
        <f ca="1">IFERROR(__xludf.DUMMYFUNCTION("+BW39"),8691.8)</f>
        <v>8691.7999999999993</v>
      </c>
      <c r="BX118" s="7">
        <f ca="1">IFERROR(__xludf.DUMMYFUNCTION("+BX39"),8691.8)</f>
        <v>8691.7999999999993</v>
      </c>
      <c r="BY118" s="7">
        <f ca="1">IFERROR(__xludf.DUMMYFUNCTION("+BY39"),8691.8)</f>
        <v>8691.7999999999993</v>
      </c>
      <c r="BZ118" s="7">
        <f ca="1">IFERROR(__xludf.DUMMYFUNCTION("+BZ39"),8691.8)</f>
        <v>8691.7999999999993</v>
      </c>
      <c r="CA118" s="7">
        <f ca="1">IFERROR(__xludf.DUMMYFUNCTION("+CA39"),8691.8)</f>
        <v>8691.7999999999993</v>
      </c>
      <c r="CB118" s="7">
        <f ca="1">IFERROR(__xludf.DUMMYFUNCTION("+CB39"),8691.8)</f>
        <v>8691.7999999999993</v>
      </c>
      <c r="CC118" s="7">
        <f ca="1">IFERROR(__xludf.DUMMYFUNCTION("+CC39"),8691.8)</f>
        <v>8691.7999999999993</v>
      </c>
      <c r="CD118" s="7">
        <f ca="1">IFERROR(__xludf.DUMMYFUNCTION("+CD39"),8691.8)</f>
        <v>8691.7999999999993</v>
      </c>
      <c r="CE118" s="7">
        <f ca="1">IFERROR(__xludf.DUMMYFUNCTION("+CE39"),8691.8)</f>
        <v>8691.7999999999993</v>
      </c>
      <c r="CF118" s="7">
        <f ca="1">IFERROR(__xludf.DUMMYFUNCTION("+CF39"),8691.8)</f>
        <v>8691.7999999999993</v>
      </c>
      <c r="CG118" s="7">
        <f ca="1">IFERROR(__xludf.DUMMYFUNCTION("+CG39"),8691.8)</f>
        <v>8691.7999999999993</v>
      </c>
      <c r="CH118" s="7">
        <f ca="1">IFERROR(__xludf.DUMMYFUNCTION("+CH39"),8691.8)</f>
        <v>8691.7999999999993</v>
      </c>
      <c r="CI118" s="7">
        <f ca="1">IFERROR(__xludf.DUMMYFUNCTION("+CI39"),8691.8)</f>
        <v>8691.7999999999993</v>
      </c>
      <c r="CJ118" s="7">
        <f ca="1">IFERROR(__xludf.DUMMYFUNCTION("+CJ39"),8691.8)</f>
        <v>8691.7999999999993</v>
      </c>
      <c r="CK118" s="7">
        <f ca="1">IFERROR(__xludf.DUMMYFUNCTION("+CK39"),8691.8)</f>
        <v>8691.7999999999993</v>
      </c>
      <c r="CL118" s="7">
        <f ca="1">IFERROR(__xludf.DUMMYFUNCTION("+CL39"),8691.8)</f>
        <v>8691.7999999999993</v>
      </c>
      <c r="CM118" s="7">
        <f ca="1">IFERROR(__xludf.DUMMYFUNCTION("+CM39"),8691.8)</f>
        <v>8691.7999999999993</v>
      </c>
      <c r="CN118" s="7">
        <f ca="1">IFERROR(__xludf.DUMMYFUNCTION("+CN39"),8691.8)</f>
        <v>8691.7999999999993</v>
      </c>
      <c r="CO118" s="7">
        <f ca="1">IFERROR(__xludf.DUMMYFUNCTION("+CO39"),8691.8)</f>
        <v>8691.7999999999993</v>
      </c>
      <c r="CP118" s="7">
        <f ca="1">IFERROR(__xludf.DUMMYFUNCTION("+CP39"),8691.8)</f>
        <v>8691.7999999999993</v>
      </c>
      <c r="CQ118" s="7">
        <f ca="1">IFERROR(__xludf.DUMMYFUNCTION("+CQ39"),8691.8)</f>
        <v>8691.7999999999993</v>
      </c>
      <c r="CR118" s="7">
        <f ca="1">IFERROR(__xludf.DUMMYFUNCTION("+CR39"),8691.8)</f>
        <v>8691.7999999999993</v>
      </c>
      <c r="CS118" s="7">
        <f ca="1">IFERROR(__xludf.DUMMYFUNCTION("+CS39"),8691.8)</f>
        <v>8691.7999999999993</v>
      </c>
      <c r="CT118" s="7">
        <f ca="1">IFERROR(__xludf.DUMMYFUNCTION("+CT39"),8691.8)</f>
        <v>8691.7999999999993</v>
      </c>
      <c r="CU118" s="7">
        <f ca="1">IFERROR(__xludf.DUMMYFUNCTION("+CU39"),8691.8)</f>
        <v>8691.7999999999993</v>
      </c>
      <c r="CV118" s="7">
        <f ca="1">IFERROR(__xludf.DUMMYFUNCTION("+CV39"),8691.8)</f>
        <v>8691.7999999999993</v>
      </c>
      <c r="CW118" s="7">
        <f ca="1">IFERROR(__xludf.DUMMYFUNCTION("+CW39"),8691.8)</f>
        <v>8691.7999999999993</v>
      </c>
      <c r="CX118" s="7">
        <f ca="1">IFERROR(__xludf.DUMMYFUNCTION("+CX39"),8691.8)</f>
        <v>8691.7999999999993</v>
      </c>
      <c r="CY118" s="7">
        <f ca="1">IFERROR(__xludf.DUMMYFUNCTION("+CY39"),8691.8)</f>
        <v>8691.7999999999993</v>
      </c>
      <c r="CZ118" s="7">
        <f ca="1">IFERROR(__xludf.DUMMYFUNCTION("+CZ39"),8691.8)</f>
        <v>8691.7999999999993</v>
      </c>
      <c r="DA118" s="7">
        <f ca="1">IFERROR(__xludf.DUMMYFUNCTION("+DA39"),8691.8)</f>
        <v>8691.7999999999993</v>
      </c>
      <c r="DB118" s="7">
        <f ca="1">IFERROR(__xludf.DUMMYFUNCTION("+DB39"),8691.8)</f>
        <v>8691.7999999999993</v>
      </c>
      <c r="DC118" s="7">
        <f ca="1">IFERROR(__xludf.DUMMYFUNCTION("+DC39"),8691.8)</f>
        <v>8691.7999999999993</v>
      </c>
      <c r="DD118" s="7">
        <f ca="1">IFERROR(__xludf.DUMMYFUNCTION("+DD39"),8691.8)</f>
        <v>8691.7999999999993</v>
      </c>
      <c r="DE118" s="7">
        <f ca="1">IFERROR(__xludf.DUMMYFUNCTION("+DE39"),8691.8)</f>
        <v>8691.7999999999993</v>
      </c>
      <c r="DF118" s="7">
        <f ca="1">IFERROR(__xludf.DUMMYFUNCTION("+DF39"),8691.8)</f>
        <v>8691.7999999999993</v>
      </c>
      <c r="DG118" s="7">
        <f ca="1">IFERROR(__xludf.DUMMYFUNCTION("+DG39"),8691.8)</f>
        <v>8691.7999999999993</v>
      </c>
      <c r="DH118" s="7">
        <f ca="1">IFERROR(__xludf.DUMMYFUNCTION("+DH39"),8691.8)</f>
        <v>8691.7999999999993</v>
      </c>
      <c r="DI118" s="7">
        <f ca="1">IFERROR(__xludf.DUMMYFUNCTION("+DI39"),8691.8)</f>
        <v>8691.7999999999993</v>
      </c>
      <c r="DJ118" s="7">
        <f ca="1">IFERROR(__xludf.DUMMYFUNCTION("+DJ39"),8691.8)</f>
        <v>8691.7999999999993</v>
      </c>
      <c r="DK118" s="7">
        <f ca="1">IFERROR(__xludf.DUMMYFUNCTION("+DK39"),8691.8)</f>
        <v>8691.7999999999993</v>
      </c>
      <c r="DL118" s="7">
        <f ca="1">IFERROR(__xludf.DUMMYFUNCTION("+DL39"),8691.8)</f>
        <v>8691.7999999999993</v>
      </c>
      <c r="DM118" s="7">
        <f ca="1">IFERROR(__xludf.DUMMYFUNCTION("+DM39"),8691.8)</f>
        <v>8691.7999999999993</v>
      </c>
      <c r="DN118" s="7">
        <f ca="1">IFERROR(__xludf.DUMMYFUNCTION("+DN39"),8691.8)</f>
        <v>8691.7999999999993</v>
      </c>
      <c r="DO118" s="7">
        <f ca="1">IFERROR(__xludf.DUMMYFUNCTION("+DO39"),8691.8)</f>
        <v>8691.7999999999993</v>
      </c>
      <c r="DP118" s="7">
        <f ca="1">IFERROR(__xludf.DUMMYFUNCTION("+DP39"),8691.8)</f>
        <v>8691.7999999999993</v>
      </c>
      <c r="DQ118" s="7">
        <f ca="1">IFERROR(__xludf.DUMMYFUNCTION("+DQ39"),8691.8)</f>
        <v>8691.7999999999993</v>
      </c>
      <c r="DR118" s="7">
        <f ca="1">IFERROR(__xludf.DUMMYFUNCTION("+DR39"),8691.8)</f>
        <v>8691.7999999999993</v>
      </c>
      <c r="DS118" s="7">
        <f ca="1">IFERROR(__xludf.DUMMYFUNCTION("+DS39"),8691.8)</f>
        <v>8691.7999999999993</v>
      </c>
      <c r="DT118" s="7">
        <f ca="1">IFERROR(__xludf.DUMMYFUNCTION("+DT39"),8691.8)</f>
        <v>8691.7999999999993</v>
      </c>
      <c r="DU118" s="7">
        <f ca="1">IFERROR(__xludf.DUMMYFUNCTION("+DU39"),8691.8)</f>
        <v>8691.7999999999993</v>
      </c>
      <c r="DV118" s="7">
        <f ca="1">IFERROR(__xludf.DUMMYFUNCTION("+DV39"),8691.8)</f>
        <v>8691.7999999999993</v>
      </c>
      <c r="DW118" s="7">
        <f ca="1">IFERROR(__xludf.DUMMYFUNCTION("+DW39"),8691.8)</f>
        <v>8691.7999999999993</v>
      </c>
      <c r="DX118" s="7">
        <f ca="1">IFERROR(__xludf.DUMMYFUNCTION("+DX39"),8691.8)</f>
        <v>8691.7999999999993</v>
      </c>
      <c r="DY118" s="7">
        <f ca="1">IFERROR(__xludf.DUMMYFUNCTION("+DY39"),8691.8)</f>
        <v>8691.7999999999993</v>
      </c>
      <c r="DZ118" s="7">
        <f ca="1">IFERROR(__xludf.DUMMYFUNCTION("+DZ39"),8691.8)</f>
        <v>8691.7999999999993</v>
      </c>
      <c r="EA118" s="7">
        <f ca="1">IFERROR(__xludf.DUMMYFUNCTION("+EA39"),8691.8)</f>
        <v>8691.7999999999993</v>
      </c>
      <c r="EB118" s="7">
        <f ca="1">IFERROR(__xludf.DUMMYFUNCTION("+EB39"),8691.8)</f>
        <v>8691.7999999999993</v>
      </c>
      <c r="EC118" s="7">
        <f ca="1">IFERROR(__xludf.DUMMYFUNCTION("+EC39"),8691.8)</f>
        <v>8691.7999999999993</v>
      </c>
      <c r="ED118" s="7">
        <f ca="1">IFERROR(__xludf.DUMMYFUNCTION("+ED39"),8691.8)</f>
        <v>8691.7999999999993</v>
      </c>
      <c r="EE118" s="7">
        <f ca="1">IFERROR(__xludf.DUMMYFUNCTION("+EE39"),8691.8)</f>
        <v>8691.7999999999993</v>
      </c>
      <c r="EF118" s="7">
        <f ca="1">IFERROR(__xludf.DUMMYFUNCTION("+EF39"),8691.8)</f>
        <v>8691.7999999999993</v>
      </c>
      <c r="EG118" s="7">
        <f ca="1">IFERROR(__xludf.DUMMYFUNCTION("+EG39"),8691.8)</f>
        <v>8691.7999999999993</v>
      </c>
      <c r="EH118" s="7">
        <f ca="1">IFERROR(__xludf.DUMMYFUNCTION("+EH39"),8691.8)</f>
        <v>8691.7999999999993</v>
      </c>
      <c r="EI118" s="7">
        <f ca="1">IFERROR(__xludf.DUMMYFUNCTION("+EI39"),8691.8)</f>
        <v>8691.7999999999993</v>
      </c>
      <c r="EJ118" s="7">
        <f ca="1">IFERROR(__xludf.DUMMYFUNCTION("+EJ39"),8691.8)</f>
        <v>8691.7999999999993</v>
      </c>
      <c r="EK118" s="7">
        <f ca="1">IFERROR(__xludf.DUMMYFUNCTION("+EK39"),8691.8)</f>
        <v>8691.7999999999993</v>
      </c>
      <c r="EL118" s="7">
        <f ca="1">IFERROR(__xludf.DUMMYFUNCTION("+EL39"),8691.8)</f>
        <v>8691.7999999999993</v>
      </c>
      <c r="EM118" s="7">
        <f ca="1">IFERROR(__xludf.DUMMYFUNCTION("+EM39"),8691.8)</f>
        <v>8691.7999999999993</v>
      </c>
      <c r="EN118" s="7">
        <f ca="1">IFERROR(__xludf.DUMMYFUNCTION("+EN39"),8691.8)</f>
        <v>8691.7999999999993</v>
      </c>
      <c r="EO118" s="7">
        <f ca="1">IFERROR(__xludf.DUMMYFUNCTION("+EO39"),8691.8)</f>
        <v>8691.7999999999993</v>
      </c>
      <c r="EP118" s="7">
        <f ca="1">IFERROR(__xludf.DUMMYFUNCTION("+EP39"),8691.8)</f>
        <v>8691.7999999999993</v>
      </c>
      <c r="EQ118" s="7">
        <f ca="1">IFERROR(__xludf.DUMMYFUNCTION("+EQ39"),8691.8)</f>
        <v>8691.7999999999993</v>
      </c>
      <c r="ER118" s="7">
        <f ca="1">IFERROR(__xludf.DUMMYFUNCTION("+ER39"),8691.8)</f>
        <v>8691.7999999999993</v>
      </c>
      <c r="ES118" s="7">
        <f ca="1">IFERROR(__xludf.DUMMYFUNCTION("+ES39"),8691.8)</f>
        <v>8691.7999999999993</v>
      </c>
      <c r="ET118" s="7">
        <f ca="1">IFERROR(__xludf.DUMMYFUNCTION("+ET39"),8691.8)</f>
        <v>8691.7999999999993</v>
      </c>
      <c r="EU118" s="7">
        <f ca="1">IFERROR(__xludf.DUMMYFUNCTION("+EU39"),8691.8)</f>
        <v>8691.7999999999993</v>
      </c>
      <c r="EV118" s="7">
        <f ca="1">IFERROR(__xludf.DUMMYFUNCTION("+EV39"),8691.8)</f>
        <v>8691.7999999999993</v>
      </c>
      <c r="EW118" s="7">
        <f ca="1">IFERROR(__xludf.DUMMYFUNCTION("+EW39"),8691.8)</f>
        <v>8691.7999999999993</v>
      </c>
      <c r="EX118" s="7">
        <f ca="1">IFERROR(__xludf.DUMMYFUNCTION("+EX39"),8691.8)</f>
        <v>8691.7999999999993</v>
      </c>
      <c r="EY118" s="7">
        <f ca="1">IFERROR(__xludf.DUMMYFUNCTION("+EY39"),8691.8)</f>
        <v>8691.7999999999993</v>
      </c>
      <c r="EZ118" s="7">
        <f ca="1">IFERROR(__xludf.DUMMYFUNCTION("+EZ39"),8691.8)</f>
        <v>8691.7999999999993</v>
      </c>
      <c r="FA118" s="7">
        <f ca="1">IFERROR(__xludf.DUMMYFUNCTION("+FA39"),8691.8)</f>
        <v>8691.7999999999993</v>
      </c>
      <c r="FB118" s="7">
        <f ca="1">IFERROR(__xludf.DUMMYFUNCTION("+FB39"),8691.8)</f>
        <v>8691.7999999999993</v>
      </c>
      <c r="FC118" s="7">
        <f ca="1">IFERROR(__xludf.DUMMYFUNCTION("+FC39"),8691.8)</f>
        <v>8691.7999999999993</v>
      </c>
      <c r="FD118" s="7">
        <f ca="1">IFERROR(__xludf.DUMMYFUNCTION("+FD39"),8691.8)</f>
        <v>8691.7999999999993</v>
      </c>
      <c r="FE118" s="7">
        <f ca="1">IFERROR(__xludf.DUMMYFUNCTION("+FE39"),8691.8)</f>
        <v>8691.7999999999993</v>
      </c>
      <c r="FF118" s="7">
        <f ca="1">IFERROR(__xludf.DUMMYFUNCTION("+FF39"),8691.8)</f>
        <v>8691.7999999999993</v>
      </c>
      <c r="FG118" s="7">
        <f ca="1">IFERROR(__xludf.DUMMYFUNCTION("+FG39"),8691.8)</f>
        <v>8691.7999999999993</v>
      </c>
      <c r="FH118" s="7">
        <f ca="1">IFERROR(__xludf.DUMMYFUNCTION("+FH39"),8691.8)</f>
        <v>8691.7999999999993</v>
      </c>
      <c r="FI118" s="7">
        <f ca="1">IFERROR(__xludf.DUMMYFUNCTION("+FI39"),8691.8)</f>
        <v>8691.7999999999993</v>
      </c>
      <c r="FJ118" s="7">
        <f ca="1">IFERROR(__xludf.DUMMYFUNCTION("+FJ39"),8691.8)</f>
        <v>8691.7999999999993</v>
      </c>
      <c r="FK118" s="7">
        <f ca="1">IFERROR(__xludf.DUMMYFUNCTION("+FK39"),8691.8)</f>
        <v>8691.7999999999993</v>
      </c>
      <c r="FL118" s="7">
        <f ca="1">IFERROR(__xludf.DUMMYFUNCTION("+FL39"),8691.8)</f>
        <v>8691.7999999999993</v>
      </c>
      <c r="FM118" s="7">
        <f ca="1">IFERROR(__xludf.DUMMYFUNCTION("+FM39"),8691.8)</f>
        <v>8691.7999999999993</v>
      </c>
      <c r="FN118" s="7">
        <f ca="1">IFERROR(__xludf.DUMMYFUNCTION("+FN39"),8691.8)</f>
        <v>8691.7999999999993</v>
      </c>
      <c r="FO118" s="7">
        <f ca="1">IFERROR(__xludf.DUMMYFUNCTION("+FO39"),8691.8)</f>
        <v>8691.7999999999993</v>
      </c>
      <c r="FP118" s="7">
        <f ca="1">IFERROR(__xludf.DUMMYFUNCTION("+FP39"),8691.8)</f>
        <v>8691.7999999999993</v>
      </c>
      <c r="FQ118" s="7">
        <f ca="1">IFERROR(__xludf.DUMMYFUNCTION("+FQ39"),8691.8)</f>
        <v>8691.7999999999993</v>
      </c>
      <c r="FR118" s="7">
        <f ca="1">IFERROR(__xludf.DUMMYFUNCTION("+FR39"),8691.8)</f>
        <v>8691.7999999999993</v>
      </c>
      <c r="FS118" s="7">
        <f ca="1">IFERROR(__xludf.DUMMYFUNCTION("+FS39"),8691.8)</f>
        <v>8691.7999999999993</v>
      </c>
      <c r="FT118" s="7">
        <f ca="1">IFERROR(__xludf.DUMMYFUNCTION("+FT39"),8691.8)</f>
        <v>8691.7999999999993</v>
      </c>
      <c r="FU118" s="7">
        <f ca="1">IFERROR(__xludf.DUMMYFUNCTION("+FU39"),8691.8)</f>
        <v>8691.7999999999993</v>
      </c>
      <c r="FV118" s="7">
        <f ca="1">IFERROR(__xludf.DUMMYFUNCTION("+FV39"),8691.8)</f>
        <v>8691.7999999999993</v>
      </c>
      <c r="FW118" s="7">
        <f ca="1">IFERROR(__xludf.DUMMYFUNCTION("+FW39"),8691.8)</f>
        <v>8691.7999999999993</v>
      </c>
      <c r="FX118" s="7">
        <f ca="1">IFERROR(__xludf.DUMMYFUNCTION("+FX39"),8691.8)</f>
        <v>8691.7999999999993</v>
      </c>
      <c r="FY118" s="31"/>
      <c r="FZ118" s="7"/>
      <c r="GA118" s="31"/>
      <c r="GB118" s="31"/>
      <c r="GC118" s="31"/>
      <c r="GD118" s="31"/>
      <c r="GE118" s="7"/>
      <c r="GF118" s="7"/>
      <c r="GG118" s="7"/>
      <c r="GH118" s="7"/>
      <c r="GI118" s="7"/>
      <c r="GJ118" s="7"/>
      <c r="GK118" s="7"/>
    </row>
    <row r="119" spans="1:202" ht="15.5" x14ac:dyDescent="0.35">
      <c r="A119" s="12" t="s">
        <v>842</v>
      </c>
      <c r="B119" s="7" t="s">
        <v>843</v>
      </c>
      <c r="C119" s="31">
        <f ca="1">IFERROR(__xludf.DUMMYFUNCTION("+C115"),0.8843)</f>
        <v>0.88429999999999997</v>
      </c>
      <c r="D119" s="31">
        <f ca="1">IFERROR(__xludf.DUMMYFUNCTION("+D115"),0.905)</f>
        <v>0.90500000000000003</v>
      </c>
      <c r="E119" s="31">
        <f ca="1">IFERROR(__xludf.DUMMYFUNCTION("+E115"),0.8803)</f>
        <v>0.88029999999999997</v>
      </c>
      <c r="F119" s="31">
        <f ca="1">IFERROR(__xludf.DUMMYFUNCTION("+F115"),0.9)</f>
        <v>0.9</v>
      </c>
      <c r="G119" s="31">
        <f ca="1">IFERROR(__xludf.DUMMYFUNCTION("+G115"),0.8608)</f>
        <v>0.86080000000000001</v>
      </c>
      <c r="H119" s="31">
        <f ca="1">IFERROR(__xludf.DUMMYFUNCTION("+H115"),0.8449)</f>
        <v>0.84489999999999998</v>
      </c>
      <c r="I119" s="31">
        <f ca="1">IFERROR(__xludf.DUMMYFUNCTION("+I115"),0.8853)</f>
        <v>0.88529999999999998</v>
      </c>
      <c r="J119" s="31">
        <f ca="1">IFERROR(__xludf.DUMMYFUNCTION("+J115"),0.8619)</f>
        <v>0.8619</v>
      </c>
      <c r="K119" s="31">
        <f ca="1">IFERROR(__xludf.DUMMYFUNCTION("+K115"),0.8121)</f>
        <v>0.81210000000000004</v>
      </c>
      <c r="L119" s="31">
        <f ca="1">IFERROR(__xludf.DUMMYFUNCTION("+L115"),0.8624)</f>
        <v>0.86240000000000006</v>
      </c>
      <c r="M119" s="31">
        <f ca="1">IFERROR(__xludf.DUMMYFUNCTION("+M115"),0.8404)</f>
        <v>0.84040000000000004</v>
      </c>
      <c r="N119" s="31">
        <f ca="1">IFERROR(__xludf.DUMMYFUNCTION("+N115"),0.905)</f>
        <v>0.90500000000000003</v>
      </c>
      <c r="O119" s="31">
        <f ca="1">IFERROR(__xludf.DUMMYFUNCTION("+O115"),0.8896)</f>
        <v>0.88959999999999995</v>
      </c>
      <c r="P119" s="31">
        <f ca="1">IFERROR(__xludf.DUMMYFUNCTION("+P115"),0.8162)</f>
        <v>0.81620000000000004</v>
      </c>
      <c r="Q119" s="31">
        <f ca="1">IFERROR(__xludf.DUMMYFUNCTION("+Q115"),0.905)</f>
        <v>0.90500000000000003</v>
      </c>
      <c r="R119" s="31">
        <f ca="1">IFERROR(__xludf.DUMMYFUNCTION("+R115"),0.8844)</f>
        <v>0.88439999999999996</v>
      </c>
      <c r="S119" s="31">
        <f ca="1">IFERROR(__xludf.DUMMYFUNCTION("+S115"),0.8596)</f>
        <v>0.85960000000000003</v>
      </c>
      <c r="T119" s="31">
        <f ca="1">IFERROR(__xludf.DUMMYFUNCTION("+T115"),0.8063)</f>
        <v>0.80630000000000002</v>
      </c>
      <c r="U119" s="31">
        <f ca="1">IFERROR(__xludf.DUMMYFUNCTION("+U115"),0.7996)</f>
        <v>0.79959999999999998</v>
      </c>
      <c r="V119" s="31">
        <f ca="1">IFERROR(__xludf.DUMMYFUNCTION("+V115"),0.8124)</f>
        <v>0.81240000000000001</v>
      </c>
      <c r="W119" s="31">
        <f ca="1">IFERROR(__xludf.DUMMYFUNCTION("+W115"),0.7998)</f>
        <v>0.79979999999999996</v>
      </c>
      <c r="X119" s="31">
        <f ca="1">IFERROR(__xludf.DUMMYFUNCTION("+X115"),0.7992)</f>
        <v>0.79920000000000002</v>
      </c>
      <c r="Y119" s="31">
        <f ca="1">IFERROR(__xludf.DUMMYFUNCTION("+Y115"),0.8387)</f>
        <v>0.8387</v>
      </c>
      <c r="Z119" s="31">
        <f ca="1">IFERROR(__xludf.DUMMYFUNCTION("+Z115"),0.8108)</f>
        <v>0.81079999999999997</v>
      </c>
      <c r="AA119" s="31">
        <f ca="1">IFERROR(__xludf.DUMMYFUNCTION("+AA115"),0.905)</f>
        <v>0.90500000000000003</v>
      </c>
      <c r="AB119" s="31">
        <f ca="1">IFERROR(__xludf.DUMMYFUNCTION("+AB115"),0.9025)</f>
        <v>0.90249999999999997</v>
      </c>
      <c r="AC119" s="31">
        <f ca="1">IFERROR(__xludf.DUMMYFUNCTION("+AC115"),0.839)</f>
        <v>0.83899999999999997</v>
      </c>
      <c r="AD119" s="31">
        <f ca="1">IFERROR(__xludf.DUMMYFUNCTION("+AD115"),0.8556)</f>
        <v>0.85560000000000003</v>
      </c>
      <c r="AE119" s="31">
        <f ca="1">IFERROR(__xludf.DUMMYFUNCTION("+AE115"),0.8022)</f>
        <v>0.80220000000000002</v>
      </c>
      <c r="AF119" s="31">
        <f ca="1">IFERROR(__xludf.DUMMYFUNCTION("+AF115"),0.8067)</f>
        <v>0.80669999999999997</v>
      </c>
      <c r="AG119" s="31">
        <f ca="1">IFERROR(__xludf.DUMMYFUNCTION("+AG115"),0.8295)</f>
        <v>0.82950000000000002</v>
      </c>
      <c r="AH119" s="31">
        <f ca="1">IFERROR(__xludf.DUMMYFUNCTION("+AH115"),0.8406)</f>
        <v>0.84060000000000001</v>
      </c>
      <c r="AI119" s="31">
        <f ca="1">IFERROR(__xludf.DUMMYFUNCTION("+AI115"),0.8205)</f>
        <v>0.82050000000000001</v>
      </c>
      <c r="AJ119" s="31">
        <f ca="1">IFERROR(__xludf.DUMMYFUNCTION("+AJ115"),0.8076)</f>
        <v>0.80759999999999998</v>
      </c>
      <c r="AK119" s="31">
        <f ca="1">IFERROR(__xludf.DUMMYFUNCTION("+AK115"),0.8066)</f>
        <v>0.80659999999999998</v>
      </c>
      <c r="AL119" s="31">
        <f ca="1">IFERROR(__xludf.DUMMYFUNCTION("+AL115"),0.8145)</f>
        <v>0.8145</v>
      </c>
      <c r="AM119" s="31">
        <f ca="1">IFERROR(__xludf.DUMMYFUNCTION("+AM115"),0.8186)</f>
        <v>0.81859999999999999</v>
      </c>
      <c r="AN119" s="31">
        <f ca="1">IFERROR(__xludf.DUMMYFUNCTION("+AN115"),0.8152)</f>
        <v>0.81520000000000004</v>
      </c>
      <c r="AO119" s="31">
        <f ca="1">IFERROR(__xludf.DUMMYFUNCTION("+AO115"),0.8736)</f>
        <v>0.87360000000000004</v>
      </c>
      <c r="AP119" s="31">
        <f ca="1">IFERROR(__xludf.DUMMYFUNCTION("+AP115"),0.905)</f>
        <v>0.90500000000000003</v>
      </c>
      <c r="AQ119" s="31">
        <f ca="1">IFERROR(__xludf.DUMMYFUNCTION("+AQ115"),0.8121)</f>
        <v>0.81210000000000004</v>
      </c>
      <c r="AR119" s="31">
        <f ca="1">IFERROR(__xludf.DUMMYFUNCTION("+AR115"),0.905)</f>
        <v>0.90500000000000003</v>
      </c>
      <c r="AS119" s="31">
        <f ca="1">IFERROR(__xludf.DUMMYFUNCTION("+AS115"),0.8841)</f>
        <v>0.8841</v>
      </c>
      <c r="AT119" s="31">
        <f ca="1">IFERROR(__xludf.DUMMYFUNCTION("+AT115"),0.8634)</f>
        <v>0.86339999999999995</v>
      </c>
      <c r="AU119" s="31">
        <f ca="1">IFERROR(__xludf.DUMMYFUNCTION("+AU115"),0.8133)</f>
        <v>0.81330000000000002</v>
      </c>
      <c r="AV119" s="31">
        <f ca="1">IFERROR(__xludf.DUMMYFUNCTION("+AV115"),0.8155)</f>
        <v>0.8155</v>
      </c>
      <c r="AW119" s="31">
        <f ca="1">IFERROR(__xludf.DUMMYFUNCTION("+AW115"),0.8124)</f>
        <v>0.81240000000000001</v>
      </c>
      <c r="AX119" s="31">
        <f ca="1">IFERROR(__xludf.DUMMYFUNCTION("+AX115"),0.8012)</f>
        <v>0.80120000000000002</v>
      </c>
      <c r="AY119" s="31">
        <f ca="1">IFERROR(__xludf.DUMMYFUNCTION("+AY115"),0.822)</f>
        <v>0.82199999999999995</v>
      </c>
      <c r="AZ119" s="31">
        <f ca="1">IFERROR(__xludf.DUMMYFUNCTION("+AZ115"),0.889)</f>
        <v>0.88900000000000001</v>
      </c>
      <c r="BA119" s="31">
        <f ca="1">IFERROR(__xludf.DUMMYFUNCTION("+BA115"),0.8862)</f>
        <v>0.88619999999999999</v>
      </c>
      <c r="BB119" s="31">
        <f ca="1">IFERROR(__xludf.DUMMYFUNCTION("+BB115"),0.8848)</f>
        <v>0.88480000000000003</v>
      </c>
      <c r="BC119" s="31">
        <f ca="1">IFERROR(__xludf.DUMMYFUNCTION("+BC115"),0.9002)</f>
        <v>0.9002</v>
      </c>
      <c r="BD119" s="31">
        <f ca="1">IFERROR(__xludf.DUMMYFUNCTION("+BD115"),0.8698)</f>
        <v>0.86980000000000002</v>
      </c>
      <c r="BE119" s="31">
        <f ca="1">IFERROR(__xludf.DUMMYFUNCTION("+BE115"),0.8481)</f>
        <v>0.84809999999999997</v>
      </c>
      <c r="BF119" s="31">
        <f ca="1">IFERROR(__xludf.DUMMYFUNCTION("+BF115"),0.9011)</f>
        <v>0.90110000000000001</v>
      </c>
      <c r="BG119" s="31">
        <f ca="1">IFERROR(__xludf.DUMMYFUNCTION("+BG115"),0.8394)</f>
        <v>0.83940000000000003</v>
      </c>
      <c r="BH119" s="31">
        <f ca="1">IFERROR(__xludf.DUMMYFUNCTION("+BH115"),0.829)</f>
        <v>0.82899999999999996</v>
      </c>
      <c r="BI119" s="31">
        <f ca="1">IFERROR(__xludf.DUMMYFUNCTION("+BI115"),0.8125)</f>
        <v>0.8125</v>
      </c>
      <c r="BJ119" s="31">
        <f ca="1">IFERROR(__xludf.DUMMYFUNCTION("+BJ115"),0.8832)</f>
        <v>0.88319999999999999</v>
      </c>
      <c r="BK119" s="31">
        <f ca="1">IFERROR(__xludf.DUMMYFUNCTION("+BK115"),0.905)</f>
        <v>0.90500000000000003</v>
      </c>
      <c r="BL119" s="31">
        <f ca="1">IFERROR(__xludf.DUMMYFUNCTION("+BL115"),0.801)</f>
        <v>0.80100000000000005</v>
      </c>
      <c r="BM119" s="31">
        <f ca="1">IFERROR(__xludf.DUMMYFUNCTION("+BM115"),0.819)</f>
        <v>0.81899999999999995</v>
      </c>
      <c r="BN119" s="31">
        <f ca="1">IFERROR(__xludf.DUMMYFUNCTION("+BN115"),0.8673)</f>
        <v>0.86729999999999996</v>
      </c>
      <c r="BO119" s="31">
        <f ca="1">IFERROR(__xludf.DUMMYFUNCTION("+BO115"),0.8499)</f>
        <v>0.84989999999999999</v>
      </c>
      <c r="BP119" s="31">
        <f ca="1">IFERROR(__xludf.DUMMYFUNCTION("+BP115"),0.8063)</f>
        <v>0.80630000000000002</v>
      </c>
      <c r="BQ119" s="31">
        <f ca="1">IFERROR(__xludf.DUMMYFUNCTION("+BQ115"),0.881)</f>
        <v>0.88100000000000001</v>
      </c>
      <c r="BR119" s="31">
        <f ca="1">IFERROR(__xludf.DUMMYFUNCTION("+BR115"),0.874)</f>
        <v>0.874</v>
      </c>
      <c r="BS119" s="31">
        <f ca="1">IFERROR(__xludf.DUMMYFUNCTION("+BS115"),0.8468)</f>
        <v>0.8468</v>
      </c>
      <c r="BT119" s="31">
        <f ca="1">IFERROR(__xludf.DUMMYFUNCTION("+BT115"),0.8198)</f>
        <v>0.81979999999999997</v>
      </c>
      <c r="BU119" s="31">
        <f ca="1">IFERROR(__xludf.DUMMYFUNCTION("+BU115"),0.8212)</f>
        <v>0.82120000000000004</v>
      </c>
      <c r="BV119" s="31">
        <f ca="1">IFERROR(__xludf.DUMMYFUNCTION("+BV115"),0.8495)</f>
        <v>0.84950000000000003</v>
      </c>
      <c r="BW119" s="31">
        <f ca="1">IFERROR(__xludf.DUMMYFUNCTION("+BW115"),0.8617)</f>
        <v>0.86170000000000002</v>
      </c>
      <c r="BX119" s="31">
        <f ca="1">IFERROR(__xludf.DUMMYFUNCTION("+BX115"),0.8003)</f>
        <v>0.80030000000000001</v>
      </c>
      <c r="BY119" s="31">
        <f ca="1">IFERROR(__xludf.DUMMYFUNCTION("+BY115"),0.8235)</f>
        <v>0.82350000000000001</v>
      </c>
      <c r="BZ119" s="31">
        <f ca="1">IFERROR(__xludf.DUMMYFUNCTION("+BZ115"),0.8106)</f>
        <v>0.81059999999999999</v>
      </c>
      <c r="CA119" s="31">
        <f ca="1">IFERROR(__xludf.DUMMYFUNCTION("+CA115"),0.8054)</f>
        <v>0.8054</v>
      </c>
      <c r="CB119" s="31">
        <f ca="1">IFERROR(__xludf.DUMMYFUNCTION("+CB115"),0.905)</f>
        <v>0.90500000000000003</v>
      </c>
      <c r="CC119" s="31">
        <f ca="1">IFERROR(__xludf.DUMMYFUNCTION("+CC115"),0.8081)</f>
        <v>0.80810000000000004</v>
      </c>
      <c r="CD119" s="31">
        <f ca="1">IFERROR(__xludf.DUMMYFUNCTION("+CD115"),0.7992)</f>
        <v>0.79920000000000002</v>
      </c>
      <c r="CE119" s="31">
        <f ca="1">IFERROR(__xludf.DUMMYFUNCTION("+CE115"),0.8061)</f>
        <v>0.80610000000000004</v>
      </c>
      <c r="CF119" s="31">
        <f ca="1">IFERROR(__xludf.DUMMYFUNCTION("+CF115"),0.8032)</f>
        <v>0.80320000000000003</v>
      </c>
      <c r="CG119" s="31">
        <f ca="1">IFERROR(__xludf.DUMMYFUNCTION("+CG115"),0.8088)</f>
        <v>0.80879999999999996</v>
      </c>
      <c r="CH119" s="31">
        <f ca="1">IFERROR(__xludf.DUMMYFUNCTION("+CH115"),0.8022)</f>
        <v>0.80220000000000002</v>
      </c>
      <c r="CI119" s="31">
        <f ca="1">IFERROR(__xludf.DUMMYFUNCTION("+CI115"),0.8322)</f>
        <v>0.83220000000000005</v>
      </c>
      <c r="CJ119" s="31">
        <f ca="1">IFERROR(__xludf.DUMMYFUNCTION("+CJ115"),0.8379)</f>
        <v>0.83789999999999998</v>
      </c>
      <c r="CK119" s="31">
        <f ca="1">IFERROR(__xludf.DUMMYFUNCTION("+CK115"),0.8761)</f>
        <v>0.87609999999999999</v>
      </c>
      <c r="CL119" s="31">
        <f ca="1">IFERROR(__xludf.DUMMYFUNCTION("+CL115"),0.8493)</f>
        <v>0.84930000000000005</v>
      </c>
      <c r="CM119" s="31">
        <f ca="1">IFERROR(__xludf.DUMMYFUNCTION("+CM115"),0.8322)</f>
        <v>0.83220000000000005</v>
      </c>
      <c r="CN119" s="31">
        <f ca="1">IFERROR(__xludf.DUMMYFUNCTION("+CN115"),0.905)</f>
        <v>0.90500000000000003</v>
      </c>
      <c r="CO119" s="31">
        <f ca="1">IFERROR(__xludf.DUMMYFUNCTION("+CO115"),0.891)</f>
        <v>0.89100000000000001</v>
      </c>
      <c r="CP119" s="31">
        <f ca="1">IFERROR(__xludf.DUMMYFUNCTION("+CP115"),0.8399)</f>
        <v>0.83989999999999998</v>
      </c>
      <c r="CQ119" s="31">
        <f ca="1">IFERROR(__xludf.DUMMYFUNCTION("+CQ115"),0.8348)</f>
        <v>0.83479999999999999</v>
      </c>
      <c r="CR119" s="31">
        <f ca="1">IFERROR(__xludf.DUMMYFUNCTION("+CR115"),0.8098)</f>
        <v>0.80979999999999996</v>
      </c>
      <c r="CS119" s="31">
        <f ca="1">IFERROR(__xludf.DUMMYFUNCTION("+CS115"),0.8143)</f>
        <v>0.81430000000000002</v>
      </c>
      <c r="CT119" s="31">
        <f ca="1">IFERROR(__xludf.DUMMYFUNCTION("+CT115"),0.8033)</f>
        <v>0.80330000000000001</v>
      </c>
      <c r="CU119" s="31">
        <f ca="1">IFERROR(__xludf.DUMMYFUNCTION("+CU115"),0.8255)</f>
        <v>0.82550000000000001</v>
      </c>
      <c r="CV119" s="31">
        <f ca="1">IFERROR(__xludf.DUMMYFUNCTION("+CV115"),0.7992)</f>
        <v>0.79920000000000002</v>
      </c>
      <c r="CW119" s="31">
        <f ca="1">IFERROR(__xludf.DUMMYFUNCTION("+CW115"),0.8087)</f>
        <v>0.80869999999999997</v>
      </c>
      <c r="CX119" s="31">
        <f ca="1">IFERROR(__xludf.DUMMYFUNCTION("+CX115"),0.8252)</f>
        <v>0.82520000000000004</v>
      </c>
      <c r="CY119" s="31">
        <f ca="1">IFERROR(__xludf.DUMMYFUNCTION("+CY115"),0.7992)</f>
        <v>0.79920000000000002</v>
      </c>
      <c r="CZ119" s="31">
        <f ca="1">IFERROR(__xludf.DUMMYFUNCTION("+CZ115"),0.8606)</f>
        <v>0.86060000000000003</v>
      </c>
      <c r="DA119" s="31">
        <f ca="1">IFERROR(__xludf.DUMMYFUNCTION("+DA115"),0.809)</f>
        <v>0.80900000000000005</v>
      </c>
      <c r="DB119" s="31">
        <f ca="1">IFERROR(__xludf.DUMMYFUNCTION("+DB115"),0.8162)</f>
        <v>0.81620000000000004</v>
      </c>
      <c r="DC119" s="31">
        <f ca="1">IFERROR(__xludf.DUMMYFUNCTION("+DC115"),0.8084)</f>
        <v>0.80840000000000001</v>
      </c>
      <c r="DD119" s="31">
        <f ca="1">IFERROR(__xludf.DUMMYFUNCTION("+DD115"),0.8072)</f>
        <v>0.80720000000000003</v>
      </c>
      <c r="DE119" s="31">
        <f ca="1">IFERROR(__xludf.DUMMYFUNCTION("+DE115"),0.8143)</f>
        <v>0.81430000000000002</v>
      </c>
      <c r="DF119" s="31">
        <f ca="1">IFERROR(__xludf.DUMMYFUNCTION("+DF115"),0.8968)</f>
        <v>0.89680000000000004</v>
      </c>
      <c r="DG119" s="31">
        <f ca="1">IFERROR(__xludf.DUMMYFUNCTION("+DG115"),0.802)</f>
        <v>0.80200000000000005</v>
      </c>
      <c r="DH119" s="31">
        <f ca="1">IFERROR(__xludf.DUMMYFUNCTION("+DH115"),0.8606)</f>
        <v>0.86060000000000003</v>
      </c>
      <c r="DI119" s="31">
        <f ca="1">IFERROR(__xludf.DUMMYFUNCTION("+DI115"),0.8639)</f>
        <v>0.8639</v>
      </c>
      <c r="DJ119" s="31">
        <f ca="1">IFERROR(__xludf.DUMMYFUNCTION("+DJ115"),0.8303)</f>
        <v>0.83030000000000004</v>
      </c>
      <c r="DK119" s="31">
        <f ca="1">IFERROR(__xludf.DUMMYFUNCTION("+DK115"),0.8257)</f>
        <v>0.82569999999999999</v>
      </c>
      <c r="DL119" s="31">
        <f ca="1">IFERROR(__xludf.DUMMYFUNCTION("+DL115"),0.8801)</f>
        <v>0.88009999999999999</v>
      </c>
      <c r="DM119" s="31">
        <f ca="1">IFERROR(__xludf.DUMMYFUNCTION("+DM115"),0.811)</f>
        <v>0.81100000000000005</v>
      </c>
      <c r="DN119" s="31">
        <f ca="1">IFERROR(__xludf.DUMMYFUNCTION("+DN115"),0.8511)</f>
        <v>0.85109999999999997</v>
      </c>
      <c r="DO119" s="31">
        <f ca="1">IFERROR(__xludf.DUMMYFUNCTION("+DO115"),0.868)</f>
        <v>0.86799999999999999</v>
      </c>
      <c r="DP119" s="31">
        <f ca="1">IFERROR(__xludf.DUMMYFUNCTION("+DP115"),0.8088)</f>
        <v>0.80879999999999996</v>
      </c>
      <c r="DQ119" s="31">
        <f ca="1">IFERROR(__xludf.DUMMYFUNCTION("+DQ115"),0.8384)</f>
        <v>0.83840000000000003</v>
      </c>
      <c r="DR119" s="31">
        <f ca="1">IFERROR(__xludf.DUMMYFUNCTION("+DR115"),0.8517)</f>
        <v>0.85170000000000001</v>
      </c>
      <c r="DS119" s="31">
        <f ca="1">IFERROR(__xludf.DUMMYFUNCTION("+DS115"),0.8295)</f>
        <v>0.82950000000000002</v>
      </c>
      <c r="DT119" s="31">
        <f ca="1">IFERROR(__xludf.DUMMYFUNCTION("+DT115"),0.8073)</f>
        <v>0.80730000000000002</v>
      </c>
      <c r="DU119" s="31">
        <f ca="1">IFERROR(__xludf.DUMMYFUNCTION("+DU115"),0.8185)</f>
        <v>0.81850000000000001</v>
      </c>
      <c r="DV119" s="31">
        <f ca="1">IFERROR(__xludf.DUMMYFUNCTION("+DV115"),0.8093)</f>
        <v>0.80930000000000002</v>
      </c>
      <c r="DW119" s="31">
        <f ca="1">IFERROR(__xludf.DUMMYFUNCTION("+DW115"),0.8152)</f>
        <v>0.81520000000000004</v>
      </c>
      <c r="DX119" s="31">
        <f ca="1">IFERROR(__xludf.DUMMYFUNCTION("+DX115"),0.8068)</f>
        <v>0.80679999999999996</v>
      </c>
      <c r="DY119" s="31">
        <f ca="1">IFERROR(__xludf.DUMMYFUNCTION("+DY115"),0.815)</f>
        <v>0.81499999999999995</v>
      </c>
      <c r="DZ119" s="31">
        <f ca="1">IFERROR(__xludf.DUMMYFUNCTION("+DZ115"),0.832)</f>
        <v>0.83199999999999996</v>
      </c>
      <c r="EA119" s="31">
        <f ca="1">IFERROR(__xludf.DUMMYFUNCTION("+EA115"),0.8274)</f>
        <v>0.82740000000000002</v>
      </c>
      <c r="EB119" s="31">
        <f ca="1">IFERROR(__xludf.DUMMYFUNCTION("+EB115"),0.8275)</f>
        <v>0.82750000000000001</v>
      </c>
      <c r="EC119" s="31">
        <f ca="1">IFERROR(__xludf.DUMMYFUNCTION("+EC115"),0.8142)</f>
        <v>0.81420000000000003</v>
      </c>
      <c r="ED119" s="31">
        <f ca="1">IFERROR(__xludf.DUMMYFUNCTION("+ED115"),0.8593)</f>
        <v>0.85929999999999995</v>
      </c>
      <c r="EE119" s="31">
        <f ca="1">IFERROR(__xludf.DUMMYFUNCTION("+EE115"),0.8083)</f>
        <v>0.80830000000000002</v>
      </c>
      <c r="EF119" s="31">
        <f ca="1">IFERROR(__xludf.DUMMYFUNCTION("+EF115"),0.8529)</f>
        <v>0.85289999999999999</v>
      </c>
      <c r="EG119" s="31">
        <f ca="1">IFERROR(__xludf.DUMMYFUNCTION("+EG115"),0.8122)</f>
        <v>0.81220000000000003</v>
      </c>
      <c r="EH119" s="31">
        <f ca="1">IFERROR(__xludf.DUMMYFUNCTION("+EH115"),0.8118)</f>
        <v>0.81179999999999997</v>
      </c>
      <c r="EI119" s="31">
        <f ca="1">IFERROR(__xludf.DUMMYFUNCTION("+EI115"),0.8905)</f>
        <v>0.89049999999999996</v>
      </c>
      <c r="EJ119" s="31">
        <f ca="1">IFERROR(__xludf.DUMMYFUNCTION("+EJ115"),0.8872)</f>
        <v>0.88719999999999999</v>
      </c>
      <c r="EK119" s="31">
        <f ca="1">IFERROR(__xludf.DUMMYFUNCTION("+EK115"),0.8316)</f>
        <v>0.83160000000000001</v>
      </c>
      <c r="EL119" s="31">
        <f ca="1">IFERROR(__xludf.DUMMYFUNCTION("+EL115"),0.8251)</f>
        <v>0.82509999999999994</v>
      </c>
      <c r="EM119" s="31">
        <f ca="1">IFERROR(__xludf.DUMMYFUNCTION("+EM115"),0.8202)</f>
        <v>0.82020000000000004</v>
      </c>
      <c r="EN119" s="31">
        <f ca="1">IFERROR(__xludf.DUMMYFUNCTION("+EN115"),0.84)</f>
        <v>0.84</v>
      </c>
      <c r="EO119" s="31">
        <f ca="1">IFERROR(__xludf.DUMMYFUNCTION("+EO115"),0.8155)</f>
        <v>0.8155</v>
      </c>
      <c r="EP119" s="31">
        <f ca="1">IFERROR(__xludf.DUMMYFUNCTION("+EP115"),0.8234)</f>
        <v>0.82340000000000002</v>
      </c>
      <c r="EQ119" s="31">
        <f ca="1">IFERROR(__xludf.DUMMYFUNCTION("+EQ115"),0.8647)</f>
        <v>0.86470000000000002</v>
      </c>
      <c r="ER119" s="31">
        <f ca="1">IFERROR(__xludf.DUMMYFUNCTION("+ER115"),0.8158)</f>
        <v>0.81579999999999997</v>
      </c>
      <c r="ES119" s="31">
        <f ca="1">IFERROR(__xludf.DUMMYFUNCTION("+ES115"),0.8064)</f>
        <v>0.80640000000000001</v>
      </c>
      <c r="ET119" s="31">
        <f ca="1">IFERROR(__xludf.DUMMYFUNCTION("+ET115"),0.8086)</f>
        <v>0.80859999999999999</v>
      </c>
      <c r="EU119" s="31">
        <f ca="1">IFERROR(__xludf.DUMMYFUNCTION("+EU115"),0.8287)</f>
        <v>0.82869999999999999</v>
      </c>
      <c r="EV119" s="31">
        <f ca="1">IFERROR(__xludf.DUMMYFUNCTION("+EV115"),0.8007)</f>
        <v>0.80069999999999997</v>
      </c>
      <c r="EW119" s="31">
        <f ca="1">IFERROR(__xludf.DUMMYFUNCTION("+EW115"),0.8363)</f>
        <v>0.83630000000000004</v>
      </c>
      <c r="EX119" s="31">
        <f ca="1">IFERROR(__xludf.DUMMYFUNCTION("+EX115"),0.8071)</f>
        <v>0.80710000000000004</v>
      </c>
      <c r="EY119" s="31">
        <f ca="1">IFERROR(__xludf.DUMMYFUNCTION("+EY115"),0.8313)</f>
        <v>0.83130000000000004</v>
      </c>
      <c r="EZ119" s="31">
        <f ca="1">IFERROR(__xludf.DUMMYFUNCTION("+EZ115"),0.8043)</f>
        <v>0.80430000000000001</v>
      </c>
      <c r="FA119" s="31">
        <f ca="1">IFERROR(__xludf.DUMMYFUNCTION("+FA115"),0.8686)</f>
        <v>0.86860000000000004</v>
      </c>
      <c r="FB119" s="31">
        <f ca="1">IFERROR(__xludf.DUMMYFUNCTION("+FB115"),0.8144)</f>
        <v>0.81440000000000001</v>
      </c>
      <c r="FC119" s="31">
        <f ca="1">IFERROR(__xludf.DUMMYFUNCTION("+FC115"),0.8607)</f>
        <v>0.86070000000000002</v>
      </c>
      <c r="FD119" s="31">
        <f ca="1">IFERROR(__xludf.DUMMYFUNCTION("+FD115"),0.8217)</f>
        <v>0.82169999999999999</v>
      </c>
      <c r="FE119" s="31">
        <f ca="1">IFERROR(__xludf.DUMMYFUNCTION("+FE115"),0.8011)</f>
        <v>0.80110000000000003</v>
      </c>
      <c r="FF119" s="31">
        <f ca="1">IFERROR(__xludf.DUMMYFUNCTION("+FF115"),0.8078)</f>
        <v>0.80779999999999996</v>
      </c>
      <c r="FG119" s="31">
        <f ca="1">IFERROR(__xludf.DUMMYFUNCTION("+FG115"),0.8037)</f>
        <v>0.80369999999999997</v>
      </c>
      <c r="FH119" s="31">
        <f ca="1">IFERROR(__xludf.DUMMYFUNCTION("+FH115"),0.8005)</f>
        <v>0.80049999999999999</v>
      </c>
      <c r="FI119" s="31">
        <f ca="1">IFERROR(__xludf.DUMMYFUNCTION("+FI115"),0.8601)</f>
        <v>0.86009999999999998</v>
      </c>
      <c r="FJ119" s="31">
        <f ca="1">IFERROR(__xludf.DUMMYFUNCTION("+FJ115"),0.8617)</f>
        <v>0.86170000000000002</v>
      </c>
      <c r="FK119" s="31">
        <f ca="1">IFERROR(__xludf.DUMMYFUNCTION("+FK115"),0.8642)</f>
        <v>0.86419999999999997</v>
      </c>
      <c r="FL119" s="31">
        <f ca="1">IFERROR(__xludf.DUMMYFUNCTION("+FL115"),0.8857)</f>
        <v>0.88570000000000004</v>
      </c>
      <c r="FM119" s="31">
        <f ca="1">IFERROR(__xludf.DUMMYFUNCTION("+FM115"),0.8715)</f>
        <v>0.87150000000000005</v>
      </c>
      <c r="FN119" s="31">
        <f ca="1">IFERROR(__xludf.DUMMYFUNCTION("+FN115"),0.8984)</f>
        <v>0.89839999999999998</v>
      </c>
      <c r="FO119" s="31">
        <f ca="1">IFERROR(__xludf.DUMMYFUNCTION("+FO115"),0.8456)</f>
        <v>0.84560000000000002</v>
      </c>
      <c r="FP119" s="31">
        <f ca="1">IFERROR(__xludf.DUMMYFUNCTION("+FP115"),0.8633)</f>
        <v>0.86329999999999996</v>
      </c>
      <c r="FQ119" s="31">
        <f ca="1">IFERROR(__xludf.DUMMYFUNCTION("+FQ115"),0.8414)</f>
        <v>0.84140000000000004</v>
      </c>
      <c r="FR119" s="31">
        <f ca="1">IFERROR(__xludf.DUMMYFUNCTION("+FR115"),0.8068)</f>
        <v>0.80679999999999996</v>
      </c>
      <c r="FS119" s="31">
        <f ca="1">IFERROR(__xludf.DUMMYFUNCTION("+FS115"),0.8068)</f>
        <v>0.80679999999999996</v>
      </c>
      <c r="FT119" s="31">
        <f ca="1">IFERROR(__xludf.DUMMYFUNCTION("+FT115"),0.7996)</f>
        <v>0.79959999999999998</v>
      </c>
      <c r="FU119" s="31">
        <f ca="1">IFERROR(__xludf.DUMMYFUNCTION("+FU115"),0.8354)</f>
        <v>0.83540000000000003</v>
      </c>
      <c r="FV119" s="31">
        <f ca="1">IFERROR(__xludf.DUMMYFUNCTION("+FV115"),0.8324)</f>
        <v>0.83240000000000003</v>
      </c>
      <c r="FW119" s="31">
        <f ca="1">IFERROR(__xludf.DUMMYFUNCTION("+FW115"),0.8056)</f>
        <v>0.80559999999999998</v>
      </c>
      <c r="FX119" s="31">
        <f ca="1">IFERROR(__xludf.DUMMYFUNCTION("+FX115"),0.8001)</f>
        <v>0.80010000000000003</v>
      </c>
      <c r="FY119" s="7"/>
      <c r="FZ119" s="31">
        <f t="shared" ref="FZ119:FZ120" ca="1" si="48">SUM(C119:FX119)</f>
        <v>149.18330000000003</v>
      </c>
      <c r="GA119" s="31"/>
      <c r="GB119" s="7"/>
      <c r="GC119" s="7"/>
      <c r="GD119" s="7"/>
      <c r="GE119" s="7"/>
      <c r="GF119" s="7"/>
      <c r="GG119" s="7"/>
      <c r="GH119" s="7"/>
      <c r="GI119" s="7"/>
      <c r="GJ119" s="7"/>
      <c r="GK119" s="7"/>
    </row>
    <row r="120" spans="1:202" ht="15.5" x14ac:dyDescent="0.35">
      <c r="A120" s="12" t="s">
        <v>844</v>
      </c>
      <c r="B120" s="7" t="s">
        <v>845</v>
      </c>
      <c r="C120" s="95">
        <f t="shared" ref="C120:FX120" si="49">C42</f>
        <v>1.226</v>
      </c>
      <c r="D120" s="95">
        <f t="shared" si="49"/>
        <v>1.226</v>
      </c>
      <c r="E120" s="95">
        <f t="shared" si="49"/>
        <v>1.2150000000000001</v>
      </c>
      <c r="F120" s="95">
        <f t="shared" si="49"/>
        <v>1.216</v>
      </c>
      <c r="G120" s="95">
        <f t="shared" si="49"/>
        <v>1.2170000000000001</v>
      </c>
      <c r="H120" s="95">
        <f t="shared" si="49"/>
        <v>1.208</v>
      </c>
      <c r="I120" s="95">
        <f t="shared" si="49"/>
        <v>1.216</v>
      </c>
      <c r="J120" s="95">
        <f t="shared" si="49"/>
        <v>1.1319999999999999</v>
      </c>
      <c r="K120" s="95">
        <f t="shared" si="49"/>
        <v>1.111</v>
      </c>
      <c r="L120" s="95">
        <f t="shared" si="49"/>
        <v>1.244</v>
      </c>
      <c r="M120" s="95">
        <f t="shared" si="49"/>
        <v>1.244</v>
      </c>
      <c r="N120" s="95">
        <f t="shared" si="49"/>
        <v>1.266</v>
      </c>
      <c r="O120" s="95">
        <f t="shared" si="49"/>
        <v>1.236</v>
      </c>
      <c r="P120" s="95">
        <f t="shared" si="49"/>
        <v>1.216</v>
      </c>
      <c r="Q120" s="95">
        <f t="shared" si="49"/>
        <v>1.2450000000000001</v>
      </c>
      <c r="R120" s="95">
        <f t="shared" si="49"/>
        <v>1.216</v>
      </c>
      <c r="S120" s="95">
        <f t="shared" si="49"/>
        <v>1.1839999999999999</v>
      </c>
      <c r="T120" s="95">
        <f t="shared" si="49"/>
        <v>1.0840000000000001</v>
      </c>
      <c r="U120" s="95">
        <f t="shared" si="49"/>
        <v>1.075</v>
      </c>
      <c r="V120" s="95">
        <f t="shared" si="49"/>
        <v>1.083</v>
      </c>
      <c r="W120" s="95">
        <f t="shared" si="49"/>
        <v>1.075</v>
      </c>
      <c r="X120" s="95">
        <f t="shared" si="49"/>
        <v>1.0740000000000001</v>
      </c>
      <c r="Y120" s="95">
        <f t="shared" si="49"/>
        <v>1.073</v>
      </c>
      <c r="Z120" s="95">
        <f t="shared" si="49"/>
        <v>1.054</v>
      </c>
      <c r="AA120" s="95">
        <f t="shared" si="49"/>
        <v>1.2350000000000001</v>
      </c>
      <c r="AB120" s="95">
        <f t="shared" si="49"/>
        <v>1.2649999999999999</v>
      </c>
      <c r="AC120" s="95">
        <f t="shared" si="49"/>
        <v>1.177</v>
      </c>
      <c r="AD120" s="95">
        <f t="shared" si="49"/>
        <v>1.157</v>
      </c>
      <c r="AE120" s="95">
        <f t="shared" si="49"/>
        <v>1.0669999999999999</v>
      </c>
      <c r="AF120" s="95">
        <f t="shared" si="49"/>
        <v>1.121</v>
      </c>
      <c r="AG120" s="95">
        <f t="shared" si="49"/>
        <v>1.216</v>
      </c>
      <c r="AH120" s="95">
        <f t="shared" si="49"/>
        <v>1.111</v>
      </c>
      <c r="AI120" s="95">
        <f t="shared" si="49"/>
        <v>1.1020000000000001</v>
      </c>
      <c r="AJ120" s="95">
        <f t="shared" si="49"/>
        <v>1.115</v>
      </c>
      <c r="AK120" s="95">
        <f t="shared" si="49"/>
        <v>1.091</v>
      </c>
      <c r="AL120" s="95">
        <f t="shared" si="49"/>
        <v>1.103</v>
      </c>
      <c r="AM120" s="95">
        <f t="shared" si="49"/>
        <v>1.113</v>
      </c>
      <c r="AN120" s="95">
        <f t="shared" si="49"/>
        <v>1.1459999999999999</v>
      </c>
      <c r="AO120" s="95">
        <f t="shared" si="49"/>
        <v>1.194</v>
      </c>
      <c r="AP120" s="95">
        <f t="shared" si="49"/>
        <v>1.246</v>
      </c>
      <c r="AQ120" s="95">
        <f t="shared" si="49"/>
        <v>1.17</v>
      </c>
      <c r="AR120" s="95">
        <f t="shared" si="49"/>
        <v>1.246</v>
      </c>
      <c r="AS120" s="95">
        <f t="shared" si="49"/>
        <v>1.32</v>
      </c>
      <c r="AT120" s="95">
        <f t="shared" si="49"/>
        <v>1.248</v>
      </c>
      <c r="AU120" s="95">
        <f t="shared" si="49"/>
        <v>1.216</v>
      </c>
      <c r="AV120" s="95">
        <f t="shared" si="49"/>
        <v>1.2030000000000001</v>
      </c>
      <c r="AW120" s="95">
        <f t="shared" si="49"/>
        <v>1.2050000000000001</v>
      </c>
      <c r="AX120" s="95">
        <f t="shared" si="49"/>
        <v>1.1739999999999999</v>
      </c>
      <c r="AY120" s="95">
        <f t="shared" si="49"/>
        <v>1.2050000000000001</v>
      </c>
      <c r="AZ120" s="95">
        <f t="shared" si="49"/>
        <v>1.2090000000000001</v>
      </c>
      <c r="BA120" s="95">
        <f t="shared" si="49"/>
        <v>1.18</v>
      </c>
      <c r="BB120" s="95">
        <f t="shared" si="49"/>
        <v>1.19</v>
      </c>
      <c r="BC120" s="95">
        <f t="shared" si="49"/>
        <v>1.208</v>
      </c>
      <c r="BD120" s="95">
        <f t="shared" si="49"/>
        <v>1.2110000000000001</v>
      </c>
      <c r="BE120" s="95">
        <f t="shared" si="49"/>
        <v>1.2090000000000001</v>
      </c>
      <c r="BF120" s="95">
        <f t="shared" si="49"/>
        <v>1.218</v>
      </c>
      <c r="BG120" s="95">
        <f t="shared" si="49"/>
        <v>1.196</v>
      </c>
      <c r="BH120" s="95">
        <f t="shared" si="49"/>
        <v>1.2070000000000001</v>
      </c>
      <c r="BI120" s="95">
        <f t="shared" si="49"/>
        <v>1.18</v>
      </c>
      <c r="BJ120" s="95">
        <f t="shared" si="49"/>
        <v>1.23</v>
      </c>
      <c r="BK120" s="95">
        <f t="shared" si="49"/>
        <v>1.21</v>
      </c>
      <c r="BL120" s="95">
        <f t="shared" si="49"/>
        <v>1.165</v>
      </c>
      <c r="BM120" s="95">
        <f t="shared" si="49"/>
        <v>1.1679999999999999</v>
      </c>
      <c r="BN120" s="95">
        <f t="shared" si="49"/>
        <v>1.155</v>
      </c>
      <c r="BO120" s="95">
        <f t="shared" si="49"/>
        <v>1.139</v>
      </c>
      <c r="BP120" s="95">
        <f t="shared" si="49"/>
        <v>1.1259999999999999</v>
      </c>
      <c r="BQ120" s="95">
        <f t="shared" si="49"/>
        <v>1.3089999999999999</v>
      </c>
      <c r="BR120" s="95">
        <f t="shared" si="49"/>
        <v>1.206</v>
      </c>
      <c r="BS120" s="95">
        <f t="shared" si="49"/>
        <v>1.2150000000000001</v>
      </c>
      <c r="BT120" s="95">
        <f t="shared" si="49"/>
        <v>1.236</v>
      </c>
      <c r="BU120" s="95">
        <f t="shared" si="49"/>
        <v>1.238</v>
      </c>
      <c r="BV120" s="95">
        <f t="shared" si="49"/>
        <v>1.19</v>
      </c>
      <c r="BW120" s="95">
        <f t="shared" si="49"/>
        <v>1.2190000000000001</v>
      </c>
      <c r="BX120" s="95">
        <f t="shared" si="49"/>
        <v>1.2170000000000001</v>
      </c>
      <c r="BY120" s="95">
        <f t="shared" si="49"/>
        <v>1.085</v>
      </c>
      <c r="BZ120" s="95">
        <f t="shared" si="49"/>
        <v>1.0669999999999999</v>
      </c>
      <c r="CA120" s="95">
        <f t="shared" si="49"/>
        <v>1.165</v>
      </c>
      <c r="CB120" s="95">
        <f t="shared" si="49"/>
        <v>1.234</v>
      </c>
      <c r="CC120" s="95">
        <f t="shared" si="49"/>
        <v>1.0649999999999999</v>
      </c>
      <c r="CD120" s="95">
        <f t="shared" si="49"/>
        <v>1.0449999999999999</v>
      </c>
      <c r="CE120" s="95">
        <f t="shared" si="49"/>
        <v>1.0760000000000001</v>
      </c>
      <c r="CF120" s="95">
        <f t="shared" si="49"/>
        <v>1.0369999999999999</v>
      </c>
      <c r="CG120" s="95">
        <f t="shared" si="49"/>
        <v>1.077</v>
      </c>
      <c r="CH120" s="95">
        <f t="shared" si="49"/>
        <v>1.077</v>
      </c>
      <c r="CI120" s="95">
        <f t="shared" si="49"/>
        <v>1.0780000000000001</v>
      </c>
      <c r="CJ120" s="95">
        <f t="shared" si="49"/>
        <v>1.1890000000000001</v>
      </c>
      <c r="CK120" s="95">
        <f t="shared" si="49"/>
        <v>1.256</v>
      </c>
      <c r="CL120" s="95">
        <f t="shared" si="49"/>
        <v>1.236</v>
      </c>
      <c r="CM120" s="95">
        <f t="shared" si="49"/>
        <v>1.2250000000000001</v>
      </c>
      <c r="CN120" s="95">
        <f t="shared" si="49"/>
        <v>1.1859999999999999</v>
      </c>
      <c r="CO120" s="95">
        <f t="shared" si="49"/>
        <v>1.1870000000000001</v>
      </c>
      <c r="CP120" s="95">
        <f t="shared" si="49"/>
        <v>1.224</v>
      </c>
      <c r="CQ120" s="95">
        <f t="shared" si="49"/>
        <v>1.1619999999999999</v>
      </c>
      <c r="CR120" s="95">
        <f t="shared" si="49"/>
        <v>1.113</v>
      </c>
      <c r="CS120" s="95">
        <f t="shared" si="49"/>
        <v>1.1220000000000001</v>
      </c>
      <c r="CT120" s="95">
        <f t="shared" si="49"/>
        <v>1.073</v>
      </c>
      <c r="CU120" s="95">
        <f t="shared" si="49"/>
        <v>1.016</v>
      </c>
      <c r="CV120" s="95">
        <f t="shared" si="49"/>
        <v>1.0149999999999999</v>
      </c>
      <c r="CW120" s="95">
        <f t="shared" si="49"/>
        <v>1.1160000000000001</v>
      </c>
      <c r="CX120" s="95">
        <f t="shared" si="49"/>
        <v>1.1459999999999999</v>
      </c>
      <c r="CY120" s="95">
        <f t="shared" si="49"/>
        <v>1.0860000000000001</v>
      </c>
      <c r="CZ120" s="95">
        <f t="shared" si="49"/>
        <v>1.161</v>
      </c>
      <c r="DA120" s="95">
        <f t="shared" si="49"/>
        <v>1.1220000000000001</v>
      </c>
      <c r="DB120" s="95">
        <f t="shared" si="49"/>
        <v>1.1519999999999999</v>
      </c>
      <c r="DC120" s="95">
        <f t="shared" si="49"/>
        <v>1.133</v>
      </c>
      <c r="DD120" s="95">
        <f t="shared" si="49"/>
        <v>1.1279999999999999</v>
      </c>
      <c r="DE120" s="95">
        <f t="shared" si="49"/>
        <v>1.1459999999999999</v>
      </c>
      <c r="DF120" s="95">
        <f t="shared" si="49"/>
        <v>1.1459999999999999</v>
      </c>
      <c r="DG120" s="95">
        <f t="shared" si="49"/>
        <v>1.153</v>
      </c>
      <c r="DH120" s="95">
        <f t="shared" si="49"/>
        <v>1.1359999999999999</v>
      </c>
      <c r="DI120" s="95">
        <f t="shared" si="49"/>
        <v>1.1499999999999999</v>
      </c>
      <c r="DJ120" s="95">
        <f t="shared" si="49"/>
        <v>1.1599999999999999</v>
      </c>
      <c r="DK120" s="95">
        <f t="shared" si="49"/>
        <v>1.1479999999999999</v>
      </c>
      <c r="DL120" s="95">
        <f t="shared" si="49"/>
        <v>1.2270000000000001</v>
      </c>
      <c r="DM120" s="95">
        <f t="shared" si="49"/>
        <v>1.2030000000000001</v>
      </c>
      <c r="DN120" s="95">
        <f t="shared" si="49"/>
        <v>1.1890000000000001</v>
      </c>
      <c r="DO120" s="95">
        <f t="shared" si="49"/>
        <v>1.196</v>
      </c>
      <c r="DP120" s="95">
        <f t="shared" si="49"/>
        <v>1.1759999999999999</v>
      </c>
      <c r="DQ120" s="95">
        <f t="shared" si="49"/>
        <v>1.1719999999999999</v>
      </c>
      <c r="DR120" s="95">
        <f t="shared" si="49"/>
        <v>1.145</v>
      </c>
      <c r="DS120" s="95">
        <f t="shared" si="49"/>
        <v>1.1339999999999999</v>
      </c>
      <c r="DT120" s="95">
        <f t="shared" si="49"/>
        <v>1.133</v>
      </c>
      <c r="DU120" s="95">
        <f t="shared" si="49"/>
        <v>1.125</v>
      </c>
      <c r="DV120" s="95">
        <f t="shared" si="49"/>
        <v>1.1220000000000001</v>
      </c>
      <c r="DW120" s="95">
        <f t="shared" si="49"/>
        <v>1.133</v>
      </c>
      <c r="DX120" s="95">
        <f t="shared" si="49"/>
        <v>1.3109999999999999</v>
      </c>
      <c r="DY120" s="95">
        <f t="shared" si="49"/>
        <v>1.2869999999999999</v>
      </c>
      <c r="DZ120" s="95">
        <f t="shared" si="49"/>
        <v>1.2390000000000001</v>
      </c>
      <c r="EA120" s="95">
        <f t="shared" si="49"/>
        <v>1.2150000000000001</v>
      </c>
      <c r="EB120" s="95">
        <f t="shared" si="49"/>
        <v>1.1180000000000001</v>
      </c>
      <c r="EC120" s="95">
        <f t="shared" si="49"/>
        <v>1.075</v>
      </c>
      <c r="ED120" s="95">
        <f t="shared" si="49"/>
        <v>1.6519999999999999</v>
      </c>
      <c r="EE120" s="95">
        <f t="shared" si="49"/>
        <v>1.0740000000000001</v>
      </c>
      <c r="EF120" s="95">
        <f t="shared" si="49"/>
        <v>1.133</v>
      </c>
      <c r="EG120" s="95">
        <f t="shared" si="49"/>
        <v>1.0429999999999999</v>
      </c>
      <c r="EH120" s="95">
        <f t="shared" si="49"/>
        <v>1.073</v>
      </c>
      <c r="EI120" s="95">
        <f t="shared" si="49"/>
        <v>1.1779999999999999</v>
      </c>
      <c r="EJ120" s="95">
        <f t="shared" si="49"/>
        <v>1.1659999999999999</v>
      </c>
      <c r="EK120" s="95">
        <f t="shared" si="49"/>
        <v>1.1279999999999999</v>
      </c>
      <c r="EL120" s="95">
        <f t="shared" si="49"/>
        <v>1.105</v>
      </c>
      <c r="EM120" s="95">
        <f t="shared" si="49"/>
        <v>1.1220000000000001</v>
      </c>
      <c r="EN120" s="95">
        <f t="shared" si="49"/>
        <v>1.123</v>
      </c>
      <c r="EO120" s="95">
        <f t="shared" si="49"/>
        <v>1.113</v>
      </c>
      <c r="EP120" s="95">
        <f t="shared" si="49"/>
        <v>1.2490000000000001</v>
      </c>
      <c r="EQ120" s="95">
        <f t="shared" si="49"/>
        <v>1.272</v>
      </c>
      <c r="ER120" s="95">
        <f t="shared" si="49"/>
        <v>1.248</v>
      </c>
      <c r="ES120" s="95">
        <f t="shared" si="49"/>
        <v>1.0820000000000001</v>
      </c>
      <c r="ET120" s="95">
        <f t="shared" si="49"/>
        <v>1.1060000000000001</v>
      </c>
      <c r="EU120" s="95">
        <f t="shared" si="49"/>
        <v>1.0920000000000001</v>
      </c>
      <c r="EV120" s="95">
        <f t="shared" si="49"/>
        <v>1.18</v>
      </c>
      <c r="EW120" s="95">
        <f t="shared" si="49"/>
        <v>1.5960000000000001</v>
      </c>
      <c r="EX120" s="95">
        <f t="shared" si="49"/>
        <v>1.232</v>
      </c>
      <c r="EY120" s="95">
        <f t="shared" si="49"/>
        <v>1.117</v>
      </c>
      <c r="EZ120" s="95">
        <f t="shared" si="49"/>
        <v>1.1040000000000001</v>
      </c>
      <c r="FA120" s="95">
        <f t="shared" si="49"/>
        <v>1.321</v>
      </c>
      <c r="FB120" s="95">
        <f t="shared" si="49"/>
        <v>1.1459999999999999</v>
      </c>
      <c r="FC120" s="95">
        <f t="shared" si="49"/>
        <v>1.1950000000000001</v>
      </c>
      <c r="FD120" s="95">
        <f t="shared" si="49"/>
        <v>1.145</v>
      </c>
      <c r="FE120" s="95">
        <f t="shared" si="49"/>
        <v>1.1160000000000001</v>
      </c>
      <c r="FF120" s="95">
        <f t="shared" si="49"/>
        <v>1.1339999999999999</v>
      </c>
      <c r="FG120" s="95">
        <f t="shared" si="49"/>
        <v>1.1439999999999999</v>
      </c>
      <c r="FH120" s="95">
        <f t="shared" si="49"/>
        <v>1.1080000000000001</v>
      </c>
      <c r="FI120" s="95">
        <f t="shared" si="49"/>
        <v>1.1759999999999999</v>
      </c>
      <c r="FJ120" s="95">
        <f t="shared" si="49"/>
        <v>1.167</v>
      </c>
      <c r="FK120" s="95">
        <f t="shared" si="49"/>
        <v>1.1870000000000001</v>
      </c>
      <c r="FL120" s="95">
        <f t="shared" si="49"/>
        <v>1.175</v>
      </c>
      <c r="FM120" s="95">
        <f t="shared" si="49"/>
        <v>1.177</v>
      </c>
      <c r="FN120" s="95">
        <f t="shared" si="49"/>
        <v>1.1850000000000001</v>
      </c>
      <c r="FO120" s="95">
        <f t="shared" si="49"/>
        <v>1.177</v>
      </c>
      <c r="FP120" s="95">
        <f t="shared" si="49"/>
        <v>1.206</v>
      </c>
      <c r="FQ120" s="95">
        <f t="shared" si="49"/>
        <v>1.167</v>
      </c>
      <c r="FR120" s="95">
        <f t="shared" si="49"/>
        <v>1.149</v>
      </c>
      <c r="FS120" s="95">
        <f t="shared" si="49"/>
        <v>1.145</v>
      </c>
      <c r="FT120" s="95">
        <f t="shared" si="49"/>
        <v>1.1459999999999999</v>
      </c>
      <c r="FU120" s="95">
        <f t="shared" si="49"/>
        <v>1.1950000000000001</v>
      </c>
      <c r="FV120" s="95">
        <f t="shared" si="49"/>
        <v>1.147</v>
      </c>
      <c r="FW120" s="95">
        <f t="shared" si="49"/>
        <v>1.147</v>
      </c>
      <c r="FX120" s="95">
        <f t="shared" si="49"/>
        <v>1.196</v>
      </c>
      <c r="FY120" s="38"/>
      <c r="FZ120" s="31">
        <f t="shared" si="48"/>
        <v>208.14499999999995</v>
      </c>
      <c r="GA120" s="81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31"/>
      <c r="GM120" s="31"/>
      <c r="GN120" s="31"/>
      <c r="GO120" s="31"/>
      <c r="GP120" s="31"/>
      <c r="GQ120" s="31"/>
      <c r="GR120" s="31"/>
      <c r="GS120" s="31"/>
      <c r="GT120" s="31"/>
    </row>
    <row r="121" spans="1:202" ht="15.5" x14ac:dyDescent="0.35">
      <c r="A121" s="12" t="s">
        <v>846</v>
      </c>
      <c r="B121" s="7" t="s">
        <v>847</v>
      </c>
      <c r="C121" s="7">
        <f ca="1">IFERROR(__xludf.DUMMYFUNCTION("+C39"),8691.8)</f>
        <v>8691.7999999999993</v>
      </c>
      <c r="D121" s="7">
        <f ca="1">IFERROR(__xludf.DUMMYFUNCTION("+D39"),8691.8)</f>
        <v>8691.7999999999993</v>
      </c>
      <c r="E121" s="7">
        <f ca="1">IFERROR(__xludf.DUMMYFUNCTION("+E39"),8691.8)</f>
        <v>8691.7999999999993</v>
      </c>
      <c r="F121" s="7">
        <f ca="1">IFERROR(__xludf.DUMMYFUNCTION("+F39"),8691.8)</f>
        <v>8691.7999999999993</v>
      </c>
      <c r="G121" s="7">
        <f ca="1">IFERROR(__xludf.DUMMYFUNCTION("+G39"),8691.8)</f>
        <v>8691.7999999999993</v>
      </c>
      <c r="H121" s="7">
        <f ca="1">IFERROR(__xludf.DUMMYFUNCTION("+H39"),8691.8)</f>
        <v>8691.7999999999993</v>
      </c>
      <c r="I121" s="7">
        <f ca="1">IFERROR(__xludf.DUMMYFUNCTION("+I39"),8691.8)</f>
        <v>8691.7999999999993</v>
      </c>
      <c r="J121" s="7">
        <f ca="1">IFERROR(__xludf.DUMMYFUNCTION("+J39"),8691.8)</f>
        <v>8691.7999999999993</v>
      </c>
      <c r="K121" s="7">
        <f ca="1">IFERROR(__xludf.DUMMYFUNCTION("+K39"),8691.8)</f>
        <v>8691.7999999999993</v>
      </c>
      <c r="L121" s="7">
        <f ca="1">IFERROR(__xludf.DUMMYFUNCTION("+L39"),8691.8)</f>
        <v>8691.7999999999993</v>
      </c>
      <c r="M121" s="7">
        <f ca="1">IFERROR(__xludf.DUMMYFUNCTION("+M39"),8691.8)</f>
        <v>8691.7999999999993</v>
      </c>
      <c r="N121" s="7">
        <f ca="1">IFERROR(__xludf.DUMMYFUNCTION("+N39"),8691.8)</f>
        <v>8691.7999999999993</v>
      </c>
      <c r="O121" s="7">
        <f ca="1">IFERROR(__xludf.DUMMYFUNCTION("+O39"),8691.8)</f>
        <v>8691.7999999999993</v>
      </c>
      <c r="P121" s="7">
        <f ca="1">IFERROR(__xludf.DUMMYFUNCTION("+P39"),8691.8)</f>
        <v>8691.7999999999993</v>
      </c>
      <c r="Q121" s="7">
        <f ca="1">IFERROR(__xludf.DUMMYFUNCTION("+Q39"),8691.8)</f>
        <v>8691.7999999999993</v>
      </c>
      <c r="R121" s="7">
        <f ca="1">IFERROR(__xludf.DUMMYFUNCTION("+R39"),8691.8)</f>
        <v>8691.7999999999993</v>
      </c>
      <c r="S121" s="7">
        <f ca="1">IFERROR(__xludf.DUMMYFUNCTION("+S39"),8691.8)</f>
        <v>8691.7999999999993</v>
      </c>
      <c r="T121" s="7">
        <f ca="1">IFERROR(__xludf.DUMMYFUNCTION("+T39"),8691.8)</f>
        <v>8691.7999999999993</v>
      </c>
      <c r="U121" s="7">
        <f ca="1">IFERROR(__xludf.DUMMYFUNCTION("+U39"),8691.8)</f>
        <v>8691.7999999999993</v>
      </c>
      <c r="V121" s="7">
        <f ca="1">IFERROR(__xludf.DUMMYFUNCTION("+V39"),8691.8)</f>
        <v>8691.7999999999993</v>
      </c>
      <c r="W121" s="7">
        <f ca="1">IFERROR(__xludf.DUMMYFUNCTION("+W39"),8691.8)</f>
        <v>8691.7999999999993</v>
      </c>
      <c r="X121" s="7">
        <f ca="1">IFERROR(__xludf.DUMMYFUNCTION("+X39"),8691.8)</f>
        <v>8691.7999999999993</v>
      </c>
      <c r="Y121" s="7">
        <f ca="1">IFERROR(__xludf.DUMMYFUNCTION("+Y39"),8691.8)</f>
        <v>8691.7999999999993</v>
      </c>
      <c r="Z121" s="7">
        <f ca="1">IFERROR(__xludf.DUMMYFUNCTION("+Z39"),8691.8)</f>
        <v>8691.7999999999993</v>
      </c>
      <c r="AA121" s="7">
        <f ca="1">IFERROR(__xludf.DUMMYFUNCTION("+AA39"),8691.8)</f>
        <v>8691.7999999999993</v>
      </c>
      <c r="AB121" s="7">
        <f ca="1">IFERROR(__xludf.DUMMYFUNCTION("+AB39"),8691.8)</f>
        <v>8691.7999999999993</v>
      </c>
      <c r="AC121" s="7">
        <f ca="1">IFERROR(__xludf.DUMMYFUNCTION("+AC39"),8691.8)</f>
        <v>8691.7999999999993</v>
      </c>
      <c r="AD121" s="7">
        <f ca="1">IFERROR(__xludf.DUMMYFUNCTION("+AD39"),8691.8)</f>
        <v>8691.7999999999993</v>
      </c>
      <c r="AE121" s="7">
        <f ca="1">IFERROR(__xludf.DUMMYFUNCTION("+AE39"),8691.8)</f>
        <v>8691.7999999999993</v>
      </c>
      <c r="AF121" s="7">
        <f ca="1">IFERROR(__xludf.DUMMYFUNCTION("+AF39"),8691.8)</f>
        <v>8691.7999999999993</v>
      </c>
      <c r="AG121" s="7">
        <f ca="1">IFERROR(__xludf.DUMMYFUNCTION("+AG39"),8691.8)</f>
        <v>8691.7999999999993</v>
      </c>
      <c r="AH121" s="7">
        <f ca="1">IFERROR(__xludf.DUMMYFUNCTION("+AH39"),8691.8)</f>
        <v>8691.7999999999993</v>
      </c>
      <c r="AI121" s="7">
        <f ca="1">IFERROR(__xludf.DUMMYFUNCTION("+AI39"),8691.8)</f>
        <v>8691.7999999999993</v>
      </c>
      <c r="AJ121" s="7">
        <f ca="1">IFERROR(__xludf.DUMMYFUNCTION("+AJ39"),8691.8)</f>
        <v>8691.7999999999993</v>
      </c>
      <c r="AK121" s="7">
        <f ca="1">IFERROR(__xludf.DUMMYFUNCTION("+AK39"),8691.8)</f>
        <v>8691.7999999999993</v>
      </c>
      <c r="AL121" s="7">
        <f ca="1">IFERROR(__xludf.DUMMYFUNCTION("+AL39"),8691.8)</f>
        <v>8691.7999999999993</v>
      </c>
      <c r="AM121" s="7">
        <f ca="1">IFERROR(__xludf.DUMMYFUNCTION("+AM39"),8691.8)</f>
        <v>8691.7999999999993</v>
      </c>
      <c r="AN121" s="7">
        <f ca="1">IFERROR(__xludf.DUMMYFUNCTION("+AN39"),8691.8)</f>
        <v>8691.7999999999993</v>
      </c>
      <c r="AO121" s="7">
        <f ca="1">IFERROR(__xludf.DUMMYFUNCTION("+AO39"),8691.8)</f>
        <v>8691.7999999999993</v>
      </c>
      <c r="AP121" s="7">
        <f ca="1">IFERROR(__xludf.DUMMYFUNCTION("+AP39"),8691.8)</f>
        <v>8691.7999999999993</v>
      </c>
      <c r="AQ121" s="7">
        <f ca="1">IFERROR(__xludf.DUMMYFUNCTION("+AQ39"),8691.8)</f>
        <v>8691.7999999999993</v>
      </c>
      <c r="AR121" s="7">
        <f ca="1">IFERROR(__xludf.DUMMYFUNCTION("+AR39"),8691.8)</f>
        <v>8691.7999999999993</v>
      </c>
      <c r="AS121" s="7">
        <f ca="1">IFERROR(__xludf.DUMMYFUNCTION("+AS39"),8691.8)</f>
        <v>8691.7999999999993</v>
      </c>
      <c r="AT121" s="7">
        <f ca="1">IFERROR(__xludf.DUMMYFUNCTION("+AT39"),8691.8)</f>
        <v>8691.7999999999993</v>
      </c>
      <c r="AU121" s="7">
        <f ca="1">IFERROR(__xludf.DUMMYFUNCTION("+AU39"),8691.8)</f>
        <v>8691.7999999999993</v>
      </c>
      <c r="AV121" s="7">
        <f ca="1">IFERROR(__xludf.DUMMYFUNCTION("+AV39"),8691.8)</f>
        <v>8691.7999999999993</v>
      </c>
      <c r="AW121" s="7">
        <f ca="1">IFERROR(__xludf.DUMMYFUNCTION("+AW39"),8691.8)</f>
        <v>8691.7999999999993</v>
      </c>
      <c r="AX121" s="7">
        <f ca="1">IFERROR(__xludf.DUMMYFUNCTION("+AX39"),8691.8)</f>
        <v>8691.7999999999993</v>
      </c>
      <c r="AY121" s="7">
        <f ca="1">IFERROR(__xludf.DUMMYFUNCTION("+AY39"),8691.8)</f>
        <v>8691.7999999999993</v>
      </c>
      <c r="AZ121" s="7">
        <f ca="1">IFERROR(__xludf.DUMMYFUNCTION("+AZ39"),8691.8)</f>
        <v>8691.7999999999993</v>
      </c>
      <c r="BA121" s="7">
        <f ca="1">IFERROR(__xludf.DUMMYFUNCTION("+BA39"),8691.8)</f>
        <v>8691.7999999999993</v>
      </c>
      <c r="BB121" s="7">
        <f ca="1">IFERROR(__xludf.DUMMYFUNCTION("+BB39"),8691.8)</f>
        <v>8691.7999999999993</v>
      </c>
      <c r="BC121" s="7">
        <f ca="1">IFERROR(__xludf.DUMMYFUNCTION("+BC39"),8691.8)</f>
        <v>8691.7999999999993</v>
      </c>
      <c r="BD121" s="7">
        <f ca="1">IFERROR(__xludf.DUMMYFUNCTION("+BD39"),8691.8)</f>
        <v>8691.7999999999993</v>
      </c>
      <c r="BE121" s="7">
        <f ca="1">IFERROR(__xludf.DUMMYFUNCTION("+BE39"),8691.8)</f>
        <v>8691.7999999999993</v>
      </c>
      <c r="BF121" s="7">
        <f ca="1">IFERROR(__xludf.DUMMYFUNCTION("+BF39"),8691.8)</f>
        <v>8691.7999999999993</v>
      </c>
      <c r="BG121" s="7">
        <f ca="1">IFERROR(__xludf.DUMMYFUNCTION("+BG39"),8691.8)</f>
        <v>8691.7999999999993</v>
      </c>
      <c r="BH121" s="7">
        <f ca="1">IFERROR(__xludf.DUMMYFUNCTION("+BH39"),8691.8)</f>
        <v>8691.7999999999993</v>
      </c>
      <c r="BI121" s="7">
        <f ca="1">IFERROR(__xludf.DUMMYFUNCTION("+BI39"),8691.8)</f>
        <v>8691.7999999999993</v>
      </c>
      <c r="BJ121" s="7">
        <f ca="1">IFERROR(__xludf.DUMMYFUNCTION("+BJ39"),8691.8)</f>
        <v>8691.7999999999993</v>
      </c>
      <c r="BK121" s="7">
        <f ca="1">IFERROR(__xludf.DUMMYFUNCTION("+BK39"),8691.8)</f>
        <v>8691.7999999999993</v>
      </c>
      <c r="BL121" s="7">
        <f ca="1">IFERROR(__xludf.DUMMYFUNCTION("+BL39"),8691.8)</f>
        <v>8691.7999999999993</v>
      </c>
      <c r="BM121" s="7">
        <f ca="1">IFERROR(__xludf.DUMMYFUNCTION("+BM39"),8691.8)</f>
        <v>8691.7999999999993</v>
      </c>
      <c r="BN121" s="7">
        <f ca="1">IFERROR(__xludf.DUMMYFUNCTION("+BN39"),8691.8)</f>
        <v>8691.7999999999993</v>
      </c>
      <c r="BO121" s="7">
        <f ca="1">IFERROR(__xludf.DUMMYFUNCTION("+BO39"),8691.8)</f>
        <v>8691.7999999999993</v>
      </c>
      <c r="BP121" s="7">
        <f ca="1">IFERROR(__xludf.DUMMYFUNCTION("+BP39"),8691.8)</f>
        <v>8691.7999999999993</v>
      </c>
      <c r="BQ121" s="7">
        <f ca="1">IFERROR(__xludf.DUMMYFUNCTION("+BQ39"),8691.8)</f>
        <v>8691.7999999999993</v>
      </c>
      <c r="BR121" s="7">
        <f ca="1">IFERROR(__xludf.DUMMYFUNCTION("+BR39"),8691.8)</f>
        <v>8691.7999999999993</v>
      </c>
      <c r="BS121" s="7">
        <f ca="1">IFERROR(__xludf.DUMMYFUNCTION("+BS39"),8691.8)</f>
        <v>8691.7999999999993</v>
      </c>
      <c r="BT121" s="7">
        <f ca="1">IFERROR(__xludf.DUMMYFUNCTION("+BT39"),8691.8)</f>
        <v>8691.7999999999993</v>
      </c>
      <c r="BU121" s="7">
        <f ca="1">IFERROR(__xludf.DUMMYFUNCTION("+BU39"),8691.8)</f>
        <v>8691.7999999999993</v>
      </c>
      <c r="BV121" s="7">
        <f ca="1">IFERROR(__xludf.DUMMYFUNCTION("+BV39"),8691.8)</f>
        <v>8691.7999999999993</v>
      </c>
      <c r="BW121" s="7">
        <f ca="1">IFERROR(__xludf.DUMMYFUNCTION("+BW39"),8691.8)</f>
        <v>8691.7999999999993</v>
      </c>
      <c r="BX121" s="7">
        <f ca="1">IFERROR(__xludf.DUMMYFUNCTION("+BX39"),8691.8)</f>
        <v>8691.7999999999993</v>
      </c>
      <c r="BY121" s="7">
        <f ca="1">IFERROR(__xludf.DUMMYFUNCTION("+BY39"),8691.8)</f>
        <v>8691.7999999999993</v>
      </c>
      <c r="BZ121" s="7">
        <f ca="1">IFERROR(__xludf.DUMMYFUNCTION("+BZ39"),8691.8)</f>
        <v>8691.7999999999993</v>
      </c>
      <c r="CA121" s="7">
        <f ca="1">IFERROR(__xludf.DUMMYFUNCTION("+CA39"),8691.8)</f>
        <v>8691.7999999999993</v>
      </c>
      <c r="CB121" s="7">
        <f ca="1">IFERROR(__xludf.DUMMYFUNCTION("+CB39"),8691.8)</f>
        <v>8691.7999999999993</v>
      </c>
      <c r="CC121" s="7">
        <f ca="1">IFERROR(__xludf.DUMMYFUNCTION("+CC39"),8691.8)</f>
        <v>8691.7999999999993</v>
      </c>
      <c r="CD121" s="7">
        <f ca="1">IFERROR(__xludf.DUMMYFUNCTION("+CD39"),8691.8)</f>
        <v>8691.7999999999993</v>
      </c>
      <c r="CE121" s="7">
        <f ca="1">IFERROR(__xludf.DUMMYFUNCTION("+CE39"),8691.8)</f>
        <v>8691.7999999999993</v>
      </c>
      <c r="CF121" s="7">
        <f ca="1">IFERROR(__xludf.DUMMYFUNCTION("+CF39"),8691.8)</f>
        <v>8691.7999999999993</v>
      </c>
      <c r="CG121" s="7">
        <f ca="1">IFERROR(__xludf.DUMMYFUNCTION("+CG39"),8691.8)</f>
        <v>8691.7999999999993</v>
      </c>
      <c r="CH121" s="7">
        <f ca="1">IFERROR(__xludf.DUMMYFUNCTION("+CH39"),8691.8)</f>
        <v>8691.7999999999993</v>
      </c>
      <c r="CI121" s="7">
        <f ca="1">IFERROR(__xludf.DUMMYFUNCTION("+CI39"),8691.8)</f>
        <v>8691.7999999999993</v>
      </c>
      <c r="CJ121" s="7">
        <f ca="1">IFERROR(__xludf.DUMMYFUNCTION("+CJ39"),8691.8)</f>
        <v>8691.7999999999993</v>
      </c>
      <c r="CK121" s="7">
        <f ca="1">IFERROR(__xludf.DUMMYFUNCTION("+CK39"),8691.8)</f>
        <v>8691.7999999999993</v>
      </c>
      <c r="CL121" s="7">
        <f ca="1">IFERROR(__xludf.DUMMYFUNCTION("+CL39"),8691.8)</f>
        <v>8691.7999999999993</v>
      </c>
      <c r="CM121" s="7">
        <f ca="1">IFERROR(__xludf.DUMMYFUNCTION("+CM39"),8691.8)</f>
        <v>8691.7999999999993</v>
      </c>
      <c r="CN121" s="7">
        <f ca="1">IFERROR(__xludf.DUMMYFUNCTION("+CN39"),8691.8)</f>
        <v>8691.7999999999993</v>
      </c>
      <c r="CO121" s="7">
        <f ca="1">IFERROR(__xludf.DUMMYFUNCTION("+CO39"),8691.8)</f>
        <v>8691.7999999999993</v>
      </c>
      <c r="CP121" s="7">
        <f ca="1">IFERROR(__xludf.DUMMYFUNCTION("+CP39"),8691.8)</f>
        <v>8691.7999999999993</v>
      </c>
      <c r="CQ121" s="7">
        <f ca="1">IFERROR(__xludf.DUMMYFUNCTION("+CQ39"),8691.8)</f>
        <v>8691.7999999999993</v>
      </c>
      <c r="CR121" s="7">
        <f ca="1">IFERROR(__xludf.DUMMYFUNCTION("+CR39"),8691.8)</f>
        <v>8691.7999999999993</v>
      </c>
      <c r="CS121" s="7">
        <f ca="1">IFERROR(__xludf.DUMMYFUNCTION("+CS39"),8691.8)</f>
        <v>8691.7999999999993</v>
      </c>
      <c r="CT121" s="7">
        <f ca="1">IFERROR(__xludf.DUMMYFUNCTION("+CT39"),8691.8)</f>
        <v>8691.7999999999993</v>
      </c>
      <c r="CU121" s="7">
        <f ca="1">IFERROR(__xludf.DUMMYFUNCTION("+CU39"),8691.8)</f>
        <v>8691.7999999999993</v>
      </c>
      <c r="CV121" s="7">
        <f ca="1">IFERROR(__xludf.DUMMYFUNCTION("+CV39"),8691.8)</f>
        <v>8691.7999999999993</v>
      </c>
      <c r="CW121" s="7">
        <f ca="1">IFERROR(__xludf.DUMMYFUNCTION("+CW39"),8691.8)</f>
        <v>8691.7999999999993</v>
      </c>
      <c r="CX121" s="7">
        <f ca="1">IFERROR(__xludf.DUMMYFUNCTION("+CX39"),8691.8)</f>
        <v>8691.7999999999993</v>
      </c>
      <c r="CY121" s="7">
        <f ca="1">IFERROR(__xludf.DUMMYFUNCTION("+CY39"),8691.8)</f>
        <v>8691.7999999999993</v>
      </c>
      <c r="CZ121" s="7">
        <f ca="1">IFERROR(__xludf.DUMMYFUNCTION("+CZ39"),8691.8)</f>
        <v>8691.7999999999993</v>
      </c>
      <c r="DA121" s="7">
        <f ca="1">IFERROR(__xludf.DUMMYFUNCTION("+DA39"),8691.8)</f>
        <v>8691.7999999999993</v>
      </c>
      <c r="DB121" s="7">
        <f ca="1">IFERROR(__xludf.DUMMYFUNCTION("+DB39"),8691.8)</f>
        <v>8691.7999999999993</v>
      </c>
      <c r="DC121" s="7">
        <f ca="1">IFERROR(__xludf.DUMMYFUNCTION("+DC39"),8691.8)</f>
        <v>8691.7999999999993</v>
      </c>
      <c r="DD121" s="7">
        <f ca="1">IFERROR(__xludf.DUMMYFUNCTION("+DD39"),8691.8)</f>
        <v>8691.7999999999993</v>
      </c>
      <c r="DE121" s="7">
        <f ca="1">IFERROR(__xludf.DUMMYFUNCTION("+DE39"),8691.8)</f>
        <v>8691.7999999999993</v>
      </c>
      <c r="DF121" s="7">
        <f ca="1">IFERROR(__xludf.DUMMYFUNCTION("+DF39"),8691.8)</f>
        <v>8691.7999999999993</v>
      </c>
      <c r="DG121" s="7">
        <f ca="1">IFERROR(__xludf.DUMMYFUNCTION("+DG39"),8691.8)</f>
        <v>8691.7999999999993</v>
      </c>
      <c r="DH121" s="7">
        <f ca="1">IFERROR(__xludf.DUMMYFUNCTION("+DH39"),8691.8)</f>
        <v>8691.7999999999993</v>
      </c>
      <c r="DI121" s="7">
        <f ca="1">IFERROR(__xludf.DUMMYFUNCTION("+DI39"),8691.8)</f>
        <v>8691.7999999999993</v>
      </c>
      <c r="DJ121" s="7">
        <f ca="1">IFERROR(__xludf.DUMMYFUNCTION("+DJ39"),8691.8)</f>
        <v>8691.7999999999993</v>
      </c>
      <c r="DK121" s="7">
        <f ca="1">IFERROR(__xludf.DUMMYFUNCTION("+DK39"),8691.8)</f>
        <v>8691.7999999999993</v>
      </c>
      <c r="DL121" s="7">
        <f ca="1">IFERROR(__xludf.DUMMYFUNCTION("+DL39"),8691.8)</f>
        <v>8691.7999999999993</v>
      </c>
      <c r="DM121" s="7">
        <f ca="1">IFERROR(__xludf.DUMMYFUNCTION("+DM39"),8691.8)</f>
        <v>8691.7999999999993</v>
      </c>
      <c r="DN121" s="7">
        <f ca="1">IFERROR(__xludf.DUMMYFUNCTION("+DN39"),8691.8)</f>
        <v>8691.7999999999993</v>
      </c>
      <c r="DO121" s="7">
        <f ca="1">IFERROR(__xludf.DUMMYFUNCTION("+DO39"),8691.8)</f>
        <v>8691.7999999999993</v>
      </c>
      <c r="DP121" s="7">
        <f ca="1">IFERROR(__xludf.DUMMYFUNCTION("+DP39"),8691.8)</f>
        <v>8691.7999999999993</v>
      </c>
      <c r="DQ121" s="7">
        <f ca="1">IFERROR(__xludf.DUMMYFUNCTION("+DQ39"),8691.8)</f>
        <v>8691.7999999999993</v>
      </c>
      <c r="DR121" s="7">
        <f ca="1">IFERROR(__xludf.DUMMYFUNCTION("+DR39"),8691.8)</f>
        <v>8691.7999999999993</v>
      </c>
      <c r="DS121" s="7">
        <f ca="1">IFERROR(__xludf.DUMMYFUNCTION("+DS39"),8691.8)</f>
        <v>8691.7999999999993</v>
      </c>
      <c r="DT121" s="7">
        <f ca="1">IFERROR(__xludf.DUMMYFUNCTION("+DT39"),8691.8)</f>
        <v>8691.7999999999993</v>
      </c>
      <c r="DU121" s="7">
        <f ca="1">IFERROR(__xludf.DUMMYFUNCTION("+DU39"),8691.8)</f>
        <v>8691.7999999999993</v>
      </c>
      <c r="DV121" s="7">
        <f ca="1">IFERROR(__xludf.DUMMYFUNCTION("+DV39"),8691.8)</f>
        <v>8691.7999999999993</v>
      </c>
      <c r="DW121" s="7">
        <f ca="1">IFERROR(__xludf.DUMMYFUNCTION("+DW39"),8691.8)</f>
        <v>8691.7999999999993</v>
      </c>
      <c r="DX121" s="7">
        <f ca="1">IFERROR(__xludf.DUMMYFUNCTION("+DX39"),8691.8)</f>
        <v>8691.7999999999993</v>
      </c>
      <c r="DY121" s="7">
        <f ca="1">IFERROR(__xludf.DUMMYFUNCTION("+DY39"),8691.8)</f>
        <v>8691.7999999999993</v>
      </c>
      <c r="DZ121" s="7">
        <f ca="1">IFERROR(__xludf.DUMMYFUNCTION("+DZ39"),8691.8)</f>
        <v>8691.7999999999993</v>
      </c>
      <c r="EA121" s="7">
        <f ca="1">IFERROR(__xludf.DUMMYFUNCTION("+EA39"),8691.8)</f>
        <v>8691.7999999999993</v>
      </c>
      <c r="EB121" s="7">
        <f ca="1">IFERROR(__xludf.DUMMYFUNCTION("+EB39"),8691.8)</f>
        <v>8691.7999999999993</v>
      </c>
      <c r="EC121" s="7">
        <f ca="1">IFERROR(__xludf.DUMMYFUNCTION("+EC39"),8691.8)</f>
        <v>8691.7999999999993</v>
      </c>
      <c r="ED121" s="7">
        <f ca="1">IFERROR(__xludf.DUMMYFUNCTION("+ED39"),8691.8)</f>
        <v>8691.7999999999993</v>
      </c>
      <c r="EE121" s="7">
        <f ca="1">IFERROR(__xludf.DUMMYFUNCTION("+EE39"),8691.8)</f>
        <v>8691.7999999999993</v>
      </c>
      <c r="EF121" s="7">
        <f ca="1">IFERROR(__xludf.DUMMYFUNCTION("+EF39"),8691.8)</f>
        <v>8691.7999999999993</v>
      </c>
      <c r="EG121" s="7">
        <f ca="1">IFERROR(__xludf.DUMMYFUNCTION("+EG39"),8691.8)</f>
        <v>8691.7999999999993</v>
      </c>
      <c r="EH121" s="7">
        <f ca="1">IFERROR(__xludf.DUMMYFUNCTION("+EH39"),8691.8)</f>
        <v>8691.7999999999993</v>
      </c>
      <c r="EI121" s="7">
        <f ca="1">IFERROR(__xludf.DUMMYFUNCTION("+EI39"),8691.8)</f>
        <v>8691.7999999999993</v>
      </c>
      <c r="EJ121" s="7">
        <f ca="1">IFERROR(__xludf.DUMMYFUNCTION("+EJ39"),8691.8)</f>
        <v>8691.7999999999993</v>
      </c>
      <c r="EK121" s="7">
        <f ca="1">IFERROR(__xludf.DUMMYFUNCTION("+EK39"),8691.8)</f>
        <v>8691.7999999999993</v>
      </c>
      <c r="EL121" s="7">
        <f ca="1">IFERROR(__xludf.DUMMYFUNCTION("+EL39"),8691.8)</f>
        <v>8691.7999999999993</v>
      </c>
      <c r="EM121" s="7">
        <f ca="1">IFERROR(__xludf.DUMMYFUNCTION("+EM39"),8691.8)</f>
        <v>8691.7999999999993</v>
      </c>
      <c r="EN121" s="7">
        <f ca="1">IFERROR(__xludf.DUMMYFUNCTION("+EN39"),8691.8)</f>
        <v>8691.7999999999993</v>
      </c>
      <c r="EO121" s="7">
        <f ca="1">IFERROR(__xludf.DUMMYFUNCTION("+EO39"),8691.8)</f>
        <v>8691.7999999999993</v>
      </c>
      <c r="EP121" s="7">
        <f ca="1">IFERROR(__xludf.DUMMYFUNCTION("+EP39"),8691.8)</f>
        <v>8691.7999999999993</v>
      </c>
      <c r="EQ121" s="7">
        <f ca="1">IFERROR(__xludf.DUMMYFUNCTION("+EQ39"),8691.8)</f>
        <v>8691.7999999999993</v>
      </c>
      <c r="ER121" s="7">
        <f ca="1">IFERROR(__xludf.DUMMYFUNCTION("+ER39"),8691.8)</f>
        <v>8691.7999999999993</v>
      </c>
      <c r="ES121" s="7">
        <f ca="1">IFERROR(__xludf.DUMMYFUNCTION("+ES39"),8691.8)</f>
        <v>8691.7999999999993</v>
      </c>
      <c r="ET121" s="7">
        <f ca="1">IFERROR(__xludf.DUMMYFUNCTION("+ET39"),8691.8)</f>
        <v>8691.7999999999993</v>
      </c>
      <c r="EU121" s="7">
        <f ca="1">IFERROR(__xludf.DUMMYFUNCTION("+EU39"),8691.8)</f>
        <v>8691.7999999999993</v>
      </c>
      <c r="EV121" s="7">
        <f ca="1">IFERROR(__xludf.DUMMYFUNCTION("+EV39"),8691.8)</f>
        <v>8691.7999999999993</v>
      </c>
      <c r="EW121" s="7">
        <f ca="1">IFERROR(__xludf.DUMMYFUNCTION("+EW39"),8691.8)</f>
        <v>8691.7999999999993</v>
      </c>
      <c r="EX121" s="7">
        <f ca="1">IFERROR(__xludf.DUMMYFUNCTION("+EX39"),8691.8)</f>
        <v>8691.7999999999993</v>
      </c>
      <c r="EY121" s="7">
        <f ca="1">IFERROR(__xludf.DUMMYFUNCTION("+EY39"),8691.8)</f>
        <v>8691.7999999999993</v>
      </c>
      <c r="EZ121" s="7">
        <f ca="1">IFERROR(__xludf.DUMMYFUNCTION("+EZ39"),8691.8)</f>
        <v>8691.7999999999993</v>
      </c>
      <c r="FA121" s="7">
        <f ca="1">IFERROR(__xludf.DUMMYFUNCTION("+FA39"),8691.8)</f>
        <v>8691.7999999999993</v>
      </c>
      <c r="FB121" s="7">
        <f ca="1">IFERROR(__xludf.DUMMYFUNCTION("+FB39"),8691.8)</f>
        <v>8691.7999999999993</v>
      </c>
      <c r="FC121" s="7">
        <f ca="1">IFERROR(__xludf.DUMMYFUNCTION("+FC39"),8691.8)</f>
        <v>8691.7999999999993</v>
      </c>
      <c r="FD121" s="7">
        <f ca="1">IFERROR(__xludf.DUMMYFUNCTION("+FD39"),8691.8)</f>
        <v>8691.7999999999993</v>
      </c>
      <c r="FE121" s="7">
        <f ca="1">IFERROR(__xludf.DUMMYFUNCTION("+FE39"),8691.8)</f>
        <v>8691.7999999999993</v>
      </c>
      <c r="FF121" s="7">
        <f ca="1">IFERROR(__xludf.DUMMYFUNCTION("+FF39"),8691.8)</f>
        <v>8691.7999999999993</v>
      </c>
      <c r="FG121" s="7">
        <f ca="1">IFERROR(__xludf.DUMMYFUNCTION("+FG39"),8691.8)</f>
        <v>8691.7999999999993</v>
      </c>
      <c r="FH121" s="7">
        <f ca="1">IFERROR(__xludf.DUMMYFUNCTION("+FH39"),8691.8)</f>
        <v>8691.7999999999993</v>
      </c>
      <c r="FI121" s="7">
        <f ca="1">IFERROR(__xludf.DUMMYFUNCTION("+FI39"),8691.8)</f>
        <v>8691.7999999999993</v>
      </c>
      <c r="FJ121" s="7">
        <f ca="1">IFERROR(__xludf.DUMMYFUNCTION("+FJ39"),8691.8)</f>
        <v>8691.7999999999993</v>
      </c>
      <c r="FK121" s="7">
        <f ca="1">IFERROR(__xludf.DUMMYFUNCTION("+FK39"),8691.8)</f>
        <v>8691.7999999999993</v>
      </c>
      <c r="FL121" s="7">
        <f ca="1">IFERROR(__xludf.DUMMYFUNCTION("+FL39"),8691.8)</f>
        <v>8691.7999999999993</v>
      </c>
      <c r="FM121" s="7">
        <f ca="1">IFERROR(__xludf.DUMMYFUNCTION("+FM39"),8691.8)</f>
        <v>8691.7999999999993</v>
      </c>
      <c r="FN121" s="7">
        <f ca="1">IFERROR(__xludf.DUMMYFUNCTION("+FN39"),8691.8)</f>
        <v>8691.7999999999993</v>
      </c>
      <c r="FO121" s="7">
        <f ca="1">IFERROR(__xludf.DUMMYFUNCTION("+FO39"),8691.8)</f>
        <v>8691.7999999999993</v>
      </c>
      <c r="FP121" s="7">
        <f ca="1">IFERROR(__xludf.DUMMYFUNCTION("+FP39"),8691.8)</f>
        <v>8691.7999999999993</v>
      </c>
      <c r="FQ121" s="7">
        <f ca="1">IFERROR(__xludf.DUMMYFUNCTION("+FQ39"),8691.8)</f>
        <v>8691.7999999999993</v>
      </c>
      <c r="FR121" s="7">
        <f ca="1">IFERROR(__xludf.DUMMYFUNCTION("+FR39"),8691.8)</f>
        <v>8691.7999999999993</v>
      </c>
      <c r="FS121" s="7">
        <f ca="1">IFERROR(__xludf.DUMMYFUNCTION("+FS39"),8691.8)</f>
        <v>8691.7999999999993</v>
      </c>
      <c r="FT121" s="7">
        <f ca="1">IFERROR(__xludf.DUMMYFUNCTION("+FT39"),8691.8)</f>
        <v>8691.7999999999993</v>
      </c>
      <c r="FU121" s="7">
        <f ca="1">IFERROR(__xludf.DUMMYFUNCTION("+FU39"),8691.8)</f>
        <v>8691.7999999999993</v>
      </c>
      <c r="FV121" s="7">
        <f ca="1">IFERROR(__xludf.DUMMYFUNCTION("+FV39"),8691.8)</f>
        <v>8691.7999999999993</v>
      </c>
      <c r="FW121" s="7">
        <f ca="1">IFERROR(__xludf.DUMMYFUNCTION("+FW39"),8691.8)</f>
        <v>8691.7999999999993</v>
      </c>
      <c r="FX121" s="7">
        <f ca="1">IFERROR(__xludf.DUMMYFUNCTION("+FX39"),8691.8)</f>
        <v>8691.7999999999993</v>
      </c>
      <c r="FY121" s="7"/>
      <c r="FZ121" s="7"/>
      <c r="GA121" s="81"/>
      <c r="GB121" s="7"/>
      <c r="GC121" s="7"/>
      <c r="GD121" s="7"/>
      <c r="GE121" s="7"/>
      <c r="GF121" s="7"/>
      <c r="GG121" s="7"/>
      <c r="GH121" s="7"/>
      <c r="GI121" s="7"/>
      <c r="GJ121" s="7"/>
      <c r="GK121" s="7"/>
    </row>
    <row r="122" spans="1:202" ht="15.5" x14ac:dyDescent="0.35">
      <c r="A122" s="12" t="s">
        <v>848</v>
      </c>
      <c r="B122" s="7" t="s">
        <v>849</v>
      </c>
      <c r="C122" s="31">
        <f t="shared" ref="C122:FX122" si="50">1-C115</f>
        <v>0.11570000000000003</v>
      </c>
      <c r="D122" s="31">
        <f t="shared" si="50"/>
        <v>9.4999999999999973E-2</v>
      </c>
      <c r="E122" s="31">
        <f t="shared" si="50"/>
        <v>0.11970000000000003</v>
      </c>
      <c r="F122" s="31">
        <f t="shared" si="50"/>
        <v>9.9999999999999978E-2</v>
      </c>
      <c r="G122" s="31">
        <f t="shared" si="50"/>
        <v>0.13919999999999999</v>
      </c>
      <c r="H122" s="31">
        <f t="shared" si="50"/>
        <v>0.15510000000000002</v>
      </c>
      <c r="I122" s="31">
        <f t="shared" si="50"/>
        <v>0.11470000000000002</v>
      </c>
      <c r="J122" s="31">
        <f t="shared" si="50"/>
        <v>0.1381</v>
      </c>
      <c r="K122" s="31">
        <f t="shared" si="50"/>
        <v>0.18789999999999996</v>
      </c>
      <c r="L122" s="31">
        <f t="shared" si="50"/>
        <v>0.13759999999999994</v>
      </c>
      <c r="M122" s="31">
        <f t="shared" si="50"/>
        <v>0.15959999999999996</v>
      </c>
      <c r="N122" s="31">
        <f t="shared" si="50"/>
        <v>9.4999999999999973E-2</v>
      </c>
      <c r="O122" s="31">
        <f t="shared" si="50"/>
        <v>0.11040000000000005</v>
      </c>
      <c r="P122" s="31">
        <f t="shared" si="50"/>
        <v>0.18379999999999996</v>
      </c>
      <c r="Q122" s="31">
        <f t="shared" si="50"/>
        <v>9.4999999999999973E-2</v>
      </c>
      <c r="R122" s="31">
        <f t="shared" si="50"/>
        <v>0.11560000000000004</v>
      </c>
      <c r="S122" s="31">
        <f t="shared" si="50"/>
        <v>0.14039999999999997</v>
      </c>
      <c r="T122" s="31">
        <f t="shared" si="50"/>
        <v>0.19369999999999998</v>
      </c>
      <c r="U122" s="31">
        <f t="shared" si="50"/>
        <v>0.20040000000000002</v>
      </c>
      <c r="V122" s="31">
        <f t="shared" si="50"/>
        <v>0.18759999999999999</v>
      </c>
      <c r="W122" s="31">
        <f t="shared" si="50"/>
        <v>0.20020000000000004</v>
      </c>
      <c r="X122" s="31">
        <f t="shared" si="50"/>
        <v>0.20079999999999998</v>
      </c>
      <c r="Y122" s="31">
        <f t="shared" si="50"/>
        <v>0.1613</v>
      </c>
      <c r="Z122" s="31">
        <f t="shared" si="50"/>
        <v>0.18920000000000003</v>
      </c>
      <c r="AA122" s="31">
        <f t="shared" si="50"/>
        <v>9.4999999999999973E-2</v>
      </c>
      <c r="AB122" s="31">
        <f t="shared" si="50"/>
        <v>9.7500000000000031E-2</v>
      </c>
      <c r="AC122" s="31">
        <f t="shared" si="50"/>
        <v>0.16100000000000003</v>
      </c>
      <c r="AD122" s="31">
        <f t="shared" si="50"/>
        <v>0.14439999999999997</v>
      </c>
      <c r="AE122" s="31">
        <f t="shared" si="50"/>
        <v>0.19779999999999998</v>
      </c>
      <c r="AF122" s="31">
        <f t="shared" si="50"/>
        <v>0.19330000000000003</v>
      </c>
      <c r="AG122" s="31">
        <f t="shared" si="50"/>
        <v>0.17049999999999998</v>
      </c>
      <c r="AH122" s="31">
        <f t="shared" si="50"/>
        <v>0.15939999999999999</v>
      </c>
      <c r="AI122" s="31">
        <f t="shared" si="50"/>
        <v>0.17949999999999999</v>
      </c>
      <c r="AJ122" s="31">
        <f t="shared" si="50"/>
        <v>0.19240000000000002</v>
      </c>
      <c r="AK122" s="31">
        <f t="shared" si="50"/>
        <v>0.19340000000000002</v>
      </c>
      <c r="AL122" s="31">
        <f t="shared" si="50"/>
        <v>0.1855</v>
      </c>
      <c r="AM122" s="31">
        <f t="shared" si="50"/>
        <v>0.18140000000000001</v>
      </c>
      <c r="AN122" s="31">
        <f t="shared" si="50"/>
        <v>0.18479999999999996</v>
      </c>
      <c r="AO122" s="31">
        <f t="shared" si="50"/>
        <v>0.12639999999999996</v>
      </c>
      <c r="AP122" s="31">
        <f t="shared" si="50"/>
        <v>9.4999999999999973E-2</v>
      </c>
      <c r="AQ122" s="31">
        <f t="shared" si="50"/>
        <v>0.18789999999999996</v>
      </c>
      <c r="AR122" s="31">
        <f t="shared" si="50"/>
        <v>9.4999999999999973E-2</v>
      </c>
      <c r="AS122" s="31">
        <f t="shared" si="50"/>
        <v>0.1159</v>
      </c>
      <c r="AT122" s="31">
        <f t="shared" si="50"/>
        <v>0.13660000000000005</v>
      </c>
      <c r="AU122" s="31">
        <f t="shared" si="50"/>
        <v>0.18669999999999998</v>
      </c>
      <c r="AV122" s="31">
        <f t="shared" si="50"/>
        <v>0.1845</v>
      </c>
      <c r="AW122" s="31">
        <f t="shared" si="50"/>
        <v>0.18759999999999999</v>
      </c>
      <c r="AX122" s="31">
        <f t="shared" si="50"/>
        <v>0.19879999999999998</v>
      </c>
      <c r="AY122" s="31">
        <f t="shared" si="50"/>
        <v>0.17800000000000005</v>
      </c>
      <c r="AZ122" s="31">
        <f t="shared" si="50"/>
        <v>0.11099999999999999</v>
      </c>
      <c r="BA122" s="31">
        <f t="shared" si="50"/>
        <v>0.11380000000000001</v>
      </c>
      <c r="BB122" s="31">
        <f t="shared" si="50"/>
        <v>0.11519999999999997</v>
      </c>
      <c r="BC122" s="31">
        <f t="shared" si="50"/>
        <v>9.98E-2</v>
      </c>
      <c r="BD122" s="31">
        <f t="shared" si="50"/>
        <v>0.13019999999999998</v>
      </c>
      <c r="BE122" s="31">
        <f t="shared" si="50"/>
        <v>0.15190000000000003</v>
      </c>
      <c r="BF122" s="31">
        <f t="shared" si="50"/>
        <v>9.8899999999999988E-2</v>
      </c>
      <c r="BG122" s="31">
        <f t="shared" si="50"/>
        <v>0.16059999999999997</v>
      </c>
      <c r="BH122" s="31">
        <f t="shared" si="50"/>
        <v>0.17100000000000004</v>
      </c>
      <c r="BI122" s="31">
        <f t="shared" si="50"/>
        <v>0.1875</v>
      </c>
      <c r="BJ122" s="31">
        <f t="shared" si="50"/>
        <v>0.11680000000000001</v>
      </c>
      <c r="BK122" s="31">
        <f t="shared" si="50"/>
        <v>9.4999999999999973E-2</v>
      </c>
      <c r="BL122" s="31">
        <f t="shared" si="50"/>
        <v>0.19899999999999995</v>
      </c>
      <c r="BM122" s="31">
        <f t="shared" si="50"/>
        <v>0.18100000000000005</v>
      </c>
      <c r="BN122" s="31">
        <f t="shared" si="50"/>
        <v>0.13270000000000004</v>
      </c>
      <c r="BO122" s="31">
        <f t="shared" si="50"/>
        <v>0.15010000000000001</v>
      </c>
      <c r="BP122" s="31">
        <f t="shared" si="50"/>
        <v>0.19369999999999998</v>
      </c>
      <c r="BQ122" s="31">
        <f t="shared" si="50"/>
        <v>0.11899999999999999</v>
      </c>
      <c r="BR122" s="31">
        <f t="shared" si="50"/>
        <v>0.126</v>
      </c>
      <c r="BS122" s="31">
        <f t="shared" si="50"/>
        <v>0.1532</v>
      </c>
      <c r="BT122" s="31">
        <f t="shared" si="50"/>
        <v>0.18020000000000003</v>
      </c>
      <c r="BU122" s="31">
        <f t="shared" si="50"/>
        <v>0.17879999999999996</v>
      </c>
      <c r="BV122" s="31">
        <f t="shared" si="50"/>
        <v>0.15049999999999997</v>
      </c>
      <c r="BW122" s="31">
        <f t="shared" si="50"/>
        <v>0.13829999999999998</v>
      </c>
      <c r="BX122" s="31">
        <f t="shared" si="50"/>
        <v>0.19969999999999999</v>
      </c>
      <c r="BY122" s="31">
        <f t="shared" si="50"/>
        <v>0.17649999999999999</v>
      </c>
      <c r="BZ122" s="31">
        <f t="shared" si="50"/>
        <v>0.18940000000000001</v>
      </c>
      <c r="CA122" s="31">
        <f t="shared" si="50"/>
        <v>0.1946</v>
      </c>
      <c r="CB122" s="31">
        <f t="shared" si="50"/>
        <v>9.4999999999999973E-2</v>
      </c>
      <c r="CC122" s="31">
        <f t="shared" si="50"/>
        <v>0.19189999999999996</v>
      </c>
      <c r="CD122" s="31">
        <f t="shared" si="50"/>
        <v>0.20079999999999998</v>
      </c>
      <c r="CE122" s="31">
        <f t="shared" si="50"/>
        <v>0.19389999999999996</v>
      </c>
      <c r="CF122" s="31">
        <f t="shared" si="50"/>
        <v>0.19679999999999997</v>
      </c>
      <c r="CG122" s="31">
        <f t="shared" si="50"/>
        <v>0.19120000000000004</v>
      </c>
      <c r="CH122" s="31">
        <f t="shared" si="50"/>
        <v>0.19779999999999998</v>
      </c>
      <c r="CI122" s="31">
        <f t="shared" si="50"/>
        <v>0.16779999999999995</v>
      </c>
      <c r="CJ122" s="31">
        <f t="shared" si="50"/>
        <v>0.16210000000000002</v>
      </c>
      <c r="CK122" s="31">
        <f t="shared" si="50"/>
        <v>0.12390000000000001</v>
      </c>
      <c r="CL122" s="31">
        <f t="shared" si="50"/>
        <v>0.15069999999999995</v>
      </c>
      <c r="CM122" s="31">
        <f t="shared" si="50"/>
        <v>0.16779999999999995</v>
      </c>
      <c r="CN122" s="31">
        <f t="shared" si="50"/>
        <v>9.4999999999999973E-2</v>
      </c>
      <c r="CO122" s="31">
        <f t="shared" si="50"/>
        <v>0.10899999999999999</v>
      </c>
      <c r="CP122" s="31">
        <f t="shared" si="50"/>
        <v>0.16010000000000002</v>
      </c>
      <c r="CQ122" s="31">
        <f t="shared" si="50"/>
        <v>0.16520000000000001</v>
      </c>
      <c r="CR122" s="31">
        <f t="shared" si="50"/>
        <v>0.19020000000000004</v>
      </c>
      <c r="CS122" s="31">
        <f t="shared" si="50"/>
        <v>0.18569999999999998</v>
      </c>
      <c r="CT122" s="31">
        <f t="shared" si="50"/>
        <v>0.19669999999999999</v>
      </c>
      <c r="CU122" s="31">
        <f t="shared" si="50"/>
        <v>0.17449999999999999</v>
      </c>
      <c r="CV122" s="31">
        <f t="shared" si="50"/>
        <v>0.20079999999999998</v>
      </c>
      <c r="CW122" s="31">
        <f t="shared" si="50"/>
        <v>0.19130000000000003</v>
      </c>
      <c r="CX122" s="31">
        <f t="shared" si="50"/>
        <v>0.17479999999999996</v>
      </c>
      <c r="CY122" s="31">
        <f t="shared" si="50"/>
        <v>0.20079999999999998</v>
      </c>
      <c r="CZ122" s="31">
        <f t="shared" si="50"/>
        <v>0.13939999999999997</v>
      </c>
      <c r="DA122" s="31">
        <f t="shared" si="50"/>
        <v>0.19099999999999995</v>
      </c>
      <c r="DB122" s="31">
        <f t="shared" si="50"/>
        <v>0.18379999999999996</v>
      </c>
      <c r="DC122" s="31">
        <f t="shared" si="50"/>
        <v>0.19159999999999999</v>
      </c>
      <c r="DD122" s="31">
        <f t="shared" si="50"/>
        <v>0.19279999999999997</v>
      </c>
      <c r="DE122" s="31">
        <f t="shared" si="50"/>
        <v>0.18569999999999998</v>
      </c>
      <c r="DF122" s="31">
        <f t="shared" si="50"/>
        <v>0.10319999999999996</v>
      </c>
      <c r="DG122" s="31">
        <f t="shared" si="50"/>
        <v>0.19799999999999995</v>
      </c>
      <c r="DH122" s="31">
        <f t="shared" si="50"/>
        <v>0.13939999999999997</v>
      </c>
      <c r="DI122" s="31">
        <f t="shared" si="50"/>
        <v>0.1361</v>
      </c>
      <c r="DJ122" s="31">
        <f t="shared" si="50"/>
        <v>0.16969999999999996</v>
      </c>
      <c r="DK122" s="31">
        <f t="shared" si="50"/>
        <v>0.17430000000000001</v>
      </c>
      <c r="DL122" s="31">
        <f t="shared" si="50"/>
        <v>0.11990000000000001</v>
      </c>
      <c r="DM122" s="31">
        <f t="shared" si="50"/>
        <v>0.18899999999999995</v>
      </c>
      <c r="DN122" s="31">
        <f t="shared" si="50"/>
        <v>0.14890000000000003</v>
      </c>
      <c r="DO122" s="31">
        <f t="shared" si="50"/>
        <v>0.13200000000000001</v>
      </c>
      <c r="DP122" s="31">
        <f t="shared" si="50"/>
        <v>0.19120000000000004</v>
      </c>
      <c r="DQ122" s="31">
        <f t="shared" si="50"/>
        <v>0.16159999999999997</v>
      </c>
      <c r="DR122" s="31">
        <f t="shared" si="50"/>
        <v>0.14829999999999999</v>
      </c>
      <c r="DS122" s="31">
        <f t="shared" si="50"/>
        <v>0.17049999999999998</v>
      </c>
      <c r="DT122" s="31">
        <f t="shared" si="50"/>
        <v>0.19269999999999998</v>
      </c>
      <c r="DU122" s="31">
        <f t="shared" si="50"/>
        <v>0.18149999999999999</v>
      </c>
      <c r="DV122" s="31">
        <f t="shared" si="50"/>
        <v>0.19069999999999998</v>
      </c>
      <c r="DW122" s="31">
        <f t="shared" si="50"/>
        <v>0.18479999999999996</v>
      </c>
      <c r="DX122" s="31">
        <f t="shared" si="50"/>
        <v>0.19320000000000004</v>
      </c>
      <c r="DY122" s="31">
        <f t="shared" si="50"/>
        <v>0.18500000000000005</v>
      </c>
      <c r="DZ122" s="31">
        <f t="shared" si="50"/>
        <v>0.16800000000000004</v>
      </c>
      <c r="EA122" s="31">
        <f t="shared" si="50"/>
        <v>0.17259999999999998</v>
      </c>
      <c r="EB122" s="31">
        <f t="shared" si="50"/>
        <v>0.17249999999999999</v>
      </c>
      <c r="EC122" s="31">
        <f t="shared" si="50"/>
        <v>0.18579999999999997</v>
      </c>
      <c r="ED122" s="31">
        <f t="shared" si="50"/>
        <v>0.14070000000000005</v>
      </c>
      <c r="EE122" s="31">
        <f t="shared" si="50"/>
        <v>0.19169999999999998</v>
      </c>
      <c r="EF122" s="31">
        <f t="shared" si="50"/>
        <v>0.14710000000000001</v>
      </c>
      <c r="EG122" s="31">
        <f t="shared" si="50"/>
        <v>0.18779999999999997</v>
      </c>
      <c r="EH122" s="31">
        <f t="shared" si="50"/>
        <v>0.18820000000000003</v>
      </c>
      <c r="EI122" s="31">
        <f t="shared" si="50"/>
        <v>0.10950000000000004</v>
      </c>
      <c r="EJ122" s="31">
        <f t="shared" si="50"/>
        <v>0.11280000000000001</v>
      </c>
      <c r="EK122" s="31">
        <f t="shared" si="50"/>
        <v>0.16839999999999999</v>
      </c>
      <c r="EL122" s="31">
        <f t="shared" si="50"/>
        <v>0.17490000000000006</v>
      </c>
      <c r="EM122" s="31">
        <f t="shared" si="50"/>
        <v>0.17979999999999996</v>
      </c>
      <c r="EN122" s="31">
        <f t="shared" si="50"/>
        <v>0.16000000000000003</v>
      </c>
      <c r="EO122" s="31">
        <f t="shared" si="50"/>
        <v>0.1845</v>
      </c>
      <c r="EP122" s="31">
        <f t="shared" si="50"/>
        <v>0.17659999999999998</v>
      </c>
      <c r="EQ122" s="31">
        <f t="shared" si="50"/>
        <v>0.13529999999999998</v>
      </c>
      <c r="ER122" s="31">
        <f t="shared" si="50"/>
        <v>0.18420000000000003</v>
      </c>
      <c r="ES122" s="31">
        <f t="shared" si="50"/>
        <v>0.19359999999999999</v>
      </c>
      <c r="ET122" s="31">
        <f t="shared" si="50"/>
        <v>0.19140000000000001</v>
      </c>
      <c r="EU122" s="31">
        <f t="shared" si="50"/>
        <v>0.17130000000000001</v>
      </c>
      <c r="EV122" s="31">
        <f t="shared" si="50"/>
        <v>0.19930000000000003</v>
      </c>
      <c r="EW122" s="31">
        <f t="shared" si="50"/>
        <v>0.16369999999999996</v>
      </c>
      <c r="EX122" s="31">
        <f t="shared" si="50"/>
        <v>0.19289999999999996</v>
      </c>
      <c r="EY122" s="31">
        <f t="shared" si="50"/>
        <v>0.16869999999999996</v>
      </c>
      <c r="EZ122" s="31">
        <f t="shared" si="50"/>
        <v>0.19569999999999999</v>
      </c>
      <c r="FA122" s="31">
        <f t="shared" si="50"/>
        <v>0.13139999999999996</v>
      </c>
      <c r="FB122" s="31">
        <f t="shared" si="50"/>
        <v>0.18559999999999999</v>
      </c>
      <c r="FC122" s="31">
        <f t="shared" si="50"/>
        <v>0.13929999999999998</v>
      </c>
      <c r="FD122" s="31">
        <f t="shared" si="50"/>
        <v>0.17830000000000001</v>
      </c>
      <c r="FE122" s="31">
        <f t="shared" si="50"/>
        <v>0.19889999999999997</v>
      </c>
      <c r="FF122" s="31">
        <f t="shared" si="50"/>
        <v>0.19220000000000004</v>
      </c>
      <c r="FG122" s="31">
        <f t="shared" si="50"/>
        <v>0.19630000000000003</v>
      </c>
      <c r="FH122" s="31">
        <f t="shared" si="50"/>
        <v>0.19950000000000001</v>
      </c>
      <c r="FI122" s="31">
        <f t="shared" si="50"/>
        <v>0.13990000000000002</v>
      </c>
      <c r="FJ122" s="31">
        <f t="shared" si="50"/>
        <v>0.13829999999999998</v>
      </c>
      <c r="FK122" s="31">
        <f t="shared" si="50"/>
        <v>0.13580000000000003</v>
      </c>
      <c r="FL122" s="31">
        <f t="shared" si="50"/>
        <v>0.11429999999999996</v>
      </c>
      <c r="FM122" s="31">
        <f t="shared" si="50"/>
        <v>0.12849999999999995</v>
      </c>
      <c r="FN122" s="31">
        <f t="shared" si="50"/>
        <v>0.10160000000000002</v>
      </c>
      <c r="FO122" s="31">
        <f t="shared" si="50"/>
        <v>0.15439999999999998</v>
      </c>
      <c r="FP122" s="31">
        <f t="shared" si="50"/>
        <v>0.13670000000000004</v>
      </c>
      <c r="FQ122" s="31">
        <f t="shared" si="50"/>
        <v>0.15859999999999996</v>
      </c>
      <c r="FR122" s="31">
        <f t="shared" si="50"/>
        <v>0.19320000000000004</v>
      </c>
      <c r="FS122" s="31">
        <f t="shared" si="50"/>
        <v>0.19320000000000004</v>
      </c>
      <c r="FT122" s="31">
        <f t="shared" si="50"/>
        <v>0.20040000000000002</v>
      </c>
      <c r="FU122" s="31">
        <f t="shared" si="50"/>
        <v>0.16459999999999997</v>
      </c>
      <c r="FV122" s="31">
        <f t="shared" si="50"/>
        <v>0.16759999999999997</v>
      </c>
      <c r="FW122" s="31">
        <f t="shared" si="50"/>
        <v>0.19440000000000002</v>
      </c>
      <c r="FX122" s="31">
        <f t="shared" si="50"/>
        <v>0.19989999999999997</v>
      </c>
      <c r="FY122" s="31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</row>
    <row r="123" spans="1:202" ht="15.5" x14ac:dyDescent="0.35">
      <c r="A123" s="12" t="s">
        <v>850</v>
      </c>
      <c r="B123" s="7" t="s">
        <v>851</v>
      </c>
      <c r="C123" s="31">
        <f t="shared" ref="C123:FX123" si="51">C113</f>
        <v>1.0297000000000001</v>
      </c>
      <c r="D123" s="31">
        <f t="shared" si="51"/>
        <v>1.0297000000000001</v>
      </c>
      <c r="E123" s="31">
        <f t="shared" si="51"/>
        <v>1.0297000000000001</v>
      </c>
      <c r="F123" s="31">
        <f t="shared" si="51"/>
        <v>1.0297000000000001</v>
      </c>
      <c r="G123" s="31">
        <f t="shared" si="51"/>
        <v>1.0773999999999999</v>
      </c>
      <c r="H123" s="31">
        <f t="shared" si="51"/>
        <v>1.1176999999999999</v>
      </c>
      <c r="I123" s="31">
        <f t="shared" si="51"/>
        <v>1.0297000000000001</v>
      </c>
      <c r="J123" s="31">
        <f t="shared" si="51"/>
        <v>1.0654999999999999</v>
      </c>
      <c r="K123" s="31">
        <f t="shared" si="51"/>
        <v>1.6371</v>
      </c>
      <c r="L123" s="31">
        <f t="shared" si="51"/>
        <v>1.0607</v>
      </c>
      <c r="M123" s="31">
        <f t="shared" si="51"/>
        <v>1.1372</v>
      </c>
      <c r="N123" s="31">
        <f t="shared" si="51"/>
        <v>1.0297000000000001</v>
      </c>
      <c r="O123" s="31">
        <f t="shared" si="51"/>
        <v>1.0297000000000001</v>
      </c>
      <c r="P123" s="31">
        <f t="shared" si="51"/>
        <v>1.4797</v>
      </c>
      <c r="Q123" s="31">
        <f t="shared" si="51"/>
        <v>1.0297000000000001</v>
      </c>
      <c r="R123" s="31">
        <f t="shared" si="51"/>
        <v>1.0297000000000001</v>
      </c>
      <c r="S123" s="31">
        <f t="shared" si="51"/>
        <v>1.0903</v>
      </c>
      <c r="T123" s="31">
        <f t="shared" si="51"/>
        <v>1.9779</v>
      </c>
      <c r="U123" s="31">
        <f t="shared" si="51"/>
        <v>2.3751000000000002</v>
      </c>
      <c r="V123" s="31">
        <f t="shared" si="51"/>
        <v>1.6194</v>
      </c>
      <c r="W123" s="31">
        <f t="shared" si="51"/>
        <v>2.3593000000000002</v>
      </c>
      <c r="X123" s="31">
        <f t="shared" si="51"/>
        <v>2.3957999999999999</v>
      </c>
      <c r="Y123" s="31">
        <f t="shared" si="51"/>
        <v>1.1482000000000001</v>
      </c>
      <c r="Z123" s="31">
        <f t="shared" si="51"/>
        <v>1.7145999999999999</v>
      </c>
      <c r="AA123" s="31">
        <f t="shared" si="51"/>
        <v>1.0297000000000001</v>
      </c>
      <c r="AB123" s="31">
        <f t="shared" si="51"/>
        <v>1.0297000000000001</v>
      </c>
      <c r="AC123" s="31">
        <f t="shared" si="51"/>
        <v>1.1464000000000001</v>
      </c>
      <c r="AD123" s="31">
        <f t="shared" si="51"/>
        <v>1.0992</v>
      </c>
      <c r="AE123" s="31">
        <f t="shared" si="51"/>
        <v>2.2189999999999999</v>
      </c>
      <c r="AF123" s="31">
        <f t="shared" si="51"/>
        <v>1.9538</v>
      </c>
      <c r="AG123" s="31">
        <f t="shared" si="51"/>
        <v>1.2092000000000001</v>
      </c>
      <c r="AH123" s="31">
        <f t="shared" si="51"/>
        <v>1.1357999999999999</v>
      </c>
      <c r="AI123" s="31">
        <f t="shared" si="51"/>
        <v>1.3661000000000001</v>
      </c>
      <c r="AJ123" s="31">
        <f t="shared" si="51"/>
        <v>1.9012</v>
      </c>
      <c r="AK123" s="31">
        <f t="shared" si="51"/>
        <v>1.9605999999999999</v>
      </c>
      <c r="AL123" s="31">
        <f t="shared" si="51"/>
        <v>1.5246999999999999</v>
      </c>
      <c r="AM123" s="31">
        <f t="shared" si="51"/>
        <v>1.4171</v>
      </c>
      <c r="AN123" s="31">
        <f t="shared" si="51"/>
        <v>1.5045999999999999</v>
      </c>
      <c r="AO123" s="31">
        <f t="shared" si="51"/>
        <v>1.0325</v>
      </c>
      <c r="AP123" s="31">
        <f t="shared" si="51"/>
        <v>1.0297000000000001</v>
      </c>
      <c r="AQ123" s="31">
        <f t="shared" si="51"/>
        <v>1.6396999999999999</v>
      </c>
      <c r="AR123" s="31">
        <f t="shared" si="51"/>
        <v>1.0297000000000001</v>
      </c>
      <c r="AS123" s="31">
        <f t="shared" si="51"/>
        <v>1.0297000000000001</v>
      </c>
      <c r="AT123" s="31">
        <f t="shared" si="51"/>
        <v>1.0523</v>
      </c>
      <c r="AU123" s="31">
        <f t="shared" si="51"/>
        <v>1.5645</v>
      </c>
      <c r="AV123" s="31">
        <f t="shared" si="51"/>
        <v>1.4963</v>
      </c>
      <c r="AW123" s="31">
        <f t="shared" si="51"/>
        <v>1.6172</v>
      </c>
      <c r="AX123" s="31">
        <f t="shared" si="51"/>
        <v>2.2791999999999999</v>
      </c>
      <c r="AY123" s="31">
        <f t="shared" si="51"/>
        <v>1.3261000000000001</v>
      </c>
      <c r="AZ123" s="31">
        <f t="shared" si="51"/>
        <v>1.0297000000000001</v>
      </c>
      <c r="BA123" s="31">
        <f t="shared" si="51"/>
        <v>1.0297000000000001</v>
      </c>
      <c r="BB123" s="31">
        <f t="shared" si="51"/>
        <v>1.0297000000000001</v>
      </c>
      <c r="BC123" s="31">
        <f t="shared" si="51"/>
        <v>1.0297000000000001</v>
      </c>
      <c r="BD123" s="31">
        <f t="shared" si="51"/>
        <v>1.0361</v>
      </c>
      <c r="BE123" s="31">
        <f t="shared" si="51"/>
        <v>1.1122000000000001</v>
      </c>
      <c r="BF123" s="31">
        <f t="shared" si="51"/>
        <v>1.0297000000000001</v>
      </c>
      <c r="BG123" s="31">
        <f t="shared" si="51"/>
        <v>1.1434</v>
      </c>
      <c r="BH123" s="31">
        <f t="shared" si="51"/>
        <v>1.2129000000000001</v>
      </c>
      <c r="BI123" s="31">
        <f t="shared" si="51"/>
        <v>1.6156999999999999</v>
      </c>
      <c r="BJ123" s="31">
        <f t="shared" si="51"/>
        <v>1.0297000000000001</v>
      </c>
      <c r="BK123" s="31">
        <f t="shared" si="51"/>
        <v>1.0297000000000001</v>
      </c>
      <c r="BL123" s="31">
        <f t="shared" si="51"/>
        <v>2.2930999999999999</v>
      </c>
      <c r="BM123" s="31">
        <f t="shared" si="51"/>
        <v>1.4058999999999999</v>
      </c>
      <c r="BN123" s="31">
        <f t="shared" si="51"/>
        <v>1.0416000000000001</v>
      </c>
      <c r="BO123" s="31">
        <f t="shared" si="51"/>
        <v>1.1091</v>
      </c>
      <c r="BP123" s="31">
        <f t="shared" si="51"/>
        <v>1.9804999999999999</v>
      </c>
      <c r="BQ123" s="31">
        <f t="shared" si="51"/>
        <v>1.0297000000000001</v>
      </c>
      <c r="BR123" s="31">
        <f t="shared" si="51"/>
        <v>1.0321</v>
      </c>
      <c r="BS123" s="31">
        <f t="shared" si="51"/>
        <v>1.1144000000000001</v>
      </c>
      <c r="BT123" s="31">
        <f t="shared" si="51"/>
        <v>1.3836999999999999</v>
      </c>
      <c r="BU123" s="31">
        <f t="shared" si="51"/>
        <v>1.3481000000000001</v>
      </c>
      <c r="BV123" s="31">
        <f t="shared" si="51"/>
        <v>1.1096999999999999</v>
      </c>
      <c r="BW123" s="31">
        <f t="shared" si="51"/>
        <v>1.0681</v>
      </c>
      <c r="BX123" s="31">
        <f t="shared" si="51"/>
        <v>2.3338000000000001</v>
      </c>
      <c r="BY123" s="31">
        <f t="shared" si="51"/>
        <v>1.3641000000000001</v>
      </c>
      <c r="BZ123" s="31">
        <f t="shared" si="51"/>
        <v>1.7262999999999999</v>
      </c>
      <c r="CA123" s="31">
        <f t="shared" si="51"/>
        <v>2.0339999999999998</v>
      </c>
      <c r="CB123" s="31">
        <f t="shared" si="51"/>
        <v>1.0297000000000001</v>
      </c>
      <c r="CC123" s="31">
        <f t="shared" si="51"/>
        <v>1.8717999999999999</v>
      </c>
      <c r="CD123" s="31">
        <f t="shared" si="51"/>
        <v>2.3957999999999999</v>
      </c>
      <c r="CE123" s="31">
        <f t="shared" si="51"/>
        <v>1.9883999999999999</v>
      </c>
      <c r="CF123" s="31">
        <f t="shared" si="51"/>
        <v>2.1606999999999998</v>
      </c>
      <c r="CG123" s="31">
        <f t="shared" si="51"/>
        <v>1.8320000000000001</v>
      </c>
      <c r="CH123" s="31">
        <f t="shared" si="51"/>
        <v>2.2208999999999999</v>
      </c>
      <c r="CI123" s="31">
        <f t="shared" si="51"/>
        <v>1.1914</v>
      </c>
      <c r="CJ123" s="31">
        <f t="shared" si="51"/>
        <v>1.1534</v>
      </c>
      <c r="CK123" s="31">
        <f t="shared" si="51"/>
        <v>1.0301</v>
      </c>
      <c r="CL123" s="31">
        <f t="shared" si="51"/>
        <v>1.1101000000000001</v>
      </c>
      <c r="CM123" s="31">
        <f t="shared" si="51"/>
        <v>1.1915</v>
      </c>
      <c r="CN123" s="31">
        <f t="shared" si="51"/>
        <v>1.0297000000000001</v>
      </c>
      <c r="CO123" s="31">
        <f t="shared" si="51"/>
        <v>1.0297000000000001</v>
      </c>
      <c r="CP123" s="31">
        <f t="shared" si="51"/>
        <v>1.1406000000000001</v>
      </c>
      <c r="CQ123" s="31">
        <f t="shared" si="51"/>
        <v>1.1744000000000001</v>
      </c>
      <c r="CR123" s="31">
        <f t="shared" si="51"/>
        <v>1.7721</v>
      </c>
      <c r="CS123" s="31">
        <f t="shared" si="51"/>
        <v>1.5298</v>
      </c>
      <c r="CT123" s="31">
        <f t="shared" si="51"/>
        <v>2.157</v>
      </c>
      <c r="CU123" s="31">
        <f t="shared" si="51"/>
        <v>1.2363</v>
      </c>
      <c r="CV123" s="31">
        <f t="shared" si="51"/>
        <v>2.3957999999999999</v>
      </c>
      <c r="CW123" s="31">
        <f t="shared" si="51"/>
        <v>1.8365</v>
      </c>
      <c r="CX123" s="31">
        <f t="shared" si="51"/>
        <v>1.238</v>
      </c>
      <c r="CY123" s="31">
        <f t="shared" si="51"/>
        <v>2.3957999999999999</v>
      </c>
      <c r="CZ123" s="31">
        <f t="shared" si="51"/>
        <v>1.0794999999999999</v>
      </c>
      <c r="DA123" s="31">
        <f t="shared" si="51"/>
        <v>1.8184</v>
      </c>
      <c r="DB123" s="31">
        <f t="shared" si="51"/>
        <v>1.4789000000000001</v>
      </c>
      <c r="DC123" s="31">
        <f t="shared" si="51"/>
        <v>1.8579000000000001</v>
      </c>
      <c r="DD123" s="31">
        <f t="shared" si="51"/>
        <v>1.9275</v>
      </c>
      <c r="DE123" s="31">
        <f t="shared" si="51"/>
        <v>1.5301</v>
      </c>
      <c r="DF123" s="31">
        <f t="shared" si="51"/>
        <v>1.0297000000000001</v>
      </c>
      <c r="DG123" s="31">
        <f t="shared" si="51"/>
        <v>2.2322000000000002</v>
      </c>
      <c r="DH123" s="31">
        <f t="shared" si="51"/>
        <v>1.0795999999999999</v>
      </c>
      <c r="DI123" s="31">
        <f t="shared" si="51"/>
        <v>1.0510999999999999</v>
      </c>
      <c r="DJ123" s="31">
        <f t="shared" si="51"/>
        <v>1.2044999999999999</v>
      </c>
      <c r="DK123" s="31">
        <f t="shared" si="51"/>
        <v>1.2343999999999999</v>
      </c>
      <c r="DL123" s="31">
        <f t="shared" si="51"/>
        <v>1.0297000000000001</v>
      </c>
      <c r="DM123" s="31">
        <f t="shared" si="51"/>
        <v>1.6999</v>
      </c>
      <c r="DN123" s="31">
        <f t="shared" si="51"/>
        <v>1.107</v>
      </c>
      <c r="DO123" s="31">
        <f t="shared" si="51"/>
        <v>1.0397000000000001</v>
      </c>
      <c r="DP123" s="31">
        <f t="shared" si="51"/>
        <v>1.8315999999999999</v>
      </c>
      <c r="DQ123" s="31">
        <f t="shared" si="51"/>
        <v>1.1500999999999999</v>
      </c>
      <c r="DR123" s="31">
        <f t="shared" si="51"/>
        <v>1.1060000000000001</v>
      </c>
      <c r="DS123" s="31">
        <f t="shared" si="51"/>
        <v>1.2095</v>
      </c>
      <c r="DT123" s="31">
        <f t="shared" si="51"/>
        <v>1.92</v>
      </c>
      <c r="DU123" s="31">
        <f t="shared" si="51"/>
        <v>1.4191</v>
      </c>
      <c r="DV123" s="31">
        <f t="shared" si="51"/>
        <v>1.8015000000000001</v>
      </c>
      <c r="DW123" s="31">
        <f t="shared" si="51"/>
        <v>1.5051000000000001</v>
      </c>
      <c r="DX123" s="31">
        <f t="shared" si="51"/>
        <v>1.952</v>
      </c>
      <c r="DY123" s="31">
        <f t="shared" si="51"/>
        <v>1.5111000000000001</v>
      </c>
      <c r="DZ123" s="31">
        <f t="shared" si="51"/>
        <v>1.1926000000000001</v>
      </c>
      <c r="EA123" s="31">
        <f t="shared" si="51"/>
        <v>1.2238</v>
      </c>
      <c r="EB123" s="31">
        <f t="shared" si="51"/>
        <v>1.2230000000000001</v>
      </c>
      <c r="EC123" s="31">
        <f t="shared" si="51"/>
        <v>1.5304</v>
      </c>
      <c r="ED123" s="31">
        <f t="shared" si="51"/>
        <v>1.0927</v>
      </c>
      <c r="EE123" s="31">
        <f t="shared" si="51"/>
        <v>1.8632</v>
      </c>
      <c r="EF123" s="31">
        <f t="shared" si="51"/>
        <v>1.1037999999999999</v>
      </c>
      <c r="EG123" s="31">
        <f t="shared" si="51"/>
        <v>1.6303000000000001</v>
      </c>
      <c r="EH123" s="31">
        <f t="shared" si="51"/>
        <v>1.6533</v>
      </c>
      <c r="EI123" s="31">
        <f t="shared" si="51"/>
        <v>1.0297000000000001</v>
      </c>
      <c r="EJ123" s="31">
        <f t="shared" si="51"/>
        <v>1.0297000000000001</v>
      </c>
      <c r="EK123" s="31">
        <f t="shared" si="51"/>
        <v>1.1953</v>
      </c>
      <c r="EL123" s="31">
        <f t="shared" si="51"/>
        <v>1.2383999999999999</v>
      </c>
      <c r="EM123" s="31">
        <f t="shared" si="51"/>
        <v>1.3743000000000001</v>
      </c>
      <c r="EN123" s="31">
        <f t="shared" si="51"/>
        <v>1.1394</v>
      </c>
      <c r="EO123" s="31">
        <f t="shared" si="51"/>
        <v>1.4963</v>
      </c>
      <c r="EP123" s="31">
        <f t="shared" si="51"/>
        <v>1.2897000000000001</v>
      </c>
      <c r="EQ123" s="31">
        <f t="shared" si="51"/>
        <v>1.0488999999999999</v>
      </c>
      <c r="ER123" s="31">
        <f t="shared" si="51"/>
        <v>1.4893000000000001</v>
      </c>
      <c r="ES123" s="31">
        <f t="shared" si="51"/>
        <v>1.9708000000000001</v>
      </c>
      <c r="ET123" s="31">
        <f t="shared" si="51"/>
        <v>2.0855000000000001</v>
      </c>
      <c r="EU123" s="31">
        <f t="shared" si="51"/>
        <v>1.2144999999999999</v>
      </c>
      <c r="EV123" s="31">
        <f t="shared" si="51"/>
        <v>2.3108</v>
      </c>
      <c r="EW123" s="31">
        <f t="shared" si="51"/>
        <v>1.1642999999999999</v>
      </c>
      <c r="EX123" s="31">
        <f t="shared" si="51"/>
        <v>1.9313</v>
      </c>
      <c r="EY123" s="31">
        <f t="shared" si="51"/>
        <v>1.1978</v>
      </c>
      <c r="EZ123" s="31">
        <f t="shared" si="51"/>
        <v>2.0975000000000001</v>
      </c>
      <c r="FA123" s="31">
        <f t="shared" si="51"/>
        <v>1.0382</v>
      </c>
      <c r="FB123" s="31">
        <f t="shared" si="51"/>
        <v>1.5254000000000001</v>
      </c>
      <c r="FC123" s="31">
        <f t="shared" si="51"/>
        <v>1.0784</v>
      </c>
      <c r="FD123" s="31">
        <f t="shared" si="51"/>
        <v>1.3342000000000001</v>
      </c>
      <c r="FE123" s="31">
        <f t="shared" si="51"/>
        <v>2.2867000000000002</v>
      </c>
      <c r="FF123" s="31">
        <f t="shared" si="51"/>
        <v>1.8879999999999999</v>
      </c>
      <c r="FG123" s="31">
        <f t="shared" si="51"/>
        <v>2.1295000000000002</v>
      </c>
      <c r="FH123" s="31">
        <f t="shared" si="51"/>
        <v>2.3206000000000002</v>
      </c>
      <c r="FI123" s="31">
        <f t="shared" si="51"/>
        <v>1.0851</v>
      </c>
      <c r="FJ123" s="31">
        <f t="shared" si="51"/>
        <v>1.0682</v>
      </c>
      <c r="FK123" s="31">
        <f t="shared" si="51"/>
        <v>1.0501</v>
      </c>
      <c r="FL123" s="31">
        <f t="shared" si="51"/>
        <v>1.0297000000000001</v>
      </c>
      <c r="FM123" s="31">
        <f t="shared" si="51"/>
        <v>1.0345</v>
      </c>
      <c r="FN123" s="31">
        <f t="shared" si="51"/>
        <v>1.0297000000000001</v>
      </c>
      <c r="FO123" s="31">
        <f t="shared" si="51"/>
        <v>1.1165</v>
      </c>
      <c r="FP123" s="31">
        <f t="shared" si="51"/>
        <v>1.0526</v>
      </c>
      <c r="FQ123" s="31">
        <f t="shared" si="51"/>
        <v>1.1302000000000001</v>
      </c>
      <c r="FR123" s="31">
        <f t="shared" si="51"/>
        <v>1.9516</v>
      </c>
      <c r="FS123" s="31">
        <f t="shared" si="51"/>
        <v>1.9508000000000001</v>
      </c>
      <c r="FT123" s="31">
        <f t="shared" si="51"/>
        <v>2.3714</v>
      </c>
      <c r="FU123" s="31">
        <f t="shared" si="51"/>
        <v>1.1700999999999999</v>
      </c>
      <c r="FV123" s="31">
        <f t="shared" si="51"/>
        <v>1.1901999999999999</v>
      </c>
      <c r="FW123" s="31">
        <f t="shared" si="51"/>
        <v>2.0215000000000001</v>
      </c>
      <c r="FX123" s="31">
        <f t="shared" si="51"/>
        <v>2.3412999999999999</v>
      </c>
      <c r="FY123" s="103"/>
      <c r="FZ123" s="31">
        <f>SUM(C123:FX123)</f>
        <v>255.74830000000006</v>
      </c>
      <c r="GA123" s="7"/>
      <c r="GB123" s="31"/>
      <c r="GC123" s="31"/>
      <c r="GD123" s="31"/>
      <c r="GE123" s="7"/>
      <c r="GF123" s="7"/>
      <c r="GG123" s="7"/>
      <c r="GH123" s="7"/>
      <c r="GI123" s="7"/>
      <c r="GJ123" s="7"/>
      <c r="GK123" s="7"/>
    </row>
    <row r="124" spans="1:202" ht="15.5" x14ac:dyDescent="0.35">
      <c r="A124" s="12" t="s">
        <v>3</v>
      </c>
      <c r="B124" s="7" t="s">
        <v>839</v>
      </c>
      <c r="C124" s="81">
        <f ca="1">((C118*C119*C120)+(C122*C121))*C123</f>
        <v>10738.609369934627</v>
      </c>
      <c r="D124" s="81">
        <f t="shared" ref="D124:FX124" ca="1" si="52">ROUND(((D118*D119*D120)+(D122*D121))*D123,8)</f>
        <v>10780.479009459999</v>
      </c>
      <c r="E124" s="81">
        <f t="shared" ca="1" si="52"/>
        <v>10643.85360178</v>
      </c>
      <c r="F124" s="81">
        <f t="shared" ca="1" si="52"/>
        <v>10689.81605182</v>
      </c>
      <c r="G124" s="81">
        <f t="shared" ca="1" si="52"/>
        <v>11113.78245269</v>
      </c>
      <c r="H124" s="81">
        <f t="shared" ca="1" si="52"/>
        <v>11422.10040904</v>
      </c>
      <c r="I124" s="81">
        <f t="shared" ca="1" si="52"/>
        <v>10661.398181820001</v>
      </c>
      <c r="J124" s="81">
        <f t="shared" ca="1" si="52"/>
        <v>10314.757123519999</v>
      </c>
      <c r="K124" s="81">
        <f t="shared" ca="1" si="52"/>
        <v>15512.023119580001</v>
      </c>
      <c r="L124" s="81">
        <f t="shared" ca="1" si="52"/>
        <v>11159.38840795</v>
      </c>
      <c r="M124" s="81">
        <f t="shared" ca="1" si="52"/>
        <v>11911.168863340001</v>
      </c>
      <c r="N124" s="81">
        <f t="shared" ca="1" si="52"/>
        <v>11104.467071319999</v>
      </c>
      <c r="O124" s="81">
        <f t="shared" ca="1" si="52"/>
        <v>10828.94833951</v>
      </c>
      <c r="P124" s="81">
        <f t="shared" ca="1" si="52"/>
        <v>15128.685684890001</v>
      </c>
      <c r="Q124" s="81">
        <f t="shared" ca="1" si="52"/>
        <v>10934.37333884</v>
      </c>
      <c r="R124" s="81">
        <f t="shared" ca="1" si="52"/>
        <v>10659.65831223</v>
      </c>
      <c r="S124" s="81">
        <f t="shared" ca="1" si="52"/>
        <v>10975.56024513</v>
      </c>
      <c r="T124" s="81">
        <f t="shared" ca="1" si="52"/>
        <v>18355.878521719998</v>
      </c>
      <c r="U124" s="81">
        <f t="shared" ca="1" si="52"/>
        <v>21881.90851397</v>
      </c>
      <c r="V124" s="81">
        <f t="shared" ca="1" si="52"/>
        <v>15024.600686629999</v>
      </c>
      <c r="W124" s="81">
        <f t="shared" ca="1" si="52"/>
        <v>21736.64996594</v>
      </c>
      <c r="X124" s="81">
        <f t="shared" ca="1" si="52"/>
        <v>22055.351485030002</v>
      </c>
      <c r="Y124" s="81">
        <f t="shared" ca="1" si="52"/>
        <v>10590.946651419999</v>
      </c>
      <c r="Z124" s="81">
        <f t="shared" ca="1" si="52"/>
        <v>15555.45957053</v>
      </c>
      <c r="AA124" s="81">
        <f t="shared" ca="1" si="52"/>
        <v>10853.37632338</v>
      </c>
      <c r="AB124" s="81">
        <f t="shared" ca="1" si="52"/>
        <v>11090.43803024</v>
      </c>
      <c r="AC124" s="81">
        <f t="shared" ca="1" si="52"/>
        <v>11444.004921559999</v>
      </c>
      <c r="AD124" s="81">
        <f t="shared" ca="1" si="52"/>
        <v>10837.41130458</v>
      </c>
      <c r="AE124" s="81">
        <f t="shared" ca="1" si="52"/>
        <v>20323.735904280002</v>
      </c>
      <c r="AF124" s="81">
        <f t="shared" ca="1" si="52"/>
        <v>18639.667538599999</v>
      </c>
      <c r="AG124" s="81">
        <f t="shared" ca="1" si="52"/>
        <v>12393.244597659999</v>
      </c>
      <c r="AH124" s="81">
        <f t="shared" ca="1" si="52"/>
        <v>10793.282859020001</v>
      </c>
      <c r="AI124" s="81">
        <f t="shared" ca="1" si="52"/>
        <v>12867.603865110001</v>
      </c>
      <c r="AJ124" s="81">
        <f t="shared" ca="1" si="52"/>
        <v>18059.57909376</v>
      </c>
      <c r="AK124" s="81">
        <f t="shared" ca="1" si="52"/>
        <v>18291.973206760002</v>
      </c>
      <c r="AL124" s="81">
        <f t="shared" ca="1" si="52"/>
        <v>14364.17662738</v>
      </c>
      <c r="AM124" s="81">
        <f t="shared" ca="1" si="52"/>
        <v>13456.508305519999</v>
      </c>
      <c r="AN124" s="81">
        <f t="shared" ca="1" si="52"/>
        <v>14634.177562819999</v>
      </c>
      <c r="AO124" s="81">
        <f t="shared" ca="1" si="52"/>
        <v>10495.23070873</v>
      </c>
      <c r="AP124" s="81">
        <f t="shared" ca="1" si="52"/>
        <v>10942.473040389999</v>
      </c>
      <c r="AQ124" s="81">
        <f t="shared" ca="1" si="52"/>
        <v>16219.525156309999</v>
      </c>
      <c r="AR124" s="81">
        <f t="shared" ca="1" si="52"/>
        <v>10942.473040389999</v>
      </c>
      <c r="AS124" s="81">
        <f t="shared" ca="1" si="52"/>
        <v>11481.99371289</v>
      </c>
      <c r="AT124" s="81">
        <f t="shared" ca="1" si="52"/>
        <v>11104.83353812</v>
      </c>
      <c r="AU124" s="81">
        <f t="shared" ca="1" si="52"/>
        <v>15987.176242940001</v>
      </c>
      <c r="AV124" s="81">
        <f t="shared" ca="1" si="52"/>
        <v>15158.5620239</v>
      </c>
      <c r="AW124" s="81">
        <f t="shared" ca="1" si="52"/>
        <v>16397.356424760001</v>
      </c>
      <c r="AX124" s="81">
        <f t="shared" ca="1" si="52"/>
        <v>22572.087759149999</v>
      </c>
      <c r="AY124" s="81">
        <f t="shared" ca="1" si="52"/>
        <v>13468.475264590001</v>
      </c>
      <c r="AZ124" s="81">
        <f t="shared" ca="1" si="52"/>
        <v>10612.85546221</v>
      </c>
      <c r="BA124" s="81">
        <f t="shared" ca="1" si="52"/>
        <v>10377.606119509999</v>
      </c>
      <c r="BB124" s="81">
        <f t="shared" ca="1" si="52"/>
        <v>10454.539859279999</v>
      </c>
      <c r="BC124" s="81">
        <f t="shared" ca="1" si="52"/>
        <v>10625.74875508</v>
      </c>
      <c r="BD124" s="81">
        <f t="shared" ca="1" si="52"/>
        <v>10658.347160290001</v>
      </c>
      <c r="BE124" s="81">
        <f t="shared" ca="1" si="52"/>
        <v>11380.527282270001</v>
      </c>
      <c r="BF124" s="81">
        <f t="shared" ca="1" si="52"/>
        <v>10708.072152610001</v>
      </c>
      <c r="BG124" s="81">
        <f t="shared" ca="1" si="52"/>
        <v>11573.26131351</v>
      </c>
      <c r="BH124" s="81">
        <f t="shared" ca="1" si="52"/>
        <v>12351.371819</v>
      </c>
      <c r="BI124" s="81">
        <f t="shared" ca="1" si="52"/>
        <v>16097.179919280001</v>
      </c>
      <c r="BJ124" s="81">
        <f t="shared" ca="1" si="52"/>
        <v>10768.002784099999</v>
      </c>
      <c r="BK124" s="81">
        <f t="shared" ca="1" si="52"/>
        <v>10650.883784719999</v>
      </c>
      <c r="BL124" s="81">
        <f t="shared" ca="1" si="52"/>
        <v>22565.369211050001</v>
      </c>
      <c r="BM124" s="81">
        <f t="shared" ca="1" si="52"/>
        <v>13901.148564499999</v>
      </c>
      <c r="BN124" s="81">
        <f t="shared" ca="1" si="52"/>
        <v>10270.43818291</v>
      </c>
      <c r="BO124" s="81">
        <f t="shared" ca="1" si="52"/>
        <v>10778.9162891</v>
      </c>
      <c r="BP124" s="81">
        <f t="shared" ca="1" si="52"/>
        <v>18962.956738360001</v>
      </c>
      <c r="BQ124" s="81">
        <f t="shared" ca="1" si="52"/>
        <v>11386.381434860001</v>
      </c>
      <c r="BR124" s="81">
        <f t="shared" ca="1" si="52"/>
        <v>10585.9467159</v>
      </c>
      <c r="BS124" s="81">
        <f t="shared" ca="1" si="52"/>
        <v>11449.62029024</v>
      </c>
      <c r="BT124" s="81">
        <f t="shared" ca="1" si="52"/>
        <v>14353.71077806</v>
      </c>
      <c r="BU124" s="81">
        <f t="shared" ca="1" si="52"/>
        <v>14007.53289848</v>
      </c>
      <c r="BV124" s="81">
        <f t="shared" ca="1" si="52"/>
        <v>11202.0885667</v>
      </c>
      <c r="BW124" s="81">
        <f t="shared" ca="1" si="52"/>
        <v>11035.662144800001</v>
      </c>
      <c r="BX124" s="81">
        <f t="shared" ca="1" si="52"/>
        <v>23807.7059935</v>
      </c>
      <c r="BY124" s="81">
        <f t="shared" ca="1" si="52"/>
        <v>12686.40864539</v>
      </c>
      <c r="BZ124" s="81">
        <f t="shared" ca="1" si="52"/>
        <v>15819.56011814</v>
      </c>
      <c r="CA124" s="81">
        <f t="shared" ca="1" si="52"/>
        <v>20028.51729539</v>
      </c>
      <c r="CB124" s="81">
        <f t="shared" ca="1" si="52"/>
        <v>10845.27662183</v>
      </c>
      <c r="CC124" s="81">
        <f t="shared" ca="1" si="52"/>
        <v>17123.881216850001</v>
      </c>
      <c r="CD124" s="81">
        <f t="shared" ca="1" si="52"/>
        <v>21572.722102520001</v>
      </c>
      <c r="CE124" s="81">
        <f t="shared" ca="1" si="52"/>
        <v>18341.580141840001</v>
      </c>
      <c r="CF124" s="81">
        <f t="shared" ca="1" si="52"/>
        <v>19338.494874970002</v>
      </c>
      <c r="CG124" s="81">
        <f t="shared" ca="1" si="52"/>
        <v>16915.047340820001</v>
      </c>
      <c r="CH124" s="81">
        <f t="shared" ca="1" si="52"/>
        <v>20495.991559990001</v>
      </c>
      <c r="CI124" s="81">
        <f t="shared" ca="1" si="52"/>
        <v>11027.596785510001</v>
      </c>
      <c r="CJ124" s="81">
        <f t="shared" ca="1" si="52"/>
        <v>11612.7315368</v>
      </c>
      <c r="CK124" s="81">
        <f t="shared" ca="1" si="52"/>
        <v>10961.511256289999</v>
      </c>
      <c r="CL124" s="81">
        <f t="shared" ca="1" si="52"/>
        <v>11582.71589997</v>
      </c>
      <c r="CM124" s="81">
        <f t="shared" ca="1" si="52"/>
        <v>12295.44129243</v>
      </c>
      <c r="CN124" s="81">
        <f t="shared" ca="1" si="52"/>
        <v>10456.49094761</v>
      </c>
      <c r="CO124" s="81">
        <f t="shared" ca="1" si="52"/>
        <v>10441.159689329999</v>
      </c>
      <c r="CP124" s="81">
        <f t="shared" ca="1" si="52"/>
        <v>11779.038239150001</v>
      </c>
      <c r="CQ124" s="81">
        <f t="shared" ca="1" si="52"/>
        <v>11588.107996819999</v>
      </c>
      <c r="CR124" s="81">
        <f t="shared" ca="1" si="52"/>
        <v>16812.203358639999</v>
      </c>
      <c r="CS124" s="81">
        <f t="shared" ca="1" si="52"/>
        <v>14617.67253657</v>
      </c>
      <c r="CT124" s="81">
        <f t="shared" ca="1" si="52"/>
        <v>19847.62466026</v>
      </c>
      <c r="CU124" s="81">
        <f t="shared" ca="1" si="52"/>
        <v>10887.60118027</v>
      </c>
      <c r="CV124" s="81">
        <f t="shared" ca="1" si="52"/>
        <v>21073.45032751</v>
      </c>
      <c r="CW124" s="81">
        <f t="shared" ca="1" si="52"/>
        <v>17459.91918257</v>
      </c>
      <c r="CX124" s="81">
        <f t="shared" ca="1" si="52"/>
        <v>12056.85861487</v>
      </c>
      <c r="CY124" s="81">
        <f t="shared" ca="1" si="52"/>
        <v>22255.060195040001</v>
      </c>
      <c r="CZ124" s="81">
        <f t="shared" ca="1" si="52"/>
        <v>10682.846703220001</v>
      </c>
      <c r="DA124" s="81">
        <f t="shared" ca="1" si="52"/>
        <v>17365.10770181</v>
      </c>
      <c r="DB124" s="81">
        <f t="shared" ca="1" si="52"/>
        <v>14449.038702989999</v>
      </c>
      <c r="DC124" s="81">
        <f t="shared" ca="1" si="52"/>
        <v>17884.736210269999</v>
      </c>
      <c r="DD124" s="81">
        <f t="shared" ca="1" si="52"/>
        <v>18484.437191249999</v>
      </c>
      <c r="DE124" s="81">
        <f t="shared" ca="1" si="52"/>
        <v>14880.45045436</v>
      </c>
      <c r="DF124" s="81">
        <f t="shared" ca="1" si="52"/>
        <v>10121.78800986</v>
      </c>
      <c r="DG124" s="81">
        <f t="shared" ca="1" si="52"/>
        <v>21782.55764331</v>
      </c>
      <c r="DH124" s="81">
        <f t="shared" ca="1" si="52"/>
        <v>10481.946712319999</v>
      </c>
      <c r="DI124" s="81">
        <f t="shared" ca="1" si="52"/>
        <v>10319.83318774</v>
      </c>
      <c r="DJ124" s="81">
        <f t="shared" ca="1" si="52"/>
        <v>11860.095092789999</v>
      </c>
      <c r="DK124" s="81">
        <f t="shared" ca="1" si="52"/>
        <v>12040.29964279</v>
      </c>
      <c r="DL124" s="81">
        <f t="shared" ca="1" si="52"/>
        <v>10737.990928630001</v>
      </c>
      <c r="DM124" s="81">
        <f t="shared" ca="1" si="52"/>
        <v>17207.67481027</v>
      </c>
      <c r="DN124" s="81">
        <f t="shared" ca="1" si="52"/>
        <v>11169.56877761</v>
      </c>
      <c r="DO124" s="81">
        <f t="shared" ca="1" si="52"/>
        <v>10574.28813685</v>
      </c>
      <c r="DP124" s="81">
        <f t="shared" ca="1" si="52"/>
        <v>18186.07966639</v>
      </c>
      <c r="DQ124" s="81">
        <f t="shared" ca="1" si="52"/>
        <v>11437.97369266</v>
      </c>
      <c r="DR124" s="81">
        <f t="shared" ca="1" si="52"/>
        <v>10800.31880784</v>
      </c>
      <c r="DS124" s="81">
        <f t="shared" ca="1" si="52"/>
        <v>11681.25381111</v>
      </c>
      <c r="DT124" s="81">
        <f t="shared" ca="1" si="52"/>
        <v>18480.089066150002</v>
      </c>
      <c r="DU124" s="81">
        <f t="shared" ca="1" si="52"/>
        <v>13596.51032644</v>
      </c>
      <c r="DV124" s="81">
        <f t="shared" ca="1" si="52"/>
        <v>17204.291485400001</v>
      </c>
      <c r="DW124" s="81">
        <f t="shared" ca="1" si="52"/>
        <v>14500.40260652</v>
      </c>
      <c r="DX124" s="81">
        <f t="shared" ca="1" si="52"/>
        <v>21223.512856869998</v>
      </c>
      <c r="DY124" s="81">
        <f t="shared" ca="1" si="52"/>
        <v>16206.32911432</v>
      </c>
      <c r="DZ124" s="81">
        <f t="shared" ca="1" si="52"/>
        <v>12427.067367539999</v>
      </c>
      <c r="EA124" s="81">
        <f t="shared" ca="1" si="52"/>
        <v>12529.25582581</v>
      </c>
      <c r="EB124" s="81">
        <f t="shared" ca="1" si="52"/>
        <v>11668.044721849999</v>
      </c>
      <c r="EC124" s="81">
        <f t="shared" ca="1" si="52"/>
        <v>14114.213119419999</v>
      </c>
      <c r="ED124" s="81">
        <f t="shared" ca="1" si="52"/>
        <v>14818.65013047</v>
      </c>
      <c r="EE124" s="81">
        <f t="shared" ca="1" si="52"/>
        <v>17163.226516030001</v>
      </c>
      <c r="EF124" s="81">
        <f t="shared" ca="1" si="52"/>
        <v>10682.311948570001</v>
      </c>
      <c r="EG124" s="81">
        <f t="shared" ca="1" si="52"/>
        <v>14665.13155769</v>
      </c>
      <c r="EH124" s="81">
        <f t="shared" ca="1" si="52"/>
        <v>15221.74832144</v>
      </c>
      <c r="EI124" s="81">
        <f t="shared" ca="1" si="52"/>
        <v>10368.59352343</v>
      </c>
      <c r="EJ124" s="81">
        <f t="shared" ca="1" si="52"/>
        <v>10268.051614890001</v>
      </c>
      <c r="EK124" s="81">
        <f t="shared" ca="1" si="52"/>
        <v>11495.19640968</v>
      </c>
      <c r="EL124" s="81">
        <f t="shared" ca="1" si="52"/>
        <v>11696.46315473</v>
      </c>
      <c r="EM124" s="81">
        <f t="shared" ca="1" si="52"/>
        <v>13140.42408106</v>
      </c>
      <c r="EN124" s="81">
        <f t="shared" ca="1" si="52"/>
        <v>10926.66002257</v>
      </c>
      <c r="EO124" s="81">
        <f t="shared" ca="1" si="52"/>
        <v>14204.02039064</v>
      </c>
      <c r="EP124" s="81">
        <f t="shared" ca="1" si="52"/>
        <v>13508.124605360001</v>
      </c>
      <c r="EQ124" s="81">
        <f t="shared" ca="1" si="52"/>
        <v>11261.09261858</v>
      </c>
      <c r="ER124" s="81">
        <f t="shared" ca="1" si="52"/>
        <v>15563.648275240001</v>
      </c>
      <c r="ES124" s="81">
        <f t="shared" ca="1" si="52"/>
        <v>18262.504002009999</v>
      </c>
      <c r="ET124" s="81">
        <f t="shared" ca="1" si="52"/>
        <v>19680.421551020001</v>
      </c>
      <c r="EU124" s="81">
        <f t="shared" ca="1" si="52"/>
        <v>11360.99933194</v>
      </c>
      <c r="EV124" s="81">
        <f t="shared" ca="1" si="52"/>
        <v>22979.783798799999</v>
      </c>
      <c r="EW124" s="81">
        <f t="shared" ca="1" si="52"/>
        <v>15163.95450084</v>
      </c>
      <c r="EX124" s="81">
        <f t="shared" ca="1" si="52"/>
        <v>19929.69347079</v>
      </c>
      <c r="EY124" s="81">
        <f t="shared" ca="1" si="52"/>
        <v>11423.637462950001</v>
      </c>
      <c r="EZ124" s="81">
        <f t="shared" ca="1" si="52"/>
        <v>19756.026827379999</v>
      </c>
      <c r="FA124" s="81">
        <f t="shared" ca="1" si="52"/>
        <v>11539.855551520001</v>
      </c>
      <c r="FB124" s="81">
        <f t="shared" ca="1" si="52"/>
        <v>14834.93582784</v>
      </c>
      <c r="FC124" s="81">
        <f t="shared" ca="1" si="52"/>
        <v>10946.40843189</v>
      </c>
      <c r="FD124" s="81">
        <f t="shared" ca="1" si="52"/>
        <v>12978.293809479999</v>
      </c>
      <c r="FE124" s="81">
        <f t="shared" ca="1" si="52"/>
        <v>21722.525203550002</v>
      </c>
      <c r="FF124" s="81">
        <f t="shared" ca="1" si="52"/>
        <v>18186.434948229999</v>
      </c>
      <c r="FG124" s="81">
        <f t="shared" ca="1" si="52"/>
        <v>20651.308264539999</v>
      </c>
      <c r="FH124" s="81">
        <f t="shared" ca="1" si="52"/>
        <v>21913.984779629998</v>
      </c>
      <c r="FI124" s="81">
        <f t="shared" ca="1" si="52"/>
        <v>10859.185803079999</v>
      </c>
      <c r="FJ124" s="81">
        <f t="shared" ca="1" si="52"/>
        <v>10620.66814123</v>
      </c>
      <c r="FK124" s="81">
        <f t="shared" ca="1" si="52"/>
        <v>10602.273550690001</v>
      </c>
      <c r="FL124" s="81">
        <f t="shared" ca="1" si="52"/>
        <v>10337.16578643</v>
      </c>
      <c r="FM124" s="81">
        <f t="shared" ca="1" si="52"/>
        <v>10378.68120434</v>
      </c>
      <c r="FN124" s="81">
        <f t="shared" ca="1" si="52"/>
        <v>10437.463361440001</v>
      </c>
      <c r="FO124" s="81">
        <f t="shared" ca="1" si="52"/>
        <v>11156.86310002</v>
      </c>
      <c r="FP124" s="81">
        <f t="shared" ca="1" si="52"/>
        <v>10776.042997050001</v>
      </c>
      <c r="FQ124" s="81">
        <f t="shared" ca="1" si="52"/>
        <v>11203.805790500001</v>
      </c>
      <c r="FR124" s="81">
        <f t="shared" ca="1" si="52"/>
        <v>19002.083399480001</v>
      </c>
      <c r="FS124" s="81">
        <f t="shared" ca="1" si="52"/>
        <v>18939.573778990001</v>
      </c>
      <c r="FT124" s="81">
        <f t="shared" ca="1" si="52"/>
        <v>23017.98138664</v>
      </c>
      <c r="FU124" s="81">
        <f t="shared" ca="1" si="52"/>
        <v>11827.04351765</v>
      </c>
      <c r="FV124" s="81">
        <f t="shared" ca="1" si="52"/>
        <v>11610.821122789999</v>
      </c>
      <c r="FW124" s="81">
        <f t="shared" ca="1" si="52"/>
        <v>19651.225421070001</v>
      </c>
      <c r="FX124" s="81">
        <f t="shared" ca="1" si="52"/>
        <v>23541.407660289999</v>
      </c>
      <c r="FY124" s="7"/>
      <c r="FZ124" s="31">
        <f ca="1">AVERAGE(C124:FX124)</f>
        <v>14143.045894368013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</row>
    <row r="125" spans="1:202" ht="15.5" x14ac:dyDescent="0.35">
      <c r="A125" s="7"/>
      <c r="B125" s="7" t="s">
        <v>852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31"/>
      <c r="FZ125" s="81">
        <f ca="1">FZ124/178</f>
        <v>79.45531401330345</v>
      </c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</row>
    <row r="126" spans="1:202" ht="15.5" x14ac:dyDescent="0.35">
      <c r="A126" s="7"/>
      <c r="B126" s="7" t="s">
        <v>853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31"/>
      <c r="FZ126" s="81"/>
      <c r="GA126" s="7"/>
      <c r="GB126" s="31"/>
      <c r="GC126" s="31"/>
      <c r="GD126" s="31"/>
      <c r="GE126" s="7"/>
      <c r="GF126" s="7"/>
      <c r="GG126" s="7"/>
      <c r="GH126" s="7"/>
      <c r="GI126" s="7"/>
      <c r="GJ126" s="7"/>
      <c r="GK126" s="7"/>
    </row>
    <row r="127" spans="1:202" ht="15.5" x14ac:dyDescent="0.35">
      <c r="A127" s="12" t="s">
        <v>854</v>
      </c>
      <c r="B127" s="7" t="s">
        <v>855</v>
      </c>
      <c r="C127" s="23">
        <f t="shared" ref="C127:FX127" si="53">ROUND(C96,1)</f>
        <v>6384.5</v>
      </c>
      <c r="D127" s="23">
        <f t="shared" si="53"/>
        <v>38102.400000000001</v>
      </c>
      <c r="E127" s="23">
        <f t="shared" si="53"/>
        <v>5738</v>
      </c>
      <c r="F127" s="23">
        <f t="shared" si="53"/>
        <v>22398.6</v>
      </c>
      <c r="G127" s="23">
        <f t="shared" si="53"/>
        <v>1844</v>
      </c>
      <c r="H127" s="23">
        <f t="shared" si="53"/>
        <v>1095.7</v>
      </c>
      <c r="I127" s="23">
        <f t="shared" si="53"/>
        <v>8056</v>
      </c>
      <c r="J127" s="23">
        <f t="shared" si="53"/>
        <v>2066.8000000000002</v>
      </c>
      <c r="K127" s="23">
        <f t="shared" si="53"/>
        <v>251.7</v>
      </c>
      <c r="L127" s="23">
        <f t="shared" si="53"/>
        <v>2133.1</v>
      </c>
      <c r="M127" s="23">
        <f t="shared" si="53"/>
        <v>936.7</v>
      </c>
      <c r="N127" s="23">
        <f t="shared" si="53"/>
        <v>50452.1</v>
      </c>
      <c r="O127" s="23">
        <f t="shared" si="53"/>
        <v>12808.4</v>
      </c>
      <c r="P127" s="23">
        <f t="shared" si="53"/>
        <v>315.3</v>
      </c>
      <c r="Q127" s="23">
        <f t="shared" si="53"/>
        <v>39320.800000000003</v>
      </c>
      <c r="R127" s="23">
        <f t="shared" si="53"/>
        <v>481.8</v>
      </c>
      <c r="S127" s="23">
        <f t="shared" si="53"/>
        <v>1591.4</v>
      </c>
      <c r="T127" s="23">
        <f t="shared" si="53"/>
        <v>161.1</v>
      </c>
      <c r="U127" s="23">
        <f t="shared" si="53"/>
        <v>55.5</v>
      </c>
      <c r="V127" s="23">
        <f t="shared" si="53"/>
        <v>256.39999999999998</v>
      </c>
      <c r="W127" s="23">
        <f t="shared" si="53"/>
        <v>58.7</v>
      </c>
      <c r="X127" s="23">
        <f t="shared" si="53"/>
        <v>50</v>
      </c>
      <c r="Y127" s="23">
        <f t="shared" si="53"/>
        <v>423.8</v>
      </c>
      <c r="Z127" s="23">
        <f t="shared" si="53"/>
        <v>231.1</v>
      </c>
      <c r="AA127" s="23">
        <f t="shared" si="53"/>
        <v>30551.4</v>
      </c>
      <c r="AB127" s="23">
        <f t="shared" si="53"/>
        <v>26947.7</v>
      </c>
      <c r="AC127" s="23">
        <f t="shared" si="53"/>
        <v>906.3</v>
      </c>
      <c r="AD127" s="23">
        <f t="shared" si="53"/>
        <v>1435.1</v>
      </c>
      <c r="AE127" s="23">
        <f t="shared" si="53"/>
        <v>97</v>
      </c>
      <c r="AF127" s="23">
        <f t="shared" si="53"/>
        <v>167.5</v>
      </c>
      <c r="AG127" s="23">
        <f t="shared" si="53"/>
        <v>601.1</v>
      </c>
      <c r="AH127" s="23">
        <f t="shared" si="53"/>
        <v>957.7</v>
      </c>
      <c r="AI127" s="23">
        <f t="shared" si="53"/>
        <v>383</v>
      </c>
      <c r="AJ127" s="23">
        <f t="shared" si="53"/>
        <v>181.5</v>
      </c>
      <c r="AK127" s="23">
        <f t="shared" si="53"/>
        <v>165.7</v>
      </c>
      <c r="AL127" s="23">
        <f t="shared" si="53"/>
        <v>288.5</v>
      </c>
      <c r="AM127" s="23">
        <f t="shared" si="53"/>
        <v>352.6</v>
      </c>
      <c r="AN127" s="23">
        <f t="shared" si="53"/>
        <v>299.5</v>
      </c>
      <c r="AO127" s="23">
        <f t="shared" si="53"/>
        <v>4036</v>
      </c>
      <c r="AP127" s="23">
        <f t="shared" si="53"/>
        <v>83959.6</v>
      </c>
      <c r="AQ127" s="23">
        <f t="shared" si="53"/>
        <v>251</v>
      </c>
      <c r="AR127" s="23">
        <f t="shared" si="53"/>
        <v>60695.1</v>
      </c>
      <c r="AS127" s="23">
        <f t="shared" si="53"/>
        <v>6483</v>
      </c>
      <c r="AT127" s="23">
        <f t="shared" si="53"/>
        <v>2360.1999999999998</v>
      </c>
      <c r="AU127" s="23">
        <f t="shared" si="53"/>
        <v>271</v>
      </c>
      <c r="AV127" s="23">
        <f t="shared" si="53"/>
        <v>305.39999999999998</v>
      </c>
      <c r="AW127" s="23">
        <f t="shared" si="53"/>
        <v>255</v>
      </c>
      <c r="AX127" s="23">
        <f t="shared" si="53"/>
        <v>81</v>
      </c>
      <c r="AY127" s="23">
        <f t="shared" si="53"/>
        <v>406.8</v>
      </c>
      <c r="AZ127" s="23">
        <f t="shared" si="53"/>
        <v>12123.4</v>
      </c>
      <c r="BA127" s="23">
        <f t="shared" si="53"/>
        <v>8895.7999999999993</v>
      </c>
      <c r="BB127" s="23">
        <f t="shared" si="53"/>
        <v>7554.3</v>
      </c>
      <c r="BC127" s="23">
        <f t="shared" si="53"/>
        <v>24177.4</v>
      </c>
      <c r="BD127" s="23">
        <f t="shared" si="53"/>
        <v>3633.5</v>
      </c>
      <c r="BE127" s="23">
        <f t="shared" si="53"/>
        <v>1198.7</v>
      </c>
      <c r="BF127" s="23">
        <f t="shared" si="53"/>
        <v>24386.3</v>
      </c>
      <c r="BG127" s="23">
        <f t="shared" si="53"/>
        <v>920.6</v>
      </c>
      <c r="BH127" s="23">
        <f t="shared" si="53"/>
        <v>543.5</v>
      </c>
      <c r="BI127" s="23">
        <f t="shared" si="53"/>
        <v>257.39999999999998</v>
      </c>
      <c r="BJ127" s="23">
        <f t="shared" si="53"/>
        <v>6297.4</v>
      </c>
      <c r="BK127" s="23">
        <f t="shared" si="53"/>
        <v>21864.7</v>
      </c>
      <c r="BL127" s="23">
        <f t="shared" si="53"/>
        <v>74.3</v>
      </c>
      <c r="BM127" s="23">
        <f t="shared" si="53"/>
        <v>340.8</v>
      </c>
      <c r="BN127" s="23">
        <f t="shared" si="53"/>
        <v>3100.1</v>
      </c>
      <c r="BO127" s="23">
        <f t="shared" si="53"/>
        <v>1254.3</v>
      </c>
      <c r="BP127" s="23">
        <f t="shared" si="53"/>
        <v>160.4</v>
      </c>
      <c r="BQ127" s="23">
        <f t="shared" si="53"/>
        <v>5884.7</v>
      </c>
      <c r="BR127" s="23">
        <f t="shared" si="53"/>
        <v>4488.3999999999996</v>
      </c>
      <c r="BS127" s="23">
        <f t="shared" si="53"/>
        <v>1158.0999999999999</v>
      </c>
      <c r="BT127" s="23">
        <f t="shared" si="53"/>
        <v>372.5</v>
      </c>
      <c r="BU127" s="23">
        <f t="shared" si="53"/>
        <v>393.7</v>
      </c>
      <c r="BV127" s="23">
        <f t="shared" si="53"/>
        <v>1245.3</v>
      </c>
      <c r="BW127" s="23">
        <f t="shared" si="53"/>
        <v>2017.5</v>
      </c>
      <c r="BX127" s="23">
        <f t="shared" si="53"/>
        <v>66.5</v>
      </c>
      <c r="BY127" s="23">
        <f t="shared" si="53"/>
        <v>430.7</v>
      </c>
      <c r="BZ127" s="23">
        <f t="shared" si="53"/>
        <v>228</v>
      </c>
      <c r="CA127" s="23">
        <f t="shared" si="53"/>
        <v>146.19999999999999</v>
      </c>
      <c r="CB127" s="23">
        <f t="shared" si="53"/>
        <v>72575.399999999994</v>
      </c>
      <c r="CC127" s="23">
        <f t="shared" si="53"/>
        <v>189.3</v>
      </c>
      <c r="CD127" s="23">
        <f t="shared" si="53"/>
        <v>50</v>
      </c>
      <c r="CE127" s="23">
        <f t="shared" si="53"/>
        <v>158.30000000000001</v>
      </c>
      <c r="CF127" s="23">
        <f t="shared" si="53"/>
        <v>112.5</v>
      </c>
      <c r="CG127" s="23">
        <f t="shared" si="53"/>
        <v>199.9</v>
      </c>
      <c r="CH127" s="23">
        <f t="shared" si="53"/>
        <v>96.5</v>
      </c>
      <c r="CI127" s="23">
        <f t="shared" si="53"/>
        <v>687.9</v>
      </c>
      <c r="CJ127" s="23">
        <f t="shared" si="53"/>
        <v>872.3</v>
      </c>
      <c r="CK127" s="23">
        <f t="shared" si="53"/>
        <v>4888</v>
      </c>
      <c r="CL127" s="23">
        <f t="shared" si="53"/>
        <v>1228.4000000000001</v>
      </c>
      <c r="CM127" s="23">
        <f t="shared" si="53"/>
        <v>685.4</v>
      </c>
      <c r="CN127" s="23">
        <f t="shared" si="53"/>
        <v>30616.799999999999</v>
      </c>
      <c r="CO127" s="23">
        <f t="shared" si="53"/>
        <v>14324.2</v>
      </c>
      <c r="CP127" s="23">
        <f t="shared" si="53"/>
        <v>929.4</v>
      </c>
      <c r="CQ127" s="23">
        <f t="shared" si="53"/>
        <v>770.1</v>
      </c>
      <c r="CR127" s="23">
        <f t="shared" si="53"/>
        <v>215.8</v>
      </c>
      <c r="CS127" s="23">
        <f t="shared" si="53"/>
        <v>285.5</v>
      </c>
      <c r="CT127" s="23">
        <f t="shared" si="53"/>
        <v>113.5</v>
      </c>
      <c r="CU127" s="23">
        <f t="shared" si="53"/>
        <v>71.8</v>
      </c>
      <c r="CV127" s="23">
        <f t="shared" si="53"/>
        <v>50</v>
      </c>
      <c r="CW127" s="23">
        <f t="shared" si="53"/>
        <v>198.7</v>
      </c>
      <c r="CX127" s="23">
        <f t="shared" si="53"/>
        <v>461.4</v>
      </c>
      <c r="CY127" s="23">
        <f t="shared" si="53"/>
        <v>50</v>
      </c>
      <c r="CZ127" s="23">
        <f t="shared" si="53"/>
        <v>1806.8</v>
      </c>
      <c r="DA127" s="23">
        <f t="shared" si="53"/>
        <v>203.5</v>
      </c>
      <c r="DB127" s="23">
        <f t="shared" si="53"/>
        <v>315.8</v>
      </c>
      <c r="DC127" s="23">
        <f t="shared" si="53"/>
        <v>193</v>
      </c>
      <c r="DD127" s="23">
        <f t="shared" si="53"/>
        <v>174.5</v>
      </c>
      <c r="DE127" s="23">
        <f t="shared" si="53"/>
        <v>285.3</v>
      </c>
      <c r="DF127" s="23">
        <f t="shared" si="53"/>
        <v>20790.099999999999</v>
      </c>
      <c r="DG127" s="23">
        <f t="shared" si="53"/>
        <v>93.5</v>
      </c>
      <c r="DH127" s="23">
        <f t="shared" si="53"/>
        <v>1805.4</v>
      </c>
      <c r="DI127" s="23">
        <f t="shared" si="53"/>
        <v>2448.3000000000002</v>
      </c>
      <c r="DJ127" s="23">
        <f t="shared" si="53"/>
        <v>623</v>
      </c>
      <c r="DK127" s="23">
        <f t="shared" si="53"/>
        <v>477.7</v>
      </c>
      <c r="DL127" s="23">
        <f t="shared" si="53"/>
        <v>5694</v>
      </c>
      <c r="DM127" s="23">
        <f t="shared" si="53"/>
        <v>235</v>
      </c>
      <c r="DN127" s="23">
        <f t="shared" si="53"/>
        <v>1294.5</v>
      </c>
      <c r="DO127" s="23">
        <f t="shared" si="53"/>
        <v>3290</v>
      </c>
      <c r="DP127" s="23">
        <f t="shared" si="53"/>
        <v>200</v>
      </c>
      <c r="DQ127" s="23">
        <f t="shared" si="53"/>
        <v>887</v>
      </c>
      <c r="DR127" s="23">
        <f t="shared" si="53"/>
        <v>1315.2</v>
      </c>
      <c r="DS127" s="23">
        <f t="shared" si="53"/>
        <v>599.9</v>
      </c>
      <c r="DT127" s="23">
        <f t="shared" si="53"/>
        <v>176.5</v>
      </c>
      <c r="DU127" s="23">
        <f t="shared" si="53"/>
        <v>351.4</v>
      </c>
      <c r="DV127" s="23">
        <f t="shared" si="53"/>
        <v>208</v>
      </c>
      <c r="DW127" s="23">
        <f t="shared" si="53"/>
        <v>300.2</v>
      </c>
      <c r="DX127" s="23">
        <f t="shared" si="53"/>
        <v>168</v>
      </c>
      <c r="DY127" s="23">
        <f t="shared" si="53"/>
        <v>296.60000000000002</v>
      </c>
      <c r="DZ127" s="23">
        <f t="shared" si="53"/>
        <v>680.8</v>
      </c>
      <c r="EA127" s="23">
        <f t="shared" si="53"/>
        <v>530.6</v>
      </c>
      <c r="EB127" s="23">
        <f t="shared" si="53"/>
        <v>534.4</v>
      </c>
      <c r="EC127" s="23">
        <f t="shared" si="53"/>
        <v>285.10000000000002</v>
      </c>
      <c r="ED127" s="23">
        <f t="shared" si="53"/>
        <v>1561.8</v>
      </c>
      <c r="EE127" s="23">
        <f t="shared" si="53"/>
        <v>191.6</v>
      </c>
      <c r="EF127" s="23">
        <f t="shared" si="53"/>
        <v>1353.2</v>
      </c>
      <c r="EG127" s="23">
        <f t="shared" si="53"/>
        <v>253.5</v>
      </c>
      <c r="EH127" s="23">
        <f t="shared" si="53"/>
        <v>247.4</v>
      </c>
      <c r="EI127" s="23">
        <f t="shared" si="53"/>
        <v>13865.8</v>
      </c>
      <c r="EJ127" s="23">
        <f t="shared" si="53"/>
        <v>9949.7999999999993</v>
      </c>
      <c r="EK127" s="23">
        <f t="shared" si="53"/>
        <v>668.7</v>
      </c>
      <c r="EL127" s="23">
        <f t="shared" si="53"/>
        <v>459.4</v>
      </c>
      <c r="EM127" s="23">
        <f t="shared" si="53"/>
        <v>378.1</v>
      </c>
      <c r="EN127" s="23">
        <f t="shared" si="53"/>
        <v>896.9</v>
      </c>
      <c r="EO127" s="23">
        <f t="shared" si="53"/>
        <v>305.39999999999998</v>
      </c>
      <c r="EP127" s="23">
        <f t="shared" si="53"/>
        <v>428.5</v>
      </c>
      <c r="EQ127" s="23">
        <f t="shared" si="53"/>
        <v>2614.4</v>
      </c>
      <c r="ER127" s="23">
        <f t="shared" si="53"/>
        <v>307.60000000000002</v>
      </c>
      <c r="ES127" s="23">
        <f t="shared" si="53"/>
        <v>163</v>
      </c>
      <c r="ET127" s="23">
        <f t="shared" si="53"/>
        <v>197.5</v>
      </c>
      <c r="EU127" s="23">
        <f t="shared" si="53"/>
        <v>575.29999999999995</v>
      </c>
      <c r="EV127" s="23">
        <f t="shared" si="53"/>
        <v>72.599999999999994</v>
      </c>
      <c r="EW127" s="23">
        <f t="shared" si="53"/>
        <v>819.4</v>
      </c>
      <c r="EX127" s="23">
        <f t="shared" si="53"/>
        <v>173.5</v>
      </c>
      <c r="EY127" s="23">
        <f t="shared" si="53"/>
        <v>206.5</v>
      </c>
      <c r="EZ127" s="23">
        <f t="shared" si="53"/>
        <v>129.30000000000001</v>
      </c>
      <c r="FA127" s="23">
        <f t="shared" si="53"/>
        <v>3385.2</v>
      </c>
      <c r="FB127" s="23">
        <f t="shared" si="53"/>
        <v>288.10000000000002</v>
      </c>
      <c r="FC127" s="23">
        <f t="shared" si="53"/>
        <v>1822.2</v>
      </c>
      <c r="FD127" s="23">
        <f t="shared" si="53"/>
        <v>402</v>
      </c>
      <c r="FE127" s="23">
        <f t="shared" si="53"/>
        <v>79</v>
      </c>
      <c r="FF127" s="23">
        <f t="shared" si="53"/>
        <v>185</v>
      </c>
      <c r="FG127" s="23">
        <f t="shared" si="53"/>
        <v>120.8</v>
      </c>
      <c r="FH127" s="23">
        <f t="shared" si="53"/>
        <v>70</v>
      </c>
      <c r="FI127" s="23">
        <f t="shared" si="53"/>
        <v>1702.5</v>
      </c>
      <c r="FJ127" s="23">
        <f t="shared" si="53"/>
        <v>2016.5</v>
      </c>
      <c r="FK127" s="23">
        <f t="shared" si="53"/>
        <v>2529.1</v>
      </c>
      <c r="FL127" s="23">
        <f t="shared" si="53"/>
        <v>8538.5</v>
      </c>
      <c r="FM127" s="23">
        <f t="shared" si="53"/>
        <v>3981.5</v>
      </c>
      <c r="FN127" s="23">
        <f t="shared" si="53"/>
        <v>22422.3</v>
      </c>
      <c r="FO127" s="23">
        <f t="shared" si="53"/>
        <v>1117.2</v>
      </c>
      <c r="FP127" s="23">
        <f t="shared" si="53"/>
        <v>2341.5</v>
      </c>
      <c r="FQ127" s="23">
        <f t="shared" si="53"/>
        <v>984.9</v>
      </c>
      <c r="FR127" s="23">
        <f t="shared" si="53"/>
        <v>168.1</v>
      </c>
      <c r="FS127" s="23">
        <f t="shared" si="53"/>
        <v>168.3</v>
      </c>
      <c r="FT127" s="23">
        <f t="shared" si="53"/>
        <v>56.5</v>
      </c>
      <c r="FU127" s="23">
        <f t="shared" si="53"/>
        <v>791.1</v>
      </c>
      <c r="FV127" s="23">
        <f t="shared" si="53"/>
        <v>692.7</v>
      </c>
      <c r="FW127" s="23">
        <f t="shared" si="53"/>
        <v>147.5</v>
      </c>
      <c r="FX127" s="23">
        <f t="shared" si="53"/>
        <v>64.5</v>
      </c>
      <c r="FY127" s="25"/>
      <c r="FZ127" s="31">
        <f t="shared" ref="FZ127:FZ128" si="54">SUM(C127:FX127)</f>
        <v>816856.50000000047</v>
      </c>
      <c r="GA127" s="25"/>
      <c r="GB127" s="31"/>
      <c r="GC127" s="31"/>
      <c r="GD127" s="31"/>
      <c r="GE127" s="7"/>
      <c r="GF127" s="31"/>
      <c r="GG127" s="31"/>
      <c r="GH127" s="31"/>
      <c r="GI127" s="31"/>
      <c r="GJ127" s="31"/>
      <c r="GK127" s="31"/>
    </row>
    <row r="128" spans="1:202" ht="15.5" x14ac:dyDescent="0.35">
      <c r="A128" s="12" t="s">
        <v>856</v>
      </c>
      <c r="B128" s="7" t="s">
        <v>857</v>
      </c>
      <c r="C128" s="7">
        <f t="shared" ref="C128:FX128" ca="1" si="55">ROUND(C127*C124,2)</f>
        <v>68560651.519999996</v>
      </c>
      <c r="D128" s="7">
        <f t="shared" ca="1" si="55"/>
        <v>410762123.41000003</v>
      </c>
      <c r="E128" s="7">
        <f t="shared" ca="1" si="55"/>
        <v>61074431.969999999</v>
      </c>
      <c r="F128" s="7">
        <f t="shared" ca="1" si="55"/>
        <v>239436913.81999999</v>
      </c>
      <c r="G128" s="7">
        <f t="shared" ca="1" si="55"/>
        <v>20493814.84</v>
      </c>
      <c r="H128" s="7">
        <f t="shared" ca="1" si="55"/>
        <v>12515195.42</v>
      </c>
      <c r="I128" s="7">
        <f t="shared" ca="1" si="55"/>
        <v>85888223.75</v>
      </c>
      <c r="J128" s="7">
        <f t="shared" ca="1" si="55"/>
        <v>21318540.02</v>
      </c>
      <c r="K128" s="7">
        <f t="shared" ca="1" si="55"/>
        <v>3904376.22</v>
      </c>
      <c r="L128" s="7">
        <f t="shared" ca="1" si="55"/>
        <v>23804091.41</v>
      </c>
      <c r="M128" s="7">
        <f t="shared" ca="1" si="55"/>
        <v>11157191.869999999</v>
      </c>
      <c r="N128" s="7">
        <f t="shared" ca="1" si="55"/>
        <v>560243683.13</v>
      </c>
      <c r="O128" s="7">
        <f t="shared" ca="1" si="55"/>
        <v>138701501.91</v>
      </c>
      <c r="P128" s="7">
        <f t="shared" ca="1" si="55"/>
        <v>4770074.5999999996</v>
      </c>
      <c r="Q128" s="7">
        <f t="shared" ca="1" si="55"/>
        <v>429948307.18000001</v>
      </c>
      <c r="R128" s="7">
        <f t="shared" ca="1" si="55"/>
        <v>5135823.37</v>
      </c>
      <c r="S128" s="7">
        <f t="shared" ca="1" si="55"/>
        <v>17466506.57</v>
      </c>
      <c r="T128" s="7">
        <f t="shared" ca="1" si="55"/>
        <v>2957132.03</v>
      </c>
      <c r="U128" s="7">
        <f t="shared" ca="1" si="55"/>
        <v>1214445.92</v>
      </c>
      <c r="V128" s="7">
        <f t="shared" ca="1" si="55"/>
        <v>3852307.62</v>
      </c>
      <c r="W128" s="7">
        <f t="shared" ca="1" si="55"/>
        <v>1275941.3500000001</v>
      </c>
      <c r="X128" s="7">
        <f t="shared" ca="1" si="55"/>
        <v>1102767.57</v>
      </c>
      <c r="Y128" s="7">
        <f t="shared" ca="1" si="55"/>
        <v>4488443.1900000004</v>
      </c>
      <c r="Z128" s="7">
        <f t="shared" ca="1" si="55"/>
        <v>3594866.71</v>
      </c>
      <c r="AA128" s="7">
        <f t="shared" ca="1" si="55"/>
        <v>331585841.41000003</v>
      </c>
      <c r="AB128" s="7">
        <f t="shared" ca="1" si="55"/>
        <v>298861796.91000003</v>
      </c>
      <c r="AC128" s="7">
        <f t="shared" ca="1" si="55"/>
        <v>10371701.66</v>
      </c>
      <c r="AD128" s="7">
        <f t="shared" ca="1" si="55"/>
        <v>15552768.960000001</v>
      </c>
      <c r="AE128" s="7">
        <f t="shared" ca="1" si="55"/>
        <v>1971402.38</v>
      </c>
      <c r="AF128" s="7">
        <f t="shared" ca="1" si="55"/>
        <v>3122144.31</v>
      </c>
      <c r="AG128" s="7">
        <f t="shared" ca="1" si="55"/>
        <v>7449579.3300000001</v>
      </c>
      <c r="AH128" s="7">
        <f t="shared" ca="1" si="55"/>
        <v>10336726.99</v>
      </c>
      <c r="AI128" s="7">
        <f t="shared" ca="1" si="55"/>
        <v>4928292.28</v>
      </c>
      <c r="AJ128" s="7">
        <f t="shared" ca="1" si="55"/>
        <v>3277813.61</v>
      </c>
      <c r="AK128" s="7">
        <f t="shared" ca="1" si="55"/>
        <v>3030979.96</v>
      </c>
      <c r="AL128" s="7">
        <f t="shared" ca="1" si="55"/>
        <v>4144064.96</v>
      </c>
      <c r="AM128" s="7">
        <f t="shared" ca="1" si="55"/>
        <v>4744764.83</v>
      </c>
      <c r="AN128" s="7">
        <f t="shared" ca="1" si="55"/>
        <v>4382936.18</v>
      </c>
      <c r="AO128" s="7">
        <f t="shared" ca="1" si="55"/>
        <v>42358751.140000001</v>
      </c>
      <c r="AP128" s="7">
        <f t="shared" ca="1" si="55"/>
        <v>918725659.48000002</v>
      </c>
      <c r="AQ128" s="7">
        <f t="shared" ca="1" si="55"/>
        <v>4071100.81</v>
      </c>
      <c r="AR128" s="7">
        <f t="shared" ca="1" si="55"/>
        <v>664154495.42999995</v>
      </c>
      <c r="AS128" s="7">
        <f t="shared" ca="1" si="55"/>
        <v>74437765.239999995</v>
      </c>
      <c r="AT128" s="7">
        <f t="shared" ca="1" si="55"/>
        <v>26209628.120000001</v>
      </c>
      <c r="AU128" s="7">
        <f t="shared" ca="1" si="55"/>
        <v>4332524.76</v>
      </c>
      <c r="AV128" s="7">
        <f t="shared" ca="1" si="55"/>
        <v>4629424.84</v>
      </c>
      <c r="AW128" s="7">
        <f t="shared" ca="1" si="55"/>
        <v>4181325.89</v>
      </c>
      <c r="AX128" s="7">
        <f t="shared" ca="1" si="55"/>
        <v>1828339.11</v>
      </c>
      <c r="AY128" s="7">
        <f t="shared" ca="1" si="55"/>
        <v>5478975.7400000002</v>
      </c>
      <c r="AZ128" s="7">
        <f t="shared" ca="1" si="55"/>
        <v>128663891.91</v>
      </c>
      <c r="BA128" s="7">
        <f t="shared" ca="1" si="55"/>
        <v>92317108.519999996</v>
      </c>
      <c r="BB128" s="7">
        <f t="shared" ca="1" si="55"/>
        <v>78976730.459999993</v>
      </c>
      <c r="BC128" s="7">
        <f t="shared" ca="1" si="55"/>
        <v>256902977.94999999</v>
      </c>
      <c r="BD128" s="7">
        <f t="shared" ca="1" si="55"/>
        <v>38727104.409999996</v>
      </c>
      <c r="BE128" s="7">
        <f t="shared" ca="1" si="55"/>
        <v>13641838.050000001</v>
      </c>
      <c r="BF128" s="7">
        <f t="shared" ca="1" si="55"/>
        <v>261130259.94</v>
      </c>
      <c r="BG128" s="7">
        <f t="shared" ca="1" si="55"/>
        <v>10654344.369999999</v>
      </c>
      <c r="BH128" s="7">
        <f t="shared" ca="1" si="55"/>
        <v>6712970.5800000001</v>
      </c>
      <c r="BI128" s="7">
        <f t="shared" ca="1" si="55"/>
        <v>4143414.11</v>
      </c>
      <c r="BJ128" s="7">
        <f t="shared" ca="1" si="55"/>
        <v>67810420.730000004</v>
      </c>
      <c r="BK128" s="7">
        <f t="shared" ca="1" si="55"/>
        <v>232878378.69</v>
      </c>
      <c r="BL128" s="7">
        <f t="shared" ca="1" si="55"/>
        <v>1676606.93</v>
      </c>
      <c r="BM128" s="7">
        <f t="shared" ca="1" si="55"/>
        <v>4737511.43</v>
      </c>
      <c r="BN128" s="7">
        <f t="shared" ca="1" si="55"/>
        <v>31839385.41</v>
      </c>
      <c r="BO128" s="7">
        <f t="shared" ca="1" si="55"/>
        <v>13519994.699999999</v>
      </c>
      <c r="BP128" s="7">
        <f t="shared" ca="1" si="55"/>
        <v>3041658.26</v>
      </c>
      <c r="BQ128" s="7">
        <f t="shared" ca="1" si="55"/>
        <v>67005438.829999998</v>
      </c>
      <c r="BR128" s="7">
        <f t="shared" ca="1" si="55"/>
        <v>47513963.240000002</v>
      </c>
      <c r="BS128" s="7">
        <f t="shared" ca="1" si="55"/>
        <v>13259805.26</v>
      </c>
      <c r="BT128" s="7">
        <f t="shared" ca="1" si="55"/>
        <v>5346757.26</v>
      </c>
      <c r="BU128" s="7">
        <f t="shared" ca="1" si="55"/>
        <v>5514765.7000000002</v>
      </c>
      <c r="BV128" s="7">
        <f t="shared" ca="1" si="55"/>
        <v>13949960.890000001</v>
      </c>
      <c r="BW128" s="7">
        <f t="shared" ca="1" si="55"/>
        <v>22264448.379999999</v>
      </c>
      <c r="BX128" s="7">
        <f t="shared" ca="1" si="55"/>
        <v>1583212.45</v>
      </c>
      <c r="BY128" s="7">
        <f t="shared" ca="1" si="55"/>
        <v>5464036.2000000002</v>
      </c>
      <c r="BZ128" s="7">
        <f t="shared" ca="1" si="55"/>
        <v>3606859.71</v>
      </c>
      <c r="CA128" s="7">
        <f t="shared" ca="1" si="55"/>
        <v>2928169.23</v>
      </c>
      <c r="CB128" s="7">
        <f t="shared" ca="1" si="55"/>
        <v>787100288.94000006</v>
      </c>
      <c r="CC128" s="7">
        <f t="shared" ca="1" si="55"/>
        <v>3241550.71</v>
      </c>
      <c r="CD128" s="7">
        <f t="shared" ca="1" si="55"/>
        <v>1078636.1100000001</v>
      </c>
      <c r="CE128" s="7">
        <f t="shared" ca="1" si="55"/>
        <v>2903472.14</v>
      </c>
      <c r="CF128" s="7">
        <f t="shared" ca="1" si="55"/>
        <v>2175580.67</v>
      </c>
      <c r="CG128" s="7">
        <f t="shared" ca="1" si="55"/>
        <v>3381317.96</v>
      </c>
      <c r="CH128" s="7">
        <f t="shared" ca="1" si="55"/>
        <v>1977863.19</v>
      </c>
      <c r="CI128" s="7">
        <f t="shared" ca="1" si="55"/>
        <v>7585883.8300000001</v>
      </c>
      <c r="CJ128" s="7">
        <f t="shared" ca="1" si="55"/>
        <v>10129785.720000001</v>
      </c>
      <c r="CK128" s="7">
        <f t="shared" ca="1" si="55"/>
        <v>53579867.020000003</v>
      </c>
      <c r="CL128" s="7">
        <f t="shared" ca="1" si="55"/>
        <v>14228208.210000001</v>
      </c>
      <c r="CM128" s="7">
        <f t="shared" ca="1" si="55"/>
        <v>8427295.4600000009</v>
      </c>
      <c r="CN128" s="7">
        <f t="shared" ca="1" si="55"/>
        <v>320144292.04000002</v>
      </c>
      <c r="CO128" s="7">
        <f t="shared" ca="1" si="55"/>
        <v>149561259.62</v>
      </c>
      <c r="CP128" s="7">
        <f t="shared" ca="1" si="55"/>
        <v>10947438.140000001</v>
      </c>
      <c r="CQ128" s="7">
        <f t="shared" ca="1" si="55"/>
        <v>8924001.9700000007</v>
      </c>
      <c r="CR128" s="7">
        <f t="shared" ca="1" si="55"/>
        <v>3628073.48</v>
      </c>
      <c r="CS128" s="7">
        <f t="shared" ca="1" si="55"/>
        <v>4173345.51</v>
      </c>
      <c r="CT128" s="7">
        <f t="shared" ca="1" si="55"/>
        <v>2252705.4</v>
      </c>
      <c r="CU128" s="7">
        <f t="shared" ca="1" si="55"/>
        <v>781729.76</v>
      </c>
      <c r="CV128" s="7">
        <f t="shared" ca="1" si="55"/>
        <v>1053672.52</v>
      </c>
      <c r="CW128" s="7">
        <f t="shared" ca="1" si="55"/>
        <v>3469285.94</v>
      </c>
      <c r="CX128" s="7">
        <f t="shared" ca="1" si="55"/>
        <v>5563034.5599999996</v>
      </c>
      <c r="CY128" s="7">
        <f t="shared" ca="1" si="55"/>
        <v>1112753.01</v>
      </c>
      <c r="CZ128" s="7">
        <f t="shared" ca="1" si="55"/>
        <v>19301767.420000002</v>
      </c>
      <c r="DA128" s="7">
        <f t="shared" ca="1" si="55"/>
        <v>3533799.42</v>
      </c>
      <c r="DB128" s="7">
        <f t="shared" ca="1" si="55"/>
        <v>4563006.42</v>
      </c>
      <c r="DC128" s="7">
        <f t="shared" ca="1" si="55"/>
        <v>3451754.09</v>
      </c>
      <c r="DD128" s="7">
        <f t="shared" ca="1" si="55"/>
        <v>3225534.29</v>
      </c>
      <c r="DE128" s="7">
        <f t="shared" ca="1" si="55"/>
        <v>4245392.51</v>
      </c>
      <c r="DF128" s="7">
        <f t="shared" ca="1" si="55"/>
        <v>210432984.90000001</v>
      </c>
      <c r="DG128" s="7">
        <f t="shared" ca="1" si="55"/>
        <v>2036669.14</v>
      </c>
      <c r="DH128" s="7">
        <f t="shared" ca="1" si="55"/>
        <v>18924106.59</v>
      </c>
      <c r="DI128" s="7">
        <f t="shared" ca="1" si="55"/>
        <v>25266047.59</v>
      </c>
      <c r="DJ128" s="7">
        <f t="shared" ca="1" si="55"/>
        <v>7388839.2400000002</v>
      </c>
      <c r="DK128" s="7">
        <f t="shared" ca="1" si="55"/>
        <v>5751651.1399999997</v>
      </c>
      <c r="DL128" s="7">
        <f t="shared" ca="1" si="55"/>
        <v>61142120.350000001</v>
      </c>
      <c r="DM128" s="7">
        <f t="shared" ca="1" si="55"/>
        <v>4043803.58</v>
      </c>
      <c r="DN128" s="7">
        <f t="shared" ca="1" si="55"/>
        <v>14459006.779999999</v>
      </c>
      <c r="DO128" s="7">
        <f t="shared" ca="1" si="55"/>
        <v>34789407.969999999</v>
      </c>
      <c r="DP128" s="7">
        <f t="shared" ca="1" si="55"/>
        <v>3637215.93</v>
      </c>
      <c r="DQ128" s="7">
        <f t="shared" ca="1" si="55"/>
        <v>10145482.67</v>
      </c>
      <c r="DR128" s="7">
        <f t="shared" ca="1" si="55"/>
        <v>14204579.300000001</v>
      </c>
      <c r="DS128" s="7">
        <f t="shared" ca="1" si="55"/>
        <v>7007584.1600000001</v>
      </c>
      <c r="DT128" s="7">
        <f t="shared" ca="1" si="55"/>
        <v>3261735.72</v>
      </c>
      <c r="DU128" s="7">
        <f t="shared" ca="1" si="55"/>
        <v>4777813.7300000004</v>
      </c>
      <c r="DV128" s="7">
        <f t="shared" ca="1" si="55"/>
        <v>3578492.63</v>
      </c>
      <c r="DW128" s="7">
        <f t="shared" ca="1" si="55"/>
        <v>4353020.8600000003</v>
      </c>
      <c r="DX128" s="7">
        <f t="shared" ca="1" si="55"/>
        <v>3565550.16</v>
      </c>
      <c r="DY128" s="7">
        <f t="shared" ca="1" si="55"/>
        <v>4806797.22</v>
      </c>
      <c r="DZ128" s="7">
        <f t="shared" ca="1" si="55"/>
        <v>8460347.4600000009</v>
      </c>
      <c r="EA128" s="7">
        <f t="shared" ca="1" si="55"/>
        <v>6648023.1399999997</v>
      </c>
      <c r="EB128" s="7">
        <f t="shared" ca="1" si="55"/>
        <v>6235403.0999999996</v>
      </c>
      <c r="EC128" s="7">
        <f t="shared" ca="1" si="55"/>
        <v>4023962.16</v>
      </c>
      <c r="ED128" s="7">
        <f t="shared" ca="1" si="55"/>
        <v>23143767.77</v>
      </c>
      <c r="EE128" s="7">
        <f t="shared" ca="1" si="55"/>
        <v>3288474.2</v>
      </c>
      <c r="EF128" s="7">
        <f t="shared" ca="1" si="55"/>
        <v>14455304.529999999</v>
      </c>
      <c r="EG128" s="7">
        <f t="shared" ca="1" si="55"/>
        <v>3717610.85</v>
      </c>
      <c r="EH128" s="7">
        <f t="shared" ca="1" si="55"/>
        <v>3765860.53</v>
      </c>
      <c r="EI128" s="7">
        <f t="shared" ca="1" si="55"/>
        <v>143768844.08000001</v>
      </c>
      <c r="EJ128" s="7">
        <f t="shared" ca="1" si="55"/>
        <v>102165059.95999999</v>
      </c>
      <c r="EK128" s="7">
        <f t="shared" ca="1" si="55"/>
        <v>7686837.8399999999</v>
      </c>
      <c r="EL128" s="7">
        <f t="shared" ca="1" si="55"/>
        <v>5373355.1699999999</v>
      </c>
      <c r="EM128" s="7">
        <f t="shared" ca="1" si="55"/>
        <v>4968394.3499999996</v>
      </c>
      <c r="EN128" s="7">
        <f t="shared" ca="1" si="55"/>
        <v>9800121.3699999992</v>
      </c>
      <c r="EO128" s="7">
        <f t="shared" ca="1" si="55"/>
        <v>4337907.83</v>
      </c>
      <c r="EP128" s="7">
        <f t="shared" ca="1" si="55"/>
        <v>5788231.3899999997</v>
      </c>
      <c r="EQ128" s="7">
        <f t="shared" ca="1" si="55"/>
        <v>29441000.539999999</v>
      </c>
      <c r="ER128" s="7">
        <f t="shared" ca="1" si="55"/>
        <v>4787378.21</v>
      </c>
      <c r="ES128" s="7">
        <f t="shared" ca="1" si="55"/>
        <v>2976788.15</v>
      </c>
      <c r="ET128" s="7">
        <f t="shared" ca="1" si="55"/>
        <v>3886883.26</v>
      </c>
      <c r="EU128" s="7">
        <f t="shared" ca="1" si="55"/>
        <v>6535982.9199999999</v>
      </c>
      <c r="EV128" s="7">
        <f t="shared" ca="1" si="55"/>
        <v>1668332.3</v>
      </c>
      <c r="EW128" s="7">
        <f t="shared" ca="1" si="55"/>
        <v>12425344.32</v>
      </c>
      <c r="EX128" s="7">
        <f t="shared" ca="1" si="55"/>
        <v>3457801.82</v>
      </c>
      <c r="EY128" s="7">
        <f t="shared" ca="1" si="55"/>
        <v>2358981.14</v>
      </c>
      <c r="EZ128" s="7">
        <f t="shared" ca="1" si="55"/>
        <v>2554454.27</v>
      </c>
      <c r="FA128" s="7">
        <f t="shared" ca="1" si="55"/>
        <v>39064719.009999998</v>
      </c>
      <c r="FB128" s="7">
        <f t="shared" ca="1" si="55"/>
        <v>4273945.01</v>
      </c>
      <c r="FC128" s="7">
        <f t="shared" ca="1" si="55"/>
        <v>19946545.440000001</v>
      </c>
      <c r="FD128" s="7">
        <f t="shared" ca="1" si="55"/>
        <v>5217274.1100000003</v>
      </c>
      <c r="FE128" s="7">
        <f t="shared" ca="1" si="55"/>
        <v>1716079.49</v>
      </c>
      <c r="FF128" s="7">
        <f t="shared" ca="1" si="55"/>
        <v>3364490.47</v>
      </c>
      <c r="FG128" s="7">
        <f t="shared" ca="1" si="55"/>
        <v>2494678.04</v>
      </c>
      <c r="FH128" s="7">
        <f t="shared" ca="1" si="55"/>
        <v>1533978.93</v>
      </c>
      <c r="FI128" s="7">
        <f t="shared" ca="1" si="55"/>
        <v>18487763.829999998</v>
      </c>
      <c r="FJ128" s="7">
        <f t="shared" ca="1" si="55"/>
        <v>21416577.309999999</v>
      </c>
      <c r="FK128" s="7">
        <f t="shared" ca="1" si="55"/>
        <v>26814210.039999999</v>
      </c>
      <c r="FL128" s="7">
        <f t="shared" ca="1" si="55"/>
        <v>88263890.069999993</v>
      </c>
      <c r="FM128" s="7">
        <f t="shared" ca="1" si="55"/>
        <v>41322719.219999999</v>
      </c>
      <c r="FN128" s="7">
        <f t="shared" ca="1" si="55"/>
        <v>234031934.72999999</v>
      </c>
      <c r="FO128" s="7">
        <f t="shared" ca="1" si="55"/>
        <v>12464447.460000001</v>
      </c>
      <c r="FP128" s="7">
        <f t="shared" ca="1" si="55"/>
        <v>25232104.68</v>
      </c>
      <c r="FQ128" s="7">
        <f t="shared" ca="1" si="55"/>
        <v>11034628.32</v>
      </c>
      <c r="FR128" s="7">
        <f t="shared" ca="1" si="55"/>
        <v>3194250.22</v>
      </c>
      <c r="FS128" s="7">
        <f t="shared" ca="1" si="55"/>
        <v>3187530.27</v>
      </c>
      <c r="FT128" s="7">
        <f t="shared" ca="1" si="55"/>
        <v>1300515.95</v>
      </c>
      <c r="FU128" s="7">
        <f t="shared" ca="1" si="55"/>
        <v>9356374.1300000008</v>
      </c>
      <c r="FV128" s="7">
        <f t="shared" ca="1" si="55"/>
        <v>8042815.79</v>
      </c>
      <c r="FW128" s="7">
        <f t="shared" ca="1" si="55"/>
        <v>2898555.75</v>
      </c>
      <c r="FX128" s="7">
        <f t="shared" ca="1" si="55"/>
        <v>1518420.79</v>
      </c>
      <c r="FY128" s="7"/>
      <c r="FZ128" s="7">
        <f t="shared" ca="1" si="54"/>
        <v>8926862580.7700024</v>
      </c>
      <c r="GA128" s="62">
        <v>8926862580.7700024</v>
      </c>
      <c r="GB128" s="7">
        <f ca="1">FZ128-GA128</f>
        <v>0</v>
      </c>
      <c r="GC128" s="81"/>
      <c r="GD128" s="81"/>
      <c r="GE128" s="7"/>
      <c r="GF128" s="7"/>
      <c r="GG128" s="7"/>
      <c r="GH128" s="7"/>
      <c r="GI128" s="7"/>
      <c r="GJ128" s="7"/>
      <c r="GK128" s="7"/>
    </row>
    <row r="129" spans="1:207" ht="15.5" x14ac:dyDescent="0.35">
      <c r="A129" s="7"/>
      <c r="B129" s="7" t="s">
        <v>858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GA129" s="25"/>
      <c r="GB129" s="81"/>
      <c r="GC129" s="81"/>
      <c r="GD129" s="81"/>
      <c r="GE129" s="7"/>
      <c r="GF129" s="7"/>
      <c r="GG129" s="7"/>
      <c r="GH129" s="7"/>
      <c r="GI129" s="7"/>
      <c r="GJ129" s="7"/>
      <c r="GK129" s="7"/>
    </row>
    <row r="130" spans="1:207" ht="15.5" x14ac:dyDescent="0.35">
      <c r="A130" s="12" t="s">
        <v>684</v>
      </c>
      <c r="B130" s="7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7"/>
      <c r="GA130" s="25"/>
      <c r="GB130" s="7"/>
      <c r="GC130" s="7"/>
      <c r="GD130" s="7"/>
      <c r="GE130" s="7"/>
      <c r="GF130" s="7"/>
      <c r="GG130" s="7"/>
      <c r="GH130" s="7"/>
      <c r="GI130" s="7"/>
      <c r="GJ130" s="7"/>
      <c r="GK130" s="7"/>
    </row>
    <row r="131" spans="1:207" ht="15.5" x14ac:dyDescent="0.35">
      <c r="A131" s="7"/>
      <c r="B131" s="5" t="s">
        <v>859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7"/>
      <c r="FZ131" s="7"/>
      <c r="GA131" s="25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31"/>
      <c r="GM131" s="31"/>
      <c r="GN131" s="31"/>
    </row>
    <row r="132" spans="1:207" ht="15.5" x14ac:dyDescent="0.35">
      <c r="A132" s="12" t="s">
        <v>582</v>
      </c>
      <c r="B132" s="7" t="s">
        <v>860</v>
      </c>
      <c r="C132" s="32">
        <f t="shared" ref="C132:FX132" si="56">C17</f>
        <v>2311</v>
      </c>
      <c r="D132" s="32">
        <f t="shared" si="56"/>
        <v>9785</v>
      </c>
      <c r="E132" s="32">
        <f t="shared" si="56"/>
        <v>2809</v>
      </c>
      <c r="F132" s="32">
        <f t="shared" si="56"/>
        <v>3989</v>
      </c>
      <c r="G132" s="32">
        <f t="shared" si="56"/>
        <v>189</v>
      </c>
      <c r="H132" s="32">
        <f t="shared" si="56"/>
        <v>169</v>
      </c>
      <c r="I132" s="32">
        <f t="shared" si="56"/>
        <v>4032</v>
      </c>
      <c r="J132" s="32">
        <f t="shared" si="56"/>
        <v>831</v>
      </c>
      <c r="K132" s="32">
        <f t="shared" si="56"/>
        <v>83</v>
      </c>
      <c r="L132" s="32">
        <f t="shared" si="56"/>
        <v>732</v>
      </c>
      <c r="M132" s="32">
        <f t="shared" si="56"/>
        <v>521</v>
      </c>
      <c r="N132" s="32">
        <f t="shared" si="56"/>
        <v>8671</v>
      </c>
      <c r="O132" s="32">
        <f t="shared" si="56"/>
        <v>1022</v>
      </c>
      <c r="P132" s="32">
        <f t="shared" si="56"/>
        <v>65</v>
      </c>
      <c r="Q132" s="32">
        <f t="shared" si="56"/>
        <v>17070</v>
      </c>
      <c r="R132" s="32">
        <f t="shared" si="56"/>
        <v>839</v>
      </c>
      <c r="S132" s="32">
        <f t="shared" si="56"/>
        <v>529</v>
      </c>
      <c r="T132" s="32">
        <f t="shared" si="56"/>
        <v>57</v>
      </c>
      <c r="U132" s="32">
        <f t="shared" si="56"/>
        <v>22</v>
      </c>
      <c r="V132" s="32">
        <f t="shared" si="56"/>
        <v>100</v>
      </c>
      <c r="W132" s="32">
        <f t="shared" si="56"/>
        <v>50</v>
      </c>
      <c r="X132" s="32">
        <f t="shared" si="56"/>
        <v>14</v>
      </c>
      <c r="Y132" s="32">
        <f t="shared" si="56"/>
        <v>276</v>
      </c>
      <c r="Z132" s="32">
        <f t="shared" si="56"/>
        <v>60</v>
      </c>
      <c r="AA132" s="32">
        <f t="shared" si="56"/>
        <v>5295</v>
      </c>
      <c r="AB132" s="32">
        <f t="shared" si="56"/>
        <v>3397</v>
      </c>
      <c r="AC132" s="32">
        <f t="shared" si="56"/>
        <v>123</v>
      </c>
      <c r="AD132" s="32">
        <f t="shared" si="56"/>
        <v>283</v>
      </c>
      <c r="AE132" s="32">
        <f t="shared" si="56"/>
        <v>20</v>
      </c>
      <c r="AF132" s="32">
        <f t="shared" si="56"/>
        <v>34</v>
      </c>
      <c r="AG132" s="32">
        <f t="shared" si="56"/>
        <v>74</v>
      </c>
      <c r="AH132" s="32">
        <f t="shared" si="56"/>
        <v>356</v>
      </c>
      <c r="AI132" s="32">
        <f t="shared" si="56"/>
        <v>129</v>
      </c>
      <c r="AJ132" s="32">
        <f t="shared" si="56"/>
        <v>71</v>
      </c>
      <c r="AK132" s="32">
        <f t="shared" si="56"/>
        <v>106</v>
      </c>
      <c r="AL132" s="32">
        <f t="shared" si="56"/>
        <v>109</v>
      </c>
      <c r="AM132" s="32">
        <f t="shared" si="56"/>
        <v>175</v>
      </c>
      <c r="AN132" s="32">
        <f t="shared" si="56"/>
        <v>98</v>
      </c>
      <c r="AO132" s="32">
        <f t="shared" si="56"/>
        <v>1189</v>
      </c>
      <c r="AP132" s="32">
        <f t="shared" si="56"/>
        <v>30699</v>
      </c>
      <c r="AQ132" s="32">
        <f t="shared" si="56"/>
        <v>74</v>
      </c>
      <c r="AR132" s="32">
        <f t="shared" si="56"/>
        <v>3849</v>
      </c>
      <c r="AS132" s="32">
        <f t="shared" si="56"/>
        <v>1103</v>
      </c>
      <c r="AT132" s="32">
        <f t="shared" si="56"/>
        <v>221</v>
      </c>
      <c r="AU132" s="32">
        <f t="shared" si="56"/>
        <v>48</v>
      </c>
      <c r="AV132" s="32">
        <f t="shared" si="56"/>
        <v>107</v>
      </c>
      <c r="AW132" s="32">
        <f t="shared" si="56"/>
        <v>42</v>
      </c>
      <c r="AX132" s="32">
        <f t="shared" si="56"/>
        <v>0</v>
      </c>
      <c r="AY132" s="32">
        <f t="shared" si="56"/>
        <v>133</v>
      </c>
      <c r="AZ132" s="32">
        <f t="shared" si="56"/>
        <v>5157</v>
      </c>
      <c r="BA132" s="32">
        <f t="shared" si="56"/>
        <v>2278</v>
      </c>
      <c r="BB132" s="32">
        <f t="shared" si="56"/>
        <v>2184</v>
      </c>
      <c r="BC132" s="32">
        <f t="shared" si="56"/>
        <v>8604</v>
      </c>
      <c r="BD132" s="32">
        <f t="shared" si="56"/>
        <v>170</v>
      </c>
      <c r="BE132" s="32">
        <f t="shared" si="56"/>
        <v>210</v>
      </c>
      <c r="BF132" s="32">
        <f t="shared" si="56"/>
        <v>1507</v>
      </c>
      <c r="BG132" s="32">
        <f t="shared" si="56"/>
        <v>224</v>
      </c>
      <c r="BH132" s="32">
        <f t="shared" si="56"/>
        <v>65</v>
      </c>
      <c r="BI132" s="32">
        <f t="shared" si="56"/>
        <v>101</v>
      </c>
      <c r="BJ132" s="32">
        <f t="shared" si="56"/>
        <v>387</v>
      </c>
      <c r="BK132" s="32">
        <f t="shared" si="56"/>
        <v>3764</v>
      </c>
      <c r="BL132" s="32">
        <f t="shared" si="56"/>
        <v>24</v>
      </c>
      <c r="BM132" s="32">
        <f t="shared" si="56"/>
        <v>92</v>
      </c>
      <c r="BN132" s="32">
        <f t="shared" si="56"/>
        <v>1087</v>
      </c>
      <c r="BO132" s="32">
        <f t="shared" si="56"/>
        <v>366</v>
      </c>
      <c r="BP132" s="32">
        <f t="shared" si="56"/>
        <v>82</v>
      </c>
      <c r="BQ132" s="32">
        <f t="shared" si="56"/>
        <v>1279</v>
      </c>
      <c r="BR132" s="32">
        <f t="shared" si="56"/>
        <v>1093</v>
      </c>
      <c r="BS132" s="32">
        <f t="shared" si="56"/>
        <v>465</v>
      </c>
      <c r="BT132" s="32">
        <f t="shared" si="56"/>
        <v>61</v>
      </c>
      <c r="BU132" s="32">
        <f t="shared" si="56"/>
        <v>78</v>
      </c>
      <c r="BV132" s="32">
        <f t="shared" si="56"/>
        <v>206</v>
      </c>
      <c r="BW132" s="32">
        <f t="shared" si="56"/>
        <v>217</v>
      </c>
      <c r="BX132" s="32">
        <f t="shared" si="56"/>
        <v>14</v>
      </c>
      <c r="BY132" s="32">
        <f t="shared" si="56"/>
        <v>256</v>
      </c>
      <c r="BZ132" s="32">
        <f t="shared" si="56"/>
        <v>55</v>
      </c>
      <c r="CA132" s="32">
        <f t="shared" si="56"/>
        <v>33</v>
      </c>
      <c r="CB132" s="32">
        <f t="shared" si="56"/>
        <v>13384</v>
      </c>
      <c r="CC132" s="32">
        <f t="shared" si="56"/>
        <v>49</v>
      </c>
      <c r="CD132" s="32">
        <f t="shared" si="56"/>
        <v>7</v>
      </c>
      <c r="CE132" s="32">
        <f t="shared" si="56"/>
        <v>25</v>
      </c>
      <c r="CF132" s="32">
        <f t="shared" si="56"/>
        <v>41</v>
      </c>
      <c r="CG132" s="32">
        <f t="shared" si="56"/>
        <v>63</v>
      </c>
      <c r="CH132" s="32">
        <f t="shared" si="56"/>
        <v>36</v>
      </c>
      <c r="CI132" s="32">
        <f t="shared" si="56"/>
        <v>281</v>
      </c>
      <c r="CJ132" s="32">
        <f t="shared" si="56"/>
        <v>280</v>
      </c>
      <c r="CK132" s="32">
        <f t="shared" si="56"/>
        <v>852</v>
      </c>
      <c r="CL132" s="32">
        <f t="shared" si="56"/>
        <v>250</v>
      </c>
      <c r="CM132" s="32">
        <f t="shared" si="56"/>
        <v>180</v>
      </c>
      <c r="CN132" s="32">
        <f t="shared" si="56"/>
        <v>4931</v>
      </c>
      <c r="CO132" s="32">
        <f t="shared" si="56"/>
        <v>2428</v>
      </c>
      <c r="CP132" s="32">
        <f t="shared" si="56"/>
        <v>198</v>
      </c>
      <c r="CQ132" s="32">
        <f t="shared" si="56"/>
        <v>352</v>
      </c>
      <c r="CR132" s="32">
        <f t="shared" si="56"/>
        <v>62</v>
      </c>
      <c r="CS132" s="32">
        <f t="shared" si="56"/>
        <v>80</v>
      </c>
      <c r="CT132" s="32">
        <f t="shared" si="56"/>
        <v>54</v>
      </c>
      <c r="CU132" s="32">
        <f t="shared" si="56"/>
        <v>68</v>
      </c>
      <c r="CV132" s="32">
        <f t="shared" si="56"/>
        <v>3</v>
      </c>
      <c r="CW132" s="32">
        <f t="shared" si="56"/>
        <v>53</v>
      </c>
      <c r="CX132" s="32">
        <f t="shared" si="56"/>
        <v>117</v>
      </c>
      <c r="CY132" s="32">
        <f t="shared" si="56"/>
        <v>13.2</v>
      </c>
      <c r="CZ132" s="32">
        <f t="shared" si="56"/>
        <v>677</v>
      </c>
      <c r="DA132" s="32">
        <f t="shared" si="56"/>
        <v>36</v>
      </c>
      <c r="DB132" s="32">
        <f t="shared" si="56"/>
        <v>59</v>
      </c>
      <c r="DC132" s="32">
        <f t="shared" si="56"/>
        <v>28</v>
      </c>
      <c r="DD132" s="32">
        <f t="shared" si="56"/>
        <v>41</v>
      </c>
      <c r="DE132" s="32">
        <f t="shared" si="56"/>
        <v>34</v>
      </c>
      <c r="DF132" s="32">
        <f t="shared" si="56"/>
        <v>5994</v>
      </c>
      <c r="DG132" s="32">
        <f t="shared" si="56"/>
        <v>20</v>
      </c>
      <c r="DH132" s="32">
        <f t="shared" si="56"/>
        <v>548</v>
      </c>
      <c r="DI132" s="32">
        <f t="shared" si="56"/>
        <v>1006</v>
      </c>
      <c r="DJ132" s="32">
        <f t="shared" si="56"/>
        <v>126</v>
      </c>
      <c r="DK132" s="32">
        <f t="shared" si="56"/>
        <v>132</v>
      </c>
      <c r="DL132" s="32">
        <f t="shared" si="56"/>
        <v>1818</v>
      </c>
      <c r="DM132" s="32">
        <f t="shared" si="56"/>
        <v>81</v>
      </c>
      <c r="DN132" s="32">
        <f t="shared" si="56"/>
        <v>418</v>
      </c>
      <c r="DO132" s="32">
        <f t="shared" si="56"/>
        <v>925</v>
      </c>
      <c r="DP132" s="32">
        <f t="shared" si="56"/>
        <v>47</v>
      </c>
      <c r="DQ132" s="32">
        <f t="shared" si="56"/>
        <v>162</v>
      </c>
      <c r="DR132" s="32">
        <f t="shared" si="56"/>
        <v>640</v>
      </c>
      <c r="DS132" s="32">
        <f t="shared" si="56"/>
        <v>342</v>
      </c>
      <c r="DT132" s="32">
        <f t="shared" si="56"/>
        <v>72</v>
      </c>
      <c r="DU132" s="32">
        <f t="shared" si="56"/>
        <v>128</v>
      </c>
      <c r="DV132" s="32">
        <f t="shared" si="56"/>
        <v>56</v>
      </c>
      <c r="DW132" s="32">
        <f t="shared" si="56"/>
        <v>91</v>
      </c>
      <c r="DX132" s="32">
        <f t="shared" si="56"/>
        <v>24</v>
      </c>
      <c r="DY132" s="32">
        <f t="shared" si="56"/>
        <v>27</v>
      </c>
      <c r="DZ132" s="32">
        <f t="shared" si="56"/>
        <v>74</v>
      </c>
      <c r="EA132" s="32">
        <f t="shared" si="56"/>
        <v>130</v>
      </c>
      <c r="EB132" s="32">
        <f t="shared" si="56"/>
        <v>172</v>
      </c>
      <c r="EC132" s="32">
        <f t="shared" si="56"/>
        <v>68</v>
      </c>
      <c r="ED132" s="32">
        <f t="shared" si="56"/>
        <v>24</v>
      </c>
      <c r="EE132" s="32">
        <f t="shared" si="56"/>
        <v>69</v>
      </c>
      <c r="EF132" s="32">
        <f t="shared" si="56"/>
        <v>603</v>
      </c>
      <c r="EG132" s="32">
        <f t="shared" si="56"/>
        <v>100</v>
      </c>
      <c r="EH132" s="32">
        <f t="shared" si="56"/>
        <v>68</v>
      </c>
      <c r="EI132" s="32">
        <f t="shared" si="56"/>
        <v>6981</v>
      </c>
      <c r="EJ132" s="32">
        <f t="shared" si="56"/>
        <v>2957</v>
      </c>
      <c r="EK132" s="32">
        <f t="shared" si="56"/>
        <v>147</v>
      </c>
      <c r="EL132" s="32">
        <f t="shared" si="56"/>
        <v>123</v>
      </c>
      <c r="EM132" s="32">
        <f t="shared" si="56"/>
        <v>111</v>
      </c>
      <c r="EN132" s="32">
        <f t="shared" si="56"/>
        <v>401</v>
      </c>
      <c r="EO132" s="32">
        <f t="shared" si="56"/>
        <v>68</v>
      </c>
      <c r="EP132" s="32">
        <f t="shared" si="56"/>
        <v>53</v>
      </c>
      <c r="EQ132" s="32">
        <f t="shared" si="56"/>
        <v>54</v>
      </c>
      <c r="ER132" s="32">
        <f t="shared" si="56"/>
        <v>52</v>
      </c>
      <c r="ES132" s="32">
        <f t="shared" si="56"/>
        <v>45</v>
      </c>
      <c r="ET132" s="32">
        <f t="shared" si="56"/>
        <v>105</v>
      </c>
      <c r="EU132" s="32">
        <f t="shared" si="56"/>
        <v>308</v>
      </c>
      <c r="EV132" s="32">
        <f t="shared" si="56"/>
        <v>32</v>
      </c>
      <c r="EW132" s="32">
        <f t="shared" si="56"/>
        <v>111</v>
      </c>
      <c r="EX132" s="32">
        <f t="shared" si="56"/>
        <v>40</v>
      </c>
      <c r="EY132" s="32">
        <f t="shared" si="56"/>
        <v>163</v>
      </c>
      <c r="EZ132" s="32">
        <f t="shared" si="56"/>
        <v>39</v>
      </c>
      <c r="FA132" s="32">
        <f t="shared" si="56"/>
        <v>619</v>
      </c>
      <c r="FB132" s="32">
        <f t="shared" si="56"/>
        <v>87</v>
      </c>
      <c r="FC132" s="32">
        <f t="shared" si="56"/>
        <v>275</v>
      </c>
      <c r="FD132" s="32">
        <f t="shared" si="56"/>
        <v>127</v>
      </c>
      <c r="FE132" s="32">
        <f t="shared" si="56"/>
        <v>25</v>
      </c>
      <c r="FF132" s="32">
        <f t="shared" si="56"/>
        <v>63</v>
      </c>
      <c r="FG132" s="32">
        <f t="shared" si="56"/>
        <v>16</v>
      </c>
      <c r="FH132" s="32">
        <f t="shared" si="56"/>
        <v>18</v>
      </c>
      <c r="FI132" s="32">
        <f t="shared" si="56"/>
        <v>453</v>
      </c>
      <c r="FJ132" s="32">
        <f t="shared" si="56"/>
        <v>369</v>
      </c>
      <c r="FK132" s="32">
        <f t="shared" si="56"/>
        <v>506</v>
      </c>
      <c r="FL132" s="32">
        <f t="shared" si="56"/>
        <v>657</v>
      </c>
      <c r="FM132" s="32">
        <f t="shared" si="56"/>
        <v>275</v>
      </c>
      <c r="FN132" s="32">
        <f t="shared" si="56"/>
        <v>8885</v>
      </c>
      <c r="FO132" s="32">
        <f t="shared" si="56"/>
        <v>307</v>
      </c>
      <c r="FP132" s="32">
        <f t="shared" si="56"/>
        <v>752</v>
      </c>
      <c r="FQ132" s="32">
        <f t="shared" si="56"/>
        <v>184</v>
      </c>
      <c r="FR132" s="32">
        <f t="shared" si="56"/>
        <v>31</v>
      </c>
      <c r="FS132" s="32">
        <f t="shared" si="56"/>
        <v>18</v>
      </c>
      <c r="FT132" s="32">
        <f t="shared" si="56"/>
        <v>16</v>
      </c>
      <c r="FU132" s="32">
        <f t="shared" si="56"/>
        <v>332</v>
      </c>
      <c r="FV132" s="32">
        <f t="shared" si="56"/>
        <v>237</v>
      </c>
      <c r="FW132" s="32">
        <f t="shared" si="56"/>
        <v>50</v>
      </c>
      <c r="FX132" s="32">
        <f t="shared" si="56"/>
        <v>16</v>
      </c>
      <c r="FY132" s="63"/>
      <c r="FZ132" s="32"/>
      <c r="GA132" s="25"/>
      <c r="GB132" s="7"/>
      <c r="GC132" s="7"/>
      <c r="GD132" s="7"/>
      <c r="GE132" s="7"/>
      <c r="GF132" s="7"/>
      <c r="GG132" s="7"/>
      <c r="GH132" s="7"/>
      <c r="GI132" s="7"/>
      <c r="GJ132" s="7"/>
      <c r="GK132" s="7"/>
    </row>
    <row r="133" spans="1:207" ht="15.5" x14ac:dyDescent="0.35">
      <c r="A133" s="12" t="s">
        <v>584</v>
      </c>
      <c r="B133" s="7" t="s">
        <v>861</v>
      </c>
      <c r="C133" s="32">
        <f t="shared" ref="C133:FX133" si="57">C20</f>
        <v>5936.4</v>
      </c>
      <c r="D133" s="32">
        <f t="shared" si="57"/>
        <v>28893.599999999999</v>
      </c>
      <c r="E133" s="32">
        <f t="shared" si="57"/>
        <v>4468.8</v>
      </c>
      <c r="F133" s="32">
        <f t="shared" si="57"/>
        <v>15351.599999999999</v>
      </c>
      <c r="G133" s="32">
        <f t="shared" si="57"/>
        <v>850.8</v>
      </c>
      <c r="H133" s="32">
        <f t="shared" si="57"/>
        <v>794.4</v>
      </c>
      <c r="I133" s="32">
        <f t="shared" si="57"/>
        <v>6464.4</v>
      </c>
      <c r="J133" s="32">
        <f t="shared" si="57"/>
        <v>1663.2</v>
      </c>
      <c r="K133" s="32">
        <f t="shared" si="57"/>
        <v>186</v>
      </c>
      <c r="L133" s="32">
        <f t="shared" si="57"/>
        <v>1503.6</v>
      </c>
      <c r="M133" s="32">
        <f t="shared" si="57"/>
        <v>685.19999999999993</v>
      </c>
      <c r="N133" s="32">
        <f t="shared" si="57"/>
        <v>36894</v>
      </c>
      <c r="O133" s="32">
        <f t="shared" si="57"/>
        <v>9018</v>
      </c>
      <c r="P133" s="32">
        <f t="shared" si="57"/>
        <v>188.4</v>
      </c>
      <c r="Q133" s="32">
        <f t="shared" si="57"/>
        <v>28060.799999999999</v>
      </c>
      <c r="R133" s="32">
        <f t="shared" si="57"/>
        <v>3002.4</v>
      </c>
      <c r="S133" s="32">
        <f t="shared" si="57"/>
        <v>1274.3999999999999</v>
      </c>
      <c r="T133" s="32">
        <f t="shared" si="57"/>
        <v>124.8</v>
      </c>
      <c r="U133" s="32">
        <f t="shared" si="57"/>
        <v>37.199999999999996</v>
      </c>
      <c r="V133" s="32">
        <f t="shared" si="57"/>
        <v>208.79999999999998</v>
      </c>
      <c r="W133" s="32">
        <f t="shared" si="57"/>
        <v>181.2</v>
      </c>
      <c r="X133" s="32">
        <f t="shared" si="57"/>
        <v>36</v>
      </c>
      <c r="Y133" s="32">
        <f t="shared" si="57"/>
        <v>460.79999999999995</v>
      </c>
      <c r="Z133" s="32">
        <f t="shared" si="57"/>
        <v>170.4</v>
      </c>
      <c r="AA133" s="32">
        <f t="shared" si="57"/>
        <v>22339.200000000001</v>
      </c>
      <c r="AB133" s="32">
        <f t="shared" si="57"/>
        <v>19311.599999999999</v>
      </c>
      <c r="AC133" s="32">
        <f t="shared" si="57"/>
        <v>718.8</v>
      </c>
      <c r="AD133" s="32">
        <f t="shared" si="57"/>
        <v>1010.4</v>
      </c>
      <c r="AE133" s="32">
        <f t="shared" si="57"/>
        <v>67.2</v>
      </c>
      <c r="AF133" s="32">
        <f t="shared" si="57"/>
        <v>141.6</v>
      </c>
      <c r="AG133" s="32">
        <f t="shared" si="57"/>
        <v>415.2</v>
      </c>
      <c r="AH133" s="32">
        <f t="shared" si="57"/>
        <v>710.4</v>
      </c>
      <c r="AI133" s="32">
        <f t="shared" si="57"/>
        <v>262.8</v>
      </c>
      <c r="AJ133" s="32">
        <f t="shared" si="57"/>
        <v>108</v>
      </c>
      <c r="AK133" s="32">
        <f t="shared" si="57"/>
        <v>139.19999999999999</v>
      </c>
      <c r="AL133" s="32">
        <f t="shared" si="57"/>
        <v>169.2</v>
      </c>
      <c r="AM133" s="32">
        <f t="shared" si="57"/>
        <v>295.2</v>
      </c>
      <c r="AN133" s="32">
        <f t="shared" si="57"/>
        <v>248.39999999999998</v>
      </c>
      <c r="AO133" s="32">
        <f t="shared" si="57"/>
        <v>3228</v>
      </c>
      <c r="AP133" s="32">
        <f t="shared" si="57"/>
        <v>60844.799999999996</v>
      </c>
      <c r="AQ133" s="32">
        <f t="shared" si="57"/>
        <v>171.6</v>
      </c>
      <c r="AR133" s="32">
        <f t="shared" si="57"/>
        <v>45588</v>
      </c>
      <c r="AS133" s="32">
        <f t="shared" si="57"/>
        <v>4693.2</v>
      </c>
      <c r="AT133" s="32">
        <f t="shared" si="57"/>
        <v>1702.8</v>
      </c>
      <c r="AU133" s="32">
        <f t="shared" si="57"/>
        <v>177.6</v>
      </c>
      <c r="AV133" s="32">
        <f t="shared" si="57"/>
        <v>230.39999999999998</v>
      </c>
      <c r="AW133" s="32">
        <f t="shared" si="57"/>
        <v>178.79999999999998</v>
      </c>
      <c r="AX133" s="32">
        <f t="shared" si="57"/>
        <v>61.199999999999996</v>
      </c>
      <c r="AY133" s="32">
        <f t="shared" si="57"/>
        <v>319.2</v>
      </c>
      <c r="AZ133" s="32">
        <f t="shared" si="57"/>
        <v>10087.199999999999</v>
      </c>
      <c r="BA133" s="32">
        <f t="shared" si="57"/>
        <v>6768</v>
      </c>
      <c r="BB133" s="32">
        <f t="shared" si="57"/>
        <v>6028.8</v>
      </c>
      <c r="BC133" s="32">
        <f t="shared" si="57"/>
        <v>19404</v>
      </c>
      <c r="BD133" s="32">
        <f t="shared" si="57"/>
        <v>2425.1999999999998</v>
      </c>
      <c r="BE133" s="32">
        <f t="shared" si="57"/>
        <v>919.19999999999993</v>
      </c>
      <c r="BF133" s="32">
        <f t="shared" si="57"/>
        <v>18489.599999999999</v>
      </c>
      <c r="BG133" s="32">
        <f t="shared" si="57"/>
        <v>656.4</v>
      </c>
      <c r="BH133" s="32">
        <f t="shared" si="57"/>
        <v>358.8</v>
      </c>
      <c r="BI133" s="32">
        <f t="shared" si="57"/>
        <v>177.6</v>
      </c>
      <c r="BJ133" s="32">
        <f t="shared" si="57"/>
        <v>4314</v>
      </c>
      <c r="BK133" s="32">
        <f t="shared" si="57"/>
        <v>14372.4</v>
      </c>
      <c r="BL133" s="32">
        <f t="shared" si="57"/>
        <v>57.599999999999994</v>
      </c>
      <c r="BM133" s="32">
        <f t="shared" si="57"/>
        <v>207.6</v>
      </c>
      <c r="BN133" s="32">
        <f t="shared" si="57"/>
        <v>2450.4</v>
      </c>
      <c r="BO133" s="32">
        <f t="shared" si="57"/>
        <v>1017.5999999999999</v>
      </c>
      <c r="BP133" s="32">
        <f t="shared" si="57"/>
        <v>153.6</v>
      </c>
      <c r="BQ133" s="32">
        <f t="shared" si="57"/>
        <v>4099.2</v>
      </c>
      <c r="BR133" s="32">
        <f t="shared" si="57"/>
        <v>3291.6</v>
      </c>
      <c r="BS133" s="32">
        <f t="shared" si="57"/>
        <v>853.19999999999993</v>
      </c>
      <c r="BT133" s="32">
        <f t="shared" si="57"/>
        <v>291.59999999999997</v>
      </c>
      <c r="BU133" s="32">
        <f t="shared" si="57"/>
        <v>290.39999999999998</v>
      </c>
      <c r="BV133" s="32">
        <f t="shared" si="57"/>
        <v>890.4</v>
      </c>
      <c r="BW133" s="32">
        <f t="shared" si="57"/>
        <v>1508.3999999999999</v>
      </c>
      <c r="BX133" s="32">
        <f t="shared" si="57"/>
        <v>45.6</v>
      </c>
      <c r="BY133" s="32">
        <f t="shared" si="57"/>
        <v>372</v>
      </c>
      <c r="BZ133" s="32">
        <f t="shared" si="57"/>
        <v>128.4</v>
      </c>
      <c r="CA133" s="32">
        <f t="shared" si="57"/>
        <v>106.8</v>
      </c>
      <c r="CB133" s="32">
        <f t="shared" si="57"/>
        <v>54669.599999999999</v>
      </c>
      <c r="CC133" s="32">
        <f t="shared" si="57"/>
        <v>139.19999999999999</v>
      </c>
      <c r="CD133" s="32">
        <f t="shared" si="57"/>
        <v>122.39999999999999</v>
      </c>
      <c r="CE133" s="32">
        <f t="shared" si="57"/>
        <v>96</v>
      </c>
      <c r="CF133" s="32">
        <f t="shared" si="57"/>
        <v>99.6</v>
      </c>
      <c r="CG133" s="32">
        <f t="shared" si="57"/>
        <v>148.79999999999998</v>
      </c>
      <c r="CH133" s="32">
        <f t="shared" si="57"/>
        <v>66</v>
      </c>
      <c r="CI133" s="32">
        <f t="shared" si="57"/>
        <v>511.2</v>
      </c>
      <c r="CJ133" s="32">
        <f t="shared" si="57"/>
        <v>643.19999999999993</v>
      </c>
      <c r="CK133" s="32">
        <f t="shared" si="57"/>
        <v>4425.5999999999995</v>
      </c>
      <c r="CL133" s="32">
        <f t="shared" si="57"/>
        <v>985.19999999999993</v>
      </c>
      <c r="CM133" s="32">
        <f t="shared" si="57"/>
        <v>456</v>
      </c>
      <c r="CN133" s="32">
        <f t="shared" si="57"/>
        <v>23926.799999999999</v>
      </c>
      <c r="CO133" s="32">
        <f t="shared" si="57"/>
        <v>10768.8</v>
      </c>
      <c r="CP133" s="32">
        <f t="shared" si="57"/>
        <v>679.19999999999993</v>
      </c>
      <c r="CQ133" s="32">
        <f t="shared" si="57"/>
        <v>577.19999999999993</v>
      </c>
      <c r="CR133" s="32">
        <f t="shared" si="57"/>
        <v>177.6</v>
      </c>
      <c r="CS133" s="32">
        <f t="shared" si="57"/>
        <v>240</v>
      </c>
      <c r="CT133" s="32">
        <f t="shared" si="57"/>
        <v>80.399999999999991</v>
      </c>
      <c r="CU133" s="32">
        <f t="shared" si="57"/>
        <v>340.8</v>
      </c>
      <c r="CV133" s="32">
        <f t="shared" si="57"/>
        <v>14.399999999999999</v>
      </c>
      <c r="CW133" s="32">
        <f t="shared" si="57"/>
        <v>150</v>
      </c>
      <c r="CX133" s="32">
        <f t="shared" si="57"/>
        <v>315.59999999999997</v>
      </c>
      <c r="CY133" s="32">
        <f t="shared" si="57"/>
        <v>26.4</v>
      </c>
      <c r="CZ133" s="32">
        <f t="shared" si="57"/>
        <v>1434</v>
      </c>
      <c r="DA133" s="32">
        <f t="shared" si="57"/>
        <v>154.79999999999998</v>
      </c>
      <c r="DB133" s="32">
        <f t="shared" si="57"/>
        <v>228</v>
      </c>
      <c r="DC133" s="32">
        <f t="shared" si="57"/>
        <v>115.19999999999999</v>
      </c>
      <c r="DD133" s="32">
        <f t="shared" si="57"/>
        <v>126</v>
      </c>
      <c r="DE133" s="32">
        <f t="shared" si="57"/>
        <v>177.6</v>
      </c>
      <c r="DF133" s="32">
        <f t="shared" si="57"/>
        <v>15525.599999999999</v>
      </c>
      <c r="DG133" s="32">
        <f t="shared" si="57"/>
        <v>56.4</v>
      </c>
      <c r="DH133" s="32">
        <f t="shared" si="57"/>
        <v>1485.6</v>
      </c>
      <c r="DI133" s="32">
        <f t="shared" si="57"/>
        <v>1899.6</v>
      </c>
      <c r="DJ133" s="32">
        <f t="shared" si="57"/>
        <v>543.6</v>
      </c>
      <c r="DK133" s="32">
        <f t="shared" si="57"/>
        <v>338.4</v>
      </c>
      <c r="DL133" s="32">
        <f t="shared" si="57"/>
        <v>4126.8</v>
      </c>
      <c r="DM133" s="32">
        <f t="shared" si="57"/>
        <v>174</v>
      </c>
      <c r="DN133" s="32">
        <f t="shared" si="57"/>
        <v>985.19999999999993</v>
      </c>
      <c r="DO133" s="32">
        <f t="shared" si="57"/>
        <v>2394</v>
      </c>
      <c r="DP133" s="32">
        <f t="shared" si="57"/>
        <v>163.19999999999999</v>
      </c>
      <c r="DQ133" s="32">
        <f t="shared" si="57"/>
        <v>570</v>
      </c>
      <c r="DR133" s="32">
        <f t="shared" si="57"/>
        <v>1002</v>
      </c>
      <c r="DS133" s="32">
        <f t="shared" si="57"/>
        <v>495.59999999999997</v>
      </c>
      <c r="DT133" s="32">
        <f t="shared" si="57"/>
        <v>106.8</v>
      </c>
      <c r="DU133" s="32">
        <f t="shared" si="57"/>
        <v>266.39999999999998</v>
      </c>
      <c r="DV133" s="32">
        <f t="shared" si="57"/>
        <v>160.79999999999998</v>
      </c>
      <c r="DW133" s="32">
        <f t="shared" si="57"/>
        <v>235.2</v>
      </c>
      <c r="DX133" s="32">
        <f t="shared" si="57"/>
        <v>136.79999999999998</v>
      </c>
      <c r="DY133" s="32">
        <f t="shared" si="57"/>
        <v>223.2</v>
      </c>
      <c r="DZ133" s="32">
        <f t="shared" si="57"/>
        <v>536.4</v>
      </c>
      <c r="EA133" s="32">
        <f t="shared" si="57"/>
        <v>430.8</v>
      </c>
      <c r="EB133" s="32">
        <f t="shared" si="57"/>
        <v>394.8</v>
      </c>
      <c r="EC133" s="32">
        <f t="shared" si="57"/>
        <v>222</v>
      </c>
      <c r="ED133" s="32">
        <f t="shared" si="57"/>
        <v>1160.3999999999999</v>
      </c>
      <c r="EE133" s="32">
        <f t="shared" si="57"/>
        <v>122.39999999999999</v>
      </c>
      <c r="EF133" s="32">
        <f t="shared" si="57"/>
        <v>1033.2</v>
      </c>
      <c r="EG133" s="32">
        <f t="shared" si="57"/>
        <v>186</v>
      </c>
      <c r="EH133" s="32">
        <f t="shared" si="57"/>
        <v>198</v>
      </c>
      <c r="EI133" s="32">
        <f t="shared" si="57"/>
        <v>10844.4</v>
      </c>
      <c r="EJ133" s="32">
        <f t="shared" si="57"/>
        <v>7365.5999999999995</v>
      </c>
      <c r="EK133" s="32">
        <f t="shared" si="57"/>
        <v>490.79999999999995</v>
      </c>
      <c r="EL133" s="32">
        <f t="shared" si="57"/>
        <v>357.59999999999997</v>
      </c>
      <c r="EM133" s="32">
        <f t="shared" si="57"/>
        <v>310.8</v>
      </c>
      <c r="EN133" s="32">
        <f t="shared" si="57"/>
        <v>699.6</v>
      </c>
      <c r="EO133" s="32">
        <f t="shared" si="57"/>
        <v>244.79999999999998</v>
      </c>
      <c r="EP133" s="32">
        <f t="shared" si="57"/>
        <v>316.8</v>
      </c>
      <c r="EQ133" s="32">
        <f t="shared" si="57"/>
        <v>1966.8</v>
      </c>
      <c r="ER133" s="32">
        <f t="shared" si="57"/>
        <v>212.4</v>
      </c>
      <c r="ES133" s="32">
        <f t="shared" si="57"/>
        <v>134.4</v>
      </c>
      <c r="ET133" s="32">
        <f t="shared" si="57"/>
        <v>158.4</v>
      </c>
      <c r="EU133" s="32">
        <f t="shared" si="57"/>
        <v>408</v>
      </c>
      <c r="EV133" s="32">
        <f t="shared" si="57"/>
        <v>60</v>
      </c>
      <c r="EW133" s="32">
        <f t="shared" si="57"/>
        <v>604.79999999999995</v>
      </c>
      <c r="EX133" s="32">
        <f t="shared" si="57"/>
        <v>140.4</v>
      </c>
      <c r="EY133" s="32">
        <f t="shared" si="57"/>
        <v>393.59999999999997</v>
      </c>
      <c r="EZ133" s="32">
        <f t="shared" si="57"/>
        <v>99.6</v>
      </c>
      <c r="FA133" s="32">
        <f t="shared" si="57"/>
        <v>2515.1999999999998</v>
      </c>
      <c r="FB133" s="32">
        <f t="shared" si="57"/>
        <v>220.79999999999998</v>
      </c>
      <c r="FC133" s="32">
        <f t="shared" si="57"/>
        <v>1204.8</v>
      </c>
      <c r="FD133" s="32">
        <f t="shared" si="57"/>
        <v>306</v>
      </c>
      <c r="FE133" s="32">
        <f t="shared" si="57"/>
        <v>56.4</v>
      </c>
      <c r="FF133" s="32">
        <f t="shared" si="57"/>
        <v>146.4</v>
      </c>
      <c r="FG133" s="32">
        <f t="shared" si="57"/>
        <v>92.399999999999991</v>
      </c>
      <c r="FH133" s="32">
        <f t="shared" si="57"/>
        <v>57.599999999999994</v>
      </c>
      <c r="FI133" s="32">
        <f t="shared" si="57"/>
        <v>1282.8</v>
      </c>
      <c r="FJ133" s="32">
        <f t="shared" si="57"/>
        <v>1510.8</v>
      </c>
      <c r="FK133" s="32">
        <f t="shared" si="57"/>
        <v>1927.1999999999998</v>
      </c>
      <c r="FL133" s="32">
        <f t="shared" si="57"/>
        <v>5967.5999999999995</v>
      </c>
      <c r="FM133" s="32">
        <f t="shared" si="57"/>
        <v>2769.6</v>
      </c>
      <c r="FN133" s="32">
        <f t="shared" si="57"/>
        <v>15997.199999999999</v>
      </c>
      <c r="FO133" s="32">
        <f t="shared" si="57"/>
        <v>782.4</v>
      </c>
      <c r="FP133" s="32">
        <f t="shared" si="57"/>
        <v>1665.6</v>
      </c>
      <c r="FQ133" s="32">
        <f t="shared" si="57"/>
        <v>739.19999999999993</v>
      </c>
      <c r="FR133" s="32">
        <f t="shared" si="57"/>
        <v>116.39999999999999</v>
      </c>
      <c r="FS133" s="32">
        <f t="shared" si="57"/>
        <v>141.6</v>
      </c>
      <c r="FT133" s="32">
        <f t="shared" si="57"/>
        <v>48</v>
      </c>
      <c r="FU133" s="32">
        <f t="shared" si="57"/>
        <v>598.79999999999995</v>
      </c>
      <c r="FV133" s="32">
        <f t="shared" si="57"/>
        <v>510</v>
      </c>
      <c r="FW133" s="32">
        <f t="shared" si="57"/>
        <v>120</v>
      </c>
      <c r="FX133" s="32">
        <f t="shared" si="57"/>
        <v>50.4</v>
      </c>
      <c r="FY133" s="39"/>
      <c r="FZ133" s="32"/>
      <c r="GA133" s="31"/>
      <c r="GB133" s="7"/>
      <c r="GC133" s="7"/>
      <c r="GD133" s="7"/>
      <c r="GE133" s="7"/>
      <c r="GF133" s="7"/>
      <c r="GG133" s="7"/>
      <c r="GH133" s="7"/>
      <c r="GI133" s="7"/>
      <c r="GJ133" s="7"/>
      <c r="GK133" s="7"/>
    </row>
    <row r="134" spans="1:207" ht="15.5" x14ac:dyDescent="0.35">
      <c r="A134" s="12" t="s">
        <v>586</v>
      </c>
      <c r="B134" s="7" t="s">
        <v>862</v>
      </c>
      <c r="C134" s="104">
        <f t="shared" ref="C134:FX134" si="58">ROUND(C132/C133,4)</f>
        <v>0.38929999999999998</v>
      </c>
      <c r="D134" s="104">
        <f t="shared" si="58"/>
        <v>0.3387</v>
      </c>
      <c r="E134" s="104">
        <f t="shared" si="58"/>
        <v>0.62860000000000005</v>
      </c>
      <c r="F134" s="104">
        <f t="shared" si="58"/>
        <v>0.25979999999999998</v>
      </c>
      <c r="G134" s="104">
        <f t="shared" si="58"/>
        <v>0.22209999999999999</v>
      </c>
      <c r="H134" s="104">
        <f t="shared" si="58"/>
        <v>0.2127</v>
      </c>
      <c r="I134" s="104">
        <f t="shared" si="58"/>
        <v>0.62370000000000003</v>
      </c>
      <c r="J134" s="104">
        <f t="shared" si="58"/>
        <v>0.49959999999999999</v>
      </c>
      <c r="K134" s="104">
        <f t="shared" si="58"/>
        <v>0.44619999999999999</v>
      </c>
      <c r="L134" s="104">
        <f t="shared" si="58"/>
        <v>0.48680000000000001</v>
      </c>
      <c r="M134" s="104">
        <f t="shared" si="58"/>
        <v>0.76039999999999996</v>
      </c>
      <c r="N134" s="104">
        <f t="shared" si="58"/>
        <v>0.23499999999999999</v>
      </c>
      <c r="O134" s="104">
        <f t="shared" si="58"/>
        <v>0.1133</v>
      </c>
      <c r="P134" s="104">
        <f t="shared" si="58"/>
        <v>0.34499999999999997</v>
      </c>
      <c r="Q134" s="104">
        <f t="shared" si="58"/>
        <v>0.60829999999999995</v>
      </c>
      <c r="R134" s="104">
        <f t="shared" si="58"/>
        <v>0.27939999999999998</v>
      </c>
      <c r="S134" s="104">
        <f t="shared" si="58"/>
        <v>0.41510000000000002</v>
      </c>
      <c r="T134" s="104">
        <f t="shared" si="58"/>
        <v>0.45669999999999999</v>
      </c>
      <c r="U134" s="104">
        <f t="shared" si="58"/>
        <v>0.59140000000000004</v>
      </c>
      <c r="V134" s="104">
        <f t="shared" si="58"/>
        <v>0.47889999999999999</v>
      </c>
      <c r="W134" s="104">
        <f t="shared" si="58"/>
        <v>0.27589999999999998</v>
      </c>
      <c r="X134" s="104">
        <f t="shared" si="58"/>
        <v>0.38890000000000002</v>
      </c>
      <c r="Y134" s="104">
        <f t="shared" si="58"/>
        <v>0.59899999999999998</v>
      </c>
      <c r="Z134" s="104">
        <f t="shared" si="58"/>
        <v>0.35210000000000002</v>
      </c>
      <c r="AA134" s="104">
        <f t="shared" si="58"/>
        <v>0.23699999999999999</v>
      </c>
      <c r="AB134" s="104">
        <f t="shared" si="58"/>
        <v>0.1759</v>
      </c>
      <c r="AC134" s="104">
        <f t="shared" si="58"/>
        <v>0.1711</v>
      </c>
      <c r="AD134" s="104">
        <f t="shared" si="58"/>
        <v>0.28010000000000002</v>
      </c>
      <c r="AE134" s="104">
        <f t="shared" si="58"/>
        <v>0.29759999999999998</v>
      </c>
      <c r="AF134" s="104">
        <f t="shared" si="58"/>
        <v>0.24010000000000001</v>
      </c>
      <c r="AG134" s="104">
        <f t="shared" si="58"/>
        <v>0.1782</v>
      </c>
      <c r="AH134" s="104">
        <f t="shared" si="58"/>
        <v>0.50109999999999999</v>
      </c>
      <c r="AI134" s="104">
        <f t="shared" si="58"/>
        <v>0.4909</v>
      </c>
      <c r="AJ134" s="104">
        <f t="shared" si="58"/>
        <v>0.65739999999999998</v>
      </c>
      <c r="AK134" s="104">
        <f t="shared" si="58"/>
        <v>0.76149999999999995</v>
      </c>
      <c r="AL134" s="104">
        <f t="shared" si="58"/>
        <v>0.64419999999999999</v>
      </c>
      <c r="AM134" s="104">
        <f t="shared" si="58"/>
        <v>0.59279999999999999</v>
      </c>
      <c r="AN134" s="104">
        <f t="shared" si="58"/>
        <v>0.39450000000000002</v>
      </c>
      <c r="AO134" s="104">
        <f t="shared" si="58"/>
        <v>0.36830000000000002</v>
      </c>
      <c r="AP134" s="104">
        <f t="shared" si="58"/>
        <v>0.50449999999999995</v>
      </c>
      <c r="AQ134" s="104">
        <f t="shared" si="58"/>
        <v>0.43120000000000003</v>
      </c>
      <c r="AR134" s="104">
        <f t="shared" si="58"/>
        <v>8.4400000000000003E-2</v>
      </c>
      <c r="AS134" s="104">
        <f t="shared" si="58"/>
        <v>0.23499999999999999</v>
      </c>
      <c r="AT134" s="104">
        <f t="shared" si="58"/>
        <v>0.1298</v>
      </c>
      <c r="AU134" s="104">
        <f t="shared" si="58"/>
        <v>0.27029999999999998</v>
      </c>
      <c r="AV134" s="104">
        <f t="shared" si="58"/>
        <v>0.46439999999999998</v>
      </c>
      <c r="AW134" s="104">
        <f t="shared" si="58"/>
        <v>0.2349</v>
      </c>
      <c r="AX134" s="104">
        <f t="shared" si="58"/>
        <v>0</v>
      </c>
      <c r="AY134" s="104">
        <f t="shared" si="58"/>
        <v>0.41670000000000001</v>
      </c>
      <c r="AZ134" s="104">
        <f t="shared" si="58"/>
        <v>0.51119999999999999</v>
      </c>
      <c r="BA134" s="104">
        <f t="shared" si="58"/>
        <v>0.33660000000000001</v>
      </c>
      <c r="BB134" s="104">
        <f t="shared" si="58"/>
        <v>0.36230000000000001</v>
      </c>
      <c r="BC134" s="104">
        <f t="shared" si="58"/>
        <v>0.44340000000000002</v>
      </c>
      <c r="BD134" s="104">
        <f t="shared" si="58"/>
        <v>7.0099999999999996E-2</v>
      </c>
      <c r="BE134" s="104">
        <f t="shared" si="58"/>
        <v>0.22850000000000001</v>
      </c>
      <c r="BF134" s="104">
        <f t="shared" si="58"/>
        <v>8.1500000000000003E-2</v>
      </c>
      <c r="BG134" s="104">
        <f t="shared" si="58"/>
        <v>0.34129999999999999</v>
      </c>
      <c r="BH134" s="104">
        <f t="shared" si="58"/>
        <v>0.1812</v>
      </c>
      <c r="BI134" s="104">
        <f t="shared" si="58"/>
        <v>0.56869999999999998</v>
      </c>
      <c r="BJ134" s="104">
        <f t="shared" si="58"/>
        <v>8.9700000000000002E-2</v>
      </c>
      <c r="BK134" s="104">
        <f t="shared" si="58"/>
        <v>0.26190000000000002</v>
      </c>
      <c r="BL134" s="104">
        <f t="shared" si="58"/>
        <v>0.41670000000000001</v>
      </c>
      <c r="BM134" s="104">
        <f t="shared" si="58"/>
        <v>0.44319999999999998</v>
      </c>
      <c r="BN134" s="104">
        <f t="shared" si="58"/>
        <v>0.44359999999999999</v>
      </c>
      <c r="BO134" s="104">
        <f t="shared" si="58"/>
        <v>0.35970000000000002</v>
      </c>
      <c r="BP134" s="104">
        <f t="shared" si="58"/>
        <v>0.53390000000000004</v>
      </c>
      <c r="BQ134" s="104">
        <f t="shared" si="58"/>
        <v>0.312</v>
      </c>
      <c r="BR134" s="104">
        <f t="shared" si="58"/>
        <v>0.33210000000000001</v>
      </c>
      <c r="BS134" s="104">
        <f t="shared" si="58"/>
        <v>0.54500000000000004</v>
      </c>
      <c r="BT134" s="104">
        <f t="shared" si="58"/>
        <v>0.2092</v>
      </c>
      <c r="BU134" s="104">
        <f t="shared" si="58"/>
        <v>0.26860000000000001</v>
      </c>
      <c r="BV134" s="104">
        <f t="shared" si="58"/>
        <v>0.23139999999999999</v>
      </c>
      <c r="BW134" s="104">
        <f t="shared" si="58"/>
        <v>0.1439</v>
      </c>
      <c r="BX134" s="104">
        <f t="shared" si="58"/>
        <v>0.307</v>
      </c>
      <c r="BY134" s="104">
        <f t="shared" si="58"/>
        <v>0.68820000000000003</v>
      </c>
      <c r="BZ134" s="104">
        <f t="shared" si="58"/>
        <v>0.42830000000000001</v>
      </c>
      <c r="CA134" s="104">
        <f t="shared" si="58"/>
        <v>0.309</v>
      </c>
      <c r="CB134" s="104">
        <f t="shared" si="58"/>
        <v>0.24479999999999999</v>
      </c>
      <c r="CC134" s="104">
        <f t="shared" si="58"/>
        <v>0.35199999999999998</v>
      </c>
      <c r="CD134" s="104">
        <f t="shared" si="58"/>
        <v>5.7200000000000001E-2</v>
      </c>
      <c r="CE134" s="104">
        <f t="shared" si="58"/>
        <v>0.26040000000000002</v>
      </c>
      <c r="CF134" s="104">
        <f t="shared" si="58"/>
        <v>0.41160000000000002</v>
      </c>
      <c r="CG134" s="104">
        <f t="shared" si="58"/>
        <v>0.4234</v>
      </c>
      <c r="CH134" s="104">
        <f t="shared" si="58"/>
        <v>0.54549999999999998</v>
      </c>
      <c r="CI134" s="104">
        <f t="shared" si="58"/>
        <v>0.54969999999999997</v>
      </c>
      <c r="CJ134" s="104">
        <f t="shared" si="58"/>
        <v>0.43530000000000002</v>
      </c>
      <c r="CK134" s="104">
        <f t="shared" si="58"/>
        <v>0.1925</v>
      </c>
      <c r="CL134" s="104">
        <f t="shared" si="58"/>
        <v>0.25380000000000003</v>
      </c>
      <c r="CM134" s="104">
        <f t="shared" si="58"/>
        <v>0.3947</v>
      </c>
      <c r="CN134" s="104">
        <f t="shared" si="58"/>
        <v>0.20610000000000001</v>
      </c>
      <c r="CO134" s="104">
        <f t="shared" si="58"/>
        <v>0.22550000000000001</v>
      </c>
      <c r="CP134" s="104">
        <f t="shared" si="58"/>
        <v>0.29149999999999998</v>
      </c>
      <c r="CQ134" s="104">
        <f t="shared" si="58"/>
        <v>0.60980000000000001</v>
      </c>
      <c r="CR134" s="104">
        <f t="shared" si="58"/>
        <v>0.34910000000000002</v>
      </c>
      <c r="CS134" s="104">
        <f t="shared" si="58"/>
        <v>0.33329999999999999</v>
      </c>
      <c r="CT134" s="104">
        <f t="shared" si="58"/>
        <v>0.67159999999999997</v>
      </c>
      <c r="CU134" s="104">
        <f t="shared" si="58"/>
        <v>0.19950000000000001</v>
      </c>
      <c r="CV134" s="104">
        <f t="shared" si="58"/>
        <v>0.20830000000000001</v>
      </c>
      <c r="CW134" s="104">
        <f t="shared" si="58"/>
        <v>0.3533</v>
      </c>
      <c r="CX134" s="104">
        <f t="shared" si="58"/>
        <v>0.37069999999999997</v>
      </c>
      <c r="CY134" s="104">
        <f t="shared" si="58"/>
        <v>0.5</v>
      </c>
      <c r="CZ134" s="104">
        <f t="shared" si="58"/>
        <v>0.47210000000000002</v>
      </c>
      <c r="DA134" s="104">
        <f t="shared" si="58"/>
        <v>0.2326</v>
      </c>
      <c r="DB134" s="104">
        <f t="shared" si="58"/>
        <v>0.25879999999999997</v>
      </c>
      <c r="DC134" s="104">
        <f t="shared" si="58"/>
        <v>0.24310000000000001</v>
      </c>
      <c r="DD134" s="104">
        <f t="shared" si="58"/>
        <v>0.32540000000000002</v>
      </c>
      <c r="DE134" s="104">
        <f t="shared" si="58"/>
        <v>0.19139999999999999</v>
      </c>
      <c r="DF134" s="104">
        <f t="shared" si="58"/>
        <v>0.3861</v>
      </c>
      <c r="DG134" s="104">
        <f t="shared" si="58"/>
        <v>0.35460000000000003</v>
      </c>
      <c r="DH134" s="104">
        <f t="shared" si="58"/>
        <v>0.36890000000000001</v>
      </c>
      <c r="DI134" s="104">
        <f t="shared" si="58"/>
        <v>0.52959999999999996</v>
      </c>
      <c r="DJ134" s="104">
        <f t="shared" si="58"/>
        <v>0.23180000000000001</v>
      </c>
      <c r="DK134" s="104">
        <f t="shared" si="58"/>
        <v>0.3901</v>
      </c>
      <c r="DL134" s="104">
        <f t="shared" si="58"/>
        <v>0.4405</v>
      </c>
      <c r="DM134" s="104">
        <f t="shared" si="58"/>
        <v>0.46550000000000002</v>
      </c>
      <c r="DN134" s="104">
        <f t="shared" si="58"/>
        <v>0.42430000000000001</v>
      </c>
      <c r="DO134" s="104">
        <f t="shared" si="58"/>
        <v>0.38640000000000002</v>
      </c>
      <c r="DP134" s="104">
        <f t="shared" si="58"/>
        <v>0.28799999999999998</v>
      </c>
      <c r="DQ134" s="104">
        <f t="shared" si="58"/>
        <v>0.28420000000000001</v>
      </c>
      <c r="DR134" s="104">
        <f t="shared" si="58"/>
        <v>0.63870000000000005</v>
      </c>
      <c r="DS134" s="104">
        <f t="shared" si="58"/>
        <v>0.69010000000000005</v>
      </c>
      <c r="DT134" s="104">
        <f t="shared" si="58"/>
        <v>0.67420000000000002</v>
      </c>
      <c r="DU134" s="104">
        <f t="shared" si="58"/>
        <v>0.48049999999999998</v>
      </c>
      <c r="DV134" s="104">
        <f t="shared" si="58"/>
        <v>0.3483</v>
      </c>
      <c r="DW134" s="104">
        <f t="shared" si="58"/>
        <v>0.38690000000000002</v>
      </c>
      <c r="DX134" s="104">
        <f t="shared" si="58"/>
        <v>0.1754</v>
      </c>
      <c r="DY134" s="104">
        <f t="shared" si="58"/>
        <v>0.121</v>
      </c>
      <c r="DZ134" s="104">
        <f t="shared" si="58"/>
        <v>0.13800000000000001</v>
      </c>
      <c r="EA134" s="104">
        <f t="shared" si="58"/>
        <v>0.30180000000000001</v>
      </c>
      <c r="EB134" s="104">
        <f t="shared" si="58"/>
        <v>0.43569999999999998</v>
      </c>
      <c r="EC134" s="104">
        <f t="shared" si="58"/>
        <v>0.30630000000000002</v>
      </c>
      <c r="ED134" s="104">
        <f t="shared" si="58"/>
        <v>2.07E-2</v>
      </c>
      <c r="EE134" s="104">
        <f t="shared" si="58"/>
        <v>0.56369999999999998</v>
      </c>
      <c r="EF134" s="104">
        <f t="shared" si="58"/>
        <v>0.58360000000000001</v>
      </c>
      <c r="EG134" s="104">
        <f t="shared" si="58"/>
        <v>0.53759999999999997</v>
      </c>
      <c r="EH134" s="104">
        <f t="shared" si="58"/>
        <v>0.34339999999999998</v>
      </c>
      <c r="EI134" s="104">
        <f t="shared" si="58"/>
        <v>0.64370000000000005</v>
      </c>
      <c r="EJ134" s="104">
        <f t="shared" si="58"/>
        <v>0.40150000000000002</v>
      </c>
      <c r="EK134" s="104">
        <f t="shared" si="58"/>
        <v>0.29949999999999999</v>
      </c>
      <c r="EL134" s="104">
        <f t="shared" si="58"/>
        <v>0.34399999999999997</v>
      </c>
      <c r="EM134" s="104">
        <f t="shared" si="58"/>
        <v>0.35709999999999997</v>
      </c>
      <c r="EN134" s="104">
        <f t="shared" si="58"/>
        <v>0.57320000000000004</v>
      </c>
      <c r="EO134" s="104">
        <f t="shared" si="58"/>
        <v>0.27779999999999999</v>
      </c>
      <c r="EP134" s="104">
        <f t="shared" si="58"/>
        <v>0.1673</v>
      </c>
      <c r="EQ134" s="104">
        <f t="shared" si="58"/>
        <v>2.75E-2</v>
      </c>
      <c r="ER134" s="104">
        <f t="shared" si="58"/>
        <v>0.24479999999999999</v>
      </c>
      <c r="ES134" s="104">
        <f t="shared" si="58"/>
        <v>0.33479999999999999</v>
      </c>
      <c r="ET134" s="104">
        <f t="shared" si="58"/>
        <v>0.66290000000000004</v>
      </c>
      <c r="EU134" s="104">
        <f t="shared" si="58"/>
        <v>0.75490000000000002</v>
      </c>
      <c r="EV134" s="104">
        <f t="shared" si="58"/>
        <v>0.5333</v>
      </c>
      <c r="EW134" s="104">
        <f t="shared" si="58"/>
        <v>0.1835</v>
      </c>
      <c r="EX134" s="104">
        <f t="shared" si="58"/>
        <v>0.28489999999999999</v>
      </c>
      <c r="EY134" s="104">
        <f t="shared" si="58"/>
        <v>0.41410000000000002</v>
      </c>
      <c r="EZ134" s="104">
        <f t="shared" si="58"/>
        <v>0.3916</v>
      </c>
      <c r="FA134" s="104">
        <f t="shared" si="58"/>
        <v>0.24610000000000001</v>
      </c>
      <c r="FB134" s="104">
        <f t="shared" si="58"/>
        <v>0.39400000000000002</v>
      </c>
      <c r="FC134" s="104">
        <f t="shared" si="58"/>
        <v>0.2283</v>
      </c>
      <c r="FD134" s="104">
        <f t="shared" si="58"/>
        <v>0.41499999999999998</v>
      </c>
      <c r="FE134" s="104">
        <f t="shared" si="58"/>
        <v>0.44330000000000003</v>
      </c>
      <c r="FF134" s="104">
        <f t="shared" si="58"/>
        <v>0.43030000000000002</v>
      </c>
      <c r="FG134" s="104">
        <f t="shared" si="58"/>
        <v>0.17319999999999999</v>
      </c>
      <c r="FH134" s="104">
        <f t="shared" si="58"/>
        <v>0.3125</v>
      </c>
      <c r="FI134" s="104">
        <f t="shared" si="58"/>
        <v>0.35310000000000002</v>
      </c>
      <c r="FJ134" s="104">
        <f t="shared" si="58"/>
        <v>0.2442</v>
      </c>
      <c r="FK134" s="104">
        <f t="shared" si="58"/>
        <v>0.2626</v>
      </c>
      <c r="FL134" s="104">
        <f t="shared" si="58"/>
        <v>0.1101</v>
      </c>
      <c r="FM134" s="104">
        <f t="shared" si="58"/>
        <v>9.9299999999999999E-2</v>
      </c>
      <c r="FN134" s="104">
        <f t="shared" si="58"/>
        <v>0.5554</v>
      </c>
      <c r="FO134" s="104">
        <f t="shared" si="58"/>
        <v>0.39240000000000003</v>
      </c>
      <c r="FP134" s="104">
        <f t="shared" si="58"/>
        <v>0.45150000000000001</v>
      </c>
      <c r="FQ134" s="104">
        <f t="shared" si="58"/>
        <v>0.24890000000000001</v>
      </c>
      <c r="FR134" s="104">
        <f t="shared" si="58"/>
        <v>0.26629999999999998</v>
      </c>
      <c r="FS134" s="104">
        <f t="shared" si="58"/>
        <v>0.12709999999999999</v>
      </c>
      <c r="FT134" s="104">
        <f t="shared" si="58"/>
        <v>0.33329999999999999</v>
      </c>
      <c r="FU134" s="104">
        <f t="shared" si="58"/>
        <v>0.5544</v>
      </c>
      <c r="FV134" s="104">
        <f t="shared" si="58"/>
        <v>0.4647</v>
      </c>
      <c r="FW134" s="104">
        <f t="shared" si="58"/>
        <v>0.41670000000000001</v>
      </c>
      <c r="FX134" s="104">
        <f t="shared" si="58"/>
        <v>0.3175</v>
      </c>
      <c r="FY134" s="32"/>
      <c r="FZ134" s="25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</row>
    <row r="135" spans="1:207" ht="15.5" x14ac:dyDescent="0.35">
      <c r="A135" s="12" t="s">
        <v>588</v>
      </c>
      <c r="B135" s="7" t="s">
        <v>863</v>
      </c>
      <c r="C135" s="23">
        <f t="shared" ref="C135:FX135" si="59">ROUND((C134*C21),1)</f>
        <v>2539</v>
      </c>
      <c r="D135" s="23">
        <f t="shared" si="59"/>
        <v>12576.3</v>
      </c>
      <c r="E135" s="23">
        <f t="shared" si="59"/>
        <v>3347.5</v>
      </c>
      <c r="F135" s="23">
        <f t="shared" si="59"/>
        <v>6343</v>
      </c>
      <c r="G135" s="23">
        <f t="shared" si="59"/>
        <v>409.5</v>
      </c>
      <c r="H135" s="23">
        <f t="shared" si="59"/>
        <v>227.8</v>
      </c>
      <c r="I135" s="23">
        <f t="shared" si="59"/>
        <v>4861.1000000000004</v>
      </c>
      <c r="J135" s="23">
        <f t="shared" si="59"/>
        <v>993.7</v>
      </c>
      <c r="K135" s="23">
        <f t="shared" si="59"/>
        <v>111.1</v>
      </c>
      <c r="L135" s="23">
        <f t="shared" si="59"/>
        <v>1016.4</v>
      </c>
      <c r="M135" s="23">
        <f t="shared" si="59"/>
        <v>645.70000000000005</v>
      </c>
      <c r="N135" s="23">
        <f t="shared" si="59"/>
        <v>11808.1</v>
      </c>
      <c r="O135" s="23">
        <f t="shared" si="59"/>
        <v>1401.6</v>
      </c>
      <c r="P135" s="23">
        <f t="shared" si="59"/>
        <v>107.6</v>
      </c>
      <c r="Q135" s="23">
        <f t="shared" si="59"/>
        <v>24359.9</v>
      </c>
      <c r="R135" s="23">
        <f t="shared" si="59"/>
        <v>2066.1</v>
      </c>
      <c r="S135" s="23">
        <f t="shared" si="59"/>
        <v>657.8</v>
      </c>
      <c r="T135" s="23">
        <f t="shared" si="59"/>
        <v>73.099999999999994</v>
      </c>
      <c r="U135" s="23">
        <f t="shared" si="59"/>
        <v>31.9</v>
      </c>
      <c r="V135" s="23">
        <f t="shared" si="59"/>
        <v>121.4</v>
      </c>
      <c r="W135" s="23">
        <f t="shared" si="59"/>
        <v>13.1</v>
      </c>
      <c r="X135" s="23">
        <f t="shared" si="59"/>
        <v>15.6</v>
      </c>
      <c r="Y135" s="23">
        <f t="shared" si="59"/>
        <v>523.20000000000005</v>
      </c>
      <c r="Z135" s="23">
        <f t="shared" si="59"/>
        <v>81.3</v>
      </c>
      <c r="AA135" s="23">
        <f t="shared" si="59"/>
        <v>7365.1</v>
      </c>
      <c r="AB135" s="23">
        <f t="shared" si="59"/>
        <v>4724.6000000000004</v>
      </c>
      <c r="AC135" s="23">
        <f t="shared" si="59"/>
        <v>145</v>
      </c>
      <c r="AD135" s="23">
        <f t="shared" si="59"/>
        <v>405.2</v>
      </c>
      <c r="AE135" s="23">
        <f t="shared" si="59"/>
        <v>28.9</v>
      </c>
      <c r="AF135" s="23">
        <f t="shared" si="59"/>
        <v>39.5</v>
      </c>
      <c r="AG135" s="23">
        <f t="shared" si="59"/>
        <v>104.3</v>
      </c>
      <c r="AH135" s="23">
        <f t="shared" si="59"/>
        <v>455</v>
      </c>
      <c r="AI135" s="23">
        <f t="shared" si="59"/>
        <v>188</v>
      </c>
      <c r="AJ135" s="23">
        <f t="shared" si="59"/>
        <v>119.3</v>
      </c>
      <c r="AK135" s="23">
        <f t="shared" si="59"/>
        <v>121.5</v>
      </c>
      <c r="AL135" s="23">
        <f t="shared" si="59"/>
        <v>183.9</v>
      </c>
      <c r="AM135" s="23">
        <f t="shared" si="59"/>
        <v>181.9</v>
      </c>
      <c r="AN135" s="23">
        <f t="shared" si="59"/>
        <v>106.7</v>
      </c>
      <c r="AO135" s="23">
        <f t="shared" si="59"/>
        <v>1517.7</v>
      </c>
      <c r="AP135" s="23">
        <f t="shared" si="59"/>
        <v>42425.599999999999</v>
      </c>
      <c r="AQ135" s="23">
        <f t="shared" si="59"/>
        <v>108.4</v>
      </c>
      <c r="AR135" s="23">
        <f t="shared" si="59"/>
        <v>5168.6000000000004</v>
      </c>
      <c r="AS135" s="23">
        <f t="shared" si="59"/>
        <v>1473.5</v>
      </c>
      <c r="AT135" s="23">
        <f t="shared" si="59"/>
        <v>331.9</v>
      </c>
      <c r="AU135" s="23">
        <f t="shared" si="59"/>
        <v>72.400000000000006</v>
      </c>
      <c r="AV135" s="23">
        <f t="shared" si="59"/>
        <v>137.5</v>
      </c>
      <c r="AW135" s="23">
        <f t="shared" si="59"/>
        <v>60.4</v>
      </c>
      <c r="AX135" s="23">
        <f t="shared" si="59"/>
        <v>0</v>
      </c>
      <c r="AY135" s="23">
        <f t="shared" si="59"/>
        <v>163.1</v>
      </c>
      <c r="AZ135" s="23">
        <f t="shared" si="59"/>
        <v>6180.1</v>
      </c>
      <c r="BA135" s="23">
        <f t="shared" si="59"/>
        <v>3059.6</v>
      </c>
      <c r="BB135" s="23">
        <f t="shared" si="59"/>
        <v>2705.7</v>
      </c>
      <c r="BC135" s="23">
        <f t="shared" si="59"/>
        <v>10943.5</v>
      </c>
      <c r="BD135" s="23">
        <f t="shared" si="59"/>
        <v>255.2</v>
      </c>
      <c r="BE135" s="23">
        <f t="shared" si="59"/>
        <v>249.5</v>
      </c>
      <c r="BF135" s="23">
        <f t="shared" si="59"/>
        <v>2140.9</v>
      </c>
      <c r="BG135" s="23">
        <f t="shared" si="59"/>
        <v>314.3</v>
      </c>
      <c r="BH135" s="23">
        <f t="shared" si="59"/>
        <v>104.7</v>
      </c>
      <c r="BI135" s="23">
        <f t="shared" si="59"/>
        <v>144.69999999999999</v>
      </c>
      <c r="BJ135" s="23">
        <f t="shared" si="59"/>
        <v>576.5</v>
      </c>
      <c r="BK135" s="23">
        <f t="shared" si="59"/>
        <v>7290.4</v>
      </c>
      <c r="BL135" s="23">
        <f t="shared" si="59"/>
        <v>37.6</v>
      </c>
      <c r="BM135" s="23">
        <f t="shared" si="59"/>
        <v>159.6</v>
      </c>
      <c r="BN135" s="23">
        <f t="shared" si="59"/>
        <v>1352.3</v>
      </c>
      <c r="BO135" s="23">
        <f t="shared" si="59"/>
        <v>427.7</v>
      </c>
      <c r="BP135" s="23">
        <f t="shared" si="59"/>
        <v>73.099999999999994</v>
      </c>
      <c r="BQ135" s="23">
        <f t="shared" si="59"/>
        <v>1779.5</v>
      </c>
      <c r="BR135" s="23">
        <f t="shared" si="59"/>
        <v>1455.4</v>
      </c>
      <c r="BS135" s="23">
        <f t="shared" si="59"/>
        <v>621.79999999999995</v>
      </c>
      <c r="BT135" s="23">
        <f t="shared" si="59"/>
        <v>74</v>
      </c>
      <c r="BU135" s="23">
        <f t="shared" si="59"/>
        <v>102.9</v>
      </c>
      <c r="BV135" s="23">
        <f t="shared" si="59"/>
        <v>288</v>
      </c>
      <c r="BW135" s="23">
        <f t="shared" si="59"/>
        <v>291</v>
      </c>
      <c r="BX135" s="23">
        <f t="shared" si="59"/>
        <v>17.5</v>
      </c>
      <c r="BY135" s="23">
        <f t="shared" si="59"/>
        <v>270.8</v>
      </c>
      <c r="BZ135" s="23">
        <f t="shared" si="59"/>
        <v>97.7</v>
      </c>
      <c r="CA135" s="23">
        <f t="shared" si="59"/>
        <v>43.7</v>
      </c>
      <c r="CB135" s="23">
        <f t="shared" si="59"/>
        <v>17892.7</v>
      </c>
      <c r="CC135" s="23">
        <f t="shared" si="59"/>
        <v>65.5</v>
      </c>
      <c r="CD135" s="23">
        <f t="shared" si="59"/>
        <v>1.7</v>
      </c>
      <c r="CE135" s="23">
        <f t="shared" si="59"/>
        <v>41.5</v>
      </c>
      <c r="CF135" s="23">
        <f t="shared" si="59"/>
        <v>41.2</v>
      </c>
      <c r="CG135" s="23">
        <f t="shared" si="59"/>
        <v>81.5</v>
      </c>
      <c r="CH135" s="23">
        <f t="shared" si="59"/>
        <v>49.1</v>
      </c>
      <c r="CI135" s="23">
        <f t="shared" si="59"/>
        <v>375.4</v>
      </c>
      <c r="CJ135" s="23">
        <f t="shared" si="59"/>
        <v>358.3</v>
      </c>
      <c r="CK135" s="23">
        <f t="shared" si="59"/>
        <v>935.3</v>
      </c>
      <c r="CL135" s="23">
        <f t="shared" si="59"/>
        <v>293.2</v>
      </c>
      <c r="CM135" s="23">
        <f t="shared" si="59"/>
        <v>243.5</v>
      </c>
      <c r="CN135" s="23">
        <f t="shared" si="59"/>
        <v>6287.5</v>
      </c>
      <c r="CO135" s="23">
        <f t="shared" si="59"/>
        <v>3185.5</v>
      </c>
      <c r="CP135" s="23">
        <f t="shared" si="59"/>
        <v>261.89999999999998</v>
      </c>
      <c r="CQ135" s="23">
        <f t="shared" si="59"/>
        <v>462.8</v>
      </c>
      <c r="CR135" s="23">
        <f t="shared" si="59"/>
        <v>68.2</v>
      </c>
      <c r="CS135" s="23">
        <f t="shared" si="59"/>
        <v>82.1</v>
      </c>
      <c r="CT135" s="23">
        <f t="shared" si="59"/>
        <v>75.2</v>
      </c>
      <c r="CU135" s="23">
        <f t="shared" si="59"/>
        <v>92.8</v>
      </c>
      <c r="CV135" s="23">
        <f t="shared" si="59"/>
        <v>5</v>
      </c>
      <c r="CW135" s="23">
        <f t="shared" si="59"/>
        <v>65.7</v>
      </c>
      <c r="CX135" s="23">
        <f t="shared" si="59"/>
        <v>169.6</v>
      </c>
      <c r="CY135" s="23">
        <f t="shared" si="59"/>
        <v>12.8</v>
      </c>
      <c r="CZ135" s="23">
        <f t="shared" si="59"/>
        <v>836.1</v>
      </c>
      <c r="DA135" s="23">
        <f t="shared" si="59"/>
        <v>47.5</v>
      </c>
      <c r="DB135" s="23">
        <f t="shared" si="59"/>
        <v>80.400000000000006</v>
      </c>
      <c r="DC135" s="23">
        <f t="shared" si="59"/>
        <v>46.9</v>
      </c>
      <c r="DD135" s="23">
        <f t="shared" si="59"/>
        <v>57.1</v>
      </c>
      <c r="DE135" s="23">
        <f t="shared" si="59"/>
        <v>53.6</v>
      </c>
      <c r="DF135" s="23">
        <f t="shared" si="59"/>
        <v>8045.4</v>
      </c>
      <c r="DG135" s="23">
        <f t="shared" si="59"/>
        <v>33.200000000000003</v>
      </c>
      <c r="DH135" s="23">
        <f t="shared" si="59"/>
        <v>622.70000000000005</v>
      </c>
      <c r="DI135" s="23">
        <f t="shared" si="59"/>
        <v>1246.0999999999999</v>
      </c>
      <c r="DJ135" s="23">
        <f t="shared" si="59"/>
        <v>138.80000000000001</v>
      </c>
      <c r="DK135" s="23">
        <f t="shared" si="59"/>
        <v>184.3</v>
      </c>
      <c r="DL135" s="23">
        <f t="shared" si="59"/>
        <v>2482.6</v>
      </c>
      <c r="DM135" s="23">
        <f t="shared" si="59"/>
        <v>109.9</v>
      </c>
      <c r="DN135" s="23">
        <f t="shared" si="59"/>
        <v>544.29999999999995</v>
      </c>
      <c r="DO135" s="23">
        <f t="shared" si="59"/>
        <v>1267.9000000000001</v>
      </c>
      <c r="DP135" s="23">
        <f t="shared" si="59"/>
        <v>57.3</v>
      </c>
      <c r="DQ135" s="23">
        <f t="shared" si="59"/>
        <v>249.1</v>
      </c>
      <c r="DR135" s="23">
        <f t="shared" si="59"/>
        <v>808.9</v>
      </c>
      <c r="DS135" s="23">
        <f t="shared" si="59"/>
        <v>376.1</v>
      </c>
      <c r="DT135" s="23">
        <f t="shared" si="59"/>
        <v>118.7</v>
      </c>
      <c r="DU135" s="23">
        <f t="shared" si="59"/>
        <v>166.3</v>
      </c>
      <c r="DV135" s="23">
        <f t="shared" si="59"/>
        <v>69.099999999999994</v>
      </c>
      <c r="DW135" s="23">
        <f t="shared" si="59"/>
        <v>110.5</v>
      </c>
      <c r="DX135" s="23">
        <f t="shared" si="59"/>
        <v>29.5</v>
      </c>
      <c r="DY135" s="23">
        <f t="shared" si="59"/>
        <v>33.9</v>
      </c>
      <c r="DZ135" s="23">
        <f t="shared" si="59"/>
        <v>83.7</v>
      </c>
      <c r="EA135" s="23">
        <f t="shared" si="59"/>
        <v>153.5</v>
      </c>
      <c r="EB135" s="23">
        <f t="shared" si="59"/>
        <v>217.6</v>
      </c>
      <c r="EC135" s="23">
        <f t="shared" si="59"/>
        <v>79.8</v>
      </c>
      <c r="ED135" s="23">
        <f t="shared" si="59"/>
        <v>32.1</v>
      </c>
      <c r="EE135" s="23">
        <f t="shared" si="59"/>
        <v>104.6</v>
      </c>
      <c r="EF135" s="23">
        <f t="shared" si="59"/>
        <v>736.5</v>
      </c>
      <c r="EG135" s="23">
        <f t="shared" si="59"/>
        <v>134.4</v>
      </c>
      <c r="EH135" s="23">
        <f t="shared" si="59"/>
        <v>84.5</v>
      </c>
      <c r="EI135" s="23">
        <f t="shared" si="59"/>
        <v>8558.7999999999993</v>
      </c>
      <c r="EJ135" s="23">
        <f t="shared" si="59"/>
        <v>4015.8</v>
      </c>
      <c r="EK135" s="23">
        <f t="shared" si="59"/>
        <v>199.5</v>
      </c>
      <c r="EL135" s="23">
        <f t="shared" si="59"/>
        <v>153.80000000000001</v>
      </c>
      <c r="EM135" s="23">
        <f t="shared" si="59"/>
        <v>125</v>
      </c>
      <c r="EN135" s="23">
        <f t="shared" si="59"/>
        <v>527.5</v>
      </c>
      <c r="EO135" s="23">
        <f t="shared" si="59"/>
        <v>79.7</v>
      </c>
      <c r="EP135" s="23">
        <f t="shared" si="59"/>
        <v>71.8</v>
      </c>
      <c r="EQ135" s="23">
        <f t="shared" si="59"/>
        <v>69.2</v>
      </c>
      <c r="ER135" s="23">
        <f t="shared" si="59"/>
        <v>75.8</v>
      </c>
      <c r="ES135" s="23">
        <f t="shared" si="59"/>
        <v>69.2</v>
      </c>
      <c r="ET135" s="23">
        <f t="shared" si="59"/>
        <v>132.6</v>
      </c>
      <c r="EU135" s="23">
        <f t="shared" si="59"/>
        <v>428.8</v>
      </c>
      <c r="EV135" s="23">
        <f t="shared" si="59"/>
        <v>35.200000000000003</v>
      </c>
      <c r="EW135" s="23">
        <f t="shared" si="59"/>
        <v>137</v>
      </c>
      <c r="EX135" s="23">
        <f t="shared" si="59"/>
        <v>49.4</v>
      </c>
      <c r="EY135" s="23">
        <f t="shared" si="59"/>
        <v>269</v>
      </c>
      <c r="EZ135" s="23">
        <f t="shared" si="59"/>
        <v>49.7</v>
      </c>
      <c r="FA135" s="23">
        <f t="shared" si="59"/>
        <v>802.8</v>
      </c>
      <c r="FB135" s="23">
        <f t="shared" si="59"/>
        <v>105.8</v>
      </c>
      <c r="FC135" s="23">
        <f t="shared" si="59"/>
        <v>386.9</v>
      </c>
      <c r="FD135" s="23">
        <f t="shared" si="59"/>
        <v>165.6</v>
      </c>
      <c r="FE135" s="23">
        <f t="shared" si="59"/>
        <v>31</v>
      </c>
      <c r="FF135" s="23">
        <f t="shared" si="59"/>
        <v>75.3</v>
      </c>
      <c r="FG135" s="23">
        <f t="shared" si="59"/>
        <v>19.7</v>
      </c>
      <c r="FH135" s="23">
        <f t="shared" si="59"/>
        <v>21.6</v>
      </c>
      <c r="FI135" s="23">
        <f t="shared" si="59"/>
        <v>580</v>
      </c>
      <c r="FJ135" s="23">
        <f t="shared" si="59"/>
        <v>490.2</v>
      </c>
      <c r="FK135" s="23">
        <f t="shared" si="59"/>
        <v>650.5</v>
      </c>
      <c r="FL135" s="23">
        <f t="shared" si="59"/>
        <v>940.7</v>
      </c>
      <c r="FM135" s="23">
        <f t="shared" si="59"/>
        <v>394</v>
      </c>
      <c r="FN135" s="23">
        <f t="shared" si="59"/>
        <v>12679.3</v>
      </c>
      <c r="FO135" s="23">
        <f t="shared" si="59"/>
        <v>439.5</v>
      </c>
      <c r="FP135" s="23">
        <f t="shared" si="59"/>
        <v>1057.9000000000001</v>
      </c>
      <c r="FQ135" s="23">
        <f t="shared" si="59"/>
        <v>244.9</v>
      </c>
      <c r="FR135" s="23">
        <f t="shared" si="59"/>
        <v>41.8</v>
      </c>
      <c r="FS135" s="23">
        <f t="shared" si="59"/>
        <v>20.399999999999999</v>
      </c>
      <c r="FT135" s="23">
        <f t="shared" si="59"/>
        <v>18</v>
      </c>
      <c r="FU135" s="23">
        <f t="shared" si="59"/>
        <v>421.6</v>
      </c>
      <c r="FV135" s="23">
        <f t="shared" si="59"/>
        <v>323.7</v>
      </c>
      <c r="FW135" s="23">
        <f t="shared" si="59"/>
        <v>54.2</v>
      </c>
      <c r="FX135" s="23">
        <f t="shared" si="59"/>
        <v>20.3</v>
      </c>
      <c r="FY135" s="32"/>
      <c r="FZ135" s="25">
        <f>SUM(C135:FX135)</f>
        <v>266641.90000000008</v>
      </c>
      <c r="GA135" s="65"/>
      <c r="GB135" s="7"/>
      <c r="GC135" s="7"/>
      <c r="GD135" s="7"/>
      <c r="GE135" s="7"/>
      <c r="GF135" s="7"/>
      <c r="GG135" s="7"/>
      <c r="GH135" s="7"/>
      <c r="GI135" s="7"/>
      <c r="GJ135" s="7"/>
      <c r="GK135" s="7"/>
    </row>
    <row r="136" spans="1:207" ht="15.5" x14ac:dyDescent="0.35">
      <c r="A136" s="12" t="s">
        <v>590</v>
      </c>
      <c r="B136" s="7" t="s">
        <v>864</v>
      </c>
      <c r="C136" s="23">
        <f t="shared" ref="C136:FX136" si="60">C18</f>
        <v>4792.3</v>
      </c>
      <c r="D136" s="23">
        <f t="shared" si="60"/>
        <v>19193</v>
      </c>
      <c r="E136" s="23">
        <f t="shared" si="60"/>
        <v>4709.3</v>
      </c>
      <c r="F136" s="23">
        <f t="shared" si="60"/>
        <v>12549.4</v>
      </c>
      <c r="G136" s="23">
        <f t="shared" si="60"/>
        <v>812.2</v>
      </c>
      <c r="H136" s="23">
        <f t="shared" si="60"/>
        <v>438.2</v>
      </c>
      <c r="I136" s="23">
        <f t="shared" si="60"/>
        <v>6388</v>
      </c>
      <c r="J136" s="23">
        <f t="shared" si="60"/>
        <v>1579.5</v>
      </c>
      <c r="K136" s="23">
        <f t="shared" si="60"/>
        <v>152.1</v>
      </c>
      <c r="L136" s="23">
        <f t="shared" si="60"/>
        <v>1348.7</v>
      </c>
      <c r="M136" s="23">
        <f t="shared" si="60"/>
        <v>729.9</v>
      </c>
      <c r="N136" s="23">
        <f t="shared" si="60"/>
        <v>18867.900000000001</v>
      </c>
      <c r="O136" s="23">
        <f t="shared" si="60"/>
        <v>3029.6</v>
      </c>
      <c r="P136" s="23">
        <f t="shared" si="60"/>
        <v>163.6</v>
      </c>
      <c r="Q136" s="23">
        <f t="shared" si="60"/>
        <v>31548.1</v>
      </c>
      <c r="R136" s="23">
        <f t="shared" si="60"/>
        <v>3944.3</v>
      </c>
      <c r="S136" s="23">
        <f t="shared" si="60"/>
        <v>938.6</v>
      </c>
      <c r="T136" s="23">
        <f t="shared" si="60"/>
        <v>118.5</v>
      </c>
      <c r="U136" s="23">
        <f t="shared" si="60"/>
        <v>36.5</v>
      </c>
      <c r="V136" s="23">
        <f t="shared" si="60"/>
        <v>188.9</v>
      </c>
      <c r="W136" s="23">
        <f t="shared" si="60"/>
        <v>37.200000000000003</v>
      </c>
      <c r="X136" s="23">
        <f t="shared" si="60"/>
        <v>22.6</v>
      </c>
      <c r="Y136" s="23">
        <f t="shared" si="60"/>
        <v>735.2</v>
      </c>
      <c r="Z136" s="23">
        <f t="shared" si="60"/>
        <v>90.1</v>
      </c>
      <c r="AA136" s="23">
        <f t="shared" si="60"/>
        <v>11330.4</v>
      </c>
      <c r="AB136" s="23">
        <f t="shared" si="60"/>
        <v>7389</v>
      </c>
      <c r="AC136" s="23">
        <f t="shared" si="60"/>
        <v>311.89999999999998</v>
      </c>
      <c r="AD136" s="23">
        <f t="shared" si="60"/>
        <v>559.29999999999995</v>
      </c>
      <c r="AE136" s="23">
        <f t="shared" si="60"/>
        <v>67.7</v>
      </c>
      <c r="AF136" s="23">
        <f t="shared" si="60"/>
        <v>89.6</v>
      </c>
      <c r="AG136" s="23">
        <f t="shared" si="60"/>
        <v>188.1</v>
      </c>
      <c r="AH136" s="23">
        <f t="shared" si="60"/>
        <v>624.1</v>
      </c>
      <c r="AI136" s="23">
        <f t="shared" si="60"/>
        <v>234.2</v>
      </c>
      <c r="AJ136" s="23">
        <f t="shared" si="60"/>
        <v>153.69999999999999</v>
      </c>
      <c r="AK136" s="23">
        <f t="shared" si="60"/>
        <v>148.5</v>
      </c>
      <c r="AL136" s="23">
        <f t="shared" si="60"/>
        <v>237.9</v>
      </c>
      <c r="AM136" s="23">
        <f t="shared" si="60"/>
        <v>201</v>
      </c>
      <c r="AN136" s="23">
        <f t="shared" si="60"/>
        <v>139.6</v>
      </c>
      <c r="AO136" s="23">
        <f t="shared" si="60"/>
        <v>2493.1</v>
      </c>
      <c r="AP136" s="23">
        <f t="shared" si="60"/>
        <v>52878.5</v>
      </c>
      <c r="AQ136" s="23">
        <f t="shared" si="60"/>
        <v>151.5</v>
      </c>
      <c r="AR136" s="23">
        <f t="shared" si="60"/>
        <v>10739.2</v>
      </c>
      <c r="AS136" s="23">
        <f t="shared" si="60"/>
        <v>2678</v>
      </c>
      <c r="AT136" s="23">
        <f t="shared" si="60"/>
        <v>605.20000000000005</v>
      </c>
      <c r="AU136" s="23">
        <f t="shared" si="60"/>
        <v>108.3</v>
      </c>
      <c r="AV136" s="23">
        <f t="shared" si="60"/>
        <v>187.1</v>
      </c>
      <c r="AW136" s="23">
        <f t="shared" si="60"/>
        <v>88.3</v>
      </c>
      <c r="AX136" s="23">
        <f t="shared" si="60"/>
        <v>44.4</v>
      </c>
      <c r="AY136" s="23">
        <f t="shared" si="60"/>
        <v>210.6</v>
      </c>
      <c r="AZ136" s="23">
        <f t="shared" si="60"/>
        <v>8114.5</v>
      </c>
      <c r="BA136" s="23">
        <f t="shared" si="60"/>
        <v>4395.8</v>
      </c>
      <c r="BB136" s="23">
        <f t="shared" si="60"/>
        <v>3664.6</v>
      </c>
      <c r="BC136" s="23">
        <f t="shared" si="60"/>
        <v>14233.5</v>
      </c>
      <c r="BD136" s="23">
        <f t="shared" si="60"/>
        <v>795.2</v>
      </c>
      <c r="BE136" s="23">
        <f t="shared" si="60"/>
        <v>415.3</v>
      </c>
      <c r="BF136" s="23">
        <f t="shared" si="60"/>
        <v>5915.8</v>
      </c>
      <c r="BG136" s="23">
        <f t="shared" si="60"/>
        <v>551.29999999999995</v>
      </c>
      <c r="BH136" s="23">
        <f t="shared" si="60"/>
        <v>170.4</v>
      </c>
      <c r="BI136" s="23">
        <f t="shared" si="60"/>
        <v>190.9</v>
      </c>
      <c r="BJ136" s="23">
        <f t="shared" si="60"/>
        <v>1101</v>
      </c>
      <c r="BK136" s="23">
        <f t="shared" si="60"/>
        <v>14155.7</v>
      </c>
      <c r="BL136" s="23">
        <f t="shared" si="60"/>
        <v>55.7</v>
      </c>
      <c r="BM136" s="23">
        <f t="shared" si="60"/>
        <v>229</v>
      </c>
      <c r="BN136" s="23">
        <f t="shared" si="60"/>
        <v>1807.7</v>
      </c>
      <c r="BO136" s="23">
        <f t="shared" si="60"/>
        <v>683.1</v>
      </c>
      <c r="BP136" s="23">
        <f t="shared" si="60"/>
        <v>87.6</v>
      </c>
      <c r="BQ136" s="23">
        <f t="shared" si="60"/>
        <v>2928.7</v>
      </c>
      <c r="BR136" s="23">
        <f t="shared" si="60"/>
        <v>2231.5</v>
      </c>
      <c r="BS136" s="23">
        <f t="shared" si="60"/>
        <v>772.3</v>
      </c>
      <c r="BT136" s="23">
        <f t="shared" si="60"/>
        <v>162.69999999999999</v>
      </c>
      <c r="BU136" s="23">
        <f t="shared" si="60"/>
        <v>166.7</v>
      </c>
      <c r="BV136" s="23">
        <f t="shared" si="60"/>
        <v>413.7</v>
      </c>
      <c r="BW136" s="23">
        <f t="shared" si="60"/>
        <v>715</v>
      </c>
      <c r="BX136" s="23">
        <f t="shared" si="60"/>
        <v>22.5</v>
      </c>
      <c r="BY136" s="23">
        <f t="shared" si="60"/>
        <v>343.9</v>
      </c>
      <c r="BZ136" s="23">
        <f t="shared" si="60"/>
        <v>163.6</v>
      </c>
      <c r="CA136" s="23">
        <f t="shared" si="60"/>
        <v>45.4</v>
      </c>
      <c r="CB136" s="23">
        <f t="shared" si="60"/>
        <v>22526.7</v>
      </c>
      <c r="CC136" s="23">
        <f t="shared" si="60"/>
        <v>121.6</v>
      </c>
      <c r="CD136" s="23">
        <f t="shared" si="60"/>
        <v>12.2</v>
      </c>
      <c r="CE136" s="23">
        <f t="shared" si="60"/>
        <v>73.8</v>
      </c>
      <c r="CF136" s="23">
        <f t="shared" si="60"/>
        <v>50</v>
      </c>
      <c r="CG136" s="23">
        <f t="shared" si="60"/>
        <v>86.8</v>
      </c>
      <c r="CH136" s="23">
        <f t="shared" si="60"/>
        <v>68</v>
      </c>
      <c r="CI136" s="23">
        <f t="shared" si="60"/>
        <v>430.8</v>
      </c>
      <c r="CJ136" s="23">
        <f t="shared" si="60"/>
        <v>511.5</v>
      </c>
      <c r="CK136" s="23">
        <f t="shared" si="60"/>
        <v>1796.8</v>
      </c>
      <c r="CL136" s="23">
        <f t="shared" si="60"/>
        <v>493.5</v>
      </c>
      <c r="CM136" s="23">
        <f t="shared" si="60"/>
        <v>352.2</v>
      </c>
      <c r="CN136" s="23">
        <f t="shared" si="60"/>
        <v>9777.4</v>
      </c>
      <c r="CO136" s="23">
        <f t="shared" si="60"/>
        <v>4698.3999999999996</v>
      </c>
      <c r="CP136" s="23">
        <f t="shared" si="60"/>
        <v>426.6</v>
      </c>
      <c r="CQ136" s="23">
        <f t="shared" si="60"/>
        <v>574.20000000000005</v>
      </c>
      <c r="CR136" s="23">
        <f t="shared" si="60"/>
        <v>73.3</v>
      </c>
      <c r="CS136" s="23">
        <f t="shared" si="60"/>
        <v>99.5</v>
      </c>
      <c r="CT136" s="23">
        <f t="shared" si="60"/>
        <v>90.6</v>
      </c>
      <c r="CU136" s="23">
        <f t="shared" si="60"/>
        <v>208.7</v>
      </c>
      <c r="CV136" s="23">
        <f t="shared" si="60"/>
        <v>9.1</v>
      </c>
      <c r="CW136" s="23">
        <f t="shared" si="60"/>
        <v>105.2</v>
      </c>
      <c r="CX136" s="23">
        <f t="shared" si="60"/>
        <v>231.2</v>
      </c>
      <c r="CY136" s="23">
        <f t="shared" si="60"/>
        <v>13.2</v>
      </c>
      <c r="CZ136" s="23">
        <f t="shared" si="60"/>
        <v>1003.3</v>
      </c>
      <c r="DA136" s="23">
        <f t="shared" si="60"/>
        <v>50.5</v>
      </c>
      <c r="DB136" s="23">
        <f t="shared" si="60"/>
        <v>91</v>
      </c>
      <c r="DC136" s="23">
        <f t="shared" si="60"/>
        <v>50.6</v>
      </c>
      <c r="DD136" s="23">
        <f t="shared" si="60"/>
        <v>109.8</v>
      </c>
      <c r="DE136" s="23">
        <f t="shared" si="60"/>
        <v>129.5</v>
      </c>
      <c r="DF136" s="23">
        <f t="shared" si="60"/>
        <v>11723.2</v>
      </c>
      <c r="DG136" s="23">
        <f t="shared" si="60"/>
        <v>37.6</v>
      </c>
      <c r="DH136" s="23">
        <f t="shared" si="60"/>
        <v>977.3</v>
      </c>
      <c r="DI136" s="23">
        <f t="shared" si="60"/>
        <v>1568.7</v>
      </c>
      <c r="DJ136" s="23">
        <f t="shared" si="60"/>
        <v>338.6</v>
      </c>
      <c r="DK136" s="23">
        <f t="shared" si="60"/>
        <v>196.6</v>
      </c>
      <c r="DL136" s="23">
        <f t="shared" si="60"/>
        <v>3187.1</v>
      </c>
      <c r="DM136" s="23">
        <f t="shared" si="60"/>
        <v>137.1</v>
      </c>
      <c r="DN136" s="23">
        <f t="shared" si="60"/>
        <v>851</v>
      </c>
      <c r="DO136" s="23">
        <f t="shared" si="60"/>
        <v>2012.2</v>
      </c>
      <c r="DP136" s="23">
        <f t="shared" si="60"/>
        <v>66.3</v>
      </c>
      <c r="DQ136" s="23">
        <f t="shared" si="60"/>
        <v>373.1</v>
      </c>
      <c r="DR136" s="23">
        <f t="shared" si="60"/>
        <v>982.1</v>
      </c>
      <c r="DS136" s="23">
        <f t="shared" si="60"/>
        <v>453.9</v>
      </c>
      <c r="DT136" s="23">
        <f t="shared" si="60"/>
        <v>152.19999999999999</v>
      </c>
      <c r="DU136" s="23">
        <f t="shared" si="60"/>
        <v>207.3</v>
      </c>
      <c r="DV136" s="23">
        <f t="shared" si="60"/>
        <v>92.1</v>
      </c>
      <c r="DW136" s="23">
        <f t="shared" si="60"/>
        <v>151.30000000000001</v>
      </c>
      <c r="DX136" s="23">
        <f t="shared" si="60"/>
        <v>56.7</v>
      </c>
      <c r="DY136" s="23">
        <f t="shared" si="60"/>
        <v>71.2</v>
      </c>
      <c r="DZ136" s="23">
        <f t="shared" si="60"/>
        <v>240.2</v>
      </c>
      <c r="EA136" s="23">
        <f t="shared" si="60"/>
        <v>222.4</v>
      </c>
      <c r="EB136" s="23">
        <f t="shared" si="60"/>
        <v>314.8</v>
      </c>
      <c r="EC136" s="23">
        <f t="shared" si="60"/>
        <v>96.6</v>
      </c>
      <c r="ED136" s="23">
        <f t="shared" si="60"/>
        <v>103</v>
      </c>
      <c r="EE136" s="23">
        <f t="shared" si="60"/>
        <v>132.30000000000001</v>
      </c>
      <c r="EF136" s="23">
        <f t="shared" si="60"/>
        <v>963.2</v>
      </c>
      <c r="EG136" s="23">
        <f t="shared" si="60"/>
        <v>161.30000000000001</v>
      </c>
      <c r="EH136" s="23">
        <f t="shared" si="60"/>
        <v>130.69999999999999</v>
      </c>
      <c r="EI136" s="23">
        <f t="shared" si="60"/>
        <v>10751.4</v>
      </c>
      <c r="EJ136" s="23">
        <f t="shared" si="60"/>
        <v>5234</v>
      </c>
      <c r="EK136" s="23">
        <f t="shared" si="60"/>
        <v>254.2</v>
      </c>
      <c r="EL136" s="23">
        <f t="shared" si="60"/>
        <v>215.9</v>
      </c>
      <c r="EM136" s="23">
        <f t="shared" si="60"/>
        <v>208.5</v>
      </c>
      <c r="EN136" s="23">
        <f t="shared" si="60"/>
        <v>680</v>
      </c>
      <c r="EO136" s="23">
        <f t="shared" si="60"/>
        <v>138.19999999999999</v>
      </c>
      <c r="EP136" s="23">
        <f t="shared" si="60"/>
        <v>118</v>
      </c>
      <c r="EQ136" s="23">
        <f t="shared" si="60"/>
        <v>480.4</v>
      </c>
      <c r="ER136" s="23">
        <f t="shared" si="60"/>
        <v>87.7</v>
      </c>
      <c r="ES136" s="23">
        <f t="shared" si="60"/>
        <v>124.4</v>
      </c>
      <c r="ET136" s="23">
        <f t="shared" si="60"/>
        <v>153.1</v>
      </c>
      <c r="EU136" s="23">
        <f t="shared" si="60"/>
        <v>532.79999999999995</v>
      </c>
      <c r="EV136" s="23">
        <f t="shared" si="60"/>
        <v>40.299999999999997</v>
      </c>
      <c r="EW136" s="23">
        <f t="shared" si="60"/>
        <v>229.6</v>
      </c>
      <c r="EX136" s="23">
        <f t="shared" si="60"/>
        <v>92.2</v>
      </c>
      <c r="EY136" s="23">
        <f t="shared" si="60"/>
        <v>427.7</v>
      </c>
      <c r="EZ136" s="23">
        <f t="shared" si="60"/>
        <v>69.900000000000006</v>
      </c>
      <c r="FA136" s="23">
        <f t="shared" si="60"/>
        <v>1285.8</v>
      </c>
      <c r="FB136" s="23">
        <f t="shared" si="60"/>
        <v>214.1</v>
      </c>
      <c r="FC136" s="23">
        <f t="shared" si="60"/>
        <v>618.70000000000005</v>
      </c>
      <c r="FD136" s="23">
        <f t="shared" si="60"/>
        <v>228</v>
      </c>
      <c r="FE136" s="23">
        <f t="shared" si="60"/>
        <v>47.7</v>
      </c>
      <c r="FF136" s="23">
        <f t="shared" si="60"/>
        <v>102.8</v>
      </c>
      <c r="FG136" s="23">
        <f t="shared" si="60"/>
        <v>52.6</v>
      </c>
      <c r="FH136" s="23">
        <f t="shared" si="60"/>
        <v>32.1</v>
      </c>
      <c r="FI136" s="23">
        <f t="shared" si="60"/>
        <v>1032.5</v>
      </c>
      <c r="FJ136" s="23">
        <f t="shared" si="60"/>
        <v>747.8</v>
      </c>
      <c r="FK136" s="23">
        <f t="shared" si="60"/>
        <v>1374.3</v>
      </c>
      <c r="FL136" s="23">
        <f t="shared" si="60"/>
        <v>2171.9</v>
      </c>
      <c r="FM136" s="23">
        <f t="shared" si="60"/>
        <v>1300.2</v>
      </c>
      <c r="FN136" s="23">
        <f t="shared" si="60"/>
        <v>15884.6</v>
      </c>
      <c r="FO136" s="23">
        <f t="shared" si="60"/>
        <v>578.4</v>
      </c>
      <c r="FP136" s="23">
        <f t="shared" si="60"/>
        <v>1343.2</v>
      </c>
      <c r="FQ136" s="23">
        <f t="shared" si="60"/>
        <v>354</v>
      </c>
      <c r="FR136" s="23">
        <f t="shared" si="60"/>
        <v>44.2</v>
      </c>
      <c r="FS136" s="23">
        <f t="shared" si="60"/>
        <v>45</v>
      </c>
      <c r="FT136" s="23">
        <f t="shared" si="60"/>
        <v>32.1</v>
      </c>
      <c r="FU136" s="23">
        <f t="shared" si="60"/>
        <v>485.3</v>
      </c>
      <c r="FV136" s="23">
        <f t="shared" si="60"/>
        <v>434.2</v>
      </c>
      <c r="FW136" s="23">
        <f t="shared" si="60"/>
        <v>81.7</v>
      </c>
      <c r="FX136" s="23">
        <f t="shared" si="60"/>
        <v>29.3</v>
      </c>
      <c r="FY136" s="23"/>
      <c r="FZ136" s="58"/>
      <c r="GA136" s="7"/>
      <c r="GB136" s="32"/>
      <c r="GC136" s="32"/>
      <c r="GD136" s="32"/>
      <c r="GE136" s="7"/>
      <c r="GF136" s="32"/>
      <c r="GG136" s="32"/>
      <c r="GH136" s="32"/>
      <c r="GI136" s="7"/>
      <c r="GJ136" s="7"/>
      <c r="GK136" s="7"/>
    </row>
    <row r="137" spans="1:207" ht="15.5" x14ac:dyDescent="0.35">
      <c r="A137" s="12" t="s">
        <v>592</v>
      </c>
      <c r="B137" s="25" t="s">
        <v>593</v>
      </c>
      <c r="C137" s="25">
        <v>4792.3</v>
      </c>
      <c r="D137" s="25">
        <v>19193</v>
      </c>
      <c r="E137" s="25">
        <v>4709.3</v>
      </c>
      <c r="F137" s="25">
        <v>12549.4</v>
      </c>
      <c r="G137" s="25">
        <v>812.2</v>
      </c>
      <c r="H137" s="25">
        <v>438.2</v>
      </c>
      <c r="I137" s="25">
        <v>6388</v>
      </c>
      <c r="J137" s="25">
        <v>1579.5</v>
      </c>
      <c r="K137" s="25">
        <v>152.1</v>
      </c>
      <c r="L137" s="25">
        <v>1348.7</v>
      </c>
      <c r="M137" s="25">
        <v>729.9</v>
      </c>
      <c r="N137" s="25">
        <v>18867.900000000001</v>
      </c>
      <c r="O137" s="25">
        <v>3029.6</v>
      </c>
      <c r="P137" s="25">
        <v>163.6</v>
      </c>
      <c r="Q137" s="25">
        <v>31548.1</v>
      </c>
      <c r="R137" s="25">
        <v>3944.3</v>
      </c>
      <c r="S137" s="25">
        <v>938.6</v>
      </c>
      <c r="T137" s="25">
        <v>118.5</v>
      </c>
      <c r="U137" s="25">
        <v>36.5</v>
      </c>
      <c r="V137" s="25">
        <v>188.9</v>
      </c>
      <c r="W137" s="25">
        <v>37.200000000000003</v>
      </c>
      <c r="X137" s="25">
        <v>22.6</v>
      </c>
      <c r="Y137" s="25">
        <v>735.2</v>
      </c>
      <c r="Z137" s="25">
        <v>90.1</v>
      </c>
      <c r="AA137" s="25">
        <v>11330.4</v>
      </c>
      <c r="AB137" s="25">
        <v>7389</v>
      </c>
      <c r="AC137" s="25">
        <v>311.89999999999998</v>
      </c>
      <c r="AD137" s="25">
        <v>559.29999999999995</v>
      </c>
      <c r="AE137" s="25">
        <v>67.7</v>
      </c>
      <c r="AF137" s="25">
        <v>89.6</v>
      </c>
      <c r="AG137" s="25">
        <v>188.1</v>
      </c>
      <c r="AH137" s="25">
        <v>624.1</v>
      </c>
      <c r="AI137" s="25">
        <v>234.2</v>
      </c>
      <c r="AJ137" s="25">
        <v>153.69999999999999</v>
      </c>
      <c r="AK137" s="25">
        <v>148.5</v>
      </c>
      <c r="AL137" s="25">
        <v>237.9</v>
      </c>
      <c r="AM137" s="25">
        <v>201</v>
      </c>
      <c r="AN137" s="25">
        <v>139.6</v>
      </c>
      <c r="AO137" s="25">
        <v>2493.1</v>
      </c>
      <c r="AP137" s="25">
        <v>52878.5</v>
      </c>
      <c r="AQ137" s="25">
        <v>151.5</v>
      </c>
      <c r="AR137" s="25">
        <v>10739.2</v>
      </c>
      <c r="AS137" s="25">
        <v>2678</v>
      </c>
      <c r="AT137" s="25">
        <v>605.20000000000005</v>
      </c>
      <c r="AU137" s="25">
        <v>108.3</v>
      </c>
      <c r="AV137" s="25">
        <v>187.1</v>
      </c>
      <c r="AW137" s="25">
        <v>88.3</v>
      </c>
      <c r="AX137" s="25">
        <v>44.4</v>
      </c>
      <c r="AY137" s="25">
        <v>210.6</v>
      </c>
      <c r="AZ137" s="25">
        <v>8114.5</v>
      </c>
      <c r="BA137" s="25">
        <v>4395.8</v>
      </c>
      <c r="BB137" s="25">
        <v>3664.6</v>
      </c>
      <c r="BC137" s="25">
        <v>14233.5</v>
      </c>
      <c r="BD137" s="25">
        <v>795.2</v>
      </c>
      <c r="BE137" s="25">
        <v>415.3</v>
      </c>
      <c r="BF137" s="25">
        <v>5915.8</v>
      </c>
      <c r="BG137" s="25">
        <v>551.29999999999995</v>
      </c>
      <c r="BH137" s="25">
        <v>170.4</v>
      </c>
      <c r="BI137" s="25">
        <v>190.9</v>
      </c>
      <c r="BJ137" s="25">
        <v>1101</v>
      </c>
      <c r="BK137" s="25">
        <v>14155.7</v>
      </c>
      <c r="BL137" s="25">
        <v>55.7</v>
      </c>
      <c r="BM137" s="25">
        <v>229</v>
      </c>
      <c r="BN137" s="25">
        <v>1807.7</v>
      </c>
      <c r="BO137" s="25">
        <v>683.1</v>
      </c>
      <c r="BP137" s="25">
        <v>87.6</v>
      </c>
      <c r="BQ137" s="25">
        <v>2928.7</v>
      </c>
      <c r="BR137" s="25">
        <v>2231.5</v>
      </c>
      <c r="BS137" s="25">
        <v>772.3</v>
      </c>
      <c r="BT137" s="25">
        <v>162.69999999999999</v>
      </c>
      <c r="BU137" s="25">
        <v>166.7</v>
      </c>
      <c r="BV137" s="25">
        <v>413.7</v>
      </c>
      <c r="BW137" s="25">
        <v>715</v>
      </c>
      <c r="BX137" s="25">
        <v>22.5</v>
      </c>
      <c r="BY137" s="25">
        <v>343.9</v>
      </c>
      <c r="BZ137" s="25">
        <v>163.6</v>
      </c>
      <c r="CA137" s="25">
        <v>45.4</v>
      </c>
      <c r="CB137" s="25">
        <v>22526.7</v>
      </c>
      <c r="CC137" s="25">
        <v>121.6</v>
      </c>
      <c r="CD137" s="25">
        <v>12.2</v>
      </c>
      <c r="CE137" s="25">
        <v>73.8</v>
      </c>
      <c r="CF137" s="25">
        <v>50</v>
      </c>
      <c r="CG137" s="25">
        <v>86.8</v>
      </c>
      <c r="CH137" s="25">
        <v>68</v>
      </c>
      <c r="CI137" s="25">
        <v>430.8</v>
      </c>
      <c r="CJ137" s="25">
        <v>511.5</v>
      </c>
      <c r="CK137" s="25">
        <v>1796.8</v>
      </c>
      <c r="CL137" s="25">
        <v>493.5</v>
      </c>
      <c r="CM137" s="25">
        <v>352.2</v>
      </c>
      <c r="CN137" s="25">
        <v>9777.4</v>
      </c>
      <c r="CO137" s="25">
        <v>4698.3999999999996</v>
      </c>
      <c r="CP137" s="25">
        <v>426.6</v>
      </c>
      <c r="CQ137" s="25">
        <v>574.20000000000005</v>
      </c>
      <c r="CR137" s="25">
        <v>73.3</v>
      </c>
      <c r="CS137" s="25">
        <v>99.5</v>
      </c>
      <c r="CT137" s="25">
        <v>90.6</v>
      </c>
      <c r="CU137" s="25">
        <v>208.7</v>
      </c>
      <c r="CV137" s="25">
        <v>9.1</v>
      </c>
      <c r="CW137" s="25">
        <v>105.2</v>
      </c>
      <c r="CX137" s="25">
        <v>231.2</v>
      </c>
      <c r="CY137" s="25">
        <v>13.2</v>
      </c>
      <c r="CZ137" s="25">
        <v>1003.3</v>
      </c>
      <c r="DA137" s="25">
        <v>50.5</v>
      </c>
      <c r="DB137" s="25">
        <v>91</v>
      </c>
      <c r="DC137" s="25">
        <v>50.6</v>
      </c>
      <c r="DD137" s="25">
        <v>109.8</v>
      </c>
      <c r="DE137" s="25">
        <v>129.5</v>
      </c>
      <c r="DF137" s="25">
        <v>11723.2</v>
      </c>
      <c r="DG137" s="25">
        <v>37.6</v>
      </c>
      <c r="DH137" s="25">
        <v>977.3</v>
      </c>
      <c r="DI137" s="25">
        <v>1568.7</v>
      </c>
      <c r="DJ137" s="25">
        <v>338.6</v>
      </c>
      <c r="DK137" s="25">
        <v>196.6</v>
      </c>
      <c r="DL137" s="25">
        <v>3187.1</v>
      </c>
      <c r="DM137" s="25">
        <v>137.1</v>
      </c>
      <c r="DN137" s="25">
        <v>851</v>
      </c>
      <c r="DO137" s="25">
        <v>2012.2</v>
      </c>
      <c r="DP137" s="25">
        <v>66.3</v>
      </c>
      <c r="DQ137" s="25">
        <v>373.1</v>
      </c>
      <c r="DR137" s="25">
        <v>982.1</v>
      </c>
      <c r="DS137" s="25">
        <v>453.9</v>
      </c>
      <c r="DT137" s="25">
        <v>152.19999999999999</v>
      </c>
      <c r="DU137" s="25">
        <v>207.3</v>
      </c>
      <c r="DV137" s="25">
        <v>92.1</v>
      </c>
      <c r="DW137" s="25">
        <v>151.30000000000001</v>
      </c>
      <c r="DX137" s="25">
        <v>56.7</v>
      </c>
      <c r="DY137" s="25">
        <v>71.2</v>
      </c>
      <c r="DZ137" s="25">
        <v>240.2</v>
      </c>
      <c r="EA137" s="25">
        <v>222.4</v>
      </c>
      <c r="EB137" s="25">
        <v>314.8</v>
      </c>
      <c r="EC137" s="25">
        <v>96.6</v>
      </c>
      <c r="ED137" s="25">
        <v>103</v>
      </c>
      <c r="EE137" s="25">
        <v>132.30000000000001</v>
      </c>
      <c r="EF137" s="25">
        <v>963.2</v>
      </c>
      <c r="EG137" s="25">
        <v>161.30000000000001</v>
      </c>
      <c r="EH137" s="25">
        <v>130.69999999999999</v>
      </c>
      <c r="EI137" s="25">
        <v>10751.4</v>
      </c>
      <c r="EJ137" s="25">
        <v>5234</v>
      </c>
      <c r="EK137" s="25">
        <v>254.2</v>
      </c>
      <c r="EL137" s="25">
        <v>215.9</v>
      </c>
      <c r="EM137" s="25">
        <v>208.5</v>
      </c>
      <c r="EN137" s="25">
        <v>680</v>
      </c>
      <c r="EO137" s="25">
        <v>138.19999999999999</v>
      </c>
      <c r="EP137" s="25">
        <v>118</v>
      </c>
      <c r="EQ137" s="25">
        <v>480.4</v>
      </c>
      <c r="ER137" s="25">
        <v>87.7</v>
      </c>
      <c r="ES137" s="25">
        <v>124.4</v>
      </c>
      <c r="ET137" s="25">
        <v>153.1</v>
      </c>
      <c r="EU137" s="25">
        <v>532.79999999999995</v>
      </c>
      <c r="EV137" s="25">
        <v>40.299999999999997</v>
      </c>
      <c r="EW137" s="25">
        <v>229.6</v>
      </c>
      <c r="EX137" s="25">
        <v>92.2</v>
      </c>
      <c r="EY137" s="25">
        <v>427.7</v>
      </c>
      <c r="EZ137" s="25">
        <v>69.900000000000006</v>
      </c>
      <c r="FA137" s="25">
        <v>1285.8</v>
      </c>
      <c r="FB137" s="25">
        <v>214.1</v>
      </c>
      <c r="FC137" s="25">
        <v>618.70000000000005</v>
      </c>
      <c r="FD137" s="25">
        <v>228</v>
      </c>
      <c r="FE137" s="25">
        <v>47.7</v>
      </c>
      <c r="FF137" s="25">
        <v>102.8</v>
      </c>
      <c r="FG137" s="25">
        <v>52.6</v>
      </c>
      <c r="FH137" s="25">
        <v>32.1</v>
      </c>
      <c r="FI137" s="25">
        <v>1032.5</v>
      </c>
      <c r="FJ137" s="25">
        <v>747.8</v>
      </c>
      <c r="FK137" s="25">
        <v>1374.3</v>
      </c>
      <c r="FL137" s="25">
        <v>2171.9</v>
      </c>
      <c r="FM137" s="25">
        <v>1300.2</v>
      </c>
      <c r="FN137" s="25">
        <v>15884.6</v>
      </c>
      <c r="FO137" s="25">
        <v>578.4</v>
      </c>
      <c r="FP137" s="25">
        <v>1343.2</v>
      </c>
      <c r="FQ137" s="25">
        <v>354</v>
      </c>
      <c r="FR137" s="25">
        <v>44.2</v>
      </c>
      <c r="FS137" s="25">
        <v>45</v>
      </c>
      <c r="FT137" s="25">
        <v>32.1</v>
      </c>
      <c r="FU137" s="25">
        <v>485.3</v>
      </c>
      <c r="FV137" s="25">
        <v>434.2</v>
      </c>
      <c r="FW137" s="25">
        <v>81.7</v>
      </c>
      <c r="FX137" s="25">
        <v>29.3</v>
      </c>
      <c r="FY137" s="23"/>
      <c r="FZ137" s="25">
        <f>SUM(C137:FY137)</f>
        <v>387430.89999999997</v>
      </c>
      <c r="GA137" s="57">
        <v>387430.89999999997</v>
      </c>
      <c r="GB137" s="25">
        <f>FZ137-GA137</f>
        <v>0</v>
      </c>
      <c r="GC137" s="25"/>
      <c r="GD137" s="25"/>
      <c r="GE137" s="7"/>
      <c r="GF137" s="31"/>
      <c r="GG137" s="31"/>
      <c r="GH137" s="31"/>
      <c r="GI137" s="31"/>
      <c r="GJ137" s="31"/>
      <c r="GK137" s="31"/>
    </row>
    <row r="138" spans="1:207" ht="15.5" x14ac:dyDescent="0.35">
      <c r="A138" s="12"/>
      <c r="B138" s="7" t="s">
        <v>865</v>
      </c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23"/>
      <c r="FZ138" s="25"/>
      <c r="GA138" s="7"/>
      <c r="GB138" s="25"/>
      <c r="GC138" s="25"/>
      <c r="GD138" s="25"/>
      <c r="GE138" s="7"/>
      <c r="GF138" s="23"/>
      <c r="GG138" s="23"/>
      <c r="GH138" s="23"/>
      <c r="GI138" s="7"/>
      <c r="GJ138" s="7"/>
      <c r="GK138" s="7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</row>
    <row r="139" spans="1:207" ht="15.5" x14ac:dyDescent="0.35">
      <c r="A139" s="12" t="s">
        <v>594</v>
      </c>
      <c r="B139" s="7" t="s">
        <v>866</v>
      </c>
      <c r="C139" s="31">
        <f t="shared" ref="C139:FX139" si="61">ROUND((C137/C21),4)</f>
        <v>0.73480000000000001</v>
      </c>
      <c r="D139" s="31">
        <f t="shared" si="61"/>
        <v>0.51690000000000003</v>
      </c>
      <c r="E139" s="31">
        <f t="shared" si="61"/>
        <v>0.88429999999999997</v>
      </c>
      <c r="F139" s="31">
        <f t="shared" si="61"/>
        <v>0.51400000000000001</v>
      </c>
      <c r="G139" s="31">
        <f t="shared" si="61"/>
        <v>0.4405</v>
      </c>
      <c r="H139" s="31">
        <f t="shared" si="61"/>
        <v>0.40920000000000001</v>
      </c>
      <c r="I139" s="31">
        <f t="shared" si="61"/>
        <v>0.8196</v>
      </c>
      <c r="J139" s="31">
        <f t="shared" si="61"/>
        <v>0.79410000000000003</v>
      </c>
      <c r="K139" s="31">
        <f t="shared" si="61"/>
        <v>0.61080000000000001</v>
      </c>
      <c r="L139" s="31">
        <f t="shared" si="61"/>
        <v>0.64590000000000003</v>
      </c>
      <c r="M139" s="31">
        <f t="shared" si="61"/>
        <v>0.85960000000000003</v>
      </c>
      <c r="N139" s="31">
        <f t="shared" si="61"/>
        <v>0.3755</v>
      </c>
      <c r="O139" s="31">
        <f t="shared" si="61"/>
        <v>0.24490000000000001</v>
      </c>
      <c r="P139" s="31">
        <f t="shared" si="61"/>
        <v>0.52439999999999998</v>
      </c>
      <c r="Q139" s="31">
        <f t="shared" si="61"/>
        <v>0.78779999999999994</v>
      </c>
      <c r="R139" s="31">
        <f t="shared" si="61"/>
        <v>0.53339999999999999</v>
      </c>
      <c r="S139" s="31">
        <f t="shared" si="61"/>
        <v>0.59230000000000005</v>
      </c>
      <c r="T139" s="31">
        <f t="shared" si="61"/>
        <v>0.74060000000000004</v>
      </c>
      <c r="U139" s="31">
        <f t="shared" si="61"/>
        <v>0.67589999999999995</v>
      </c>
      <c r="V139" s="31">
        <f t="shared" si="61"/>
        <v>0.74519999999999997</v>
      </c>
      <c r="W139" s="31">
        <f t="shared" si="61"/>
        <v>0.78320000000000001</v>
      </c>
      <c r="X139" s="31">
        <f t="shared" si="61"/>
        <v>0.56359999999999999</v>
      </c>
      <c r="Y139" s="31">
        <f t="shared" si="61"/>
        <v>0.8417</v>
      </c>
      <c r="Z139" s="31">
        <f t="shared" si="61"/>
        <v>0.39</v>
      </c>
      <c r="AA139" s="31">
        <f t="shared" si="61"/>
        <v>0.36459999999999998</v>
      </c>
      <c r="AB139" s="31">
        <f t="shared" si="61"/>
        <v>0.27510000000000001</v>
      </c>
      <c r="AC139" s="31">
        <f t="shared" si="61"/>
        <v>0.36799999999999999</v>
      </c>
      <c r="AD139" s="31">
        <f t="shared" si="61"/>
        <v>0.3866</v>
      </c>
      <c r="AE139" s="31">
        <f t="shared" si="61"/>
        <v>0.69789999999999996</v>
      </c>
      <c r="AF139" s="31">
        <f t="shared" si="61"/>
        <v>0.54469999999999996</v>
      </c>
      <c r="AG139" s="31">
        <f t="shared" si="61"/>
        <v>0.32129999999999997</v>
      </c>
      <c r="AH139" s="31">
        <f t="shared" si="61"/>
        <v>0.68730000000000002</v>
      </c>
      <c r="AI139" s="31">
        <f t="shared" si="61"/>
        <v>0.61150000000000004</v>
      </c>
      <c r="AJ139" s="31">
        <f t="shared" si="61"/>
        <v>0.8468</v>
      </c>
      <c r="AK139" s="31">
        <f t="shared" si="61"/>
        <v>0.93100000000000005</v>
      </c>
      <c r="AL139" s="31">
        <f t="shared" si="61"/>
        <v>0.83330000000000004</v>
      </c>
      <c r="AM139" s="31">
        <f t="shared" si="61"/>
        <v>0.65490000000000004</v>
      </c>
      <c r="AN139" s="31">
        <f t="shared" si="61"/>
        <v>0.5161</v>
      </c>
      <c r="AO139" s="31">
        <f t="shared" si="61"/>
        <v>0.60499999999999998</v>
      </c>
      <c r="AP139" s="31">
        <f t="shared" si="61"/>
        <v>0.62880000000000003</v>
      </c>
      <c r="AQ139" s="31">
        <f t="shared" si="61"/>
        <v>0.60240000000000005</v>
      </c>
      <c r="AR139" s="31">
        <f t="shared" si="61"/>
        <v>0.1754</v>
      </c>
      <c r="AS139" s="31">
        <f t="shared" si="61"/>
        <v>0.42709999999999998</v>
      </c>
      <c r="AT139" s="31">
        <f t="shared" si="61"/>
        <v>0.23669999999999999</v>
      </c>
      <c r="AU139" s="31">
        <f t="shared" si="61"/>
        <v>0.40410000000000001</v>
      </c>
      <c r="AV139" s="31">
        <f t="shared" si="61"/>
        <v>0.6321</v>
      </c>
      <c r="AW139" s="31">
        <f t="shared" si="61"/>
        <v>0.34360000000000002</v>
      </c>
      <c r="AX139" s="31">
        <f t="shared" si="61"/>
        <v>0.54810000000000003</v>
      </c>
      <c r="AY139" s="31">
        <f t="shared" si="61"/>
        <v>0.53790000000000004</v>
      </c>
      <c r="AZ139" s="31">
        <f t="shared" si="61"/>
        <v>0.67120000000000002</v>
      </c>
      <c r="BA139" s="31">
        <f t="shared" si="61"/>
        <v>0.48359999999999997</v>
      </c>
      <c r="BB139" s="31">
        <f t="shared" si="61"/>
        <v>0.49070000000000003</v>
      </c>
      <c r="BC139" s="31">
        <f t="shared" si="61"/>
        <v>0.57669999999999999</v>
      </c>
      <c r="BD139" s="31">
        <f t="shared" si="61"/>
        <v>0.21840000000000001</v>
      </c>
      <c r="BE139" s="31">
        <f t="shared" si="61"/>
        <v>0.38030000000000003</v>
      </c>
      <c r="BF139" s="31">
        <f t="shared" si="61"/>
        <v>0.22520000000000001</v>
      </c>
      <c r="BG139" s="31">
        <f t="shared" si="61"/>
        <v>0.59860000000000002</v>
      </c>
      <c r="BH139" s="31">
        <f t="shared" si="61"/>
        <v>0.2949</v>
      </c>
      <c r="BI139" s="31">
        <f t="shared" si="61"/>
        <v>0.75009999999999999</v>
      </c>
      <c r="BJ139" s="31">
        <f t="shared" si="61"/>
        <v>0.17130000000000001</v>
      </c>
      <c r="BK139" s="31">
        <f t="shared" si="61"/>
        <v>0.50849999999999995</v>
      </c>
      <c r="BL139" s="31">
        <f t="shared" si="61"/>
        <v>0.61750000000000005</v>
      </c>
      <c r="BM139" s="31">
        <f t="shared" si="61"/>
        <v>0.6361</v>
      </c>
      <c r="BN139" s="31">
        <f t="shared" si="61"/>
        <v>0.59299999999999997</v>
      </c>
      <c r="BO139" s="31">
        <f t="shared" si="61"/>
        <v>0.57450000000000001</v>
      </c>
      <c r="BP139" s="31">
        <f t="shared" si="61"/>
        <v>0.63939999999999997</v>
      </c>
      <c r="BQ139" s="31">
        <f t="shared" si="61"/>
        <v>0.51349999999999996</v>
      </c>
      <c r="BR139" s="31">
        <f t="shared" si="61"/>
        <v>0.50919999999999999</v>
      </c>
      <c r="BS139" s="31">
        <f t="shared" si="61"/>
        <v>0.67689999999999995</v>
      </c>
      <c r="BT139" s="31">
        <f t="shared" si="61"/>
        <v>0.46029999999999999</v>
      </c>
      <c r="BU139" s="31">
        <f t="shared" si="61"/>
        <v>0.43519999999999998</v>
      </c>
      <c r="BV139" s="31">
        <f t="shared" si="61"/>
        <v>0.33239999999999997</v>
      </c>
      <c r="BW139" s="31">
        <f t="shared" si="61"/>
        <v>0.35349999999999998</v>
      </c>
      <c r="BX139" s="31">
        <f t="shared" si="61"/>
        <v>0.3947</v>
      </c>
      <c r="BY139" s="31">
        <f t="shared" si="61"/>
        <v>0.874</v>
      </c>
      <c r="BZ139" s="31">
        <f t="shared" si="61"/>
        <v>0.71750000000000003</v>
      </c>
      <c r="CA139" s="31">
        <f t="shared" si="61"/>
        <v>0.32079999999999997</v>
      </c>
      <c r="CB139" s="31">
        <f t="shared" si="61"/>
        <v>0.30819999999999997</v>
      </c>
      <c r="CC139" s="31">
        <f t="shared" si="61"/>
        <v>0.65380000000000005</v>
      </c>
      <c r="CD139" s="31">
        <f t="shared" si="61"/>
        <v>0.40670000000000001</v>
      </c>
      <c r="CE139" s="31">
        <f t="shared" si="61"/>
        <v>0.4627</v>
      </c>
      <c r="CF139" s="31">
        <f t="shared" si="61"/>
        <v>0.5</v>
      </c>
      <c r="CG139" s="31">
        <f t="shared" si="61"/>
        <v>0.45090000000000002</v>
      </c>
      <c r="CH139" s="31">
        <f t="shared" si="61"/>
        <v>0.75560000000000005</v>
      </c>
      <c r="CI139" s="31">
        <f t="shared" si="61"/>
        <v>0.63070000000000004</v>
      </c>
      <c r="CJ139" s="31">
        <f t="shared" si="61"/>
        <v>0.62150000000000005</v>
      </c>
      <c r="CK139" s="31">
        <f t="shared" si="61"/>
        <v>0.36980000000000002</v>
      </c>
      <c r="CL139" s="31">
        <f t="shared" si="61"/>
        <v>0.42720000000000002</v>
      </c>
      <c r="CM139" s="31">
        <f t="shared" si="61"/>
        <v>0.57079999999999997</v>
      </c>
      <c r="CN139" s="31">
        <f t="shared" si="61"/>
        <v>0.32050000000000001</v>
      </c>
      <c r="CO139" s="31">
        <f t="shared" si="61"/>
        <v>0.33260000000000001</v>
      </c>
      <c r="CP139" s="31">
        <f t="shared" si="61"/>
        <v>0.4748</v>
      </c>
      <c r="CQ139" s="31">
        <f t="shared" si="61"/>
        <v>0.75649999999999995</v>
      </c>
      <c r="CR139" s="31">
        <f t="shared" si="61"/>
        <v>0.37490000000000001</v>
      </c>
      <c r="CS139" s="31">
        <f t="shared" si="61"/>
        <v>0.40379999999999999</v>
      </c>
      <c r="CT139" s="31">
        <f t="shared" si="61"/>
        <v>0.80889999999999995</v>
      </c>
      <c r="CU139" s="31">
        <f t="shared" si="61"/>
        <v>0.44879999999999998</v>
      </c>
      <c r="CV139" s="31">
        <f t="shared" si="61"/>
        <v>0.37919999999999998</v>
      </c>
      <c r="CW139" s="31">
        <f t="shared" si="61"/>
        <v>0.56530000000000002</v>
      </c>
      <c r="CX139" s="31">
        <f t="shared" si="61"/>
        <v>0.50539999999999996</v>
      </c>
      <c r="CY139" s="31">
        <f t="shared" si="61"/>
        <v>0.51759999999999995</v>
      </c>
      <c r="CZ139" s="31">
        <f t="shared" si="61"/>
        <v>0.5665</v>
      </c>
      <c r="DA139" s="31">
        <f t="shared" si="61"/>
        <v>0.2475</v>
      </c>
      <c r="DB139" s="31">
        <f t="shared" si="61"/>
        <v>0.29310000000000003</v>
      </c>
      <c r="DC139" s="31">
        <f t="shared" si="61"/>
        <v>0.26219999999999999</v>
      </c>
      <c r="DD139" s="31">
        <f t="shared" si="61"/>
        <v>0.62560000000000004</v>
      </c>
      <c r="DE139" s="31">
        <f t="shared" si="61"/>
        <v>0.46250000000000002</v>
      </c>
      <c r="DF139" s="31">
        <f t="shared" si="61"/>
        <v>0.56259999999999999</v>
      </c>
      <c r="DG139" s="31">
        <f t="shared" si="61"/>
        <v>0.40210000000000001</v>
      </c>
      <c r="DH139" s="31">
        <f t="shared" si="61"/>
        <v>0.57899999999999996</v>
      </c>
      <c r="DI139" s="31">
        <f t="shared" si="61"/>
        <v>0.66669999999999996</v>
      </c>
      <c r="DJ139" s="31">
        <f t="shared" si="61"/>
        <v>0.56530000000000002</v>
      </c>
      <c r="DK139" s="31">
        <f t="shared" si="61"/>
        <v>0.41610000000000003</v>
      </c>
      <c r="DL139" s="31">
        <f t="shared" si="61"/>
        <v>0.5655</v>
      </c>
      <c r="DM139" s="31">
        <f t="shared" si="61"/>
        <v>0.58089999999999997</v>
      </c>
      <c r="DN139" s="31">
        <f t="shared" si="61"/>
        <v>0.66339999999999999</v>
      </c>
      <c r="DO139" s="31">
        <f t="shared" si="61"/>
        <v>0.61319999999999997</v>
      </c>
      <c r="DP139" s="31">
        <f t="shared" si="61"/>
        <v>0.3332</v>
      </c>
      <c r="DQ139" s="31">
        <f t="shared" si="61"/>
        <v>0.42570000000000002</v>
      </c>
      <c r="DR139" s="31">
        <f t="shared" si="61"/>
        <v>0.77539999999999998</v>
      </c>
      <c r="DS139" s="31">
        <f t="shared" si="61"/>
        <v>0.83279999999999998</v>
      </c>
      <c r="DT139" s="31">
        <f t="shared" si="61"/>
        <v>0.86480000000000001</v>
      </c>
      <c r="DU139" s="31">
        <f t="shared" si="61"/>
        <v>0.59909999999999997</v>
      </c>
      <c r="DV139" s="31">
        <f t="shared" si="61"/>
        <v>0.46400000000000002</v>
      </c>
      <c r="DW139" s="31">
        <f t="shared" si="61"/>
        <v>0.52990000000000004</v>
      </c>
      <c r="DX139" s="31">
        <f t="shared" si="61"/>
        <v>0.33750000000000002</v>
      </c>
      <c r="DY139" s="31">
        <f t="shared" si="61"/>
        <v>0.25430000000000003</v>
      </c>
      <c r="DZ139" s="31">
        <f t="shared" si="61"/>
        <v>0.39600000000000002</v>
      </c>
      <c r="EA139" s="31">
        <f t="shared" si="61"/>
        <v>0.43740000000000001</v>
      </c>
      <c r="EB139" s="31">
        <f t="shared" si="61"/>
        <v>0.63019999999999998</v>
      </c>
      <c r="EC139" s="31">
        <f t="shared" si="61"/>
        <v>0.37080000000000002</v>
      </c>
      <c r="ED139" s="31">
        <f t="shared" si="61"/>
        <v>6.6500000000000004E-2</v>
      </c>
      <c r="EE139" s="31">
        <f t="shared" si="61"/>
        <v>0.71319999999999995</v>
      </c>
      <c r="EF139" s="31">
        <f t="shared" si="61"/>
        <v>0.76319999999999999</v>
      </c>
      <c r="EG139" s="31">
        <f t="shared" si="61"/>
        <v>0.6452</v>
      </c>
      <c r="EH139" s="31">
        <f t="shared" si="61"/>
        <v>0.53129999999999999</v>
      </c>
      <c r="EI139" s="31">
        <f t="shared" si="61"/>
        <v>0.80859999999999999</v>
      </c>
      <c r="EJ139" s="31">
        <f t="shared" si="61"/>
        <v>0.52329999999999999</v>
      </c>
      <c r="EK139" s="31">
        <f t="shared" si="61"/>
        <v>0.38159999999999999</v>
      </c>
      <c r="EL139" s="31">
        <f t="shared" si="61"/>
        <v>0.48299999999999998</v>
      </c>
      <c r="EM139" s="31">
        <f t="shared" si="61"/>
        <v>0.59550000000000003</v>
      </c>
      <c r="EN139" s="31">
        <f t="shared" si="61"/>
        <v>0.7389</v>
      </c>
      <c r="EO139" s="31">
        <f t="shared" si="61"/>
        <v>0.48149999999999998</v>
      </c>
      <c r="EP139" s="31">
        <f t="shared" si="61"/>
        <v>0.27510000000000001</v>
      </c>
      <c r="EQ139" s="31">
        <f t="shared" si="61"/>
        <v>0.19089999999999999</v>
      </c>
      <c r="ER139" s="31">
        <f t="shared" si="61"/>
        <v>0.28339999999999999</v>
      </c>
      <c r="ES139" s="31">
        <f t="shared" si="61"/>
        <v>0.60209999999999997</v>
      </c>
      <c r="ET139" s="31">
        <f t="shared" si="61"/>
        <v>0.7651</v>
      </c>
      <c r="EU139" s="31">
        <f t="shared" si="61"/>
        <v>0.93799999999999994</v>
      </c>
      <c r="EV139" s="31">
        <f t="shared" si="61"/>
        <v>0.61060000000000003</v>
      </c>
      <c r="EW139" s="31">
        <f t="shared" si="61"/>
        <v>0.30759999999999998</v>
      </c>
      <c r="EX139" s="31">
        <f t="shared" si="61"/>
        <v>0.53139999999999998</v>
      </c>
      <c r="EY139" s="31">
        <f t="shared" si="61"/>
        <v>0.6583</v>
      </c>
      <c r="EZ139" s="31">
        <f t="shared" si="61"/>
        <v>0.5504</v>
      </c>
      <c r="FA139" s="31">
        <f t="shared" si="61"/>
        <v>0.39419999999999999</v>
      </c>
      <c r="FB139" s="31">
        <f t="shared" si="61"/>
        <v>0.7974</v>
      </c>
      <c r="FC139" s="31">
        <f t="shared" si="61"/>
        <v>0.36509999999999998</v>
      </c>
      <c r="FD139" s="31">
        <f t="shared" si="61"/>
        <v>0.57140000000000002</v>
      </c>
      <c r="FE139" s="31">
        <f t="shared" si="61"/>
        <v>0.68140000000000001</v>
      </c>
      <c r="FF139" s="31">
        <f t="shared" si="61"/>
        <v>0.58740000000000003</v>
      </c>
      <c r="FG139" s="31">
        <f t="shared" si="61"/>
        <v>0.46139999999999998</v>
      </c>
      <c r="FH139" s="31">
        <f t="shared" si="61"/>
        <v>0.4652</v>
      </c>
      <c r="FI139" s="31">
        <f t="shared" si="61"/>
        <v>0.62860000000000005</v>
      </c>
      <c r="FJ139" s="31">
        <f t="shared" si="61"/>
        <v>0.3725</v>
      </c>
      <c r="FK139" s="31">
        <f t="shared" si="61"/>
        <v>0.55479999999999996</v>
      </c>
      <c r="FL139" s="31">
        <f t="shared" si="61"/>
        <v>0.25419999999999998</v>
      </c>
      <c r="FM139" s="31">
        <f t="shared" si="61"/>
        <v>0.32769999999999999</v>
      </c>
      <c r="FN139" s="31">
        <f t="shared" si="61"/>
        <v>0.69579999999999997</v>
      </c>
      <c r="FO139" s="31">
        <f t="shared" si="61"/>
        <v>0.51639999999999997</v>
      </c>
      <c r="FP139" s="31">
        <f t="shared" si="61"/>
        <v>0.57330000000000003</v>
      </c>
      <c r="FQ139" s="31">
        <f t="shared" si="61"/>
        <v>0.35980000000000001</v>
      </c>
      <c r="FR139" s="31">
        <f t="shared" si="61"/>
        <v>0.28129999999999999</v>
      </c>
      <c r="FS139" s="31">
        <f t="shared" si="61"/>
        <v>0.28039999999999998</v>
      </c>
      <c r="FT139" s="31">
        <f t="shared" si="61"/>
        <v>0.59440000000000004</v>
      </c>
      <c r="FU139" s="31">
        <f t="shared" si="61"/>
        <v>0.6381</v>
      </c>
      <c r="FV139" s="31">
        <f t="shared" si="61"/>
        <v>0.62339999999999995</v>
      </c>
      <c r="FW139" s="31">
        <f t="shared" si="61"/>
        <v>0.62849999999999995</v>
      </c>
      <c r="FX139" s="31">
        <f t="shared" si="61"/>
        <v>0.45779999999999998</v>
      </c>
      <c r="FY139" s="26"/>
      <c r="FZ139" s="31">
        <f>ROUND((FZ137/FZ21),4)</f>
        <v>0.46529999999999999</v>
      </c>
      <c r="GA139" s="7"/>
      <c r="GB139" s="25"/>
      <c r="GC139" s="25"/>
      <c r="GD139" s="25"/>
      <c r="GE139" s="7"/>
      <c r="GF139" s="7"/>
      <c r="GG139" s="7"/>
      <c r="GH139" s="7"/>
      <c r="GI139" s="7"/>
      <c r="GJ139" s="7"/>
      <c r="GK139" s="7"/>
    </row>
    <row r="140" spans="1:207" ht="15.5" x14ac:dyDescent="0.35">
      <c r="A140" s="7"/>
      <c r="B140" s="7" t="s">
        <v>867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23"/>
      <c r="FZ140" s="7"/>
      <c r="GA140" s="7"/>
      <c r="GB140" s="25"/>
      <c r="GC140" s="25"/>
      <c r="GD140" s="25"/>
      <c r="GE140" s="7"/>
      <c r="GF140" s="23"/>
      <c r="GG140" s="23"/>
      <c r="GH140" s="23"/>
      <c r="GI140" s="7"/>
      <c r="GJ140" s="7"/>
      <c r="GK140" s="7"/>
    </row>
    <row r="141" spans="1:207" ht="15.5" x14ac:dyDescent="0.35">
      <c r="A141" s="105" t="s">
        <v>4</v>
      </c>
      <c r="B141" s="65" t="s">
        <v>868</v>
      </c>
      <c r="C141" s="65">
        <f t="shared" ref="C141:FX141" si="62">C43</f>
        <v>0.12</v>
      </c>
      <c r="D141" s="65">
        <f t="shared" si="62"/>
        <v>0.12</v>
      </c>
      <c r="E141" s="65">
        <f t="shared" si="62"/>
        <v>0.12</v>
      </c>
      <c r="F141" s="65">
        <f t="shared" si="62"/>
        <v>0.12</v>
      </c>
      <c r="G141" s="65">
        <f t="shared" si="62"/>
        <v>0.12</v>
      </c>
      <c r="H141" s="65">
        <f t="shared" si="62"/>
        <v>0.12</v>
      </c>
      <c r="I141" s="65">
        <f t="shared" si="62"/>
        <v>0.12</v>
      </c>
      <c r="J141" s="65">
        <f t="shared" si="62"/>
        <v>0.12</v>
      </c>
      <c r="K141" s="65">
        <f t="shared" si="62"/>
        <v>0.12</v>
      </c>
      <c r="L141" s="65">
        <f t="shared" si="62"/>
        <v>0.12</v>
      </c>
      <c r="M141" s="65">
        <f t="shared" si="62"/>
        <v>0.12</v>
      </c>
      <c r="N141" s="65">
        <f t="shared" si="62"/>
        <v>0.12</v>
      </c>
      <c r="O141" s="65">
        <f t="shared" si="62"/>
        <v>0.12</v>
      </c>
      <c r="P141" s="65">
        <f t="shared" si="62"/>
        <v>0.12</v>
      </c>
      <c r="Q141" s="65">
        <f t="shared" si="62"/>
        <v>0.12</v>
      </c>
      <c r="R141" s="65">
        <f t="shared" si="62"/>
        <v>0.12</v>
      </c>
      <c r="S141" s="65">
        <f t="shared" si="62"/>
        <v>0.12</v>
      </c>
      <c r="T141" s="65">
        <f t="shared" si="62"/>
        <v>0.12</v>
      </c>
      <c r="U141" s="65">
        <f t="shared" si="62"/>
        <v>0.12</v>
      </c>
      <c r="V141" s="65">
        <f t="shared" si="62"/>
        <v>0.12</v>
      </c>
      <c r="W141" s="65">
        <f t="shared" si="62"/>
        <v>0.12</v>
      </c>
      <c r="X141" s="65">
        <f t="shared" si="62"/>
        <v>0.12</v>
      </c>
      <c r="Y141" s="65">
        <f t="shared" si="62"/>
        <v>0.12</v>
      </c>
      <c r="Z141" s="65">
        <f t="shared" si="62"/>
        <v>0.12</v>
      </c>
      <c r="AA141" s="65">
        <f t="shared" si="62"/>
        <v>0.12</v>
      </c>
      <c r="AB141" s="65">
        <f t="shared" si="62"/>
        <v>0.12</v>
      </c>
      <c r="AC141" s="65">
        <f t="shared" si="62"/>
        <v>0.12</v>
      </c>
      <c r="AD141" s="65">
        <f t="shared" si="62"/>
        <v>0.12</v>
      </c>
      <c r="AE141" s="65">
        <f t="shared" si="62"/>
        <v>0.12</v>
      </c>
      <c r="AF141" s="65">
        <f t="shared" si="62"/>
        <v>0.12</v>
      </c>
      <c r="AG141" s="65">
        <f t="shared" si="62"/>
        <v>0.12</v>
      </c>
      <c r="AH141" s="65">
        <f t="shared" si="62"/>
        <v>0.12</v>
      </c>
      <c r="AI141" s="65">
        <f t="shared" si="62"/>
        <v>0.12</v>
      </c>
      <c r="AJ141" s="65">
        <f t="shared" si="62"/>
        <v>0.12</v>
      </c>
      <c r="AK141" s="65">
        <f t="shared" si="62"/>
        <v>0.12</v>
      </c>
      <c r="AL141" s="65">
        <f t="shared" si="62"/>
        <v>0.12</v>
      </c>
      <c r="AM141" s="65">
        <f t="shared" si="62"/>
        <v>0.12</v>
      </c>
      <c r="AN141" s="65">
        <f t="shared" si="62"/>
        <v>0.12</v>
      </c>
      <c r="AO141" s="65">
        <f t="shared" si="62"/>
        <v>0.12</v>
      </c>
      <c r="AP141" s="65">
        <f t="shared" si="62"/>
        <v>0.12</v>
      </c>
      <c r="AQ141" s="65">
        <f t="shared" si="62"/>
        <v>0.12</v>
      </c>
      <c r="AR141" s="65">
        <f t="shared" si="62"/>
        <v>0.12</v>
      </c>
      <c r="AS141" s="65">
        <f t="shared" si="62"/>
        <v>0.12</v>
      </c>
      <c r="AT141" s="65">
        <f t="shared" si="62"/>
        <v>0.12</v>
      </c>
      <c r="AU141" s="65">
        <f t="shared" si="62"/>
        <v>0.12</v>
      </c>
      <c r="AV141" s="65">
        <f t="shared" si="62"/>
        <v>0.12</v>
      </c>
      <c r="AW141" s="65">
        <f t="shared" si="62"/>
        <v>0.12</v>
      </c>
      <c r="AX141" s="65">
        <f t="shared" si="62"/>
        <v>0.12</v>
      </c>
      <c r="AY141" s="65">
        <f t="shared" si="62"/>
        <v>0.12</v>
      </c>
      <c r="AZ141" s="65">
        <f t="shared" si="62"/>
        <v>0.12</v>
      </c>
      <c r="BA141" s="65">
        <f t="shared" si="62"/>
        <v>0.12</v>
      </c>
      <c r="BB141" s="65">
        <f t="shared" si="62"/>
        <v>0.12</v>
      </c>
      <c r="BC141" s="65">
        <f t="shared" si="62"/>
        <v>0.12</v>
      </c>
      <c r="BD141" s="65">
        <f t="shared" si="62"/>
        <v>0.12</v>
      </c>
      <c r="BE141" s="65">
        <f t="shared" si="62"/>
        <v>0.12</v>
      </c>
      <c r="BF141" s="65">
        <f t="shared" si="62"/>
        <v>0.12</v>
      </c>
      <c r="BG141" s="65">
        <f t="shared" si="62"/>
        <v>0.12</v>
      </c>
      <c r="BH141" s="65">
        <f t="shared" si="62"/>
        <v>0.12</v>
      </c>
      <c r="BI141" s="65">
        <f t="shared" si="62"/>
        <v>0.12</v>
      </c>
      <c r="BJ141" s="65">
        <f t="shared" si="62"/>
        <v>0.12</v>
      </c>
      <c r="BK141" s="65">
        <f t="shared" si="62"/>
        <v>0.12</v>
      </c>
      <c r="BL141" s="65">
        <f t="shared" si="62"/>
        <v>0.12</v>
      </c>
      <c r="BM141" s="65">
        <f t="shared" si="62"/>
        <v>0.12</v>
      </c>
      <c r="BN141" s="65">
        <f t="shared" si="62"/>
        <v>0.12</v>
      </c>
      <c r="BO141" s="65">
        <f t="shared" si="62"/>
        <v>0.12</v>
      </c>
      <c r="BP141" s="65">
        <f t="shared" si="62"/>
        <v>0.12</v>
      </c>
      <c r="BQ141" s="65">
        <f t="shared" si="62"/>
        <v>0.12</v>
      </c>
      <c r="BR141" s="65">
        <f t="shared" si="62"/>
        <v>0.12</v>
      </c>
      <c r="BS141" s="65">
        <f t="shared" si="62"/>
        <v>0.12</v>
      </c>
      <c r="BT141" s="65">
        <f t="shared" si="62"/>
        <v>0.12</v>
      </c>
      <c r="BU141" s="65">
        <f t="shared" si="62"/>
        <v>0.12</v>
      </c>
      <c r="BV141" s="65">
        <f t="shared" si="62"/>
        <v>0.12</v>
      </c>
      <c r="BW141" s="65">
        <f t="shared" si="62"/>
        <v>0.12</v>
      </c>
      <c r="BX141" s="65">
        <f t="shared" si="62"/>
        <v>0.12</v>
      </c>
      <c r="BY141" s="65">
        <f t="shared" si="62"/>
        <v>0.12</v>
      </c>
      <c r="BZ141" s="65">
        <f t="shared" si="62"/>
        <v>0.12</v>
      </c>
      <c r="CA141" s="65">
        <f t="shared" si="62"/>
        <v>0.12</v>
      </c>
      <c r="CB141" s="65">
        <f t="shared" si="62"/>
        <v>0.12</v>
      </c>
      <c r="CC141" s="65">
        <f t="shared" si="62"/>
        <v>0.12</v>
      </c>
      <c r="CD141" s="65">
        <f t="shared" si="62"/>
        <v>0.12</v>
      </c>
      <c r="CE141" s="65">
        <f t="shared" si="62"/>
        <v>0.12</v>
      </c>
      <c r="CF141" s="65">
        <f t="shared" si="62"/>
        <v>0.12</v>
      </c>
      <c r="CG141" s="65">
        <f t="shared" si="62"/>
        <v>0.12</v>
      </c>
      <c r="CH141" s="65">
        <f t="shared" si="62"/>
        <v>0.12</v>
      </c>
      <c r="CI141" s="65">
        <f t="shared" si="62"/>
        <v>0.12</v>
      </c>
      <c r="CJ141" s="65">
        <f t="shared" si="62"/>
        <v>0.12</v>
      </c>
      <c r="CK141" s="65">
        <f t="shared" si="62"/>
        <v>0.12</v>
      </c>
      <c r="CL141" s="65">
        <f t="shared" si="62"/>
        <v>0.12</v>
      </c>
      <c r="CM141" s="65">
        <f t="shared" si="62"/>
        <v>0.12</v>
      </c>
      <c r="CN141" s="65">
        <f t="shared" si="62"/>
        <v>0.12</v>
      </c>
      <c r="CO141" s="65">
        <f t="shared" si="62"/>
        <v>0.12</v>
      </c>
      <c r="CP141" s="65">
        <f t="shared" si="62"/>
        <v>0.12</v>
      </c>
      <c r="CQ141" s="65">
        <f t="shared" si="62"/>
        <v>0.12</v>
      </c>
      <c r="CR141" s="65">
        <f t="shared" si="62"/>
        <v>0.12</v>
      </c>
      <c r="CS141" s="65">
        <f t="shared" si="62"/>
        <v>0.12</v>
      </c>
      <c r="CT141" s="65">
        <f t="shared" si="62"/>
        <v>0.12</v>
      </c>
      <c r="CU141" s="65">
        <f t="shared" si="62"/>
        <v>0.12</v>
      </c>
      <c r="CV141" s="65">
        <f t="shared" si="62"/>
        <v>0.12</v>
      </c>
      <c r="CW141" s="65">
        <f t="shared" si="62"/>
        <v>0.12</v>
      </c>
      <c r="CX141" s="65">
        <f t="shared" si="62"/>
        <v>0.12</v>
      </c>
      <c r="CY141" s="65">
        <f t="shared" si="62"/>
        <v>0.12</v>
      </c>
      <c r="CZ141" s="65">
        <f t="shared" si="62"/>
        <v>0.12</v>
      </c>
      <c r="DA141" s="65">
        <f t="shared" si="62"/>
        <v>0.12</v>
      </c>
      <c r="DB141" s="65">
        <f t="shared" si="62"/>
        <v>0.12</v>
      </c>
      <c r="DC141" s="65">
        <f t="shared" si="62"/>
        <v>0.12</v>
      </c>
      <c r="DD141" s="65">
        <f t="shared" si="62"/>
        <v>0.12</v>
      </c>
      <c r="DE141" s="65">
        <f t="shared" si="62"/>
        <v>0.12</v>
      </c>
      <c r="DF141" s="65">
        <f t="shared" si="62"/>
        <v>0.12</v>
      </c>
      <c r="DG141" s="65">
        <f t="shared" si="62"/>
        <v>0.12</v>
      </c>
      <c r="DH141" s="65">
        <f t="shared" si="62"/>
        <v>0.12</v>
      </c>
      <c r="DI141" s="65">
        <f t="shared" si="62"/>
        <v>0.12</v>
      </c>
      <c r="DJ141" s="65">
        <f t="shared" si="62"/>
        <v>0.12</v>
      </c>
      <c r="DK141" s="65">
        <f t="shared" si="62"/>
        <v>0.12</v>
      </c>
      <c r="DL141" s="65">
        <f t="shared" si="62"/>
        <v>0.12</v>
      </c>
      <c r="DM141" s="65">
        <f t="shared" si="62"/>
        <v>0.12</v>
      </c>
      <c r="DN141" s="65">
        <f t="shared" si="62"/>
        <v>0.12</v>
      </c>
      <c r="DO141" s="65">
        <f t="shared" si="62"/>
        <v>0.12</v>
      </c>
      <c r="DP141" s="65">
        <f t="shared" si="62"/>
        <v>0.12</v>
      </c>
      <c r="DQ141" s="65">
        <f t="shared" si="62"/>
        <v>0.12</v>
      </c>
      <c r="DR141" s="65">
        <f t="shared" si="62"/>
        <v>0.12</v>
      </c>
      <c r="DS141" s="65">
        <f t="shared" si="62"/>
        <v>0.12</v>
      </c>
      <c r="DT141" s="65">
        <f t="shared" si="62"/>
        <v>0.12</v>
      </c>
      <c r="DU141" s="65">
        <f t="shared" si="62"/>
        <v>0.12</v>
      </c>
      <c r="DV141" s="65">
        <f t="shared" si="62"/>
        <v>0.12</v>
      </c>
      <c r="DW141" s="65">
        <f t="shared" si="62"/>
        <v>0.12</v>
      </c>
      <c r="DX141" s="65">
        <f t="shared" si="62"/>
        <v>0.12</v>
      </c>
      <c r="DY141" s="65">
        <f t="shared" si="62"/>
        <v>0.12</v>
      </c>
      <c r="DZ141" s="65">
        <f t="shared" si="62"/>
        <v>0.12</v>
      </c>
      <c r="EA141" s="65">
        <f t="shared" si="62"/>
        <v>0.12</v>
      </c>
      <c r="EB141" s="65">
        <f t="shared" si="62"/>
        <v>0.12</v>
      </c>
      <c r="EC141" s="65">
        <f t="shared" si="62"/>
        <v>0.12</v>
      </c>
      <c r="ED141" s="65">
        <f t="shared" si="62"/>
        <v>0.12</v>
      </c>
      <c r="EE141" s="65">
        <f t="shared" si="62"/>
        <v>0.12</v>
      </c>
      <c r="EF141" s="65">
        <f t="shared" si="62"/>
        <v>0.12</v>
      </c>
      <c r="EG141" s="65">
        <f t="shared" si="62"/>
        <v>0.12</v>
      </c>
      <c r="EH141" s="65">
        <f t="shared" si="62"/>
        <v>0.12</v>
      </c>
      <c r="EI141" s="65">
        <f t="shared" si="62"/>
        <v>0.12</v>
      </c>
      <c r="EJ141" s="65">
        <f t="shared" si="62"/>
        <v>0.12</v>
      </c>
      <c r="EK141" s="65">
        <f t="shared" si="62"/>
        <v>0.12</v>
      </c>
      <c r="EL141" s="65">
        <f t="shared" si="62"/>
        <v>0.12</v>
      </c>
      <c r="EM141" s="65">
        <f t="shared" si="62"/>
        <v>0.12</v>
      </c>
      <c r="EN141" s="65">
        <f t="shared" si="62"/>
        <v>0.12</v>
      </c>
      <c r="EO141" s="65">
        <f t="shared" si="62"/>
        <v>0.12</v>
      </c>
      <c r="EP141" s="65">
        <f t="shared" si="62"/>
        <v>0.12</v>
      </c>
      <c r="EQ141" s="65">
        <f t="shared" si="62"/>
        <v>0.12</v>
      </c>
      <c r="ER141" s="65">
        <f t="shared" si="62"/>
        <v>0.12</v>
      </c>
      <c r="ES141" s="65">
        <f t="shared" si="62"/>
        <v>0.12</v>
      </c>
      <c r="ET141" s="65">
        <f t="shared" si="62"/>
        <v>0.12</v>
      </c>
      <c r="EU141" s="65">
        <f t="shared" si="62"/>
        <v>0.12</v>
      </c>
      <c r="EV141" s="65">
        <f t="shared" si="62"/>
        <v>0.12</v>
      </c>
      <c r="EW141" s="65">
        <f t="shared" si="62"/>
        <v>0.12</v>
      </c>
      <c r="EX141" s="65">
        <f t="shared" si="62"/>
        <v>0.12</v>
      </c>
      <c r="EY141" s="65">
        <f t="shared" si="62"/>
        <v>0.12</v>
      </c>
      <c r="EZ141" s="65">
        <f t="shared" si="62"/>
        <v>0.12</v>
      </c>
      <c r="FA141" s="65">
        <f t="shared" si="62"/>
        <v>0.12</v>
      </c>
      <c r="FB141" s="65">
        <f t="shared" si="62"/>
        <v>0.12</v>
      </c>
      <c r="FC141" s="65">
        <f t="shared" si="62"/>
        <v>0.12</v>
      </c>
      <c r="FD141" s="65">
        <f t="shared" si="62"/>
        <v>0.12</v>
      </c>
      <c r="FE141" s="65">
        <f t="shared" si="62"/>
        <v>0.12</v>
      </c>
      <c r="FF141" s="65">
        <f t="shared" si="62"/>
        <v>0.12</v>
      </c>
      <c r="FG141" s="65">
        <f t="shared" si="62"/>
        <v>0.12</v>
      </c>
      <c r="FH141" s="65">
        <f t="shared" si="62"/>
        <v>0.12</v>
      </c>
      <c r="FI141" s="65">
        <f t="shared" si="62"/>
        <v>0.12</v>
      </c>
      <c r="FJ141" s="65">
        <f t="shared" si="62"/>
        <v>0.12</v>
      </c>
      <c r="FK141" s="65">
        <f t="shared" si="62"/>
        <v>0.12</v>
      </c>
      <c r="FL141" s="65">
        <f t="shared" si="62"/>
        <v>0.12</v>
      </c>
      <c r="FM141" s="65">
        <f t="shared" si="62"/>
        <v>0.12</v>
      </c>
      <c r="FN141" s="65">
        <f t="shared" si="62"/>
        <v>0.12</v>
      </c>
      <c r="FO141" s="65">
        <f t="shared" si="62"/>
        <v>0.12</v>
      </c>
      <c r="FP141" s="65">
        <f t="shared" si="62"/>
        <v>0.12</v>
      </c>
      <c r="FQ141" s="65">
        <f t="shared" si="62"/>
        <v>0.12</v>
      </c>
      <c r="FR141" s="65">
        <f t="shared" si="62"/>
        <v>0.12</v>
      </c>
      <c r="FS141" s="65">
        <f t="shared" si="62"/>
        <v>0.12</v>
      </c>
      <c r="FT141" s="65">
        <f t="shared" si="62"/>
        <v>0.12</v>
      </c>
      <c r="FU141" s="65">
        <f t="shared" si="62"/>
        <v>0.12</v>
      </c>
      <c r="FV141" s="65">
        <f t="shared" si="62"/>
        <v>0.12</v>
      </c>
      <c r="FW141" s="65">
        <f t="shared" si="62"/>
        <v>0.12</v>
      </c>
      <c r="FX141" s="65">
        <f t="shared" si="62"/>
        <v>0.12</v>
      </c>
      <c r="FY141" s="31"/>
      <c r="FZ141" s="65"/>
      <c r="GA141" s="31"/>
      <c r="GB141" s="25"/>
      <c r="GC141" s="25"/>
      <c r="GD141" s="25"/>
      <c r="GE141" s="7"/>
      <c r="GF141" s="23"/>
      <c r="GG141" s="23"/>
      <c r="GH141" s="23"/>
      <c r="GI141" s="7"/>
      <c r="GJ141" s="7"/>
      <c r="GK141" s="7"/>
    </row>
    <row r="142" spans="1:207" ht="15.5" x14ac:dyDescent="0.35">
      <c r="A142" s="12" t="s">
        <v>597</v>
      </c>
      <c r="B142" s="7" t="s">
        <v>869</v>
      </c>
      <c r="C142" s="31">
        <f t="shared" ref="C142:FX142" si="63">ROUND(IF((C139-C19)*0.3&lt;0=TRUE(),0,IF((C103&lt;=50000),ROUND((C139-C19)*0.3,6),0)),4)</f>
        <v>8.09E-2</v>
      </c>
      <c r="D142" s="31">
        <f t="shared" si="63"/>
        <v>1.55E-2</v>
      </c>
      <c r="E142" s="31">
        <f t="shared" si="63"/>
        <v>0.12570000000000001</v>
      </c>
      <c r="F142" s="31">
        <f t="shared" si="63"/>
        <v>1.46E-2</v>
      </c>
      <c r="G142" s="31">
        <f t="shared" si="63"/>
        <v>0</v>
      </c>
      <c r="H142" s="31">
        <f t="shared" si="63"/>
        <v>0</v>
      </c>
      <c r="I142" s="31">
        <f t="shared" si="63"/>
        <v>0.10630000000000001</v>
      </c>
      <c r="J142" s="31">
        <f t="shared" si="63"/>
        <v>9.8599999999999993E-2</v>
      </c>
      <c r="K142" s="31">
        <f t="shared" si="63"/>
        <v>4.3700000000000003E-2</v>
      </c>
      <c r="L142" s="31">
        <f t="shared" si="63"/>
        <v>5.4199999999999998E-2</v>
      </c>
      <c r="M142" s="31">
        <f t="shared" si="63"/>
        <v>0.1183</v>
      </c>
      <c r="N142" s="31">
        <f t="shared" si="63"/>
        <v>0</v>
      </c>
      <c r="O142" s="31">
        <f t="shared" si="63"/>
        <v>0</v>
      </c>
      <c r="P142" s="31">
        <f t="shared" si="63"/>
        <v>1.77E-2</v>
      </c>
      <c r="Q142" s="31">
        <f t="shared" si="63"/>
        <v>9.6799999999999997E-2</v>
      </c>
      <c r="R142" s="31">
        <f t="shared" si="63"/>
        <v>2.0400000000000001E-2</v>
      </c>
      <c r="S142" s="31">
        <f t="shared" si="63"/>
        <v>3.8100000000000002E-2</v>
      </c>
      <c r="T142" s="31">
        <f t="shared" si="63"/>
        <v>8.2600000000000007E-2</v>
      </c>
      <c r="U142" s="31">
        <f t="shared" si="63"/>
        <v>6.3200000000000006E-2</v>
      </c>
      <c r="V142" s="31">
        <f t="shared" si="63"/>
        <v>8.4000000000000005E-2</v>
      </c>
      <c r="W142" s="31">
        <f t="shared" si="63"/>
        <v>9.5399999999999999E-2</v>
      </c>
      <c r="X142" s="31">
        <f t="shared" si="63"/>
        <v>2.9499999999999998E-2</v>
      </c>
      <c r="Y142" s="31">
        <f t="shared" si="63"/>
        <v>0.1129</v>
      </c>
      <c r="Z142" s="31">
        <f t="shared" si="63"/>
        <v>0</v>
      </c>
      <c r="AA142" s="31">
        <f t="shared" si="63"/>
        <v>0</v>
      </c>
      <c r="AB142" s="31">
        <f t="shared" si="63"/>
        <v>0</v>
      </c>
      <c r="AC142" s="31">
        <f t="shared" si="63"/>
        <v>0</v>
      </c>
      <c r="AD142" s="31">
        <f t="shared" si="63"/>
        <v>0</v>
      </c>
      <c r="AE142" s="31">
        <f t="shared" si="63"/>
        <v>6.9800000000000001E-2</v>
      </c>
      <c r="AF142" s="31">
        <f t="shared" si="63"/>
        <v>2.3800000000000002E-2</v>
      </c>
      <c r="AG142" s="31">
        <f t="shared" si="63"/>
        <v>0</v>
      </c>
      <c r="AH142" s="31">
        <f t="shared" si="63"/>
        <v>6.6600000000000006E-2</v>
      </c>
      <c r="AI142" s="31">
        <f t="shared" si="63"/>
        <v>4.3900000000000002E-2</v>
      </c>
      <c r="AJ142" s="31">
        <f t="shared" si="63"/>
        <v>0.1145</v>
      </c>
      <c r="AK142" s="31">
        <f t="shared" si="63"/>
        <v>0.13969999999999999</v>
      </c>
      <c r="AL142" s="31">
        <f t="shared" si="63"/>
        <v>0.1104</v>
      </c>
      <c r="AM142" s="31">
        <f t="shared" si="63"/>
        <v>5.6899999999999999E-2</v>
      </c>
      <c r="AN142" s="31">
        <f t="shared" si="63"/>
        <v>1.52E-2</v>
      </c>
      <c r="AO142" s="31">
        <f t="shared" si="63"/>
        <v>4.19E-2</v>
      </c>
      <c r="AP142" s="31">
        <f t="shared" si="63"/>
        <v>0</v>
      </c>
      <c r="AQ142" s="31">
        <f t="shared" si="63"/>
        <v>4.1099999999999998E-2</v>
      </c>
      <c r="AR142" s="31">
        <f t="shared" si="63"/>
        <v>0</v>
      </c>
      <c r="AS142" s="31">
        <f t="shared" si="63"/>
        <v>0</v>
      </c>
      <c r="AT142" s="31">
        <f t="shared" si="63"/>
        <v>0</v>
      </c>
      <c r="AU142" s="31">
        <f t="shared" si="63"/>
        <v>0</v>
      </c>
      <c r="AV142" s="31">
        <f t="shared" si="63"/>
        <v>0.05</v>
      </c>
      <c r="AW142" s="31">
        <f t="shared" si="63"/>
        <v>0</v>
      </c>
      <c r="AX142" s="31">
        <f t="shared" si="63"/>
        <v>2.4799999999999999E-2</v>
      </c>
      <c r="AY142" s="31">
        <f t="shared" si="63"/>
        <v>2.18E-2</v>
      </c>
      <c r="AZ142" s="31">
        <f t="shared" si="63"/>
        <v>6.1800000000000001E-2</v>
      </c>
      <c r="BA142" s="31">
        <f t="shared" si="63"/>
        <v>5.4999999999999997E-3</v>
      </c>
      <c r="BB142" s="31">
        <f t="shared" si="63"/>
        <v>7.6E-3</v>
      </c>
      <c r="BC142" s="31">
        <f t="shared" si="63"/>
        <v>3.3399999999999999E-2</v>
      </c>
      <c r="BD142" s="31">
        <f t="shared" si="63"/>
        <v>0</v>
      </c>
      <c r="BE142" s="31">
        <f t="shared" si="63"/>
        <v>0</v>
      </c>
      <c r="BF142" s="31">
        <f t="shared" si="63"/>
        <v>0</v>
      </c>
      <c r="BG142" s="31">
        <f t="shared" si="63"/>
        <v>0.04</v>
      </c>
      <c r="BH142" s="31">
        <f t="shared" si="63"/>
        <v>0</v>
      </c>
      <c r="BI142" s="31">
        <f t="shared" si="63"/>
        <v>8.5400000000000004E-2</v>
      </c>
      <c r="BJ142" s="31">
        <f t="shared" si="63"/>
        <v>0</v>
      </c>
      <c r="BK142" s="31">
        <f t="shared" si="63"/>
        <v>1.2999999999999999E-2</v>
      </c>
      <c r="BL142" s="31">
        <f t="shared" si="63"/>
        <v>4.5699999999999998E-2</v>
      </c>
      <c r="BM142" s="31">
        <f t="shared" si="63"/>
        <v>5.1200000000000002E-2</v>
      </c>
      <c r="BN142" s="31">
        <f t="shared" si="63"/>
        <v>3.8300000000000001E-2</v>
      </c>
      <c r="BO142" s="31">
        <f t="shared" si="63"/>
        <v>3.2800000000000003E-2</v>
      </c>
      <c r="BP142" s="31">
        <f t="shared" si="63"/>
        <v>5.2200000000000003E-2</v>
      </c>
      <c r="BQ142" s="31">
        <f t="shared" si="63"/>
        <v>1.4500000000000001E-2</v>
      </c>
      <c r="BR142" s="31">
        <f t="shared" si="63"/>
        <v>1.32E-2</v>
      </c>
      <c r="BS142" s="31">
        <f t="shared" si="63"/>
        <v>6.3500000000000001E-2</v>
      </c>
      <c r="BT142" s="31">
        <f t="shared" si="63"/>
        <v>0</v>
      </c>
      <c r="BU142" s="31">
        <f t="shared" si="63"/>
        <v>0</v>
      </c>
      <c r="BV142" s="31">
        <f t="shared" si="63"/>
        <v>0</v>
      </c>
      <c r="BW142" s="31">
        <f t="shared" si="63"/>
        <v>0</v>
      </c>
      <c r="BX142" s="31">
        <f t="shared" si="63"/>
        <v>0</v>
      </c>
      <c r="BY142" s="31">
        <f t="shared" si="63"/>
        <v>0.1226</v>
      </c>
      <c r="BZ142" s="31">
        <f t="shared" si="63"/>
        <v>7.5700000000000003E-2</v>
      </c>
      <c r="CA142" s="31">
        <f t="shared" si="63"/>
        <v>0</v>
      </c>
      <c r="CB142" s="31">
        <f t="shared" si="63"/>
        <v>0</v>
      </c>
      <c r="CC142" s="31">
        <f t="shared" si="63"/>
        <v>5.6599999999999998E-2</v>
      </c>
      <c r="CD142" s="31">
        <f t="shared" si="63"/>
        <v>0</v>
      </c>
      <c r="CE142" s="31">
        <f t="shared" si="63"/>
        <v>0</v>
      </c>
      <c r="CF142" s="31">
        <f t="shared" si="63"/>
        <v>1.04E-2</v>
      </c>
      <c r="CG142" s="31">
        <f t="shared" si="63"/>
        <v>0</v>
      </c>
      <c r="CH142" s="31">
        <f t="shared" si="63"/>
        <v>8.7099999999999997E-2</v>
      </c>
      <c r="CI142" s="31">
        <f t="shared" si="63"/>
        <v>4.9599999999999998E-2</v>
      </c>
      <c r="CJ142" s="31">
        <f t="shared" si="63"/>
        <v>4.6899999999999997E-2</v>
      </c>
      <c r="CK142" s="31">
        <f t="shared" si="63"/>
        <v>0</v>
      </c>
      <c r="CL142" s="31">
        <f t="shared" si="63"/>
        <v>0</v>
      </c>
      <c r="CM142" s="31">
        <f t="shared" si="63"/>
        <v>3.1699999999999999E-2</v>
      </c>
      <c r="CN142" s="31">
        <f t="shared" si="63"/>
        <v>0</v>
      </c>
      <c r="CO142" s="31">
        <f t="shared" si="63"/>
        <v>0</v>
      </c>
      <c r="CP142" s="31">
        <f t="shared" si="63"/>
        <v>2.8999999999999998E-3</v>
      </c>
      <c r="CQ142" s="31">
        <f t="shared" si="63"/>
        <v>8.7400000000000005E-2</v>
      </c>
      <c r="CR142" s="31">
        <f t="shared" si="63"/>
        <v>0</v>
      </c>
      <c r="CS142" s="31">
        <f t="shared" si="63"/>
        <v>0</v>
      </c>
      <c r="CT142" s="31">
        <f t="shared" si="63"/>
        <v>0.1031</v>
      </c>
      <c r="CU142" s="31">
        <f t="shared" si="63"/>
        <v>0</v>
      </c>
      <c r="CV142" s="31">
        <f t="shared" si="63"/>
        <v>0</v>
      </c>
      <c r="CW142" s="31">
        <f t="shared" si="63"/>
        <v>0.03</v>
      </c>
      <c r="CX142" s="31">
        <f t="shared" si="63"/>
        <v>1.2E-2</v>
      </c>
      <c r="CY142" s="31">
        <f t="shared" si="63"/>
        <v>1.5699999999999999E-2</v>
      </c>
      <c r="CZ142" s="31">
        <f t="shared" si="63"/>
        <v>3.04E-2</v>
      </c>
      <c r="DA142" s="31">
        <f t="shared" si="63"/>
        <v>0</v>
      </c>
      <c r="DB142" s="31">
        <f t="shared" si="63"/>
        <v>0</v>
      </c>
      <c r="DC142" s="31">
        <f t="shared" si="63"/>
        <v>0</v>
      </c>
      <c r="DD142" s="31">
        <f t="shared" si="63"/>
        <v>4.8099999999999997E-2</v>
      </c>
      <c r="DE142" s="31">
        <f t="shared" si="63"/>
        <v>0</v>
      </c>
      <c r="DF142" s="31">
        <f t="shared" si="63"/>
        <v>2.92E-2</v>
      </c>
      <c r="DG142" s="31">
        <f t="shared" si="63"/>
        <v>0</v>
      </c>
      <c r="DH142" s="31">
        <f t="shared" si="63"/>
        <v>3.4099999999999998E-2</v>
      </c>
      <c r="DI142" s="31">
        <f t="shared" si="63"/>
        <v>6.0400000000000002E-2</v>
      </c>
      <c r="DJ142" s="31">
        <f t="shared" si="63"/>
        <v>0.03</v>
      </c>
      <c r="DK142" s="31">
        <f t="shared" si="63"/>
        <v>0</v>
      </c>
      <c r="DL142" s="31">
        <f t="shared" si="63"/>
        <v>3.0099999999999998E-2</v>
      </c>
      <c r="DM142" s="31">
        <f t="shared" si="63"/>
        <v>3.4700000000000002E-2</v>
      </c>
      <c r="DN142" s="31">
        <f t="shared" si="63"/>
        <v>5.9400000000000001E-2</v>
      </c>
      <c r="DO142" s="31">
        <f t="shared" si="63"/>
        <v>4.4400000000000002E-2</v>
      </c>
      <c r="DP142" s="31">
        <f t="shared" si="63"/>
        <v>0</v>
      </c>
      <c r="DQ142" s="31">
        <f t="shared" si="63"/>
        <v>0</v>
      </c>
      <c r="DR142" s="31">
        <f t="shared" si="63"/>
        <v>9.2999999999999999E-2</v>
      </c>
      <c r="DS142" s="31">
        <f t="shared" si="63"/>
        <v>0.1103</v>
      </c>
      <c r="DT142" s="31">
        <f t="shared" si="63"/>
        <v>0.11990000000000001</v>
      </c>
      <c r="DU142" s="31">
        <f t="shared" si="63"/>
        <v>4.0099999999999997E-2</v>
      </c>
      <c r="DV142" s="31">
        <f t="shared" si="63"/>
        <v>0</v>
      </c>
      <c r="DW142" s="31">
        <f t="shared" si="63"/>
        <v>1.9400000000000001E-2</v>
      </c>
      <c r="DX142" s="31">
        <f t="shared" si="63"/>
        <v>0</v>
      </c>
      <c r="DY142" s="31">
        <f t="shared" si="63"/>
        <v>0</v>
      </c>
      <c r="DZ142" s="31">
        <f t="shared" si="63"/>
        <v>0</v>
      </c>
      <c r="EA142" s="31">
        <f t="shared" si="63"/>
        <v>0</v>
      </c>
      <c r="EB142" s="31">
        <f t="shared" si="63"/>
        <v>4.9500000000000002E-2</v>
      </c>
      <c r="EC142" s="31">
        <f t="shared" si="63"/>
        <v>0</v>
      </c>
      <c r="ED142" s="31">
        <f t="shared" si="63"/>
        <v>0</v>
      </c>
      <c r="EE142" s="31">
        <f t="shared" si="63"/>
        <v>7.4399999999999994E-2</v>
      </c>
      <c r="EF142" s="31">
        <f t="shared" si="63"/>
        <v>8.9399999999999993E-2</v>
      </c>
      <c r="EG142" s="31">
        <f t="shared" si="63"/>
        <v>5.3999999999999999E-2</v>
      </c>
      <c r="EH142" s="31">
        <f t="shared" si="63"/>
        <v>1.9800000000000002E-2</v>
      </c>
      <c r="EI142" s="31">
        <f t="shared" si="63"/>
        <v>0.10299999999999999</v>
      </c>
      <c r="EJ142" s="31">
        <f t="shared" si="63"/>
        <v>1.7399999999999999E-2</v>
      </c>
      <c r="EK142" s="31">
        <f t="shared" si="63"/>
        <v>0</v>
      </c>
      <c r="EL142" s="31">
        <f t="shared" si="63"/>
        <v>5.3E-3</v>
      </c>
      <c r="EM142" s="31">
        <f t="shared" si="63"/>
        <v>3.9100000000000003E-2</v>
      </c>
      <c r="EN142" s="31">
        <f t="shared" si="63"/>
        <v>8.2100000000000006E-2</v>
      </c>
      <c r="EO142" s="31">
        <f t="shared" si="63"/>
        <v>4.8999999999999998E-3</v>
      </c>
      <c r="EP142" s="31">
        <f t="shared" si="63"/>
        <v>0</v>
      </c>
      <c r="EQ142" s="31">
        <f t="shared" si="63"/>
        <v>0</v>
      </c>
      <c r="ER142" s="31">
        <f t="shared" si="63"/>
        <v>0</v>
      </c>
      <c r="ES142" s="31">
        <f t="shared" si="63"/>
        <v>4.1000000000000002E-2</v>
      </c>
      <c r="ET142" s="31">
        <f t="shared" si="63"/>
        <v>8.9899999999999994E-2</v>
      </c>
      <c r="EU142" s="31">
        <f t="shared" si="63"/>
        <v>0.14180000000000001</v>
      </c>
      <c r="EV142" s="31">
        <f t="shared" si="63"/>
        <v>4.36E-2</v>
      </c>
      <c r="EW142" s="31">
        <f t="shared" si="63"/>
        <v>0</v>
      </c>
      <c r="EX142" s="31">
        <f t="shared" si="63"/>
        <v>1.9800000000000002E-2</v>
      </c>
      <c r="EY142" s="31">
        <f t="shared" si="63"/>
        <v>5.79E-2</v>
      </c>
      <c r="EZ142" s="31">
        <f t="shared" si="63"/>
        <v>2.5499999999999998E-2</v>
      </c>
      <c r="FA142" s="31">
        <f t="shared" si="63"/>
        <v>0</v>
      </c>
      <c r="FB142" s="31">
        <f t="shared" si="63"/>
        <v>9.9599999999999994E-2</v>
      </c>
      <c r="FC142" s="31">
        <f t="shared" si="63"/>
        <v>0</v>
      </c>
      <c r="FD142" s="31">
        <f t="shared" si="63"/>
        <v>3.1800000000000002E-2</v>
      </c>
      <c r="FE142" s="31">
        <f t="shared" si="63"/>
        <v>6.4799999999999996E-2</v>
      </c>
      <c r="FF142" s="31">
        <f t="shared" si="63"/>
        <v>3.6600000000000001E-2</v>
      </c>
      <c r="FG142" s="31">
        <f t="shared" si="63"/>
        <v>0</v>
      </c>
      <c r="FH142" s="31">
        <f t="shared" si="63"/>
        <v>0</v>
      </c>
      <c r="FI142" s="31">
        <f t="shared" si="63"/>
        <v>4.9000000000000002E-2</v>
      </c>
      <c r="FJ142" s="31">
        <f t="shared" si="63"/>
        <v>0</v>
      </c>
      <c r="FK142" s="31">
        <f t="shared" si="63"/>
        <v>2.69E-2</v>
      </c>
      <c r="FL142" s="31">
        <f t="shared" si="63"/>
        <v>0</v>
      </c>
      <c r="FM142" s="31">
        <f t="shared" si="63"/>
        <v>0</v>
      </c>
      <c r="FN142" s="31">
        <f t="shared" si="63"/>
        <v>6.9199999999999998E-2</v>
      </c>
      <c r="FO142" s="31">
        <f t="shared" si="63"/>
        <v>1.5299999999999999E-2</v>
      </c>
      <c r="FP142" s="31">
        <f t="shared" si="63"/>
        <v>3.2399999999999998E-2</v>
      </c>
      <c r="FQ142" s="31">
        <f t="shared" si="63"/>
        <v>0</v>
      </c>
      <c r="FR142" s="31">
        <f t="shared" si="63"/>
        <v>0</v>
      </c>
      <c r="FS142" s="31">
        <f t="shared" si="63"/>
        <v>0</v>
      </c>
      <c r="FT142" s="31">
        <f t="shared" si="63"/>
        <v>3.8699999999999998E-2</v>
      </c>
      <c r="FU142" s="31">
        <f t="shared" si="63"/>
        <v>5.1799999999999999E-2</v>
      </c>
      <c r="FV142" s="31">
        <f t="shared" si="63"/>
        <v>4.7399999999999998E-2</v>
      </c>
      <c r="FW142" s="31">
        <f t="shared" si="63"/>
        <v>4.9000000000000002E-2</v>
      </c>
      <c r="FX142" s="31">
        <f t="shared" si="63"/>
        <v>0</v>
      </c>
      <c r="FY142" s="7"/>
      <c r="FZ142" s="31"/>
      <c r="GA142" s="7"/>
      <c r="GB142" s="25"/>
      <c r="GC142" s="25"/>
      <c r="GD142" s="25"/>
      <c r="GE142" s="7"/>
      <c r="GF142" s="23"/>
      <c r="GG142" s="23"/>
      <c r="GH142" s="23"/>
      <c r="GI142" s="7"/>
      <c r="GJ142" s="7"/>
      <c r="GK142" s="7"/>
    </row>
    <row r="143" spans="1:207" ht="15.5" x14ac:dyDescent="0.35">
      <c r="A143" s="7"/>
      <c r="B143" s="7" t="s">
        <v>870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65"/>
      <c r="FZ143" s="7"/>
      <c r="GA143" s="7"/>
      <c r="GB143" s="31"/>
      <c r="GC143" s="31"/>
      <c r="GD143" s="31"/>
      <c r="GE143" s="7"/>
      <c r="GF143" s="7"/>
      <c r="GG143" s="7"/>
      <c r="GH143" s="7"/>
      <c r="GI143" s="7"/>
      <c r="GJ143" s="7"/>
      <c r="GK143" s="7"/>
    </row>
    <row r="144" spans="1:207" ht="15.5" x14ac:dyDescent="0.35">
      <c r="A144" s="12" t="s">
        <v>599</v>
      </c>
      <c r="B144" s="7" t="s">
        <v>871</v>
      </c>
      <c r="C144" s="31">
        <f t="shared" ref="C144:FX144" si="64">ROUND(IF((C139-C19)*0.36&lt;0=TRUE(),0,IF((C103&gt;50000),(C139-C19)*0.36,0)),4)</f>
        <v>0</v>
      </c>
      <c r="D144" s="31">
        <f t="shared" si="64"/>
        <v>0</v>
      </c>
      <c r="E144" s="31">
        <f t="shared" si="64"/>
        <v>0</v>
      </c>
      <c r="F144" s="31">
        <f t="shared" si="64"/>
        <v>0</v>
      </c>
      <c r="G144" s="31">
        <f t="shared" si="64"/>
        <v>0</v>
      </c>
      <c r="H144" s="31">
        <f t="shared" si="64"/>
        <v>0</v>
      </c>
      <c r="I144" s="31">
        <f t="shared" si="64"/>
        <v>0</v>
      </c>
      <c r="J144" s="31">
        <f t="shared" si="64"/>
        <v>0</v>
      </c>
      <c r="K144" s="31">
        <f t="shared" si="64"/>
        <v>0</v>
      </c>
      <c r="L144" s="31">
        <f t="shared" si="64"/>
        <v>0</v>
      </c>
      <c r="M144" s="31">
        <f t="shared" si="64"/>
        <v>0</v>
      </c>
      <c r="N144" s="31">
        <f t="shared" si="64"/>
        <v>0</v>
      </c>
      <c r="O144" s="31">
        <f t="shared" si="64"/>
        <v>0</v>
      </c>
      <c r="P144" s="31">
        <f t="shared" si="64"/>
        <v>0</v>
      </c>
      <c r="Q144" s="31">
        <f t="shared" si="64"/>
        <v>0</v>
      </c>
      <c r="R144" s="31">
        <f t="shared" si="64"/>
        <v>0</v>
      </c>
      <c r="S144" s="31">
        <f t="shared" si="64"/>
        <v>0</v>
      </c>
      <c r="T144" s="31">
        <f t="shared" si="64"/>
        <v>0</v>
      </c>
      <c r="U144" s="31">
        <f t="shared" si="64"/>
        <v>0</v>
      </c>
      <c r="V144" s="31">
        <f t="shared" si="64"/>
        <v>0</v>
      </c>
      <c r="W144" s="31">
        <f t="shared" si="64"/>
        <v>0</v>
      </c>
      <c r="X144" s="31">
        <f t="shared" si="64"/>
        <v>0</v>
      </c>
      <c r="Y144" s="31">
        <f t="shared" si="64"/>
        <v>0</v>
      </c>
      <c r="Z144" s="31">
        <f t="shared" si="64"/>
        <v>0</v>
      </c>
      <c r="AA144" s="31">
        <f t="shared" si="64"/>
        <v>0</v>
      </c>
      <c r="AB144" s="31">
        <f t="shared" si="64"/>
        <v>0</v>
      </c>
      <c r="AC144" s="31">
        <f t="shared" si="64"/>
        <v>0</v>
      </c>
      <c r="AD144" s="31">
        <f t="shared" si="64"/>
        <v>0</v>
      </c>
      <c r="AE144" s="31">
        <f t="shared" si="64"/>
        <v>0</v>
      </c>
      <c r="AF144" s="31">
        <f t="shared" si="64"/>
        <v>0</v>
      </c>
      <c r="AG144" s="31">
        <f t="shared" si="64"/>
        <v>0</v>
      </c>
      <c r="AH144" s="31">
        <f t="shared" si="64"/>
        <v>0</v>
      </c>
      <c r="AI144" s="31">
        <f t="shared" si="64"/>
        <v>0</v>
      </c>
      <c r="AJ144" s="31">
        <f t="shared" si="64"/>
        <v>0</v>
      </c>
      <c r="AK144" s="31">
        <f t="shared" si="64"/>
        <v>0</v>
      </c>
      <c r="AL144" s="31">
        <f t="shared" si="64"/>
        <v>0</v>
      </c>
      <c r="AM144" s="31">
        <f t="shared" si="64"/>
        <v>0</v>
      </c>
      <c r="AN144" s="31">
        <f t="shared" si="64"/>
        <v>0</v>
      </c>
      <c r="AO144" s="31">
        <f t="shared" si="64"/>
        <v>0</v>
      </c>
      <c r="AP144" s="31">
        <f t="shared" si="64"/>
        <v>5.8900000000000001E-2</v>
      </c>
      <c r="AQ144" s="31">
        <f t="shared" si="64"/>
        <v>0</v>
      </c>
      <c r="AR144" s="31">
        <f t="shared" si="64"/>
        <v>0</v>
      </c>
      <c r="AS144" s="31">
        <f t="shared" si="64"/>
        <v>0</v>
      </c>
      <c r="AT144" s="31">
        <f t="shared" si="64"/>
        <v>0</v>
      </c>
      <c r="AU144" s="31">
        <f t="shared" si="64"/>
        <v>0</v>
      </c>
      <c r="AV144" s="31">
        <f t="shared" si="64"/>
        <v>0</v>
      </c>
      <c r="AW144" s="31">
        <f t="shared" si="64"/>
        <v>0</v>
      </c>
      <c r="AX144" s="31">
        <f t="shared" si="64"/>
        <v>0</v>
      </c>
      <c r="AY144" s="31">
        <f t="shared" si="64"/>
        <v>0</v>
      </c>
      <c r="AZ144" s="31">
        <f t="shared" si="64"/>
        <v>0</v>
      </c>
      <c r="BA144" s="31">
        <f t="shared" si="64"/>
        <v>0</v>
      </c>
      <c r="BB144" s="31">
        <f t="shared" si="64"/>
        <v>0</v>
      </c>
      <c r="BC144" s="31">
        <f t="shared" si="64"/>
        <v>0</v>
      </c>
      <c r="BD144" s="31">
        <f t="shared" si="64"/>
        <v>0</v>
      </c>
      <c r="BE144" s="31">
        <f t="shared" si="64"/>
        <v>0</v>
      </c>
      <c r="BF144" s="31">
        <f t="shared" si="64"/>
        <v>0</v>
      </c>
      <c r="BG144" s="31">
        <f t="shared" si="64"/>
        <v>0</v>
      </c>
      <c r="BH144" s="31">
        <f t="shared" si="64"/>
        <v>0</v>
      </c>
      <c r="BI144" s="31">
        <f t="shared" si="64"/>
        <v>0</v>
      </c>
      <c r="BJ144" s="31">
        <f t="shared" si="64"/>
        <v>0</v>
      </c>
      <c r="BK144" s="31">
        <f t="shared" si="64"/>
        <v>0</v>
      </c>
      <c r="BL144" s="31">
        <f t="shared" si="64"/>
        <v>0</v>
      </c>
      <c r="BM144" s="31">
        <f t="shared" si="64"/>
        <v>0</v>
      </c>
      <c r="BN144" s="31">
        <f t="shared" si="64"/>
        <v>0</v>
      </c>
      <c r="BO144" s="31">
        <f t="shared" si="64"/>
        <v>0</v>
      </c>
      <c r="BP144" s="31">
        <f t="shared" si="64"/>
        <v>0</v>
      </c>
      <c r="BQ144" s="31">
        <f t="shared" si="64"/>
        <v>0</v>
      </c>
      <c r="BR144" s="31">
        <f t="shared" si="64"/>
        <v>0</v>
      </c>
      <c r="BS144" s="31">
        <f t="shared" si="64"/>
        <v>0</v>
      </c>
      <c r="BT144" s="31">
        <f t="shared" si="64"/>
        <v>0</v>
      </c>
      <c r="BU144" s="31">
        <f t="shared" si="64"/>
        <v>0</v>
      </c>
      <c r="BV144" s="31">
        <f t="shared" si="64"/>
        <v>0</v>
      </c>
      <c r="BW144" s="31">
        <f t="shared" si="64"/>
        <v>0</v>
      </c>
      <c r="BX144" s="31">
        <f t="shared" si="64"/>
        <v>0</v>
      </c>
      <c r="BY144" s="31">
        <f t="shared" si="64"/>
        <v>0</v>
      </c>
      <c r="BZ144" s="31">
        <f t="shared" si="64"/>
        <v>0</v>
      </c>
      <c r="CA144" s="31">
        <f t="shared" si="64"/>
        <v>0</v>
      </c>
      <c r="CB144" s="31">
        <f t="shared" si="64"/>
        <v>0</v>
      </c>
      <c r="CC144" s="31">
        <f t="shared" si="64"/>
        <v>0</v>
      </c>
      <c r="CD144" s="31">
        <f t="shared" si="64"/>
        <v>0</v>
      </c>
      <c r="CE144" s="31">
        <f t="shared" si="64"/>
        <v>0</v>
      </c>
      <c r="CF144" s="31">
        <f t="shared" si="64"/>
        <v>0</v>
      </c>
      <c r="CG144" s="31">
        <f t="shared" si="64"/>
        <v>0</v>
      </c>
      <c r="CH144" s="31">
        <f t="shared" si="64"/>
        <v>0</v>
      </c>
      <c r="CI144" s="31">
        <f t="shared" si="64"/>
        <v>0</v>
      </c>
      <c r="CJ144" s="31">
        <f t="shared" si="64"/>
        <v>0</v>
      </c>
      <c r="CK144" s="31">
        <f t="shared" si="64"/>
        <v>0</v>
      </c>
      <c r="CL144" s="31">
        <f t="shared" si="64"/>
        <v>0</v>
      </c>
      <c r="CM144" s="31">
        <f t="shared" si="64"/>
        <v>0</v>
      </c>
      <c r="CN144" s="31">
        <f t="shared" si="64"/>
        <v>0</v>
      </c>
      <c r="CO144" s="31">
        <f t="shared" si="64"/>
        <v>0</v>
      </c>
      <c r="CP144" s="31">
        <f t="shared" si="64"/>
        <v>0</v>
      </c>
      <c r="CQ144" s="31">
        <f t="shared" si="64"/>
        <v>0</v>
      </c>
      <c r="CR144" s="31">
        <f t="shared" si="64"/>
        <v>0</v>
      </c>
      <c r="CS144" s="31">
        <f t="shared" si="64"/>
        <v>0</v>
      </c>
      <c r="CT144" s="31">
        <f t="shared" si="64"/>
        <v>0</v>
      </c>
      <c r="CU144" s="31">
        <f t="shared" si="64"/>
        <v>0</v>
      </c>
      <c r="CV144" s="31">
        <f t="shared" si="64"/>
        <v>0</v>
      </c>
      <c r="CW144" s="31">
        <f t="shared" si="64"/>
        <v>0</v>
      </c>
      <c r="CX144" s="31">
        <f t="shared" si="64"/>
        <v>0</v>
      </c>
      <c r="CY144" s="31">
        <f t="shared" si="64"/>
        <v>0</v>
      </c>
      <c r="CZ144" s="31">
        <f t="shared" si="64"/>
        <v>0</v>
      </c>
      <c r="DA144" s="31">
        <f t="shared" si="64"/>
        <v>0</v>
      </c>
      <c r="DB144" s="31">
        <f t="shared" si="64"/>
        <v>0</v>
      </c>
      <c r="DC144" s="31">
        <f t="shared" si="64"/>
        <v>0</v>
      </c>
      <c r="DD144" s="31">
        <f t="shared" si="64"/>
        <v>0</v>
      </c>
      <c r="DE144" s="31">
        <f t="shared" si="64"/>
        <v>0</v>
      </c>
      <c r="DF144" s="31">
        <f t="shared" si="64"/>
        <v>0</v>
      </c>
      <c r="DG144" s="31">
        <f t="shared" si="64"/>
        <v>0</v>
      </c>
      <c r="DH144" s="31">
        <f t="shared" si="64"/>
        <v>0</v>
      </c>
      <c r="DI144" s="31">
        <f t="shared" si="64"/>
        <v>0</v>
      </c>
      <c r="DJ144" s="31">
        <f t="shared" si="64"/>
        <v>0</v>
      </c>
      <c r="DK144" s="31">
        <f t="shared" si="64"/>
        <v>0</v>
      </c>
      <c r="DL144" s="31">
        <f t="shared" si="64"/>
        <v>0</v>
      </c>
      <c r="DM144" s="31">
        <f t="shared" si="64"/>
        <v>0</v>
      </c>
      <c r="DN144" s="31">
        <f t="shared" si="64"/>
        <v>0</v>
      </c>
      <c r="DO144" s="31">
        <f t="shared" si="64"/>
        <v>0</v>
      </c>
      <c r="DP144" s="31">
        <f t="shared" si="64"/>
        <v>0</v>
      </c>
      <c r="DQ144" s="31">
        <f t="shared" si="64"/>
        <v>0</v>
      </c>
      <c r="DR144" s="31">
        <f t="shared" si="64"/>
        <v>0</v>
      </c>
      <c r="DS144" s="31">
        <f t="shared" si="64"/>
        <v>0</v>
      </c>
      <c r="DT144" s="31">
        <f t="shared" si="64"/>
        <v>0</v>
      </c>
      <c r="DU144" s="31">
        <f t="shared" si="64"/>
        <v>0</v>
      </c>
      <c r="DV144" s="31">
        <f t="shared" si="64"/>
        <v>0</v>
      </c>
      <c r="DW144" s="31">
        <f t="shared" si="64"/>
        <v>0</v>
      </c>
      <c r="DX144" s="31">
        <f t="shared" si="64"/>
        <v>0</v>
      </c>
      <c r="DY144" s="31">
        <f t="shared" si="64"/>
        <v>0</v>
      </c>
      <c r="DZ144" s="31">
        <f t="shared" si="64"/>
        <v>0</v>
      </c>
      <c r="EA144" s="31">
        <f t="shared" si="64"/>
        <v>0</v>
      </c>
      <c r="EB144" s="31">
        <f t="shared" si="64"/>
        <v>0</v>
      </c>
      <c r="EC144" s="31">
        <f t="shared" si="64"/>
        <v>0</v>
      </c>
      <c r="ED144" s="31">
        <f t="shared" si="64"/>
        <v>0</v>
      </c>
      <c r="EE144" s="31">
        <f t="shared" si="64"/>
        <v>0</v>
      </c>
      <c r="EF144" s="31">
        <f t="shared" si="64"/>
        <v>0</v>
      </c>
      <c r="EG144" s="31">
        <f t="shared" si="64"/>
        <v>0</v>
      </c>
      <c r="EH144" s="31">
        <f t="shared" si="64"/>
        <v>0</v>
      </c>
      <c r="EI144" s="31">
        <f t="shared" si="64"/>
        <v>0</v>
      </c>
      <c r="EJ144" s="31">
        <f t="shared" si="64"/>
        <v>0</v>
      </c>
      <c r="EK144" s="31">
        <f t="shared" si="64"/>
        <v>0</v>
      </c>
      <c r="EL144" s="31">
        <f t="shared" si="64"/>
        <v>0</v>
      </c>
      <c r="EM144" s="31">
        <f t="shared" si="64"/>
        <v>0</v>
      </c>
      <c r="EN144" s="31">
        <f t="shared" si="64"/>
        <v>0</v>
      </c>
      <c r="EO144" s="31">
        <f t="shared" si="64"/>
        <v>0</v>
      </c>
      <c r="EP144" s="31">
        <f t="shared" si="64"/>
        <v>0</v>
      </c>
      <c r="EQ144" s="31">
        <f t="shared" si="64"/>
        <v>0</v>
      </c>
      <c r="ER144" s="31">
        <f t="shared" si="64"/>
        <v>0</v>
      </c>
      <c r="ES144" s="31">
        <f t="shared" si="64"/>
        <v>0</v>
      </c>
      <c r="ET144" s="31">
        <f t="shared" si="64"/>
        <v>0</v>
      </c>
      <c r="EU144" s="31">
        <f t="shared" si="64"/>
        <v>0</v>
      </c>
      <c r="EV144" s="31">
        <f t="shared" si="64"/>
        <v>0</v>
      </c>
      <c r="EW144" s="31">
        <f t="shared" si="64"/>
        <v>0</v>
      </c>
      <c r="EX144" s="31">
        <f t="shared" si="64"/>
        <v>0</v>
      </c>
      <c r="EY144" s="31">
        <f t="shared" si="64"/>
        <v>0</v>
      </c>
      <c r="EZ144" s="31">
        <f t="shared" si="64"/>
        <v>0</v>
      </c>
      <c r="FA144" s="31">
        <f t="shared" si="64"/>
        <v>0</v>
      </c>
      <c r="FB144" s="31">
        <f t="shared" si="64"/>
        <v>0</v>
      </c>
      <c r="FC144" s="31">
        <f t="shared" si="64"/>
        <v>0</v>
      </c>
      <c r="FD144" s="31">
        <f t="shared" si="64"/>
        <v>0</v>
      </c>
      <c r="FE144" s="31">
        <f t="shared" si="64"/>
        <v>0</v>
      </c>
      <c r="FF144" s="31">
        <f t="shared" si="64"/>
        <v>0</v>
      </c>
      <c r="FG144" s="31">
        <f t="shared" si="64"/>
        <v>0</v>
      </c>
      <c r="FH144" s="31">
        <f t="shared" si="64"/>
        <v>0</v>
      </c>
      <c r="FI144" s="31">
        <f t="shared" si="64"/>
        <v>0</v>
      </c>
      <c r="FJ144" s="31">
        <f t="shared" si="64"/>
        <v>0</v>
      </c>
      <c r="FK144" s="31">
        <f t="shared" si="64"/>
        <v>0</v>
      </c>
      <c r="FL144" s="31">
        <f t="shared" si="64"/>
        <v>0</v>
      </c>
      <c r="FM144" s="31">
        <f t="shared" si="64"/>
        <v>0</v>
      </c>
      <c r="FN144" s="31">
        <f t="shared" si="64"/>
        <v>0</v>
      </c>
      <c r="FO144" s="31">
        <f t="shared" si="64"/>
        <v>0</v>
      </c>
      <c r="FP144" s="31">
        <f t="shared" si="64"/>
        <v>0</v>
      </c>
      <c r="FQ144" s="31">
        <f t="shared" si="64"/>
        <v>0</v>
      </c>
      <c r="FR144" s="31">
        <f t="shared" si="64"/>
        <v>0</v>
      </c>
      <c r="FS144" s="31">
        <f t="shared" si="64"/>
        <v>0</v>
      </c>
      <c r="FT144" s="31">
        <f t="shared" si="64"/>
        <v>0</v>
      </c>
      <c r="FU144" s="31">
        <f t="shared" si="64"/>
        <v>0</v>
      </c>
      <c r="FV144" s="31">
        <f t="shared" si="64"/>
        <v>0</v>
      </c>
      <c r="FW144" s="31">
        <f t="shared" si="64"/>
        <v>0</v>
      </c>
      <c r="FX144" s="31">
        <f t="shared" si="64"/>
        <v>0</v>
      </c>
      <c r="FY144" s="31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</row>
    <row r="145" spans="1:193" ht="15.5" x14ac:dyDescent="0.35">
      <c r="A145" s="7"/>
      <c r="B145" s="7" t="s">
        <v>872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65"/>
      <c r="GC145" s="65"/>
      <c r="GD145" s="65"/>
      <c r="GE145" s="7"/>
      <c r="GF145" s="65"/>
      <c r="GG145" s="65"/>
      <c r="GH145" s="65"/>
      <c r="GI145" s="65"/>
      <c r="GJ145" s="65"/>
      <c r="GK145" s="65"/>
    </row>
    <row r="146" spans="1:193" ht="15.5" x14ac:dyDescent="0.35">
      <c r="A146" s="12" t="s">
        <v>873</v>
      </c>
      <c r="B146" s="7" t="s">
        <v>874</v>
      </c>
      <c r="C146" s="106">
        <f t="shared" ref="C146:FX146" si="65">MAX(C142,C144)</f>
        <v>8.09E-2</v>
      </c>
      <c r="D146" s="106">
        <f t="shared" si="65"/>
        <v>1.55E-2</v>
      </c>
      <c r="E146" s="106">
        <f t="shared" si="65"/>
        <v>0.12570000000000001</v>
      </c>
      <c r="F146" s="106">
        <f t="shared" si="65"/>
        <v>1.46E-2</v>
      </c>
      <c r="G146" s="106">
        <f t="shared" si="65"/>
        <v>0</v>
      </c>
      <c r="H146" s="106">
        <f t="shared" si="65"/>
        <v>0</v>
      </c>
      <c r="I146" s="106">
        <f t="shared" si="65"/>
        <v>0.10630000000000001</v>
      </c>
      <c r="J146" s="106">
        <f t="shared" si="65"/>
        <v>9.8599999999999993E-2</v>
      </c>
      <c r="K146" s="106">
        <f t="shared" si="65"/>
        <v>4.3700000000000003E-2</v>
      </c>
      <c r="L146" s="106">
        <f t="shared" si="65"/>
        <v>5.4199999999999998E-2</v>
      </c>
      <c r="M146" s="106">
        <f t="shared" si="65"/>
        <v>0.1183</v>
      </c>
      <c r="N146" s="106">
        <f t="shared" si="65"/>
        <v>0</v>
      </c>
      <c r="O146" s="106">
        <f t="shared" si="65"/>
        <v>0</v>
      </c>
      <c r="P146" s="106">
        <f t="shared" si="65"/>
        <v>1.77E-2</v>
      </c>
      <c r="Q146" s="106">
        <f t="shared" si="65"/>
        <v>9.6799999999999997E-2</v>
      </c>
      <c r="R146" s="106">
        <f t="shared" si="65"/>
        <v>2.0400000000000001E-2</v>
      </c>
      <c r="S146" s="106">
        <f t="shared" si="65"/>
        <v>3.8100000000000002E-2</v>
      </c>
      <c r="T146" s="106">
        <f t="shared" si="65"/>
        <v>8.2600000000000007E-2</v>
      </c>
      <c r="U146" s="106">
        <f t="shared" si="65"/>
        <v>6.3200000000000006E-2</v>
      </c>
      <c r="V146" s="106">
        <f t="shared" si="65"/>
        <v>8.4000000000000005E-2</v>
      </c>
      <c r="W146" s="106">
        <f t="shared" si="65"/>
        <v>9.5399999999999999E-2</v>
      </c>
      <c r="X146" s="106">
        <f t="shared" si="65"/>
        <v>2.9499999999999998E-2</v>
      </c>
      <c r="Y146" s="106">
        <f t="shared" si="65"/>
        <v>0.1129</v>
      </c>
      <c r="Z146" s="106">
        <f t="shared" si="65"/>
        <v>0</v>
      </c>
      <c r="AA146" s="106">
        <f t="shared" si="65"/>
        <v>0</v>
      </c>
      <c r="AB146" s="106">
        <f t="shared" si="65"/>
        <v>0</v>
      </c>
      <c r="AC146" s="106">
        <f t="shared" si="65"/>
        <v>0</v>
      </c>
      <c r="AD146" s="106">
        <f t="shared" si="65"/>
        <v>0</v>
      </c>
      <c r="AE146" s="106">
        <f t="shared" si="65"/>
        <v>6.9800000000000001E-2</v>
      </c>
      <c r="AF146" s="106">
        <f t="shared" si="65"/>
        <v>2.3800000000000002E-2</v>
      </c>
      <c r="AG146" s="106">
        <f t="shared" si="65"/>
        <v>0</v>
      </c>
      <c r="AH146" s="106">
        <f t="shared" si="65"/>
        <v>6.6600000000000006E-2</v>
      </c>
      <c r="AI146" s="106">
        <f t="shared" si="65"/>
        <v>4.3900000000000002E-2</v>
      </c>
      <c r="AJ146" s="106">
        <f t="shared" si="65"/>
        <v>0.1145</v>
      </c>
      <c r="AK146" s="106">
        <f t="shared" si="65"/>
        <v>0.13969999999999999</v>
      </c>
      <c r="AL146" s="106">
        <f t="shared" si="65"/>
        <v>0.1104</v>
      </c>
      <c r="AM146" s="106">
        <f t="shared" si="65"/>
        <v>5.6899999999999999E-2</v>
      </c>
      <c r="AN146" s="106">
        <f t="shared" si="65"/>
        <v>1.52E-2</v>
      </c>
      <c r="AO146" s="106">
        <f t="shared" si="65"/>
        <v>4.19E-2</v>
      </c>
      <c r="AP146" s="106">
        <f t="shared" si="65"/>
        <v>5.8900000000000001E-2</v>
      </c>
      <c r="AQ146" s="106">
        <f t="shared" si="65"/>
        <v>4.1099999999999998E-2</v>
      </c>
      <c r="AR146" s="106">
        <f t="shared" si="65"/>
        <v>0</v>
      </c>
      <c r="AS146" s="106">
        <f t="shared" si="65"/>
        <v>0</v>
      </c>
      <c r="AT146" s="106">
        <f t="shared" si="65"/>
        <v>0</v>
      </c>
      <c r="AU146" s="106">
        <f t="shared" si="65"/>
        <v>0</v>
      </c>
      <c r="AV146" s="106">
        <f t="shared" si="65"/>
        <v>0.05</v>
      </c>
      <c r="AW146" s="106">
        <f t="shared" si="65"/>
        <v>0</v>
      </c>
      <c r="AX146" s="106">
        <f t="shared" si="65"/>
        <v>2.4799999999999999E-2</v>
      </c>
      <c r="AY146" s="106">
        <f t="shared" si="65"/>
        <v>2.18E-2</v>
      </c>
      <c r="AZ146" s="106">
        <f t="shared" si="65"/>
        <v>6.1800000000000001E-2</v>
      </c>
      <c r="BA146" s="106">
        <f t="shared" si="65"/>
        <v>5.4999999999999997E-3</v>
      </c>
      <c r="BB146" s="106">
        <f t="shared" si="65"/>
        <v>7.6E-3</v>
      </c>
      <c r="BC146" s="106">
        <f t="shared" si="65"/>
        <v>3.3399999999999999E-2</v>
      </c>
      <c r="BD146" s="106">
        <f t="shared" si="65"/>
        <v>0</v>
      </c>
      <c r="BE146" s="106">
        <f t="shared" si="65"/>
        <v>0</v>
      </c>
      <c r="BF146" s="106">
        <f t="shared" si="65"/>
        <v>0</v>
      </c>
      <c r="BG146" s="106">
        <f t="shared" si="65"/>
        <v>0.04</v>
      </c>
      <c r="BH146" s="106">
        <f t="shared" si="65"/>
        <v>0</v>
      </c>
      <c r="BI146" s="106">
        <f t="shared" si="65"/>
        <v>8.5400000000000004E-2</v>
      </c>
      <c r="BJ146" s="106">
        <f t="shared" si="65"/>
        <v>0</v>
      </c>
      <c r="BK146" s="106">
        <f t="shared" si="65"/>
        <v>1.2999999999999999E-2</v>
      </c>
      <c r="BL146" s="106">
        <f t="shared" si="65"/>
        <v>4.5699999999999998E-2</v>
      </c>
      <c r="BM146" s="106">
        <f t="shared" si="65"/>
        <v>5.1200000000000002E-2</v>
      </c>
      <c r="BN146" s="106">
        <f t="shared" si="65"/>
        <v>3.8300000000000001E-2</v>
      </c>
      <c r="BO146" s="106">
        <f t="shared" si="65"/>
        <v>3.2800000000000003E-2</v>
      </c>
      <c r="BP146" s="106">
        <f t="shared" si="65"/>
        <v>5.2200000000000003E-2</v>
      </c>
      <c r="BQ146" s="106">
        <f t="shared" si="65"/>
        <v>1.4500000000000001E-2</v>
      </c>
      <c r="BR146" s="106">
        <f t="shared" si="65"/>
        <v>1.32E-2</v>
      </c>
      <c r="BS146" s="106">
        <f t="shared" si="65"/>
        <v>6.3500000000000001E-2</v>
      </c>
      <c r="BT146" s="106">
        <f t="shared" si="65"/>
        <v>0</v>
      </c>
      <c r="BU146" s="106">
        <f t="shared" si="65"/>
        <v>0</v>
      </c>
      <c r="BV146" s="106">
        <f t="shared" si="65"/>
        <v>0</v>
      </c>
      <c r="BW146" s="106">
        <f t="shared" si="65"/>
        <v>0</v>
      </c>
      <c r="BX146" s="106">
        <f t="shared" si="65"/>
        <v>0</v>
      </c>
      <c r="BY146" s="106">
        <f t="shared" si="65"/>
        <v>0.1226</v>
      </c>
      <c r="BZ146" s="106">
        <f t="shared" si="65"/>
        <v>7.5700000000000003E-2</v>
      </c>
      <c r="CA146" s="106">
        <f t="shared" si="65"/>
        <v>0</v>
      </c>
      <c r="CB146" s="106">
        <f t="shared" si="65"/>
        <v>0</v>
      </c>
      <c r="CC146" s="106">
        <f t="shared" si="65"/>
        <v>5.6599999999999998E-2</v>
      </c>
      <c r="CD146" s="106">
        <f t="shared" si="65"/>
        <v>0</v>
      </c>
      <c r="CE146" s="106">
        <f t="shared" si="65"/>
        <v>0</v>
      </c>
      <c r="CF146" s="106">
        <f t="shared" si="65"/>
        <v>1.04E-2</v>
      </c>
      <c r="CG146" s="106">
        <f t="shared" si="65"/>
        <v>0</v>
      </c>
      <c r="CH146" s="106">
        <f t="shared" si="65"/>
        <v>8.7099999999999997E-2</v>
      </c>
      <c r="CI146" s="106">
        <f t="shared" si="65"/>
        <v>4.9599999999999998E-2</v>
      </c>
      <c r="CJ146" s="106">
        <f t="shared" si="65"/>
        <v>4.6899999999999997E-2</v>
      </c>
      <c r="CK146" s="106">
        <f t="shared" si="65"/>
        <v>0</v>
      </c>
      <c r="CL146" s="106">
        <f t="shared" si="65"/>
        <v>0</v>
      </c>
      <c r="CM146" s="106">
        <f t="shared" si="65"/>
        <v>3.1699999999999999E-2</v>
      </c>
      <c r="CN146" s="106">
        <f t="shared" si="65"/>
        <v>0</v>
      </c>
      <c r="CO146" s="106">
        <f t="shared" si="65"/>
        <v>0</v>
      </c>
      <c r="CP146" s="106">
        <f t="shared" si="65"/>
        <v>2.8999999999999998E-3</v>
      </c>
      <c r="CQ146" s="106">
        <f t="shared" si="65"/>
        <v>8.7400000000000005E-2</v>
      </c>
      <c r="CR146" s="106">
        <f t="shared" si="65"/>
        <v>0</v>
      </c>
      <c r="CS146" s="106">
        <f t="shared" si="65"/>
        <v>0</v>
      </c>
      <c r="CT146" s="106">
        <f t="shared" si="65"/>
        <v>0.1031</v>
      </c>
      <c r="CU146" s="106">
        <f t="shared" si="65"/>
        <v>0</v>
      </c>
      <c r="CV146" s="106">
        <f t="shared" si="65"/>
        <v>0</v>
      </c>
      <c r="CW146" s="106">
        <f t="shared" si="65"/>
        <v>0.03</v>
      </c>
      <c r="CX146" s="106">
        <f t="shared" si="65"/>
        <v>1.2E-2</v>
      </c>
      <c r="CY146" s="106">
        <f t="shared" si="65"/>
        <v>1.5699999999999999E-2</v>
      </c>
      <c r="CZ146" s="106">
        <f t="shared" si="65"/>
        <v>3.04E-2</v>
      </c>
      <c r="DA146" s="106">
        <f t="shared" si="65"/>
        <v>0</v>
      </c>
      <c r="DB146" s="106">
        <f t="shared" si="65"/>
        <v>0</v>
      </c>
      <c r="DC146" s="106">
        <f t="shared" si="65"/>
        <v>0</v>
      </c>
      <c r="DD146" s="106">
        <f t="shared" si="65"/>
        <v>4.8099999999999997E-2</v>
      </c>
      <c r="DE146" s="106">
        <f t="shared" si="65"/>
        <v>0</v>
      </c>
      <c r="DF146" s="106">
        <f t="shared" si="65"/>
        <v>2.92E-2</v>
      </c>
      <c r="DG146" s="106">
        <f t="shared" si="65"/>
        <v>0</v>
      </c>
      <c r="DH146" s="106">
        <f t="shared" si="65"/>
        <v>3.4099999999999998E-2</v>
      </c>
      <c r="DI146" s="106">
        <f t="shared" si="65"/>
        <v>6.0400000000000002E-2</v>
      </c>
      <c r="DJ146" s="106">
        <f t="shared" si="65"/>
        <v>0.03</v>
      </c>
      <c r="DK146" s="106">
        <f t="shared" si="65"/>
        <v>0</v>
      </c>
      <c r="DL146" s="106">
        <f t="shared" si="65"/>
        <v>3.0099999999999998E-2</v>
      </c>
      <c r="DM146" s="106">
        <f t="shared" si="65"/>
        <v>3.4700000000000002E-2</v>
      </c>
      <c r="DN146" s="106">
        <f t="shared" si="65"/>
        <v>5.9400000000000001E-2</v>
      </c>
      <c r="DO146" s="106">
        <f t="shared" si="65"/>
        <v>4.4400000000000002E-2</v>
      </c>
      <c r="DP146" s="106">
        <f t="shared" si="65"/>
        <v>0</v>
      </c>
      <c r="DQ146" s="106">
        <f t="shared" si="65"/>
        <v>0</v>
      </c>
      <c r="DR146" s="106">
        <f t="shared" si="65"/>
        <v>9.2999999999999999E-2</v>
      </c>
      <c r="DS146" s="106">
        <f t="shared" si="65"/>
        <v>0.1103</v>
      </c>
      <c r="DT146" s="106">
        <f t="shared" si="65"/>
        <v>0.11990000000000001</v>
      </c>
      <c r="DU146" s="106">
        <f t="shared" si="65"/>
        <v>4.0099999999999997E-2</v>
      </c>
      <c r="DV146" s="106">
        <f t="shared" si="65"/>
        <v>0</v>
      </c>
      <c r="DW146" s="106">
        <f t="shared" si="65"/>
        <v>1.9400000000000001E-2</v>
      </c>
      <c r="DX146" s="106">
        <f t="shared" si="65"/>
        <v>0</v>
      </c>
      <c r="DY146" s="106">
        <f t="shared" si="65"/>
        <v>0</v>
      </c>
      <c r="DZ146" s="106">
        <f t="shared" si="65"/>
        <v>0</v>
      </c>
      <c r="EA146" s="106">
        <f t="shared" si="65"/>
        <v>0</v>
      </c>
      <c r="EB146" s="106">
        <f t="shared" si="65"/>
        <v>4.9500000000000002E-2</v>
      </c>
      <c r="EC146" s="106">
        <f t="shared" si="65"/>
        <v>0</v>
      </c>
      <c r="ED146" s="106">
        <f t="shared" si="65"/>
        <v>0</v>
      </c>
      <c r="EE146" s="106">
        <f t="shared" si="65"/>
        <v>7.4399999999999994E-2</v>
      </c>
      <c r="EF146" s="106">
        <f t="shared" si="65"/>
        <v>8.9399999999999993E-2</v>
      </c>
      <c r="EG146" s="106">
        <f t="shared" si="65"/>
        <v>5.3999999999999999E-2</v>
      </c>
      <c r="EH146" s="106">
        <f t="shared" si="65"/>
        <v>1.9800000000000002E-2</v>
      </c>
      <c r="EI146" s="106">
        <f t="shared" si="65"/>
        <v>0.10299999999999999</v>
      </c>
      <c r="EJ146" s="106">
        <f t="shared" si="65"/>
        <v>1.7399999999999999E-2</v>
      </c>
      <c r="EK146" s="106">
        <f t="shared" si="65"/>
        <v>0</v>
      </c>
      <c r="EL146" s="106">
        <f t="shared" si="65"/>
        <v>5.3E-3</v>
      </c>
      <c r="EM146" s="106">
        <f t="shared" si="65"/>
        <v>3.9100000000000003E-2</v>
      </c>
      <c r="EN146" s="106">
        <f t="shared" si="65"/>
        <v>8.2100000000000006E-2</v>
      </c>
      <c r="EO146" s="106">
        <f t="shared" si="65"/>
        <v>4.8999999999999998E-3</v>
      </c>
      <c r="EP146" s="106">
        <f t="shared" si="65"/>
        <v>0</v>
      </c>
      <c r="EQ146" s="106">
        <f t="shared" si="65"/>
        <v>0</v>
      </c>
      <c r="ER146" s="106">
        <f t="shared" si="65"/>
        <v>0</v>
      </c>
      <c r="ES146" s="106">
        <f t="shared" si="65"/>
        <v>4.1000000000000002E-2</v>
      </c>
      <c r="ET146" s="106">
        <f t="shared" si="65"/>
        <v>8.9899999999999994E-2</v>
      </c>
      <c r="EU146" s="106">
        <f t="shared" si="65"/>
        <v>0.14180000000000001</v>
      </c>
      <c r="EV146" s="106">
        <f t="shared" si="65"/>
        <v>4.36E-2</v>
      </c>
      <c r="EW146" s="106">
        <f t="shared" si="65"/>
        <v>0</v>
      </c>
      <c r="EX146" s="106">
        <f t="shared" si="65"/>
        <v>1.9800000000000002E-2</v>
      </c>
      <c r="EY146" s="106">
        <f t="shared" si="65"/>
        <v>5.79E-2</v>
      </c>
      <c r="EZ146" s="106">
        <f t="shared" si="65"/>
        <v>2.5499999999999998E-2</v>
      </c>
      <c r="FA146" s="106">
        <f t="shared" si="65"/>
        <v>0</v>
      </c>
      <c r="FB146" s="106">
        <f t="shared" si="65"/>
        <v>9.9599999999999994E-2</v>
      </c>
      <c r="FC146" s="106">
        <f t="shared" si="65"/>
        <v>0</v>
      </c>
      <c r="FD146" s="106">
        <f t="shared" si="65"/>
        <v>3.1800000000000002E-2</v>
      </c>
      <c r="FE146" s="106">
        <f t="shared" si="65"/>
        <v>6.4799999999999996E-2</v>
      </c>
      <c r="FF146" s="106">
        <f t="shared" si="65"/>
        <v>3.6600000000000001E-2</v>
      </c>
      <c r="FG146" s="106">
        <f t="shared" si="65"/>
        <v>0</v>
      </c>
      <c r="FH146" s="106">
        <f t="shared" si="65"/>
        <v>0</v>
      </c>
      <c r="FI146" s="106">
        <f t="shared" si="65"/>
        <v>4.9000000000000002E-2</v>
      </c>
      <c r="FJ146" s="106">
        <f t="shared" si="65"/>
        <v>0</v>
      </c>
      <c r="FK146" s="106">
        <f t="shared" si="65"/>
        <v>2.69E-2</v>
      </c>
      <c r="FL146" s="106">
        <f t="shared" si="65"/>
        <v>0</v>
      </c>
      <c r="FM146" s="106">
        <f t="shared" si="65"/>
        <v>0</v>
      </c>
      <c r="FN146" s="106">
        <f t="shared" si="65"/>
        <v>6.9199999999999998E-2</v>
      </c>
      <c r="FO146" s="106">
        <f t="shared" si="65"/>
        <v>1.5299999999999999E-2</v>
      </c>
      <c r="FP146" s="106">
        <f t="shared" si="65"/>
        <v>3.2399999999999998E-2</v>
      </c>
      <c r="FQ146" s="106">
        <f t="shared" si="65"/>
        <v>0</v>
      </c>
      <c r="FR146" s="106">
        <f t="shared" si="65"/>
        <v>0</v>
      </c>
      <c r="FS146" s="106">
        <f t="shared" si="65"/>
        <v>0</v>
      </c>
      <c r="FT146" s="106">
        <f t="shared" si="65"/>
        <v>3.8699999999999998E-2</v>
      </c>
      <c r="FU146" s="106">
        <f t="shared" si="65"/>
        <v>5.1799999999999999E-2</v>
      </c>
      <c r="FV146" s="106">
        <f t="shared" si="65"/>
        <v>4.7399999999999998E-2</v>
      </c>
      <c r="FW146" s="106">
        <f t="shared" si="65"/>
        <v>4.9000000000000002E-2</v>
      </c>
      <c r="FX146" s="106">
        <f t="shared" si="65"/>
        <v>0</v>
      </c>
      <c r="FY146" s="31"/>
      <c r="FZ146" s="7"/>
      <c r="GA146" s="7"/>
      <c r="GB146" s="31"/>
      <c r="GC146" s="31"/>
      <c r="GD146" s="31"/>
      <c r="GE146" s="7"/>
      <c r="GF146" s="7"/>
      <c r="GG146" s="7"/>
      <c r="GH146" s="7"/>
      <c r="GI146" s="7"/>
      <c r="GJ146" s="7"/>
      <c r="GK146" s="7"/>
    </row>
    <row r="147" spans="1:193" ht="15.5" x14ac:dyDescent="0.35">
      <c r="A147" s="7"/>
      <c r="B147" s="7" t="s">
        <v>875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</row>
    <row r="148" spans="1:193" ht="15.5" x14ac:dyDescent="0.35">
      <c r="A148" s="12" t="s">
        <v>876</v>
      </c>
      <c r="B148" s="7" t="s">
        <v>877</v>
      </c>
      <c r="C148" s="31">
        <f t="shared" ref="C148:FX148" si="66">MIN(0.3,(C141+C146))</f>
        <v>0.2009</v>
      </c>
      <c r="D148" s="31">
        <f t="shared" si="66"/>
        <v>0.13550000000000001</v>
      </c>
      <c r="E148" s="31">
        <f t="shared" si="66"/>
        <v>0.2457</v>
      </c>
      <c r="F148" s="31">
        <f t="shared" si="66"/>
        <v>0.1346</v>
      </c>
      <c r="G148" s="31">
        <f t="shared" si="66"/>
        <v>0.12</v>
      </c>
      <c r="H148" s="31">
        <f t="shared" si="66"/>
        <v>0.12</v>
      </c>
      <c r="I148" s="31">
        <f t="shared" si="66"/>
        <v>0.2263</v>
      </c>
      <c r="J148" s="31">
        <f t="shared" si="66"/>
        <v>0.21859999999999999</v>
      </c>
      <c r="K148" s="31">
        <f t="shared" si="66"/>
        <v>0.16370000000000001</v>
      </c>
      <c r="L148" s="31">
        <f t="shared" si="66"/>
        <v>0.17419999999999999</v>
      </c>
      <c r="M148" s="31">
        <f t="shared" si="66"/>
        <v>0.23830000000000001</v>
      </c>
      <c r="N148" s="31">
        <f t="shared" si="66"/>
        <v>0.12</v>
      </c>
      <c r="O148" s="31">
        <f t="shared" si="66"/>
        <v>0.12</v>
      </c>
      <c r="P148" s="31">
        <f t="shared" si="66"/>
        <v>0.13769999999999999</v>
      </c>
      <c r="Q148" s="31">
        <f t="shared" si="66"/>
        <v>0.21679999999999999</v>
      </c>
      <c r="R148" s="31">
        <f t="shared" si="66"/>
        <v>0.1404</v>
      </c>
      <c r="S148" s="31">
        <f t="shared" si="66"/>
        <v>0.15809999999999999</v>
      </c>
      <c r="T148" s="31">
        <f t="shared" si="66"/>
        <v>0.2026</v>
      </c>
      <c r="U148" s="31">
        <f t="shared" si="66"/>
        <v>0.1832</v>
      </c>
      <c r="V148" s="31">
        <f t="shared" si="66"/>
        <v>0.20400000000000001</v>
      </c>
      <c r="W148" s="31">
        <f t="shared" si="66"/>
        <v>0.21539999999999998</v>
      </c>
      <c r="X148" s="31">
        <f t="shared" si="66"/>
        <v>0.14949999999999999</v>
      </c>
      <c r="Y148" s="31">
        <f t="shared" si="66"/>
        <v>0.2329</v>
      </c>
      <c r="Z148" s="31">
        <f t="shared" si="66"/>
        <v>0.12</v>
      </c>
      <c r="AA148" s="31">
        <f t="shared" si="66"/>
        <v>0.12</v>
      </c>
      <c r="AB148" s="31">
        <f t="shared" si="66"/>
        <v>0.12</v>
      </c>
      <c r="AC148" s="31">
        <f t="shared" si="66"/>
        <v>0.12</v>
      </c>
      <c r="AD148" s="31">
        <f t="shared" si="66"/>
        <v>0.12</v>
      </c>
      <c r="AE148" s="31">
        <f t="shared" si="66"/>
        <v>0.1898</v>
      </c>
      <c r="AF148" s="31">
        <f t="shared" si="66"/>
        <v>0.14379999999999998</v>
      </c>
      <c r="AG148" s="31">
        <f t="shared" si="66"/>
        <v>0.12</v>
      </c>
      <c r="AH148" s="31">
        <f t="shared" si="66"/>
        <v>0.18659999999999999</v>
      </c>
      <c r="AI148" s="31">
        <f t="shared" si="66"/>
        <v>0.16389999999999999</v>
      </c>
      <c r="AJ148" s="31">
        <f t="shared" si="66"/>
        <v>0.23449999999999999</v>
      </c>
      <c r="AK148" s="31">
        <f t="shared" si="66"/>
        <v>0.25969999999999999</v>
      </c>
      <c r="AL148" s="31">
        <f t="shared" si="66"/>
        <v>0.23039999999999999</v>
      </c>
      <c r="AM148" s="31">
        <f t="shared" si="66"/>
        <v>0.1769</v>
      </c>
      <c r="AN148" s="31">
        <f t="shared" si="66"/>
        <v>0.13519999999999999</v>
      </c>
      <c r="AO148" s="31">
        <f t="shared" si="66"/>
        <v>0.16189999999999999</v>
      </c>
      <c r="AP148" s="31">
        <f t="shared" si="66"/>
        <v>0.1789</v>
      </c>
      <c r="AQ148" s="31">
        <f t="shared" si="66"/>
        <v>0.16109999999999999</v>
      </c>
      <c r="AR148" s="31">
        <f t="shared" si="66"/>
        <v>0.12</v>
      </c>
      <c r="AS148" s="31">
        <f t="shared" si="66"/>
        <v>0.12</v>
      </c>
      <c r="AT148" s="31">
        <f t="shared" si="66"/>
        <v>0.12</v>
      </c>
      <c r="AU148" s="31">
        <f t="shared" si="66"/>
        <v>0.12</v>
      </c>
      <c r="AV148" s="31">
        <f t="shared" si="66"/>
        <v>0.16999999999999998</v>
      </c>
      <c r="AW148" s="31">
        <f t="shared" si="66"/>
        <v>0.12</v>
      </c>
      <c r="AX148" s="31">
        <f t="shared" si="66"/>
        <v>0.14479999999999998</v>
      </c>
      <c r="AY148" s="31">
        <f t="shared" si="66"/>
        <v>0.14179999999999998</v>
      </c>
      <c r="AZ148" s="31">
        <f t="shared" si="66"/>
        <v>0.18179999999999999</v>
      </c>
      <c r="BA148" s="31">
        <f t="shared" si="66"/>
        <v>0.1255</v>
      </c>
      <c r="BB148" s="31">
        <f t="shared" si="66"/>
        <v>0.12759999999999999</v>
      </c>
      <c r="BC148" s="31">
        <f t="shared" si="66"/>
        <v>0.15339999999999998</v>
      </c>
      <c r="BD148" s="31">
        <f t="shared" si="66"/>
        <v>0.12</v>
      </c>
      <c r="BE148" s="31">
        <f t="shared" si="66"/>
        <v>0.12</v>
      </c>
      <c r="BF148" s="31">
        <f t="shared" si="66"/>
        <v>0.12</v>
      </c>
      <c r="BG148" s="31">
        <f t="shared" si="66"/>
        <v>0.16</v>
      </c>
      <c r="BH148" s="31">
        <f t="shared" si="66"/>
        <v>0.12</v>
      </c>
      <c r="BI148" s="31">
        <f t="shared" si="66"/>
        <v>0.2054</v>
      </c>
      <c r="BJ148" s="31">
        <f t="shared" si="66"/>
        <v>0.12</v>
      </c>
      <c r="BK148" s="31">
        <f t="shared" si="66"/>
        <v>0.13300000000000001</v>
      </c>
      <c r="BL148" s="31">
        <f t="shared" si="66"/>
        <v>0.16569999999999999</v>
      </c>
      <c r="BM148" s="31">
        <f t="shared" si="66"/>
        <v>0.17119999999999999</v>
      </c>
      <c r="BN148" s="31">
        <f t="shared" si="66"/>
        <v>0.1583</v>
      </c>
      <c r="BO148" s="31">
        <f t="shared" si="66"/>
        <v>0.15279999999999999</v>
      </c>
      <c r="BP148" s="31">
        <f t="shared" si="66"/>
        <v>0.17219999999999999</v>
      </c>
      <c r="BQ148" s="31">
        <f t="shared" si="66"/>
        <v>0.13450000000000001</v>
      </c>
      <c r="BR148" s="31">
        <f t="shared" si="66"/>
        <v>0.13319999999999999</v>
      </c>
      <c r="BS148" s="31">
        <f t="shared" si="66"/>
        <v>0.1835</v>
      </c>
      <c r="BT148" s="31">
        <f t="shared" si="66"/>
        <v>0.12</v>
      </c>
      <c r="BU148" s="31">
        <f t="shared" si="66"/>
        <v>0.12</v>
      </c>
      <c r="BV148" s="31">
        <f t="shared" si="66"/>
        <v>0.12</v>
      </c>
      <c r="BW148" s="31">
        <f t="shared" si="66"/>
        <v>0.12</v>
      </c>
      <c r="BX148" s="31">
        <f t="shared" si="66"/>
        <v>0.12</v>
      </c>
      <c r="BY148" s="31">
        <f t="shared" si="66"/>
        <v>0.24259999999999998</v>
      </c>
      <c r="BZ148" s="31">
        <f t="shared" si="66"/>
        <v>0.19569999999999999</v>
      </c>
      <c r="CA148" s="31">
        <f t="shared" si="66"/>
        <v>0.12</v>
      </c>
      <c r="CB148" s="31">
        <f t="shared" si="66"/>
        <v>0.12</v>
      </c>
      <c r="CC148" s="31">
        <f t="shared" si="66"/>
        <v>0.17659999999999998</v>
      </c>
      <c r="CD148" s="31">
        <f t="shared" si="66"/>
        <v>0.12</v>
      </c>
      <c r="CE148" s="31">
        <f t="shared" si="66"/>
        <v>0.12</v>
      </c>
      <c r="CF148" s="31">
        <f t="shared" si="66"/>
        <v>0.13039999999999999</v>
      </c>
      <c r="CG148" s="31">
        <f t="shared" si="66"/>
        <v>0.12</v>
      </c>
      <c r="CH148" s="31">
        <f t="shared" si="66"/>
        <v>0.20710000000000001</v>
      </c>
      <c r="CI148" s="31">
        <f t="shared" si="66"/>
        <v>0.1696</v>
      </c>
      <c r="CJ148" s="31">
        <f t="shared" si="66"/>
        <v>0.16689999999999999</v>
      </c>
      <c r="CK148" s="31">
        <f t="shared" si="66"/>
        <v>0.12</v>
      </c>
      <c r="CL148" s="31">
        <f t="shared" si="66"/>
        <v>0.12</v>
      </c>
      <c r="CM148" s="31">
        <f t="shared" si="66"/>
        <v>0.1517</v>
      </c>
      <c r="CN148" s="31">
        <f t="shared" si="66"/>
        <v>0.12</v>
      </c>
      <c r="CO148" s="31">
        <f t="shared" si="66"/>
        <v>0.12</v>
      </c>
      <c r="CP148" s="31">
        <f t="shared" si="66"/>
        <v>0.1229</v>
      </c>
      <c r="CQ148" s="31">
        <f t="shared" si="66"/>
        <v>0.2074</v>
      </c>
      <c r="CR148" s="31">
        <f t="shared" si="66"/>
        <v>0.12</v>
      </c>
      <c r="CS148" s="31">
        <f t="shared" si="66"/>
        <v>0.12</v>
      </c>
      <c r="CT148" s="31">
        <f t="shared" si="66"/>
        <v>0.22309999999999999</v>
      </c>
      <c r="CU148" s="31">
        <f t="shared" si="66"/>
        <v>0.12</v>
      </c>
      <c r="CV148" s="31">
        <f t="shared" si="66"/>
        <v>0.12</v>
      </c>
      <c r="CW148" s="31">
        <f t="shared" si="66"/>
        <v>0.15</v>
      </c>
      <c r="CX148" s="31">
        <f t="shared" si="66"/>
        <v>0.13200000000000001</v>
      </c>
      <c r="CY148" s="31">
        <f t="shared" si="66"/>
        <v>0.13569999999999999</v>
      </c>
      <c r="CZ148" s="31">
        <f t="shared" si="66"/>
        <v>0.15040000000000001</v>
      </c>
      <c r="DA148" s="31">
        <f t="shared" si="66"/>
        <v>0.12</v>
      </c>
      <c r="DB148" s="31">
        <f t="shared" si="66"/>
        <v>0.12</v>
      </c>
      <c r="DC148" s="31">
        <f t="shared" si="66"/>
        <v>0.12</v>
      </c>
      <c r="DD148" s="31">
        <f t="shared" si="66"/>
        <v>0.1681</v>
      </c>
      <c r="DE148" s="31">
        <f t="shared" si="66"/>
        <v>0.12</v>
      </c>
      <c r="DF148" s="31">
        <f t="shared" si="66"/>
        <v>0.1492</v>
      </c>
      <c r="DG148" s="31">
        <f t="shared" si="66"/>
        <v>0.12</v>
      </c>
      <c r="DH148" s="31">
        <f t="shared" si="66"/>
        <v>0.15409999999999999</v>
      </c>
      <c r="DI148" s="31">
        <f t="shared" si="66"/>
        <v>0.1804</v>
      </c>
      <c r="DJ148" s="31">
        <f t="shared" si="66"/>
        <v>0.15</v>
      </c>
      <c r="DK148" s="31">
        <f t="shared" si="66"/>
        <v>0.12</v>
      </c>
      <c r="DL148" s="31">
        <f t="shared" si="66"/>
        <v>0.15009999999999998</v>
      </c>
      <c r="DM148" s="31">
        <f t="shared" si="66"/>
        <v>0.1547</v>
      </c>
      <c r="DN148" s="31">
        <f t="shared" si="66"/>
        <v>0.1794</v>
      </c>
      <c r="DO148" s="31">
        <f t="shared" si="66"/>
        <v>0.16439999999999999</v>
      </c>
      <c r="DP148" s="31">
        <f t="shared" si="66"/>
        <v>0.12</v>
      </c>
      <c r="DQ148" s="31">
        <f t="shared" si="66"/>
        <v>0.12</v>
      </c>
      <c r="DR148" s="31">
        <f t="shared" si="66"/>
        <v>0.21299999999999999</v>
      </c>
      <c r="DS148" s="31">
        <f t="shared" si="66"/>
        <v>0.2303</v>
      </c>
      <c r="DT148" s="31">
        <f t="shared" si="66"/>
        <v>0.2399</v>
      </c>
      <c r="DU148" s="31">
        <f t="shared" si="66"/>
        <v>0.16009999999999999</v>
      </c>
      <c r="DV148" s="31">
        <f t="shared" si="66"/>
        <v>0.12</v>
      </c>
      <c r="DW148" s="31">
        <f t="shared" si="66"/>
        <v>0.1394</v>
      </c>
      <c r="DX148" s="31">
        <f t="shared" si="66"/>
        <v>0.12</v>
      </c>
      <c r="DY148" s="31">
        <f t="shared" si="66"/>
        <v>0.12</v>
      </c>
      <c r="DZ148" s="31">
        <f t="shared" si="66"/>
        <v>0.12</v>
      </c>
      <c r="EA148" s="31">
        <f t="shared" si="66"/>
        <v>0.12</v>
      </c>
      <c r="EB148" s="31">
        <f t="shared" si="66"/>
        <v>0.16949999999999998</v>
      </c>
      <c r="EC148" s="31">
        <f t="shared" si="66"/>
        <v>0.12</v>
      </c>
      <c r="ED148" s="31">
        <f t="shared" si="66"/>
        <v>0.12</v>
      </c>
      <c r="EE148" s="31">
        <f t="shared" si="66"/>
        <v>0.19439999999999999</v>
      </c>
      <c r="EF148" s="31">
        <f t="shared" si="66"/>
        <v>0.20939999999999998</v>
      </c>
      <c r="EG148" s="31">
        <f t="shared" si="66"/>
        <v>0.17399999999999999</v>
      </c>
      <c r="EH148" s="31">
        <f t="shared" si="66"/>
        <v>0.13980000000000001</v>
      </c>
      <c r="EI148" s="31">
        <f t="shared" si="66"/>
        <v>0.22299999999999998</v>
      </c>
      <c r="EJ148" s="31">
        <f t="shared" si="66"/>
        <v>0.13739999999999999</v>
      </c>
      <c r="EK148" s="31">
        <f t="shared" si="66"/>
        <v>0.12</v>
      </c>
      <c r="EL148" s="31">
        <f t="shared" si="66"/>
        <v>0.12529999999999999</v>
      </c>
      <c r="EM148" s="31">
        <f t="shared" si="66"/>
        <v>0.15909999999999999</v>
      </c>
      <c r="EN148" s="31">
        <f t="shared" si="66"/>
        <v>0.2021</v>
      </c>
      <c r="EO148" s="31">
        <f t="shared" si="66"/>
        <v>0.1249</v>
      </c>
      <c r="EP148" s="31">
        <f t="shared" si="66"/>
        <v>0.12</v>
      </c>
      <c r="EQ148" s="31">
        <f t="shared" si="66"/>
        <v>0.12</v>
      </c>
      <c r="ER148" s="31">
        <f t="shared" si="66"/>
        <v>0.12</v>
      </c>
      <c r="ES148" s="31">
        <f t="shared" si="66"/>
        <v>0.161</v>
      </c>
      <c r="ET148" s="31">
        <f t="shared" si="66"/>
        <v>0.20989999999999998</v>
      </c>
      <c r="EU148" s="31">
        <f t="shared" si="66"/>
        <v>0.26180000000000003</v>
      </c>
      <c r="EV148" s="31">
        <f t="shared" si="66"/>
        <v>0.1636</v>
      </c>
      <c r="EW148" s="31">
        <f t="shared" si="66"/>
        <v>0.12</v>
      </c>
      <c r="EX148" s="31">
        <f t="shared" si="66"/>
        <v>0.13980000000000001</v>
      </c>
      <c r="EY148" s="31">
        <f t="shared" si="66"/>
        <v>0.1779</v>
      </c>
      <c r="EZ148" s="31">
        <f t="shared" si="66"/>
        <v>0.14549999999999999</v>
      </c>
      <c r="FA148" s="31">
        <f t="shared" si="66"/>
        <v>0.12</v>
      </c>
      <c r="FB148" s="31">
        <f t="shared" si="66"/>
        <v>0.21959999999999999</v>
      </c>
      <c r="FC148" s="31">
        <f t="shared" si="66"/>
        <v>0.12</v>
      </c>
      <c r="FD148" s="31">
        <f t="shared" si="66"/>
        <v>0.15179999999999999</v>
      </c>
      <c r="FE148" s="31">
        <f t="shared" si="66"/>
        <v>0.18479999999999999</v>
      </c>
      <c r="FF148" s="31">
        <f t="shared" si="66"/>
        <v>0.15659999999999999</v>
      </c>
      <c r="FG148" s="31">
        <f t="shared" si="66"/>
        <v>0.12</v>
      </c>
      <c r="FH148" s="31">
        <f t="shared" si="66"/>
        <v>0.12</v>
      </c>
      <c r="FI148" s="31">
        <f t="shared" si="66"/>
        <v>0.16899999999999998</v>
      </c>
      <c r="FJ148" s="31">
        <f t="shared" si="66"/>
        <v>0.12</v>
      </c>
      <c r="FK148" s="31">
        <f t="shared" si="66"/>
        <v>0.1469</v>
      </c>
      <c r="FL148" s="31">
        <f t="shared" si="66"/>
        <v>0.12</v>
      </c>
      <c r="FM148" s="31">
        <f t="shared" si="66"/>
        <v>0.12</v>
      </c>
      <c r="FN148" s="31">
        <f t="shared" si="66"/>
        <v>0.18919999999999998</v>
      </c>
      <c r="FO148" s="31">
        <f t="shared" si="66"/>
        <v>0.1353</v>
      </c>
      <c r="FP148" s="31">
        <f t="shared" si="66"/>
        <v>0.15239999999999998</v>
      </c>
      <c r="FQ148" s="31">
        <f t="shared" si="66"/>
        <v>0.12</v>
      </c>
      <c r="FR148" s="31">
        <f t="shared" si="66"/>
        <v>0.12</v>
      </c>
      <c r="FS148" s="31">
        <f t="shared" si="66"/>
        <v>0.12</v>
      </c>
      <c r="FT148" s="31">
        <f t="shared" si="66"/>
        <v>0.15870000000000001</v>
      </c>
      <c r="FU148" s="31">
        <f t="shared" si="66"/>
        <v>0.17180000000000001</v>
      </c>
      <c r="FV148" s="31">
        <f t="shared" si="66"/>
        <v>0.16739999999999999</v>
      </c>
      <c r="FW148" s="31">
        <f t="shared" si="66"/>
        <v>0.16899999999999998</v>
      </c>
      <c r="FX148" s="31">
        <f t="shared" si="66"/>
        <v>0.12</v>
      </c>
      <c r="FY148" s="106"/>
      <c r="FZ148" s="47">
        <f>SUM(C148:FX148)</f>
        <v>27.181900000000009</v>
      </c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</row>
    <row r="149" spans="1:193" ht="15.5" x14ac:dyDescent="0.35">
      <c r="A149" s="7"/>
      <c r="B149" s="7" t="s">
        <v>878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</row>
    <row r="150" spans="1:193" ht="15.5" x14ac:dyDescent="0.35">
      <c r="A150" s="12" t="s">
        <v>879</v>
      </c>
      <c r="B150" s="7" t="s">
        <v>880</v>
      </c>
      <c r="C150" s="7">
        <f t="shared" ref="C150:FX150" si="67">ROUND(IF(C103&lt;=459,C124*C141*C137,0),2)</f>
        <v>0</v>
      </c>
      <c r="D150" s="7">
        <f t="shared" si="67"/>
        <v>0</v>
      </c>
      <c r="E150" s="7">
        <f t="shared" si="67"/>
        <v>0</v>
      </c>
      <c r="F150" s="7">
        <f t="shared" si="67"/>
        <v>0</v>
      </c>
      <c r="G150" s="7">
        <f t="shared" si="67"/>
        <v>0</v>
      </c>
      <c r="H150" s="7">
        <f t="shared" si="67"/>
        <v>0</v>
      </c>
      <c r="I150" s="7">
        <f t="shared" si="67"/>
        <v>0</v>
      </c>
      <c r="J150" s="7">
        <f t="shared" si="67"/>
        <v>0</v>
      </c>
      <c r="K150" s="7">
        <f t="shared" ca="1" si="67"/>
        <v>283125.45</v>
      </c>
      <c r="L150" s="7">
        <f t="shared" si="67"/>
        <v>0</v>
      </c>
      <c r="M150" s="7">
        <f t="shared" si="67"/>
        <v>0</v>
      </c>
      <c r="N150" s="7">
        <f t="shared" si="67"/>
        <v>0</v>
      </c>
      <c r="O150" s="7">
        <f t="shared" si="67"/>
        <v>0</v>
      </c>
      <c r="P150" s="7">
        <f t="shared" ca="1" si="67"/>
        <v>297006.36</v>
      </c>
      <c r="Q150" s="7">
        <f t="shared" si="67"/>
        <v>0</v>
      </c>
      <c r="R150" s="7">
        <f t="shared" si="67"/>
        <v>0</v>
      </c>
      <c r="S150" s="7">
        <f t="shared" si="67"/>
        <v>0</v>
      </c>
      <c r="T150" s="7">
        <f t="shared" ca="1" si="67"/>
        <v>261020.59</v>
      </c>
      <c r="U150" s="7">
        <f t="shared" ca="1" si="67"/>
        <v>95842.76</v>
      </c>
      <c r="V150" s="7">
        <f t="shared" ca="1" si="67"/>
        <v>340577.65</v>
      </c>
      <c r="W150" s="7">
        <f t="shared" ca="1" si="67"/>
        <v>97032.41</v>
      </c>
      <c r="X150" s="7">
        <f t="shared" ca="1" si="67"/>
        <v>59814.11</v>
      </c>
      <c r="Y150" s="7">
        <f t="shared" si="67"/>
        <v>0</v>
      </c>
      <c r="Z150" s="7">
        <f t="shared" ca="1" si="67"/>
        <v>168185.63</v>
      </c>
      <c r="AA150" s="7">
        <f t="shared" si="67"/>
        <v>0</v>
      </c>
      <c r="AB150" s="7">
        <f t="shared" si="67"/>
        <v>0</v>
      </c>
      <c r="AC150" s="7">
        <f t="shared" si="67"/>
        <v>0</v>
      </c>
      <c r="AD150" s="7">
        <f t="shared" si="67"/>
        <v>0</v>
      </c>
      <c r="AE150" s="7">
        <f t="shared" ca="1" si="67"/>
        <v>165110.03</v>
      </c>
      <c r="AF150" s="7">
        <f t="shared" ca="1" si="67"/>
        <v>200413.71</v>
      </c>
      <c r="AG150" s="7">
        <f t="shared" si="67"/>
        <v>0</v>
      </c>
      <c r="AH150" s="7">
        <f t="shared" si="67"/>
        <v>0</v>
      </c>
      <c r="AI150" s="7">
        <f t="shared" ca="1" si="67"/>
        <v>361631.14</v>
      </c>
      <c r="AJ150" s="7">
        <f t="shared" ca="1" si="67"/>
        <v>333090.88</v>
      </c>
      <c r="AK150" s="7">
        <f t="shared" ca="1" si="67"/>
        <v>325962.96000000002</v>
      </c>
      <c r="AL150" s="7">
        <f t="shared" ca="1" si="67"/>
        <v>410068.51</v>
      </c>
      <c r="AM150" s="7">
        <f t="shared" ca="1" si="67"/>
        <v>324570.98</v>
      </c>
      <c r="AN150" s="7">
        <f t="shared" ca="1" si="67"/>
        <v>245151.74</v>
      </c>
      <c r="AO150" s="7">
        <f t="shared" si="67"/>
        <v>0</v>
      </c>
      <c r="AP150" s="7">
        <f t="shared" si="67"/>
        <v>0</v>
      </c>
      <c r="AQ150" s="7">
        <f t="shared" ca="1" si="67"/>
        <v>294870.96999999997</v>
      </c>
      <c r="AR150" s="7">
        <f t="shared" si="67"/>
        <v>0</v>
      </c>
      <c r="AS150" s="7">
        <f t="shared" si="67"/>
        <v>0</v>
      </c>
      <c r="AT150" s="7">
        <f t="shared" si="67"/>
        <v>0</v>
      </c>
      <c r="AU150" s="7">
        <f t="shared" ca="1" si="67"/>
        <v>207769.34</v>
      </c>
      <c r="AV150" s="7">
        <f t="shared" ca="1" si="67"/>
        <v>340340.03</v>
      </c>
      <c r="AW150" s="7">
        <f t="shared" ca="1" si="67"/>
        <v>173746.39</v>
      </c>
      <c r="AX150" s="7">
        <f t="shared" ca="1" si="67"/>
        <v>120264.08</v>
      </c>
      <c r="AY150" s="7">
        <f t="shared" ca="1" si="67"/>
        <v>340375.31</v>
      </c>
      <c r="AZ150" s="7">
        <f t="shared" si="67"/>
        <v>0</v>
      </c>
      <c r="BA150" s="7">
        <f t="shared" si="67"/>
        <v>0</v>
      </c>
      <c r="BB150" s="7">
        <f t="shared" si="67"/>
        <v>0</v>
      </c>
      <c r="BC150" s="7">
        <f t="shared" si="67"/>
        <v>0</v>
      </c>
      <c r="BD150" s="7">
        <f t="shared" si="67"/>
        <v>0</v>
      </c>
      <c r="BE150" s="7">
        <f t="shared" si="67"/>
        <v>0</v>
      </c>
      <c r="BF150" s="7">
        <f t="shared" si="67"/>
        <v>0</v>
      </c>
      <c r="BG150" s="7">
        <f t="shared" si="67"/>
        <v>0</v>
      </c>
      <c r="BH150" s="7">
        <f t="shared" si="67"/>
        <v>0</v>
      </c>
      <c r="BI150" s="7">
        <f t="shared" ca="1" si="67"/>
        <v>368754.2</v>
      </c>
      <c r="BJ150" s="7">
        <f t="shared" si="67"/>
        <v>0</v>
      </c>
      <c r="BK150" s="7">
        <f t="shared" si="67"/>
        <v>0</v>
      </c>
      <c r="BL150" s="7">
        <f t="shared" ca="1" si="67"/>
        <v>150826.93</v>
      </c>
      <c r="BM150" s="7">
        <f t="shared" ca="1" si="67"/>
        <v>382003.56</v>
      </c>
      <c r="BN150" s="7">
        <f t="shared" si="67"/>
        <v>0</v>
      </c>
      <c r="BO150" s="7">
        <f t="shared" si="67"/>
        <v>0</v>
      </c>
      <c r="BP150" s="7">
        <f t="shared" ca="1" si="67"/>
        <v>199338.6</v>
      </c>
      <c r="BQ150" s="7">
        <f t="shared" si="67"/>
        <v>0</v>
      </c>
      <c r="BR150" s="7">
        <f t="shared" si="67"/>
        <v>0</v>
      </c>
      <c r="BS150" s="7">
        <f t="shared" si="67"/>
        <v>0</v>
      </c>
      <c r="BT150" s="7">
        <f t="shared" ca="1" si="67"/>
        <v>280241.84999999998</v>
      </c>
      <c r="BU150" s="7">
        <f t="shared" ca="1" si="67"/>
        <v>280206.69</v>
      </c>
      <c r="BV150" s="7">
        <f t="shared" si="67"/>
        <v>0</v>
      </c>
      <c r="BW150" s="7">
        <f t="shared" si="67"/>
        <v>0</v>
      </c>
      <c r="BX150" s="7">
        <f t="shared" ca="1" si="67"/>
        <v>64280.81</v>
      </c>
      <c r="BY150" s="7">
        <f t="shared" ca="1" si="67"/>
        <v>523542.71</v>
      </c>
      <c r="BZ150" s="7">
        <f t="shared" ca="1" si="67"/>
        <v>310569.59999999998</v>
      </c>
      <c r="CA150" s="7">
        <f t="shared" ca="1" si="67"/>
        <v>109115.36</v>
      </c>
      <c r="CB150" s="7">
        <f t="shared" si="67"/>
        <v>0</v>
      </c>
      <c r="CC150" s="7">
        <f t="shared" ca="1" si="67"/>
        <v>249871.67</v>
      </c>
      <c r="CD150" s="7">
        <f t="shared" ca="1" si="67"/>
        <v>31582.47</v>
      </c>
      <c r="CE150" s="7">
        <f t="shared" ca="1" si="67"/>
        <v>162433.03</v>
      </c>
      <c r="CF150" s="7">
        <f t="shared" ca="1" si="67"/>
        <v>116030.97</v>
      </c>
      <c r="CG150" s="7">
        <f t="shared" ca="1" si="67"/>
        <v>176187.13</v>
      </c>
      <c r="CH150" s="7">
        <f t="shared" ca="1" si="67"/>
        <v>167247.29</v>
      </c>
      <c r="CI150" s="7">
        <f t="shared" si="67"/>
        <v>0</v>
      </c>
      <c r="CJ150" s="7">
        <f t="shared" si="67"/>
        <v>0</v>
      </c>
      <c r="CK150" s="7">
        <f t="shared" si="67"/>
        <v>0</v>
      </c>
      <c r="CL150" s="7">
        <f t="shared" si="67"/>
        <v>0</v>
      </c>
      <c r="CM150" s="7">
        <f t="shared" si="67"/>
        <v>0</v>
      </c>
      <c r="CN150" s="7">
        <f t="shared" si="67"/>
        <v>0</v>
      </c>
      <c r="CO150" s="7">
        <f t="shared" si="67"/>
        <v>0</v>
      </c>
      <c r="CP150" s="7">
        <f t="shared" si="67"/>
        <v>0</v>
      </c>
      <c r="CQ150" s="7">
        <f t="shared" si="67"/>
        <v>0</v>
      </c>
      <c r="CR150" s="7">
        <f t="shared" ca="1" si="67"/>
        <v>147880.14000000001</v>
      </c>
      <c r="CS150" s="7">
        <f t="shared" ca="1" si="67"/>
        <v>174535.01</v>
      </c>
      <c r="CT150" s="7">
        <f t="shared" ca="1" si="67"/>
        <v>215783.38</v>
      </c>
      <c r="CU150" s="7">
        <f t="shared" si="67"/>
        <v>0</v>
      </c>
      <c r="CV150" s="7">
        <f t="shared" ca="1" si="67"/>
        <v>23012.21</v>
      </c>
      <c r="CW150" s="7">
        <f t="shared" ca="1" si="67"/>
        <v>220414.02</v>
      </c>
      <c r="CX150" s="7">
        <f t="shared" si="67"/>
        <v>0</v>
      </c>
      <c r="CY150" s="7">
        <f t="shared" ca="1" si="67"/>
        <v>35252.019999999997</v>
      </c>
      <c r="CZ150" s="7">
        <f t="shared" si="67"/>
        <v>0</v>
      </c>
      <c r="DA150" s="7">
        <f t="shared" ca="1" si="67"/>
        <v>105232.55</v>
      </c>
      <c r="DB150" s="7">
        <f t="shared" ca="1" si="67"/>
        <v>157783.5</v>
      </c>
      <c r="DC150" s="7">
        <f t="shared" ca="1" si="67"/>
        <v>108596.12</v>
      </c>
      <c r="DD150" s="7">
        <f t="shared" ca="1" si="67"/>
        <v>243550.94</v>
      </c>
      <c r="DE150" s="7">
        <f t="shared" ca="1" si="67"/>
        <v>231242.2</v>
      </c>
      <c r="DF150" s="7">
        <f t="shared" si="67"/>
        <v>0</v>
      </c>
      <c r="DG150" s="7">
        <f t="shared" ca="1" si="67"/>
        <v>98282.9</v>
      </c>
      <c r="DH150" s="7">
        <f t="shared" si="67"/>
        <v>0</v>
      </c>
      <c r="DI150" s="7">
        <f t="shared" si="67"/>
        <v>0</v>
      </c>
      <c r="DJ150" s="7">
        <f t="shared" si="67"/>
        <v>0</v>
      </c>
      <c r="DK150" s="7">
        <f t="shared" si="67"/>
        <v>0</v>
      </c>
      <c r="DL150" s="7">
        <f t="shared" si="67"/>
        <v>0</v>
      </c>
      <c r="DM150" s="7">
        <f t="shared" ca="1" si="67"/>
        <v>283100.67</v>
      </c>
      <c r="DN150" s="7">
        <f t="shared" si="67"/>
        <v>0</v>
      </c>
      <c r="DO150" s="7">
        <f t="shared" si="67"/>
        <v>0</v>
      </c>
      <c r="DP150" s="7">
        <f t="shared" ca="1" si="67"/>
        <v>144688.45000000001</v>
      </c>
      <c r="DQ150" s="7">
        <f t="shared" si="67"/>
        <v>0</v>
      </c>
      <c r="DR150" s="7">
        <f t="shared" si="67"/>
        <v>0</v>
      </c>
      <c r="DS150" s="7">
        <f t="shared" si="67"/>
        <v>0</v>
      </c>
      <c r="DT150" s="7">
        <f t="shared" ca="1" si="67"/>
        <v>337520.35</v>
      </c>
      <c r="DU150" s="7">
        <f t="shared" ca="1" si="67"/>
        <v>338226.79</v>
      </c>
      <c r="DV150" s="7">
        <f t="shared" ca="1" si="67"/>
        <v>190141.83</v>
      </c>
      <c r="DW150" s="7">
        <f t="shared" ca="1" si="67"/>
        <v>263269.31</v>
      </c>
      <c r="DX150" s="7">
        <f t="shared" ca="1" si="67"/>
        <v>144404.78</v>
      </c>
      <c r="DY150" s="7">
        <f t="shared" ca="1" si="67"/>
        <v>138466.88</v>
      </c>
      <c r="DZ150" s="7">
        <f t="shared" si="67"/>
        <v>0</v>
      </c>
      <c r="EA150" s="7">
        <f t="shared" si="67"/>
        <v>0</v>
      </c>
      <c r="EB150" s="7">
        <f t="shared" si="67"/>
        <v>0</v>
      </c>
      <c r="EC150" s="7">
        <f t="shared" ca="1" si="67"/>
        <v>163611.96</v>
      </c>
      <c r="ED150" s="7">
        <f t="shared" si="67"/>
        <v>0</v>
      </c>
      <c r="EE150" s="7">
        <f t="shared" ca="1" si="67"/>
        <v>272483.38</v>
      </c>
      <c r="EF150" s="7">
        <f t="shared" si="67"/>
        <v>0</v>
      </c>
      <c r="EG150" s="7">
        <f t="shared" ca="1" si="67"/>
        <v>283858.28999999998</v>
      </c>
      <c r="EH150" s="7">
        <f t="shared" ca="1" si="67"/>
        <v>238737.9</v>
      </c>
      <c r="EI150" s="7">
        <f t="shared" si="67"/>
        <v>0</v>
      </c>
      <c r="EJ150" s="7">
        <f t="shared" si="67"/>
        <v>0</v>
      </c>
      <c r="EK150" s="7">
        <f t="shared" si="67"/>
        <v>0</v>
      </c>
      <c r="EL150" s="7">
        <f t="shared" si="67"/>
        <v>0</v>
      </c>
      <c r="EM150" s="7">
        <f t="shared" ca="1" si="67"/>
        <v>328773.40999999997</v>
      </c>
      <c r="EN150" s="7">
        <f t="shared" si="67"/>
        <v>0</v>
      </c>
      <c r="EO150" s="7">
        <f t="shared" ca="1" si="67"/>
        <v>235559.47</v>
      </c>
      <c r="EP150" s="7">
        <f t="shared" ca="1" si="67"/>
        <v>191275.04</v>
      </c>
      <c r="EQ150" s="7">
        <f t="shared" si="67"/>
        <v>0</v>
      </c>
      <c r="ER150" s="7">
        <f t="shared" ca="1" si="67"/>
        <v>163791.82999999999</v>
      </c>
      <c r="ES150" s="7">
        <f t="shared" ca="1" si="67"/>
        <v>272622.65999999997</v>
      </c>
      <c r="ET150" s="7">
        <f t="shared" ca="1" si="67"/>
        <v>361568.7</v>
      </c>
      <c r="EU150" s="7">
        <f t="shared" si="67"/>
        <v>0</v>
      </c>
      <c r="EV150" s="7">
        <f t="shared" ca="1" si="67"/>
        <v>111130.23</v>
      </c>
      <c r="EW150" s="7">
        <f t="shared" si="67"/>
        <v>0</v>
      </c>
      <c r="EX150" s="7">
        <f t="shared" ca="1" si="67"/>
        <v>220502.13</v>
      </c>
      <c r="EY150" s="7">
        <f t="shared" si="67"/>
        <v>0</v>
      </c>
      <c r="EZ150" s="7">
        <f t="shared" ca="1" si="67"/>
        <v>165713.54999999999</v>
      </c>
      <c r="FA150" s="7">
        <f t="shared" si="67"/>
        <v>0</v>
      </c>
      <c r="FB150" s="7">
        <f t="shared" ca="1" si="67"/>
        <v>381139.17</v>
      </c>
      <c r="FC150" s="7">
        <f t="shared" si="67"/>
        <v>0</v>
      </c>
      <c r="FD150" s="7">
        <f t="shared" ca="1" si="67"/>
        <v>355086.12</v>
      </c>
      <c r="FE150" s="7">
        <f t="shared" ca="1" si="67"/>
        <v>124339.73</v>
      </c>
      <c r="FF150" s="7">
        <f t="shared" ca="1" si="67"/>
        <v>224347.86</v>
      </c>
      <c r="FG150" s="7">
        <f t="shared" ca="1" si="67"/>
        <v>130351.06</v>
      </c>
      <c r="FH150" s="7">
        <f t="shared" ca="1" si="67"/>
        <v>84412.67</v>
      </c>
      <c r="FI150" s="7">
        <f t="shared" si="67"/>
        <v>0</v>
      </c>
      <c r="FJ150" s="7">
        <f t="shared" si="67"/>
        <v>0</v>
      </c>
      <c r="FK150" s="7">
        <f t="shared" si="67"/>
        <v>0</v>
      </c>
      <c r="FL150" s="7">
        <f t="shared" si="67"/>
        <v>0</v>
      </c>
      <c r="FM150" s="7">
        <f t="shared" si="67"/>
        <v>0</v>
      </c>
      <c r="FN150" s="7">
        <f t="shared" si="67"/>
        <v>0</v>
      </c>
      <c r="FO150" s="7">
        <f t="shared" si="67"/>
        <v>0</v>
      </c>
      <c r="FP150" s="7">
        <f t="shared" si="67"/>
        <v>0</v>
      </c>
      <c r="FQ150" s="7">
        <f t="shared" si="67"/>
        <v>0</v>
      </c>
      <c r="FR150" s="7">
        <f t="shared" ca="1" si="67"/>
        <v>100787.05</v>
      </c>
      <c r="FS150" s="7">
        <f t="shared" ca="1" si="67"/>
        <v>102273.7</v>
      </c>
      <c r="FT150" s="7">
        <f t="shared" ca="1" si="67"/>
        <v>88665.26</v>
      </c>
      <c r="FU150" s="7">
        <f t="shared" si="67"/>
        <v>0</v>
      </c>
      <c r="FV150" s="7">
        <f t="shared" si="67"/>
        <v>0</v>
      </c>
      <c r="FW150" s="7">
        <f t="shared" ca="1" si="67"/>
        <v>192660.61</v>
      </c>
      <c r="FX150" s="7">
        <f t="shared" ca="1" si="67"/>
        <v>82771.59</v>
      </c>
      <c r="FY150" s="31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</row>
    <row r="151" spans="1:193" ht="15.5" x14ac:dyDescent="0.35">
      <c r="A151" s="7"/>
      <c r="B151" s="7" t="s">
        <v>881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</row>
    <row r="152" spans="1:193" ht="15.5" x14ac:dyDescent="0.35">
      <c r="A152" s="12" t="s">
        <v>882</v>
      </c>
      <c r="B152" s="7" t="s">
        <v>883</v>
      </c>
      <c r="C152" s="7">
        <f t="shared" ref="C152:FX152" si="68">ROUND(IF(C103&lt;=459,0,IF(C139&lt;=C19,C124*C141*C137,0)),2)</f>
        <v>0</v>
      </c>
      <c r="D152" s="7">
        <f t="shared" si="68"/>
        <v>0</v>
      </c>
      <c r="E152" s="7">
        <f t="shared" si="68"/>
        <v>0</v>
      </c>
      <c r="F152" s="7">
        <f t="shared" si="68"/>
        <v>0</v>
      </c>
      <c r="G152" s="7">
        <f t="shared" ca="1" si="68"/>
        <v>1083193.69</v>
      </c>
      <c r="H152" s="7">
        <f t="shared" ca="1" si="68"/>
        <v>600619.73</v>
      </c>
      <c r="I152" s="7">
        <f t="shared" si="68"/>
        <v>0</v>
      </c>
      <c r="J152" s="7">
        <f t="shared" si="68"/>
        <v>0</v>
      </c>
      <c r="K152" s="7">
        <f t="shared" si="68"/>
        <v>0</v>
      </c>
      <c r="L152" s="7">
        <f t="shared" si="68"/>
        <v>0</v>
      </c>
      <c r="M152" s="7">
        <f t="shared" si="68"/>
        <v>0</v>
      </c>
      <c r="N152" s="7">
        <f t="shared" ca="1" si="68"/>
        <v>25142156.91</v>
      </c>
      <c r="O152" s="7">
        <f t="shared" ca="1" si="68"/>
        <v>3936885.83</v>
      </c>
      <c r="P152" s="7">
        <f t="shared" si="68"/>
        <v>0</v>
      </c>
      <c r="Q152" s="7">
        <f t="shared" si="68"/>
        <v>0</v>
      </c>
      <c r="R152" s="7">
        <f t="shared" si="68"/>
        <v>0</v>
      </c>
      <c r="S152" s="7">
        <f t="shared" si="68"/>
        <v>0</v>
      </c>
      <c r="T152" s="7">
        <f t="shared" si="68"/>
        <v>0</v>
      </c>
      <c r="U152" s="7">
        <f t="shared" si="68"/>
        <v>0</v>
      </c>
      <c r="V152" s="7">
        <f t="shared" si="68"/>
        <v>0</v>
      </c>
      <c r="W152" s="7">
        <f t="shared" si="68"/>
        <v>0</v>
      </c>
      <c r="X152" s="7">
        <f t="shared" si="68"/>
        <v>0</v>
      </c>
      <c r="Y152" s="7">
        <f t="shared" si="68"/>
        <v>0</v>
      </c>
      <c r="Z152" s="7">
        <f t="shared" si="68"/>
        <v>0</v>
      </c>
      <c r="AA152" s="7">
        <f t="shared" ca="1" si="68"/>
        <v>14756771.41</v>
      </c>
      <c r="AB152" s="7">
        <f t="shared" ca="1" si="68"/>
        <v>9833669.5899999999</v>
      </c>
      <c r="AC152" s="7">
        <f t="shared" ca="1" si="68"/>
        <v>428326.22</v>
      </c>
      <c r="AD152" s="7">
        <f t="shared" ca="1" si="68"/>
        <v>727363.7</v>
      </c>
      <c r="AE152" s="7">
        <f t="shared" si="68"/>
        <v>0</v>
      </c>
      <c r="AF152" s="7">
        <f t="shared" si="68"/>
        <v>0</v>
      </c>
      <c r="AG152" s="7">
        <f t="shared" ca="1" si="68"/>
        <v>279740.32</v>
      </c>
      <c r="AH152" s="7">
        <f t="shared" si="68"/>
        <v>0</v>
      </c>
      <c r="AI152" s="7">
        <f t="shared" si="68"/>
        <v>0</v>
      </c>
      <c r="AJ152" s="7">
        <f t="shared" si="68"/>
        <v>0</v>
      </c>
      <c r="AK152" s="7">
        <f t="shared" si="68"/>
        <v>0</v>
      </c>
      <c r="AL152" s="7">
        <f t="shared" si="68"/>
        <v>0</v>
      </c>
      <c r="AM152" s="7">
        <f t="shared" si="68"/>
        <v>0</v>
      </c>
      <c r="AN152" s="7">
        <f t="shared" si="68"/>
        <v>0</v>
      </c>
      <c r="AO152" s="7">
        <f t="shared" si="68"/>
        <v>0</v>
      </c>
      <c r="AP152" s="7">
        <f t="shared" si="68"/>
        <v>0</v>
      </c>
      <c r="AQ152" s="7">
        <f t="shared" si="68"/>
        <v>0</v>
      </c>
      <c r="AR152" s="7">
        <f t="shared" ca="1" si="68"/>
        <v>14101608.779999999</v>
      </c>
      <c r="AS152" s="7">
        <f t="shared" ca="1" si="68"/>
        <v>3689853.5</v>
      </c>
      <c r="AT152" s="7">
        <f t="shared" ca="1" si="68"/>
        <v>806477.43</v>
      </c>
      <c r="AU152" s="7">
        <f t="shared" si="68"/>
        <v>0</v>
      </c>
      <c r="AV152" s="7">
        <f t="shared" si="68"/>
        <v>0</v>
      </c>
      <c r="AW152" s="7">
        <f t="shared" si="68"/>
        <v>0</v>
      </c>
      <c r="AX152" s="7">
        <f t="shared" si="68"/>
        <v>0</v>
      </c>
      <c r="AY152" s="7">
        <f t="shared" si="68"/>
        <v>0</v>
      </c>
      <c r="AZ152" s="7">
        <f t="shared" si="68"/>
        <v>0</v>
      </c>
      <c r="BA152" s="7">
        <f t="shared" si="68"/>
        <v>0</v>
      </c>
      <c r="BB152" s="7">
        <f t="shared" si="68"/>
        <v>0</v>
      </c>
      <c r="BC152" s="7">
        <f t="shared" si="68"/>
        <v>0</v>
      </c>
      <c r="BD152" s="7">
        <f t="shared" ca="1" si="68"/>
        <v>1017062.12</v>
      </c>
      <c r="BE152" s="7">
        <f t="shared" ca="1" si="68"/>
        <v>567159.96</v>
      </c>
      <c r="BF152" s="7">
        <f t="shared" ca="1" si="68"/>
        <v>7601617.5899999999</v>
      </c>
      <c r="BG152" s="7">
        <f t="shared" si="68"/>
        <v>0</v>
      </c>
      <c r="BH152" s="7">
        <f t="shared" ca="1" si="68"/>
        <v>252560.85</v>
      </c>
      <c r="BI152" s="7">
        <f t="shared" si="68"/>
        <v>0</v>
      </c>
      <c r="BJ152" s="7">
        <f t="shared" ca="1" si="68"/>
        <v>1422668.53</v>
      </c>
      <c r="BK152" s="7">
        <f t="shared" si="68"/>
        <v>0</v>
      </c>
      <c r="BL152" s="7">
        <f t="shared" si="68"/>
        <v>0</v>
      </c>
      <c r="BM152" s="7">
        <f t="shared" si="68"/>
        <v>0</v>
      </c>
      <c r="BN152" s="7">
        <f t="shared" si="68"/>
        <v>0</v>
      </c>
      <c r="BO152" s="7">
        <f t="shared" si="68"/>
        <v>0</v>
      </c>
      <c r="BP152" s="7">
        <f t="shared" si="68"/>
        <v>0</v>
      </c>
      <c r="BQ152" s="7">
        <f t="shared" si="68"/>
        <v>0</v>
      </c>
      <c r="BR152" s="7">
        <f t="shared" si="68"/>
        <v>0</v>
      </c>
      <c r="BS152" s="7">
        <f t="shared" si="68"/>
        <v>0</v>
      </c>
      <c r="BT152" s="7">
        <f t="shared" si="68"/>
        <v>0</v>
      </c>
      <c r="BU152" s="7">
        <f t="shared" si="68"/>
        <v>0</v>
      </c>
      <c r="BV152" s="7">
        <f t="shared" ca="1" si="68"/>
        <v>556116.47999999998</v>
      </c>
      <c r="BW152" s="7">
        <f t="shared" ca="1" si="68"/>
        <v>946859.81</v>
      </c>
      <c r="BX152" s="7">
        <f t="shared" si="68"/>
        <v>0</v>
      </c>
      <c r="BY152" s="7">
        <f t="shared" si="68"/>
        <v>0</v>
      </c>
      <c r="BZ152" s="7">
        <f t="shared" si="68"/>
        <v>0</v>
      </c>
      <c r="CA152" s="7">
        <f t="shared" si="68"/>
        <v>0</v>
      </c>
      <c r="CB152" s="7">
        <f t="shared" ca="1" si="68"/>
        <v>29316995.149999999</v>
      </c>
      <c r="CC152" s="7">
        <f t="shared" si="68"/>
        <v>0</v>
      </c>
      <c r="CD152" s="7">
        <f t="shared" si="68"/>
        <v>0</v>
      </c>
      <c r="CE152" s="7">
        <f t="shared" si="68"/>
        <v>0</v>
      </c>
      <c r="CF152" s="7">
        <f t="shared" si="68"/>
        <v>0</v>
      </c>
      <c r="CG152" s="7">
        <f t="shared" si="68"/>
        <v>0</v>
      </c>
      <c r="CH152" s="7">
        <f t="shared" si="68"/>
        <v>0</v>
      </c>
      <c r="CI152" s="7">
        <f t="shared" si="68"/>
        <v>0</v>
      </c>
      <c r="CJ152" s="7">
        <f t="shared" si="68"/>
        <v>0</v>
      </c>
      <c r="CK152" s="7">
        <f t="shared" ca="1" si="68"/>
        <v>2363477.21</v>
      </c>
      <c r="CL152" s="7">
        <f t="shared" ca="1" si="68"/>
        <v>685928.44</v>
      </c>
      <c r="CM152" s="7">
        <f t="shared" si="68"/>
        <v>0</v>
      </c>
      <c r="CN152" s="7">
        <f t="shared" ca="1" si="68"/>
        <v>12268475.35</v>
      </c>
      <c r="CO152" s="7">
        <f t="shared" ca="1" si="68"/>
        <v>5886809.3600000003</v>
      </c>
      <c r="CP152" s="7">
        <f t="shared" si="68"/>
        <v>0</v>
      </c>
      <c r="CQ152" s="7">
        <f t="shared" si="68"/>
        <v>0</v>
      </c>
      <c r="CR152" s="7">
        <f t="shared" si="68"/>
        <v>0</v>
      </c>
      <c r="CS152" s="7">
        <f t="shared" si="68"/>
        <v>0</v>
      </c>
      <c r="CT152" s="7">
        <f t="shared" si="68"/>
        <v>0</v>
      </c>
      <c r="CU152" s="7">
        <f t="shared" ca="1" si="68"/>
        <v>272669.08</v>
      </c>
      <c r="CV152" s="7">
        <f t="shared" si="68"/>
        <v>0</v>
      </c>
      <c r="CW152" s="7">
        <f t="shared" si="68"/>
        <v>0</v>
      </c>
      <c r="CX152" s="7">
        <f t="shared" si="68"/>
        <v>0</v>
      </c>
      <c r="CY152" s="7">
        <f t="shared" si="68"/>
        <v>0</v>
      </c>
      <c r="CZ152" s="7">
        <f t="shared" si="68"/>
        <v>0</v>
      </c>
      <c r="DA152" s="7">
        <f t="shared" si="68"/>
        <v>0</v>
      </c>
      <c r="DB152" s="7">
        <f t="shared" si="68"/>
        <v>0</v>
      </c>
      <c r="DC152" s="7">
        <f t="shared" si="68"/>
        <v>0</v>
      </c>
      <c r="DD152" s="7">
        <f t="shared" si="68"/>
        <v>0</v>
      </c>
      <c r="DE152" s="7">
        <f t="shared" si="68"/>
        <v>0</v>
      </c>
      <c r="DF152" s="7">
        <f t="shared" si="68"/>
        <v>0</v>
      </c>
      <c r="DG152" s="7">
        <f t="shared" si="68"/>
        <v>0</v>
      </c>
      <c r="DH152" s="7">
        <f t="shared" si="68"/>
        <v>0</v>
      </c>
      <c r="DI152" s="7">
        <f t="shared" si="68"/>
        <v>0</v>
      </c>
      <c r="DJ152" s="7">
        <f t="shared" si="68"/>
        <v>0</v>
      </c>
      <c r="DK152" s="7">
        <f t="shared" ca="1" si="68"/>
        <v>284054.75</v>
      </c>
      <c r="DL152" s="7">
        <f t="shared" si="68"/>
        <v>0</v>
      </c>
      <c r="DM152" s="7">
        <f t="shared" si="68"/>
        <v>0</v>
      </c>
      <c r="DN152" s="7">
        <f t="shared" si="68"/>
        <v>0</v>
      </c>
      <c r="DO152" s="7">
        <f t="shared" si="68"/>
        <v>0</v>
      </c>
      <c r="DP152" s="7">
        <f t="shared" si="68"/>
        <v>0</v>
      </c>
      <c r="DQ152" s="7">
        <f t="shared" ca="1" si="68"/>
        <v>512100.96</v>
      </c>
      <c r="DR152" s="7">
        <f t="shared" si="68"/>
        <v>0</v>
      </c>
      <c r="DS152" s="7">
        <f t="shared" si="68"/>
        <v>0</v>
      </c>
      <c r="DT152" s="7">
        <f t="shared" si="68"/>
        <v>0</v>
      </c>
      <c r="DU152" s="7">
        <f t="shared" si="68"/>
        <v>0</v>
      </c>
      <c r="DV152" s="7">
        <f t="shared" si="68"/>
        <v>0</v>
      </c>
      <c r="DW152" s="7">
        <f t="shared" si="68"/>
        <v>0</v>
      </c>
      <c r="DX152" s="7">
        <f t="shared" si="68"/>
        <v>0</v>
      </c>
      <c r="DY152" s="7">
        <f t="shared" si="68"/>
        <v>0</v>
      </c>
      <c r="DZ152" s="7">
        <f t="shared" ca="1" si="68"/>
        <v>358197.79</v>
      </c>
      <c r="EA152" s="7">
        <f t="shared" ca="1" si="68"/>
        <v>334380.78000000003</v>
      </c>
      <c r="EB152" s="7">
        <f t="shared" si="68"/>
        <v>0</v>
      </c>
      <c r="EC152" s="7">
        <f t="shared" si="68"/>
        <v>0</v>
      </c>
      <c r="ED152" s="7">
        <f t="shared" ca="1" si="68"/>
        <v>183158.52</v>
      </c>
      <c r="EE152" s="7">
        <f t="shared" si="68"/>
        <v>0</v>
      </c>
      <c r="EF152" s="7">
        <f t="shared" si="68"/>
        <v>0</v>
      </c>
      <c r="EG152" s="7">
        <f t="shared" si="68"/>
        <v>0</v>
      </c>
      <c r="EH152" s="7">
        <f t="shared" si="68"/>
        <v>0</v>
      </c>
      <c r="EI152" s="7">
        <f t="shared" si="68"/>
        <v>0</v>
      </c>
      <c r="EJ152" s="7">
        <f t="shared" si="68"/>
        <v>0</v>
      </c>
      <c r="EK152" s="7">
        <f t="shared" ca="1" si="68"/>
        <v>350649.47</v>
      </c>
      <c r="EL152" s="7">
        <f t="shared" si="68"/>
        <v>0</v>
      </c>
      <c r="EM152" s="7">
        <f t="shared" si="68"/>
        <v>0</v>
      </c>
      <c r="EN152" s="7">
        <f t="shared" si="68"/>
        <v>0</v>
      </c>
      <c r="EO152" s="7">
        <f t="shared" si="68"/>
        <v>0</v>
      </c>
      <c r="EP152" s="7">
        <f t="shared" si="68"/>
        <v>0</v>
      </c>
      <c r="EQ152" s="7">
        <f t="shared" ca="1" si="68"/>
        <v>649179.47</v>
      </c>
      <c r="ER152" s="7">
        <f t="shared" si="68"/>
        <v>0</v>
      </c>
      <c r="ES152" s="7">
        <f t="shared" si="68"/>
        <v>0</v>
      </c>
      <c r="ET152" s="7">
        <f t="shared" si="68"/>
        <v>0</v>
      </c>
      <c r="EU152" s="7">
        <f t="shared" si="68"/>
        <v>0</v>
      </c>
      <c r="EV152" s="7">
        <f t="shared" si="68"/>
        <v>0</v>
      </c>
      <c r="EW152" s="7">
        <f t="shared" ca="1" si="68"/>
        <v>417797.27</v>
      </c>
      <c r="EX152" s="7">
        <f t="shared" si="68"/>
        <v>0</v>
      </c>
      <c r="EY152" s="7">
        <f t="shared" si="68"/>
        <v>0</v>
      </c>
      <c r="EZ152" s="7">
        <f t="shared" si="68"/>
        <v>0</v>
      </c>
      <c r="FA152" s="7">
        <f t="shared" ca="1" si="68"/>
        <v>1780553.55</v>
      </c>
      <c r="FB152" s="7">
        <f t="shared" si="68"/>
        <v>0</v>
      </c>
      <c r="FC152" s="7">
        <f t="shared" ca="1" si="68"/>
        <v>812705.15</v>
      </c>
      <c r="FD152" s="7">
        <f t="shared" si="68"/>
        <v>0</v>
      </c>
      <c r="FE152" s="7">
        <f t="shared" si="68"/>
        <v>0</v>
      </c>
      <c r="FF152" s="7">
        <f t="shared" si="68"/>
        <v>0</v>
      </c>
      <c r="FG152" s="7">
        <f t="shared" si="68"/>
        <v>0</v>
      </c>
      <c r="FH152" s="7">
        <f t="shared" si="68"/>
        <v>0</v>
      </c>
      <c r="FI152" s="7">
        <f t="shared" si="68"/>
        <v>0</v>
      </c>
      <c r="FJ152" s="7">
        <f t="shared" ca="1" si="68"/>
        <v>953056.28</v>
      </c>
      <c r="FK152" s="7">
        <f t="shared" si="68"/>
        <v>0</v>
      </c>
      <c r="FL152" s="7">
        <f t="shared" ca="1" si="68"/>
        <v>2694154.84</v>
      </c>
      <c r="FM152" s="7">
        <f t="shared" ca="1" si="68"/>
        <v>1619323.36</v>
      </c>
      <c r="FN152" s="7">
        <f t="shared" si="68"/>
        <v>0</v>
      </c>
      <c r="FO152" s="7">
        <f t="shared" si="68"/>
        <v>0</v>
      </c>
      <c r="FP152" s="7">
        <f t="shared" si="68"/>
        <v>0</v>
      </c>
      <c r="FQ152" s="7">
        <f t="shared" ca="1" si="68"/>
        <v>475937.67</v>
      </c>
      <c r="FR152" s="7">
        <f t="shared" si="68"/>
        <v>0</v>
      </c>
      <c r="FS152" s="7">
        <f t="shared" si="68"/>
        <v>0</v>
      </c>
      <c r="FT152" s="7">
        <f t="shared" si="68"/>
        <v>0</v>
      </c>
      <c r="FU152" s="7">
        <f t="shared" si="68"/>
        <v>0</v>
      </c>
      <c r="FV152" s="7">
        <f t="shared" si="68"/>
        <v>0</v>
      </c>
      <c r="FW152" s="7">
        <f t="shared" si="68"/>
        <v>0</v>
      </c>
      <c r="FX152" s="7">
        <f t="shared" si="68"/>
        <v>0</v>
      </c>
      <c r="FY152" s="7"/>
      <c r="FZ152" s="7"/>
      <c r="GA152" s="7"/>
      <c r="GB152" s="31"/>
      <c r="GC152" s="31"/>
      <c r="GD152" s="31"/>
      <c r="GE152" s="7"/>
      <c r="GF152" s="7"/>
      <c r="GG152" s="7"/>
      <c r="GH152" s="7"/>
      <c r="GI152" s="7"/>
      <c r="GJ152" s="7"/>
      <c r="GK152" s="7"/>
    </row>
    <row r="153" spans="1:193" ht="15.5" x14ac:dyDescent="0.35">
      <c r="A153" s="7"/>
      <c r="B153" s="7" t="s">
        <v>884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</row>
    <row r="154" spans="1:193" ht="15.5" x14ac:dyDescent="0.35">
      <c r="A154" s="12" t="s">
        <v>885</v>
      </c>
      <c r="B154" s="7" t="s">
        <v>886</v>
      </c>
      <c r="C154" s="23">
        <f t="shared" ref="C154:FX154" si="69">ROUND(IF((AND((C103&lt;=459),(C139&lt;=C19)))=TRUE(),0,IF((AND(C150=0,C152=0))=TRUE(),C19*C21,0)),1)</f>
        <v>3034.6</v>
      </c>
      <c r="D154" s="23">
        <f t="shared" si="69"/>
        <v>17277.099999999999</v>
      </c>
      <c r="E154" s="23">
        <f t="shared" si="69"/>
        <v>2477.9</v>
      </c>
      <c r="F154" s="23">
        <f t="shared" si="69"/>
        <v>11360.3</v>
      </c>
      <c r="G154" s="23">
        <f t="shared" ca="1" si="69"/>
        <v>0</v>
      </c>
      <c r="H154" s="23">
        <f t="shared" ca="1" si="69"/>
        <v>0</v>
      </c>
      <c r="I154" s="23">
        <f t="shared" si="69"/>
        <v>3626.5</v>
      </c>
      <c r="J154" s="23">
        <f t="shared" si="69"/>
        <v>925.5</v>
      </c>
      <c r="K154" s="23">
        <f t="shared" ca="1" si="69"/>
        <v>0</v>
      </c>
      <c r="L154" s="23">
        <f t="shared" si="69"/>
        <v>971.5</v>
      </c>
      <c r="M154" s="23">
        <f t="shared" si="69"/>
        <v>395.1</v>
      </c>
      <c r="N154" s="23">
        <f t="shared" ca="1" si="69"/>
        <v>0</v>
      </c>
      <c r="O154" s="23">
        <f t="shared" ca="1" si="69"/>
        <v>0</v>
      </c>
      <c r="P154" s="23">
        <f t="shared" ca="1" si="69"/>
        <v>0</v>
      </c>
      <c r="Q154" s="23">
        <f t="shared" si="69"/>
        <v>18633.3</v>
      </c>
      <c r="R154" s="23">
        <f t="shared" si="69"/>
        <v>3440.8</v>
      </c>
      <c r="S154" s="23">
        <f t="shared" si="69"/>
        <v>737.3</v>
      </c>
      <c r="T154" s="23">
        <f t="shared" ca="1" si="69"/>
        <v>0</v>
      </c>
      <c r="U154" s="23">
        <f t="shared" ca="1" si="69"/>
        <v>0</v>
      </c>
      <c r="V154" s="23">
        <f t="shared" ca="1" si="69"/>
        <v>0</v>
      </c>
      <c r="W154" s="23">
        <f t="shared" ca="1" si="69"/>
        <v>0</v>
      </c>
      <c r="X154" s="23">
        <f t="shared" ca="1" si="69"/>
        <v>0</v>
      </c>
      <c r="Y154" s="23">
        <f t="shared" si="69"/>
        <v>406.4</v>
      </c>
      <c r="Z154" s="23">
        <f t="shared" si="69"/>
        <v>0</v>
      </c>
      <c r="AA154" s="23">
        <f t="shared" ca="1" si="69"/>
        <v>0</v>
      </c>
      <c r="AB154" s="23">
        <f t="shared" ca="1" si="69"/>
        <v>0</v>
      </c>
      <c r="AC154" s="23">
        <f t="shared" ca="1" si="69"/>
        <v>0</v>
      </c>
      <c r="AD154" s="23">
        <f t="shared" ca="1" si="69"/>
        <v>0</v>
      </c>
      <c r="AE154" s="23">
        <f t="shared" ca="1" si="69"/>
        <v>0</v>
      </c>
      <c r="AF154" s="23">
        <f t="shared" ca="1" si="69"/>
        <v>0</v>
      </c>
      <c r="AG154" s="23">
        <f t="shared" ca="1" si="69"/>
        <v>0</v>
      </c>
      <c r="AH154" s="23">
        <f t="shared" si="69"/>
        <v>422.5</v>
      </c>
      <c r="AI154" s="23">
        <f t="shared" ca="1" si="69"/>
        <v>0</v>
      </c>
      <c r="AJ154" s="23">
        <f t="shared" ca="1" si="69"/>
        <v>0</v>
      </c>
      <c r="AK154" s="23">
        <f t="shared" ca="1" si="69"/>
        <v>0</v>
      </c>
      <c r="AL154" s="23">
        <f t="shared" ca="1" si="69"/>
        <v>0</v>
      </c>
      <c r="AM154" s="23">
        <f t="shared" ca="1" si="69"/>
        <v>0</v>
      </c>
      <c r="AN154" s="23">
        <f t="shared" ca="1" si="69"/>
        <v>0</v>
      </c>
      <c r="AO154" s="23">
        <f t="shared" si="69"/>
        <v>1917.5</v>
      </c>
      <c r="AP154" s="23">
        <f t="shared" si="69"/>
        <v>39129.1</v>
      </c>
      <c r="AQ154" s="23">
        <f t="shared" ca="1" si="69"/>
        <v>0</v>
      </c>
      <c r="AR154" s="23">
        <f t="shared" ca="1" si="69"/>
        <v>0</v>
      </c>
      <c r="AS154" s="23">
        <f t="shared" ca="1" si="69"/>
        <v>0</v>
      </c>
      <c r="AT154" s="23">
        <f t="shared" ca="1" si="69"/>
        <v>0</v>
      </c>
      <c r="AU154" s="23">
        <f t="shared" si="69"/>
        <v>0</v>
      </c>
      <c r="AV154" s="23">
        <f t="shared" ca="1" si="69"/>
        <v>0</v>
      </c>
      <c r="AW154" s="23">
        <f t="shared" si="69"/>
        <v>0</v>
      </c>
      <c r="AX154" s="23">
        <f t="shared" ca="1" si="69"/>
        <v>0</v>
      </c>
      <c r="AY154" s="23">
        <f t="shared" ca="1" si="69"/>
        <v>0</v>
      </c>
      <c r="AZ154" s="23">
        <f t="shared" si="69"/>
        <v>5625.2</v>
      </c>
      <c r="BA154" s="23">
        <f t="shared" si="69"/>
        <v>4229.5</v>
      </c>
      <c r="BB154" s="23">
        <f t="shared" si="69"/>
        <v>3474.9</v>
      </c>
      <c r="BC154" s="23">
        <f t="shared" si="69"/>
        <v>11484</v>
      </c>
      <c r="BD154" s="23">
        <f t="shared" ca="1" si="69"/>
        <v>0</v>
      </c>
      <c r="BE154" s="23">
        <f t="shared" ca="1" si="69"/>
        <v>0</v>
      </c>
      <c r="BF154" s="23">
        <f t="shared" ca="1" si="69"/>
        <v>0</v>
      </c>
      <c r="BG154" s="23">
        <f t="shared" si="69"/>
        <v>428.5</v>
      </c>
      <c r="BH154" s="23">
        <f t="shared" ca="1" si="69"/>
        <v>0</v>
      </c>
      <c r="BI154" s="23">
        <f t="shared" ca="1" si="69"/>
        <v>0</v>
      </c>
      <c r="BJ154" s="23">
        <f t="shared" ca="1" si="69"/>
        <v>0</v>
      </c>
      <c r="BK154" s="23">
        <f t="shared" si="69"/>
        <v>12952.3</v>
      </c>
      <c r="BL154" s="23">
        <f t="shared" ca="1" si="69"/>
        <v>0</v>
      </c>
      <c r="BM154" s="23">
        <f t="shared" ca="1" si="69"/>
        <v>0</v>
      </c>
      <c r="BN154" s="23">
        <f t="shared" si="69"/>
        <v>1418.4</v>
      </c>
      <c r="BO154" s="23">
        <f t="shared" si="69"/>
        <v>553.20000000000005</v>
      </c>
      <c r="BP154" s="23">
        <f t="shared" ca="1" si="69"/>
        <v>0</v>
      </c>
      <c r="BQ154" s="23">
        <f t="shared" si="69"/>
        <v>2653.8</v>
      </c>
      <c r="BR154" s="23">
        <f t="shared" si="69"/>
        <v>2039.1</v>
      </c>
      <c r="BS154" s="23">
        <f t="shared" si="69"/>
        <v>530.9</v>
      </c>
      <c r="BT154" s="23">
        <f t="shared" si="69"/>
        <v>0</v>
      </c>
      <c r="BU154" s="23">
        <f t="shared" si="69"/>
        <v>0</v>
      </c>
      <c r="BV154" s="23">
        <f t="shared" ca="1" si="69"/>
        <v>0</v>
      </c>
      <c r="BW154" s="23">
        <f t="shared" ca="1" si="69"/>
        <v>0</v>
      </c>
      <c r="BX154" s="23">
        <f t="shared" si="69"/>
        <v>0</v>
      </c>
      <c r="BY154" s="23">
        <f t="shared" ca="1" si="69"/>
        <v>0</v>
      </c>
      <c r="BZ154" s="23">
        <f t="shared" ca="1" si="69"/>
        <v>0</v>
      </c>
      <c r="CA154" s="23">
        <f t="shared" si="69"/>
        <v>0</v>
      </c>
      <c r="CB154" s="23">
        <f t="shared" ca="1" si="69"/>
        <v>0</v>
      </c>
      <c r="CC154" s="23">
        <f t="shared" ca="1" si="69"/>
        <v>0</v>
      </c>
      <c r="CD154" s="23">
        <f t="shared" si="69"/>
        <v>0</v>
      </c>
      <c r="CE154" s="23">
        <f t="shared" si="69"/>
        <v>0</v>
      </c>
      <c r="CF154" s="23">
        <f t="shared" ca="1" si="69"/>
        <v>0</v>
      </c>
      <c r="CG154" s="23">
        <f t="shared" si="69"/>
        <v>0</v>
      </c>
      <c r="CH154" s="23">
        <f t="shared" ca="1" si="69"/>
        <v>0</v>
      </c>
      <c r="CI154" s="23">
        <f t="shared" si="69"/>
        <v>317.8</v>
      </c>
      <c r="CJ154" s="23">
        <f t="shared" si="69"/>
        <v>382.9</v>
      </c>
      <c r="CK154" s="23">
        <f t="shared" ca="1" si="69"/>
        <v>0</v>
      </c>
      <c r="CL154" s="23">
        <f t="shared" ca="1" si="69"/>
        <v>0</v>
      </c>
      <c r="CM154" s="23">
        <f t="shared" si="69"/>
        <v>287.10000000000002</v>
      </c>
      <c r="CN154" s="23">
        <f t="shared" ca="1" si="69"/>
        <v>0</v>
      </c>
      <c r="CO154" s="23">
        <f t="shared" ca="1" si="69"/>
        <v>0</v>
      </c>
      <c r="CP154" s="23">
        <f t="shared" si="69"/>
        <v>418</v>
      </c>
      <c r="CQ154" s="23">
        <f t="shared" si="69"/>
        <v>353.2</v>
      </c>
      <c r="CR154" s="23">
        <f t="shared" si="69"/>
        <v>0</v>
      </c>
      <c r="CS154" s="23">
        <f t="shared" si="69"/>
        <v>0</v>
      </c>
      <c r="CT154" s="23">
        <f t="shared" ca="1" si="69"/>
        <v>0</v>
      </c>
      <c r="CU154" s="23">
        <f t="shared" ca="1" si="69"/>
        <v>0</v>
      </c>
      <c r="CV154" s="23">
        <f t="shared" si="69"/>
        <v>0</v>
      </c>
      <c r="CW154" s="23">
        <f t="shared" ca="1" si="69"/>
        <v>0</v>
      </c>
      <c r="CX154" s="23">
        <f t="shared" si="69"/>
        <v>212.9</v>
      </c>
      <c r="CY154" s="23">
        <f t="shared" ca="1" si="69"/>
        <v>0</v>
      </c>
      <c r="CZ154" s="23">
        <f t="shared" si="69"/>
        <v>824</v>
      </c>
      <c r="DA154" s="23">
        <f t="shared" si="69"/>
        <v>0</v>
      </c>
      <c r="DB154" s="23">
        <f t="shared" si="69"/>
        <v>0</v>
      </c>
      <c r="DC154" s="23">
        <f t="shared" si="69"/>
        <v>0</v>
      </c>
      <c r="DD154" s="23">
        <f t="shared" ca="1" si="69"/>
        <v>0</v>
      </c>
      <c r="DE154" s="23">
        <f t="shared" si="69"/>
        <v>0</v>
      </c>
      <c r="DF154" s="23">
        <f t="shared" si="69"/>
        <v>9695.7000000000007</v>
      </c>
      <c r="DG154" s="23">
        <f t="shared" si="69"/>
        <v>0</v>
      </c>
      <c r="DH154" s="23">
        <f t="shared" si="69"/>
        <v>785.4</v>
      </c>
      <c r="DI154" s="23">
        <f t="shared" si="69"/>
        <v>1094.9000000000001</v>
      </c>
      <c r="DJ154" s="23">
        <f t="shared" si="69"/>
        <v>278.7</v>
      </c>
      <c r="DK154" s="23">
        <f t="shared" ca="1" si="69"/>
        <v>0</v>
      </c>
      <c r="DL154" s="23">
        <f t="shared" si="69"/>
        <v>2622.3</v>
      </c>
      <c r="DM154" s="23">
        <f t="shared" ca="1" si="69"/>
        <v>0</v>
      </c>
      <c r="DN154" s="23">
        <f t="shared" si="69"/>
        <v>596.9</v>
      </c>
      <c r="DO154" s="23">
        <f t="shared" si="69"/>
        <v>1526.8</v>
      </c>
      <c r="DP154" s="23">
        <f t="shared" si="69"/>
        <v>0</v>
      </c>
      <c r="DQ154" s="23">
        <f t="shared" ca="1" si="69"/>
        <v>0</v>
      </c>
      <c r="DR154" s="23">
        <f t="shared" si="69"/>
        <v>589.29999999999995</v>
      </c>
      <c r="DS154" s="23">
        <f t="shared" si="69"/>
        <v>253.6</v>
      </c>
      <c r="DT154" s="23">
        <f t="shared" ca="1" si="69"/>
        <v>0</v>
      </c>
      <c r="DU154" s="23">
        <f t="shared" ca="1" si="69"/>
        <v>0</v>
      </c>
      <c r="DV154" s="23">
        <f t="shared" si="69"/>
        <v>0</v>
      </c>
      <c r="DW154" s="23">
        <f t="shared" ca="1" si="69"/>
        <v>0</v>
      </c>
      <c r="DX154" s="23">
        <f t="shared" si="69"/>
        <v>0</v>
      </c>
      <c r="DY154" s="23">
        <f t="shared" si="69"/>
        <v>0</v>
      </c>
      <c r="DZ154" s="23">
        <f t="shared" ca="1" si="69"/>
        <v>0</v>
      </c>
      <c r="EA154" s="23">
        <f t="shared" ca="1" si="69"/>
        <v>0</v>
      </c>
      <c r="EB154" s="23">
        <f t="shared" si="69"/>
        <v>232.4</v>
      </c>
      <c r="EC154" s="23">
        <f t="shared" si="69"/>
        <v>0</v>
      </c>
      <c r="ED154" s="23">
        <f t="shared" ca="1" si="69"/>
        <v>0</v>
      </c>
      <c r="EE154" s="23">
        <f t="shared" ca="1" si="69"/>
        <v>0</v>
      </c>
      <c r="EF154" s="23">
        <f t="shared" si="69"/>
        <v>587.20000000000005</v>
      </c>
      <c r="EG154" s="23">
        <f t="shared" ca="1" si="69"/>
        <v>0</v>
      </c>
      <c r="EH154" s="23">
        <f t="shared" ca="1" si="69"/>
        <v>0</v>
      </c>
      <c r="EI154" s="23">
        <f t="shared" si="69"/>
        <v>6186.8</v>
      </c>
      <c r="EJ154" s="23">
        <f t="shared" si="69"/>
        <v>4653.8999999999996</v>
      </c>
      <c r="EK154" s="23">
        <f t="shared" ca="1" si="69"/>
        <v>0</v>
      </c>
      <c r="EL154" s="23">
        <f t="shared" si="69"/>
        <v>208</v>
      </c>
      <c r="EM154" s="23">
        <f t="shared" ca="1" si="69"/>
        <v>0</v>
      </c>
      <c r="EN154" s="23">
        <f t="shared" si="69"/>
        <v>428.2</v>
      </c>
      <c r="EO154" s="23">
        <f t="shared" ca="1" si="69"/>
        <v>0</v>
      </c>
      <c r="EP154" s="23">
        <f t="shared" si="69"/>
        <v>0</v>
      </c>
      <c r="EQ154" s="23">
        <f t="shared" ca="1" si="69"/>
        <v>0</v>
      </c>
      <c r="ER154" s="23">
        <f t="shared" si="69"/>
        <v>0</v>
      </c>
      <c r="ES154" s="23">
        <f t="shared" ca="1" si="69"/>
        <v>0</v>
      </c>
      <c r="ET154" s="23">
        <f t="shared" ca="1" si="69"/>
        <v>0</v>
      </c>
      <c r="EU154" s="23">
        <f t="shared" si="69"/>
        <v>264.3</v>
      </c>
      <c r="EV154" s="23">
        <f t="shared" ca="1" si="69"/>
        <v>0</v>
      </c>
      <c r="EW154" s="23">
        <f t="shared" ca="1" si="69"/>
        <v>0</v>
      </c>
      <c r="EX154" s="23">
        <f t="shared" ca="1" si="69"/>
        <v>0</v>
      </c>
      <c r="EY154" s="23">
        <f t="shared" si="69"/>
        <v>302.3</v>
      </c>
      <c r="EZ154" s="23">
        <f t="shared" ca="1" si="69"/>
        <v>0</v>
      </c>
      <c r="FA154" s="23">
        <f t="shared" ca="1" si="69"/>
        <v>0</v>
      </c>
      <c r="FB154" s="23">
        <f t="shared" ca="1" si="69"/>
        <v>0</v>
      </c>
      <c r="FC154" s="23">
        <f t="shared" ca="1" si="69"/>
        <v>0</v>
      </c>
      <c r="FD154" s="23">
        <f t="shared" ca="1" si="69"/>
        <v>0</v>
      </c>
      <c r="FE154" s="23">
        <f t="shared" ca="1" si="69"/>
        <v>0</v>
      </c>
      <c r="FF154" s="23">
        <f t="shared" ca="1" si="69"/>
        <v>0</v>
      </c>
      <c r="FG154" s="23">
        <f t="shared" si="69"/>
        <v>0</v>
      </c>
      <c r="FH154" s="23">
        <f t="shared" si="69"/>
        <v>0</v>
      </c>
      <c r="FI154" s="23">
        <f t="shared" si="69"/>
        <v>764.3</v>
      </c>
      <c r="FJ154" s="23">
        <f t="shared" ca="1" si="69"/>
        <v>0</v>
      </c>
      <c r="FK154" s="23">
        <f t="shared" si="69"/>
        <v>1152.5</v>
      </c>
      <c r="FL154" s="23">
        <f t="shared" ca="1" si="69"/>
        <v>0</v>
      </c>
      <c r="FM154" s="23">
        <f t="shared" ca="1" si="69"/>
        <v>0</v>
      </c>
      <c r="FN154" s="23">
        <f t="shared" si="69"/>
        <v>10622.4</v>
      </c>
      <c r="FO154" s="23">
        <f t="shared" si="69"/>
        <v>521.1</v>
      </c>
      <c r="FP154" s="23">
        <f t="shared" si="69"/>
        <v>1090.2</v>
      </c>
      <c r="FQ154" s="23">
        <f t="shared" ca="1" si="69"/>
        <v>0</v>
      </c>
      <c r="FR154" s="23">
        <f t="shared" si="69"/>
        <v>0</v>
      </c>
      <c r="FS154" s="23">
        <f t="shared" si="69"/>
        <v>0</v>
      </c>
      <c r="FT154" s="23">
        <f t="shared" ca="1" si="69"/>
        <v>0</v>
      </c>
      <c r="FU154" s="23">
        <f t="shared" si="69"/>
        <v>353.9</v>
      </c>
      <c r="FV154" s="23">
        <f t="shared" si="69"/>
        <v>324.10000000000002</v>
      </c>
      <c r="FW154" s="23">
        <f t="shared" ca="1" si="69"/>
        <v>0</v>
      </c>
      <c r="FX154" s="23">
        <f t="shared" si="69"/>
        <v>0</v>
      </c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</row>
    <row r="155" spans="1:193" ht="15.5" x14ac:dyDescent="0.35">
      <c r="A155" s="7"/>
      <c r="B155" s="7" t="s">
        <v>887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</row>
    <row r="156" spans="1:193" ht="15.5" x14ac:dyDescent="0.35">
      <c r="A156" s="12" t="s">
        <v>888</v>
      </c>
      <c r="B156" s="7" t="s">
        <v>889</v>
      </c>
      <c r="C156" s="7">
        <f t="shared" ref="C156:FX156" ca="1" si="70">ROUND(IF((AND((C103&lt;=459),(C139&lt;=C19)))=TRUE(),0,(C124*C141*C154)),2)</f>
        <v>3910486.08</v>
      </c>
      <c r="D156" s="7">
        <f t="shared" ca="1" si="70"/>
        <v>22350649.670000002</v>
      </c>
      <c r="E156" s="7">
        <f t="shared" ca="1" si="70"/>
        <v>3164928.58</v>
      </c>
      <c r="F156" s="7">
        <f t="shared" ca="1" si="70"/>
        <v>14572742.08</v>
      </c>
      <c r="G156" s="7">
        <f t="shared" ca="1" si="70"/>
        <v>0</v>
      </c>
      <c r="H156" s="7">
        <f t="shared" ca="1" si="70"/>
        <v>0</v>
      </c>
      <c r="I156" s="7">
        <f t="shared" ca="1" si="70"/>
        <v>4639627.26</v>
      </c>
      <c r="J156" s="7">
        <f t="shared" ca="1" si="70"/>
        <v>1145556.93</v>
      </c>
      <c r="K156" s="7">
        <f t="shared" ca="1" si="70"/>
        <v>0</v>
      </c>
      <c r="L156" s="7">
        <f t="shared" ca="1" si="70"/>
        <v>1300961.5</v>
      </c>
      <c r="M156" s="7">
        <f t="shared" ca="1" si="70"/>
        <v>564732.34</v>
      </c>
      <c r="N156" s="7">
        <f t="shared" ca="1" si="70"/>
        <v>0</v>
      </c>
      <c r="O156" s="7">
        <f t="shared" ca="1" si="70"/>
        <v>0</v>
      </c>
      <c r="P156" s="7">
        <f t="shared" ca="1" si="70"/>
        <v>0</v>
      </c>
      <c r="Q156" s="7">
        <f t="shared" ca="1" si="70"/>
        <v>24449215.050000001</v>
      </c>
      <c r="R156" s="7">
        <f t="shared" ca="1" si="70"/>
        <v>4401330.28</v>
      </c>
      <c r="S156" s="7">
        <f t="shared" ca="1" si="70"/>
        <v>971073.67</v>
      </c>
      <c r="T156" s="7">
        <f t="shared" ca="1" si="70"/>
        <v>0</v>
      </c>
      <c r="U156" s="7">
        <f t="shared" ca="1" si="70"/>
        <v>0</v>
      </c>
      <c r="V156" s="7">
        <f t="shared" ca="1" si="70"/>
        <v>0</v>
      </c>
      <c r="W156" s="7">
        <f t="shared" ca="1" si="70"/>
        <v>0</v>
      </c>
      <c r="X156" s="7">
        <f t="shared" ca="1" si="70"/>
        <v>0</v>
      </c>
      <c r="Y156" s="7">
        <f t="shared" ca="1" si="70"/>
        <v>516499.29</v>
      </c>
      <c r="Z156" s="7">
        <f t="shared" si="70"/>
        <v>0</v>
      </c>
      <c r="AA156" s="7">
        <f t="shared" ca="1" si="70"/>
        <v>0</v>
      </c>
      <c r="AB156" s="7">
        <f t="shared" ca="1" si="70"/>
        <v>0</v>
      </c>
      <c r="AC156" s="7">
        <f t="shared" ca="1" si="70"/>
        <v>0</v>
      </c>
      <c r="AD156" s="7">
        <f t="shared" ca="1" si="70"/>
        <v>0</v>
      </c>
      <c r="AE156" s="7">
        <f t="shared" ca="1" si="70"/>
        <v>0</v>
      </c>
      <c r="AF156" s="7">
        <f t="shared" ca="1" si="70"/>
        <v>0</v>
      </c>
      <c r="AG156" s="7">
        <f t="shared" ca="1" si="70"/>
        <v>0</v>
      </c>
      <c r="AH156" s="7">
        <f t="shared" ca="1" si="70"/>
        <v>547219.43999999994</v>
      </c>
      <c r="AI156" s="7">
        <f t="shared" ca="1" si="70"/>
        <v>0</v>
      </c>
      <c r="AJ156" s="7">
        <f t="shared" ca="1" si="70"/>
        <v>0</v>
      </c>
      <c r="AK156" s="7">
        <f t="shared" ca="1" si="70"/>
        <v>0</v>
      </c>
      <c r="AL156" s="7">
        <f t="shared" ca="1" si="70"/>
        <v>0</v>
      </c>
      <c r="AM156" s="7">
        <f t="shared" ca="1" si="70"/>
        <v>0</v>
      </c>
      <c r="AN156" s="7">
        <f t="shared" ca="1" si="70"/>
        <v>0</v>
      </c>
      <c r="AO156" s="7">
        <f t="shared" ca="1" si="70"/>
        <v>2414952.59</v>
      </c>
      <c r="AP156" s="7">
        <f t="shared" ca="1" si="70"/>
        <v>51380294.619999997</v>
      </c>
      <c r="AQ156" s="7">
        <f t="shared" ca="1" si="70"/>
        <v>0</v>
      </c>
      <c r="AR156" s="7">
        <f t="shared" ca="1" si="70"/>
        <v>0</v>
      </c>
      <c r="AS156" s="7">
        <f t="shared" ca="1" si="70"/>
        <v>0</v>
      </c>
      <c r="AT156" s="7">
        <f t="shared" ca="1" si="70"/>
        <v>0</v>
      </c>
      <c r="AU156" s="7">
        <f t="shared" si="70"/>
        <v>0</v>
      </c>
      <c r="AV156" s="7">
        <f t="shared" ca="1" si="70"/>
        <v>0</v>
      </c>
      <c r="AW156" s="7">
        <f t="shared" si="70"/>
        <v>0</v>
      </c>
      <c r="AX156" s="7">
        <f t="shared" ca="1" si="70"/>
        <v>0</v>
      </c>
      <c r="AY156" s="7">
        <f t="shared" ca="1" si="70"/>
        <v>0</v>
      </c>
      <c r="AZ156" s="7">
        <f t="shared" ca="1" si="70"/>
        <v>7163932.1500000004</v>
      </c>
      <c r="BA156" s="7">
        <f t="shared" ca="1" si="70"/>
        <v>5267050.21</v>
      </c>
      <c r="BB156" s="7">
        <f t="shared" ca="1" si="70"/>
        <v>4359417.67</v>
      </c>
      <c r="BC156" s="7">
        <f t="shared" ca="1" si="70"/>
        <v>14643131.84</v>
      </c>
      <c r="BD156" s="7">
        <f t="shared" ca="1" si="70"/>
        <v>0</v>
      </c>
      <c r="BE156" s="7">
        <f t="shared" ca="1" si="70"/>
        <v>0</v>
      </c>
      <c r="BF156" s="7">
        <f t="shared" ca="1" si="70"/>
        <v>0</v>
      </c>
      <c r="BG156" s="7">
        <f t="shared" ca="1" si="70"/>
        <v>595097.1</v>
      </c>
      <c r="BH156" s="7">
        <f t="shared" ca="1" si="70"/>
        <v>0</v>
      </c>
      <c r="BI156" s="7">
        <f t="shared" ca="1" si="70"/>
        <v>0</v>
      </c>
      <c r="BJ156" s="7">
        <f t="shared" ca="1" si="70"/>
        <v>0</v>
      </c>
      <c r="BK156" s="7">
        <f t="shared" ca="1" si="70"/>
        <v>16554413.050000001</v>
      </c>
      <c r="BL156" s="7">
        <f t="shared" ca="1" si="70"/>
        <v>0</v>
      </c>
      <c r="BM156" s="7">
        <f t="shared" ca="1" si="70"/>
        <v>0</v>
      </c>
      <c r="BN156" s="7">
        <f t="shared" ca="1" si="70"/>
        <v>1748110.74</v>
      </c>
      <c r="BO156" s="7">
        <f t="shared" ca="1" si="70"/>
        <v>715547.58</v>
      </c>
      <c r="BP156" s="7">
        <f t="shared" ca="1" si="70"/>
        <v>0</v>
      </c>
      <c r="BQ156" s="7">
        <f t="shared" ca="1" si="70"/>
        <v>3626061.49</v>
      </c>
      <c r="BR156" s="7">
        <f t="shared" ca="1" si="70"/>
        <v>2590296.4700000002</v>
      </c>
      <c r="BS156" s="7">
        <f t="shared" ca="1" si="70"/>
        <v>729432.41</v>
      </c>
      <c r="BT156" s="7">
        <f t="shared" si="70"/>
        <v>0</v>
      </c>
      <c r="BU156" s="7">
        <f t="shared" si="70"/>
        <v>0</v>
      </c>
      <c r="BV156" s="7">
        <f t="shared" ca="1" si="70"/>
        <v>0</v>
      </c>
      <c r="BW156" s="7">
        <f t="shared" ca="1" si="70"/>
        <v>0</v>
      </c>
      <c r="BX156" s="7">
        <f t="shared" si="70"/>
        <v>0</v>
      </c>
      <c r="BY156" s="7">
        <f t="shared" ca="1" si="70"/>
        <v>0</v>
      </c>
      <c r="BZ156" s="7">
        <f t="shared" ca="1" si="70"/>
        <v>0</v>
      </c>
      <c r="CA156" s="7">
        <f t="shared" si="70"/>
        <v>0</v>
      </c>
      <c r="CB156" s="7">
        <f t="shared" ca="1" si="70"/>
        <v>0</v>
      </c>
      <c r="CC156" s="7">
        <f t="shared" ca="1" si="70"/>
        <v>0</v>
      </c>
      <c r="CD156" s="7">
        <f t="shared" si="70"/>
        <v>0</v>
      </c>
      <c r="CE156" s="7">
        <f t="shared" si="70"/>
        <v>0</v>
      </c>
      <c r="CF156" s="7">
        <f t="shared" ca="1" si="70"/>
        <v>0</v>
      </c>
      <c r="CG156" s="7">
        <f t="shared" si="70"/>
        <v>0</v>
      </c>
      <c r="CH156" s="7">
        <f t="shared" ca="1" si="70"/>
        <v>0</v>
      </c>
      <c r="CI156" s="7">
        <f t="shared" ca="1" si="70"/>
        <v>420548.43</v>
      </c>
      <c r="CJ156" s="7">
        <f t="shared" ca="1" si="70"/>
        <v>533581.79</v>
      </c>
      <c r="CK156" s="7">
        <f t="shared" ca="1" si="70"/>
        <v>0</v>
      </c>
      <c r="CL156" s="7">
        <f t="shared" ca="1" si="70"/>
        <v>0</v>
      </c>
      <c r="CM156" s="7">
        <f t="shared" ca="1" si="70"/>
        <v>423602.54</v>
      </c>
      <c r="CN156" s="7">
        <f t="shared" ca="1" si="70"/>
        <v>0</v>
      </c>
      <c r="CO156" s="7">
        <f t="shared" ca="1" si="70"/>
        <v>0</v>
      </c>
      <c r="CP156" s="7">
        <f t="shared" ca="1" si="70"/>
        <v>590836.56000000006</v>
      </c>
      <c r="CQ156" s="7">
        <f t="shared" ca="1" si="70"/>
        <v>491150.37</v>
      </c>
      <c r="CR156" s="7">
        <f t="shared" si="70"/>
        <v>0</v>
      </c>
      <c r="CS156" s="7">
        <f t="shared" si="70"/>
        <v>0</v>
      </c>
      <c r="CT156" s="7">
        <f t="shared" ca="1" si="70"/>
        <v>0</v>
      </c>
      <c r="CU156" s="7">
        <f t="shared" ca="1" si="70"/>
        <v>0</v>
      </c>
      <c r="CV156" s="7">
        <f t="shared" si="70"/>
        <v>0</v>
      </c>
      <c r="CW156" s="7">
        <f t="shared" ca="1" si="70"/>
        <v>0</v>
      </c>
      <c r="CX156" s="7">
        <f t="shared" ca="1" si="70"/>
        <v>308028.62</v>
      </c>
      <c r="CY156" s="7">
        <f t="shared" ca="1" si="70"/>
        <v>0</v>
      </c>
      <c r="CZ156" s="7">
        <f t="shared" ca="1" si="70"/>
        <v>1056319.8799999999</v>
      </c>
      <c r="DA156" s="7">
        <f t="shared" si="70"/>
        <v>0</v>
      </c>
      <c r="DB156" s="7">
        <f t="shared" si="70"/>
        <v>0</v>
      </c>
      <c r="DC156" s="7">
        <f t="shared" si="70"/>
        <v>0</v>
      </c>
      <c r="DD156" s="7">
        <f t="shared" ca="1" si="70"/>
        <v>0</v>
      </c>
      <c r="DE156" s="7">
        <f t="shared" si="70"/>
        <v>0</v>
      </c>
      <c r="DF156" s="7">
        <f t="shared" ca="1" si="70"/>
        <v>11776538.4</v>
      </c>
      <c r="DG156" s="7">
        <f t="shared" si="70"/>
        <v>0</v>
      </c>
      <c r="DH156" s="7">
        <f t="shared" ca="1" si="70"/>
        <v>987902.51</v>
      </c>
      <c r="DI156" s="7">
        <f t="shared" ca="1" si="70"/>
        <v>1355902.24</v>
      </c>
      <c r="DJ156" s="7">
        <f t="shared" ca="1" si="70"/>
        <v>396649.02</v>
      </c>
      <c r="DK156" s="7">
        <f t="shared" ca="1" si="70"/>
        <v>0</v>
      </c>
      <c r="DL156" s="7">
        <f t="shared" ca="1" si="70"/>
        <v>3378988.03</v>
      </c>
      <c r="DM156" s="7">
        <f t="shared" ca="1" si="70"/>
        <v>0</v>
      </c>
      <c r="DN156" s="7">
        <f t="shared" ca="1" si="70"/>
        <v>800053.87</v>
      </c>
      <c r="DO156" s="7">
        <f t="shared" ca="1" si="70"/>
        <v>1937378.78</v>
      </c>
      <c r="DP156" s="7">
        <f t="shared" si="70"/>
        <v>0</v>
      </c>
      <c r="DQ156" s="7">
        <f t="shared" ca="1" si="70"/>
        <v>0</v>
      </c>
      <c r="DR156" s="7">
        <f t="shared" ca="1" si="70"/>
        <v>763755.34</v>
      </c>
      <c r="DS156" s="7">
        <f t="shared" ca="1" si="70"/>
        <v>355483.92</v>
      </c>
      <c r="DT156" s="7">
        <f t="shared" ca="1" si="70"/>
        <v>0</v>
      </c>
      <c r="DU156" s="7">
        <f t="shared" ca="1" si="70"/>
        <v>0</v>
      </c>
      <c r="DV156" s="7">
        <f t="shared" si="70"/>
        <v>0</v>
      </c>
      <c r="DW156" s="7">
        <f t="shared" ca="1" si="70"/>
        <v>0</v>
      </c>
      <c r="DX156" s="7">
        <f t="shared" si="70"/>
        <v>0</v>
      </c>
      <c r="DY156" s="7">
        <f t="shared" si="70"/>
        <v>0</v>
      </c>
      <c r="DZ156" s="7">
        <f t="shared" ca="1" si="70"/>
        <v>0</v>
      </c>
      <c r="EA156" s="7">
        <f t="shared" ca="1" si="70"/>
        <v>0</v>
      </c>
      <c r="EB156" s="7">
        <f t="shared" ca="1" si="70"/>
        <v>325398.43</v>
      </c>
      <c r="EC156" s="7">
        <f t="shared" si="70"/>
        <v>0</v>
      </c>
      <c r="ED156" s="7">
        <f t="shared" ca="1" si="70"/>
        <v>0</v>
      </c>
      <c r="EE156" s="7">
        <f t="shared" ca="1" si="70"/>
        <v>0</v>
      </c>
      <c r="EF156" s="7">
        <f t="shared" ca="1" si="70"/>
        <v>752718.43</v>
      </c>
      <c r="EG156" s="7">
        <f t="shared" ca="1" si="70"/>
        <v>0</v>
      </c>
      <c r="EH156" s="7">
        <f t="shared" ca="1" si="70"/>
        <v>0</v>
      </c>
      <c r="EI156" s="7">
        <f t="shared" ca="1" si="70"/>
        <v>7697809.7300000004</v>
      </c>
      <c r="EJ156" s="7">
        <f t="shared" ca="1" si="70"/>
        <v>5734378.25</v>
      </c>
      <c r="EK156" s="7">
        <f t="shared" ca="1" si="70"/>
        <v>0</v>
      </c>
      <c r="EL156" s="7">
        <f t="shared" ca="1" si="70"/>
        <v>291943.71999999997</v>
      </c>
      <c r="EM156" s="7">
        <f t="shared" ca="1" si="70"/>
        <v>0</v>
      </c>
      <c r="EN156" s="7">
        <f t="shared" ca="1" si="70"/>
        <v>561455.5</v>
      </c>
      <c r="EO156" s="7">
        <f t="shared" ca="1" si="70"/>
        <v>0</v>
      </c>
      <c r="EP156" s="7">
        <f t="shared" si="70"/>
        <v>0</v>
      </c>
      <c r="EQ156" s="7">
        <f t="shared" ca="1" si="70"/>
        <v>0</v>
      </c>
      <c r="ER156" s="7">
        <f t="shared" si="70"/>
        <v>0</v>
      </c>
      <c r="ES156" s="7">
        <f t="shared" ca="1" si="70"/>
        <v>0</v>
      </c>
      <c r="ET156" s="7">
        <f t="shared" ca="1" si="70"/>
        <v>0</v>
      </c>
      <c r="EU156" s="7">
        <f t="shared" ca="1" si="70"/>
        <v>360325.45</v>
      </c>
      <c r="EV156" s="7">
        <f t="shared" ca="1" si="70"/>
        <v>0</v>
      </c>
      <c r="EW156" s="7">
        <f t="shared" ca="1" si="70"/>
        <v>0</v>
      </c>
      <c r="EX156" s="7">
        <f t="shared" ca="1" si="70"/>
        <v>0</v>
      </c>
      <c r="EY156" s="7">
        <f t="shared" ca="1" si="70"/>
        <v>414403.87</v>
      </c>
      <c r="EZ156" s="7">
        <f t="shared" ca="1" si="70"/>
        <v>0</v>
      </c>
      <c r="FA156" s="7">
        <f t="shared" ca="1" si="70"/>
        <v>0</v>
      </c>
      <c r="FB156" s="7">
        <f t="shared" ca="1" si="70"/>
        <v>0</v>
      </c>
      <c r="FC156" s="7">
        <f t="shared" ca="1" si="70"/>
        <v>0</v>
      </c>
      <c r="FD156" s="7">
        <f t="shared" ca="1" si="70"/>
        <v>0</v>
      </c>
      <c r="FE156" s="7">
        <f t="shared" ca="1" si="70"/>
        <v>0</v>
      </c>
      <c r="FF156" s="7">
        <f t="shared" ca="1" si="70"/>
        <v>0</v>
      </c>
      <c r="FG156" s="7">
        <f t="shared" si="70"/>
        <v>0</v>
      </c>
      <c r="FH156" s="7">
        <f t="shared" si="70"/>
        <v>0</v>
      </c>
      <c r="FI156" s="7">
        <f t="shared" ca="1" si="70"/>
        <v>995961.09</v>
      </c>
      <c r="FJ156" s="7">
        <f t="shared" ca="1" si="70"/>
        <v>0</v>
      </c>
      <c r="FK156" s="7">
        <f t="shared" ca="1" si="70"/>
        <v>1466294.43</v>
      </c>
      <c r="FL156" s="7">
        <f t="shared" ca="1" si="70"/>
        <v>0</v>
      </c>
      <c r="FM156" s="7">
        <f t="shared" ca="1" si="70"/>
        <v>0</v>
      </c>
      <c r="FN156" s="7">
        <f t="shared" ca="1" si="70"/>
        <v>13304509.300000001</v>
      </c>
      <c r="FO156" s="7">
        <f t="shared" ca="1" si="70"/>
        <v>697660.96</v>
      </c>
      <c r="FP156" s="7">
        <f t="shared" ca="1" si="70"/>
        <v>1409765.05</v>
      </c>
      <c r="FQ156" s="7">
        <f t="shared" ca="1" si="70"/>
        <v>0</v>
      </c>
      <c r="FR156" s="7">
        <f t="shared" si="70"/>
        <v>0</v>
      </c>
      <c r="FS156" s="7">
        <f t="shared" si="70"/>
        <v>0</v>
      </c>
      <c r="FT156" s="7">
        <f t="shared" ca="1" si="70"/>
        <v>0</v>
      </c>
      <c r="FU156" s="7">
        <f t="shared" ca="1" si="70"/>
        <v>502270.88</v>
      </c>
      <c r="FV156" s="7">
        <f t="shared" ca="1" si="70"/>
        <v>451568.06</v>
      </c>
      <c r="FW156" s="7">
        <f t="shared" ca="1" si="70"/>
        <v>0</v>
      </c>
      <c r="FX156" s="7">
        <f t="shared" si="70"/>
        <v>0</v>
      </c>
      <c r="FY156" s="23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</row>
    <row r="157" spans="1:193" ht="15.5" x14ac:dyDescent="0.35">
      <c r="A157" s="7"/>
      <c r="B157" s="7" t="s">
        <v>890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</row>
    <row r="158" spans="1:193" ht="15.5" x14ac:dyDescent="0.35">
      <c r="A158" s="12" t="s">
        <v>891</v>
      </c>
      <c r="B158" s="7" t="s">
        <v>892</v>
      </c>
      <c r="C158" s="7">
        <f t="shared" ref="C158:FX158" ca="1" si="71">ROUND(IF((AND((C103&lt;=459),(C139&lt;=C19)))=TRUE(),0,IF(C156=0,0,C124*C148*(C137-C154))),2)</f>
        <v>3792038.47</v>
      </c>
      <c r="D158" s="7">
        <f t="shared" ca="1" si="71"/>
        <v>2798660.32</v>
      </c>
      <c r="E158" s="7">
        <f t="shared" ca="1" si="71"/>
        <v>5835545.7400000002</v>
      </c>
      <c r="F158" s="7">
        <f t="shared" ca="1" si="71"/>
        <v>1710935.63</v>
      </c>
      <c r="G158" s="7">
        <f t="shared" ca="1" si="71"/>
        <v>0</v>
      </c>
      <c r="H158" s="7">
        <f t="shared" ca="1" si="71"/>
        <v>0</v>
      </c>
      <c r="I158" s="7">
        <f t="shared" ca="1" si="71"/>
        <v>6662600.3799999999</v>
      </c>
      <c r="J158" s="7">
        <f t="shared" ca="1" si="71"/>
        <v>1474643.06</v>
      </c>
      <c r="K158" s="7">
        <f t="shared" ca="1" si="71"/>
        <v>0</v>
      </c>
      <c r="L158" s="7">
        <f t="shared" ca="1" si="71"/>
        <v>733263.77</v>
      </c>
      <c r="M158" s="7">
        <f t="shared" ca="1" si="71"/>
        <v>950306.88</v>
      </c>
      <c r="N158" s="7">
        <f t="shared" ca="1" si="71"/>
        <v>0</v>
      </c>
      <c r="O158" s="7">
        <f t="shared" ca="1" si="71"/>
        <v>0</v>
      </c>
      <c r="P158" s="7">
        <f t="shared" ca="1" si="71"/>
        <v>0</v>
      </c>
      <c r="Q158" s="7">
        <f t="shared" ca="1" si="71"/>
        <v>30615465.07</v>
      </c>
      <c r="R158" s="7">
        <f t="shared" ca="1" si="71"/>
        <v>753546.17</v>
      </c>
      <c r="S158" s="7">
        <f t="shared" ca="1" si="71"/>
        <v>349303.02</v>
      </c>
      <c r="T158" s="7">
        <f t="shared" ca="1" si="71"/>
        <v>0</v>
      </c>
      <c r="U158" s="7">
        <f t="shared" ca="1" si="71"/>
        <v>0</v>
      </c>
      <c r="V158" s="7">
        <f t="shared" ca="1" si="71"/>
        <v>0</v>
      </c>
      <c r="W158" s="7">
        <f t="shared" ca="1" si="71"/>
        <v>0</v>
      </c>
      <c r="X158" s="7">
        <f t="shared" ca="1" si="71"/>
        <v>0</v>
      </c>
      <c r="Y158" s="7">
        <f t="shared" ca="1" si="71"/>
        <v>811028.43</v>
      </c>
      <c r="Z158" s="7">
        <f t="shared" si="71"/>
        <v>0</v>
      </c>
      <c r="AA158" s="7">
        <f t="shared" ca="1" si="71"/>
        <v>0</v>
      </c>
      <c r="AB158" s="7">
        <f t="shared" ca="1" si="71"/>
        <v>0</v>
      </c>
      <c r="AC158" s="7">
        <f t="shared" ca="1" si="71"/>
        <v>0</v>
      </c>
      <c r="AD158" s="7">
        <f t="shared" ca="1" si="71"/>
        <v>0</v>
      </c>
      <c r="AE158" s="7">
        <f t="shared" ca="1" si="71"/>
        <v>0</v>
      </c>
      <c r="AF158" s="7">
        <f t="shared" ca="1" si="71"/>
        <v>0</v>
      </c>
      <c r="AG158" s="7">
        <f t="shared" ca="1" si="71"/>
        <v>0</v>
      </c>
      <c r="AH158" s="7">
        <f t="shared" ca="1" si="71"/>
        <v>406027.76</v>
      </c>
      <c r="AI158" s="7">
        <f t="shared" ca="1" si="71"/>
        <v>0</v>
      </c>
      <c r="AJ158" s="7">
        <f t="shared" ca="1" si="71"/>
        <v>0</v>
      </c>
      <c r="AK158" s="7">
        <f t="shared" ca="1" si="71"/>
        <v>0</v>
      </c>
      <c r="AL158" s="7">
        <f t="shared" ca="1" si="71"/>
        <v>0</v>
      </c>
      <c r="AM158" s="7">
        <f t="shared" ca="1" si="71"/>
        <v>0</v>
      </c>
      <c r="AN158" s="7">
        <f t="shared" ca="1" si="71"/>
        <v>0</v>
      </c>
      <c r="AO158" s="7">
        <f t="shared" ca="1" si="71"/>
        <v>978046.77</v>
      </c>
      <c r="AP158" s="7">
        <f t="shared" ca="1" si="71"/>
        <v>26915941.309999999</v>
      </c>
      <c r="AQ158" s="7">
        <f t="shared" ca="1" si="71"/>
        <v>0</v>
      </c>
      <c r="AR158" s="7">
        <f t="shared" ca="1" si="71"/>
        <v>0</v>
      </c>
      <c r="AS158" s="7">
        <f t="shared" ca="1" si="71"/>
        <v>0</v>
      </c>
      <c r="AT158" s="7">
        <f t="shared" ca="1" si="71"/>
        <v>0</v>
      </c>
      <c r="AU158" s="7">
        <f t="shared" si="71"/>
        <v>0</v>
      </c>
      <c r="AV158" s="7">
        <f t="shared" ca="1" si="71"/>
        <v>0</v>
      </c>
      <c r="AW158" s="7">
        <f t="shared" si="71"/>
        <v>0</v>
      </c>
      <c r="AX158" s="7">
        <f t="shared" ca="1" si="71"/>
        <v>0</v>
      </c>
      <c r="AY158" s="7">
        <f t="shared" ca="1" si="71"/>
        <v>0</v>
      </c>
      <c r="AZ158" s="7">
        <f t="shared" ca="1" si="71"/>
        <v>4802898.04</v>
      </c>
      <c r="BA158" s="7">
        <f t="shared" ca="1" si="71"/>
        <v>216587.39</v>
      </c>
      <c r="BB158" s="7">
        <f t="shared" ca="1" si="71"/>
        <v>253059.66</v>
      </c>
      <c r="BC158" s="7">
        <f t="shared" ca="1" si="71"/>
        <v>4481657.12</v>
      </c>
      <c r="BD158" s="7">
        <f t="shared" ca="1" si="71"/>
        <v>0</v>
      </c>
      <c r="BE158" s="7">
        <f t="shared" ca="1" si="71"/>
        <v>0</v>
      </c>
      <c r="BF158" s="7">
        <f t="shared" ca="1" si="71"/>
        <v>0</v>
      </c>
      <c r="BG158" s="7">
        <f t="shared" ca="1" si="71"/>
        <v>227391.44</v>
      </c>
      <c r="BH158" s="7">
        <f t="shared" ca="1" si="71"/>
        <v>0</v>
      </c>
      <c r="BI158" s="7">
        <f t="shared" ca="1" si="71"/>
        <v>0</v>
      </c>
      <c r="BJ158" s="7">
        <f t="shared" ca="1" si="71"/>
        <v>0</v>
      </c>
      <c r="BK158" s="7">
        <f t="shared" ca="1" si="71"/>
        <v>1704697.38</v>
      </c>
      <c r="BL158" s="7">
        <f t="shared" ca="1" si="71"/>
        <v>0</v>
      </c>
      <c r="BM158" s="7">
        <f t="shared" ca="1" si="71"/>
        <v>0</v>
      </c>
      <c r="BN158" s="7">
        <f t="shared" ca="1" si="71"/>
        <v>632927.97</v>
      </c>
      <c r="BO158" s="7">
        <f t="shared" ca="1" si="71"/>
        <v>213947.69</v>
      </c>
      <c r="BP158" s="7">
        <f t="shared" ca="1" si="71"/>
        <v>0</v>
      </c>
      <c r="BQ158" s="7">
        <f t="shared" ca="1" si="71"/>
        <v>421000.64</v>
      </c>
      <c r="BR158" s="7">
        <f t="shared" ca="1" si="71"/>
        <v>271293.25</v>
      </c>
      <c r="BS158" s="7">
        <f t="shared" ca="1" si="71"/>
        <v>507182.69</v>
      </c>
      <c r="BT158" s="7">
        <f t="shared" si="71"/>
        <v>0</v>
      </c>
      <c r="BU158" s="7">
        <f t="shared" si="71"/>
        <v>0</v>
      </c>
      <c r="BV158" s="7">
        <f t="shared" ca="1" si="71"/>
        <v>0</v>
      </c>
      <c r="BW158" s="7">
        <f t="shared" ca="1" si="71"/>
        <v>0</v>
      </c>
      <c r="BX158" s="7">
        <f t="shared" si="71"/>
        <v>0</v>
      </c>
      <c r="BY158" s="7">
        <f t="shared" ca="1" si="71"/>
        <v>0</v>
      </c>
      <c r="BZ158" s="7">
        <f t="shared" ca="1" si="71"/>
        <v>0</v>
      </c>
      <c r="CA158" s="7">
        <f t="shared" si="71"/>
        <v>0</v>
      </c>
      <c r="CB158" s="7">
        <f t="shared" ca="1" si="71"/>
        <v>0</v>
      </c>
      <c r="CC158" s="7">
        <f t="shared" ca="1" si="71"/>
        <v>0</v>
      </c>
      <c r="CD158" s="7">
        <f t="shared" si="71"/>
        <v>0</v>
      </c>
      <c r="CE158" s="7">
        <f t="shared" si="71"/>
        <v>0</v>
      </c>
      <c r="CF158" s="7">
        <f t="shared" ca="1" si="71"/>
        <v>0</v>
      </c>
      <c r="CG158" s="7">
        <f t="shared" si="71"/>
        <v>0</v>
      </c>
      <c r="CH158" s="7">
        <f t="shared" ca="1" si="71"/>
        <v>0</v>
      </c>
      <c r="CI158" s="7">
        <f t="shared" ca="1" si="71"/>
        <v>211341.69</v>
      </c>
      <c r="CJ158" s="7">
        <f t="shared" ca="1" si="71"/>
        <v>249248.01</v>
      </c>
      <c r="CK158" s="7">
        <f t="shared" ca="1" si="71"/>
        <v>0</v>
      </c>
      <c r="CL158" s="7">
        <f t="shared" ca="1" si="71"/>
        <v>0</v>
      </c>
      <c r="CM158" s="7">
        <f t="shared" ca="1" si="71"/>
        <v>121425.72</v>
      </c>
      <c r="CN158" s="7">
        <f t="shared" ca="1" si="71"/>
        <v>0</v>
      </c>
      <c r="CO158" s="7">
        <f t="shared" ca="1" si="71"/>
        <v>0</v>
      </c>
      <c r="CP158" s="7">
        <f t="shared" ca="1" si="71"/>
        <v>12449.74</v>
      </c>
      <c r="CQ158" s="7">
        <f t="shared" ca="1" si="71"/>
        <v>531145.56999999995</v>
      </c>
      <c r="CR158" s="7">
        <f t="shared" si="71"/>
        <v>0</v>
      </c>
      <c r="CS158" s="7">
        <f t="shared" si="71"/>
        <v>0</v>
      </c>
      <c r="CT158" s="7">
        <f t="shared" ca="1" si="71"/>
        <v>0</v>
      </c>
      <c r="CU158" s="7">
        <f t="shared" ca="1" si="71"/>
        <v>0</v>
      </c>
      <c r="CV158" s="7">
        <f t="shared" si="71"/>
        <v>0</v>
      </c>
      <c r="CW158" s="7">
        <f t="shared" ca="1" si="71"/>
        <v>0</v>
      </c>
      <c r="CX158" s="7">
        <f t="shared" ca="1" si="71"/>
        <v>29124.55</v>
      </c>
      <c r="CY158" s="7">
        <f t="shared" ca="1" si="71"/>
        <v>0</v>
      </c>
      <c r="CZ158" s="7">
        <f t="shared" ca="1" si="71"/>
        <v>288081.34000000003</v>
      </c>
      <c r="DA158" s="7">
        <f t="shared" si="71"/>
        <v>0</v>
      </c>
      <c r="DB158" s="7">
        <f t="shared" si="71"/>
        <v>0</v>
      </c>
      <c r="DC158" s="7">
        <f t="shared" si="71"/>
        <v>0</v>
      </c>
      <c r="DD158" s="7">
        <f t="shared" ca="1" si="71"/>
        <v>0</v>
      </c>
      <c r="DE158" s="7">
        <f t="shared" si="71"/>
        <v>0</v>
      </c>
      <c r="DF158" s="7">
        <f t="shared" ca="1" si="71"/>
        <v>3061871.24</v>
      </c>
      <c r="DG158" s="7">
        <f t="shared" si="71"/>
        <v>0</v>
      </c>
      <c r="DH158" s="7">
        <f t="shared" ca="1" si="71"/>
        <v>309969.93</v>
      </c>
      <c r="DI158" s="7">
        <f t="shared" ca="1" si="71"/>
        <v>882072.47</v>
      </c>
      <c r="DJ158" s="7">
        <f t="shared" ca="1" si="71"/>
        <v>106562.95</v>
      </c>
      <c r="DK158" s="7">
        <f t="shared" ca="1" si="71"/>
        <v>0</v>
      </c>
      <c r="DL158" s="7">
        <f t="shared" ca="1" si="71"/>
        <v>910329.07</v>
      </c>
      <c r="DM158" s="7">
        <f t="shared" ca="1" si="71"/>
        <v>0</v>
      </c>
      <c r="DN158" s="7">
        <f t="shared" ca="1" si="71"/>
        <v>509170.82</v>
      </c>
      <c r="DO158" s="7">
        <f t="shared" ca="1" si="71"/>
        <v>843825.66</v>
      </c>
      <c r="DP158" s="7">
        <f t="shared" si="71"/>
        <v>0</v>
      </c>
      <c r="DQ158" s="7">
        <f t="shared" ca="1" si="71"/>
        <v>0</v>
      </c>
      <c r="DR158" s="7">
        <f t="shared" ca="1" si="71"/>
        <v>903623.79</v>
      </c>
      <c r="DS158" s="7">
        <f t="shared" ca="1" si="71"/>
        <v>538845.61</v>
      </c>
      <c r="DT158" s="7">
        <f t="shared" ca="1" si="71"/>
        <v>0</v>
      </c>
      <c r="DU158" s="7">
        <f t="shared" ca="1" si="71"/>
        <v>0</v>
      </c>
      <c r="DV158" s="7">
        <f t="shared" si="71"/>
        <v>0</v>
      </c>
      <c r="DW158" s="7">
        <f t="shared" ca="1" si="71"/>
        <v>0</v>
      </c>
      <c r="DX158" s="7">
        <f t="shared" si="71"/>
        <v>0</v>
      </c>
      <c r="DY158" s="7">
        <f t="shared" si="71"/>
        <v>0</v>
      </c>
      <c r="DZ158" s="7">
        <f t="shared" ca="1" si="71"/>
        <v>0</v>
      </c>
      <c r="EA158" s="7">
        <f t="shared" ca="1" si="71"/>
        <v>0</v>
      </c>
      <c r="EB158" s="7">
        <f t="shared" ca="1" si="71"/>
        <v>162965.25</v>
      </c>
      <c r="EC158" s="7">
        <f t="shared" si="71"/>
        <v>0</v>
      </c>
      <c r="ED158" s="7">
        <f t="shared" ca="1" si="71"/>
        <v>0</v>
      </c>
      <c r="EE158" s="7">
        <f t="shared" ca="1" si="71"/>
        <v>0</v>
      </c>
      <c r="EF158" s="7">
        <f t="shared" ca="1" si="71"/>
        <v>841065.42</v>
      </c>
      <c r="EG158" s="7">
        <f t="shared" ca="1" si="71"/>
        <v>0</v>
      </c>
      <c r="EH158" s="7">
        <f t="shared" ca="1" si="71"/>
        <v>0</v>
      </c>
      <c r="EI158" s="7">
        <f t="shared" ca="1" si="71"/>
        <v>10554251.49</v>
      </c>
      <c r="EJ158" s="7">
        <f t="shared" ca="1" si="71"/>
        <v>818422.65</v>
      </c>
      <c r="EK158" s="7">
        <f t="shared" ca="1" si="71"/>
        <v>0</v>
      </c>
      <c r="EL158" s="7">
        <f t="shared" ca="1" si="71"/>
        <v>11577.98</v>
      </c>
      <c r="EM158" s="7">
        <f t="shared" ca="1" si="71"/>
        <v>0</v>
      </c>
      <c r="EN158" s="7">
        <f t="shared" ca="1" si="71"/>
        <v>556044.4</v>
      </c>
      <c r="EO158" s="7">
        <f t="shared" ca="1" si="71"/>
        <v>0</v>
      </c>
      <c r="EP158" s="7">
        <f t="shared" si="71"/>
        <v>0</v>
      </c>
      <c r="EQ158" s="7">
        <f t="shared" ca="1" si="71"/>
        <v>0</v>
      </c>
      <c r="ER158" s="7">
        <f t="shared" si="71"/>
        <v>0</v>
      </c>
      <c r="ES158" s="7">
        <f t="shared" ca="1" si="71"/>
        <v>0</v>
      </c>
      <c r="ET158" s="7">
        <f t="shared" ca="1" si="71"/>
        <v>0</v>
      </c>
      <c r="EU158" s="7">
        <f t="shared" ca="1" si="71"/>
        <v>798602.13</v>
      </c>
      <c r="EV158" s="7">
        <f t="shared" ca="1" si="71"/>
        <v>0</v>
      </c>
      <c r="EW158" s="7">
        <f t="shared" ca="1" si="71"/>
        <v>0</v>
      </c>
      <c r="EX158" s="7">
        <f t="shared" ca="1" si="71"/>
        <v>0</v>
      </c>
      <c r="EY158" s="7">
        <f t="shared" ca="1" si="71"/>
        <v>254846.04</v>
      </c>
      <c r="EZ158" s="7">
        <f t="shared" ca="1" si="71"/>
        <v>0</v>
      </c>
      <c r="FA158" s="7">
        <f t="shared" ca="1" si="71"/>
        <v>0</v>
      </c>
      <c r="FB158" s="7">
        <f t="shared" ca="1" si="71"/>
        <v>0</v>
      </c>
      <c r="FC158" s="7">
        <f t="shared" ca="1" si="71"/>
        <v>0</v>
      </c>
      <c r="FD158" s="7">
        <f t="shared" ca="1" si="71"/>
        <v>0</v>
      </c>
      <c r="FE158" s="7">
        <f t="shared" ca="1" si="71"/>
        <v>0</v>
      </c>
      <c r="FF158" s="7">
        <f t="shared" ca="1" si="71"/>
        <v>0</v>
      </c>
      <c r="FG158" s="7">
        <f t="shared" si="71"/>
        <v>0</v>
      </c>
      <c r="FH158" s="7">
        <f t="shared" si="71"/>
        <v>0</v>
      </c>
      <c r="FI158" s="7">
        <f t="shared" ca="1" si="71"/>
        <v>492201.28</v>
      </c>
      <c r="FJ158" s="7">
        <f t="shared" ca="1" si="71"/>
        <v>0</v>
      </c>
      <c r="FK158" s="7">
        <f t="shared" ca="1" si="71"/>
        <v>345447.73</v>
      </c>
      <c r="FL158" s="7">
        <f t="shared" ca="1" si="71"/>
        <v>0</v>
      </c>
      <c r="FM158" s="7">
        <f t="shared" ca="1" si="71"/>
        <v>0</v>
      </c>
      <c r="FN158" s="7">
        <f t="shared" ca="1" si="71"/>
        <v>10391624.529999999</v>
      </c>
      <c r="FO158" s="7">
        <f t="shared" ca="1" si="71"/>
        <v>86495.7</v>
      </c>
      <c r="FP158" s="7">
        <f t="shared" ca="1" si="71"/>
        <v>415494.05</v>
      </c>
      <c r="FQ158" s="7">
        <f t="shared" ca="1" si="71"/>
        <v>0</v>
      </c>
      <c r="FR158" s="7">
        <f t="shared" si="71"/>
        <v>0</v>
      </c>
      <c r="FS158" s="7">
        <f t="shared" si="71"/>
        <v>0</v>
      </c>
      <c r="FT158" s="7">
        <f t="shared" ca="1" si="71"/>
        <v>0</v>
      </c>
      <c r="FU158" s="7">
        <f t="shared" ca="1" si="71"/>
        <v>266989.83</v>
      </c>
      <c r="FV158" s="7">
        <f t="shared" ca="1" si="71"/>
        <v>213996.03</v>
      </c>
      <c r="FW158" s="7">
        <f t="shared" ca="1" si="71"/>
        <v>0</v>
      </c>
      <c r="FX158" s="7">
        <f t="shared" si="71"/>
        <v>0</v>
      </c>
      <c r="FY158" s="7"/>
      <c r="FZ158" s="7"/>
      <c r="GA158" s="23"/>
      <c r="GB158" s="7"/>
      <c r="GC158" s="7"/>
      <c r="GD158" s="7"/>
      <c r="GE158" s="7"/>
      <c r="GF158" s="7"/>
      <c r="GG158" s="7"/>
      <c r="GH158" s="7"/>
      <c r="GI158" s="7"/>
      <c r="GJ158" s="7"/>
      <c r="GK158" s="7"/>
    </row>
    <row r="159" spans="1:193" ht="15.5" x14ac:dyDescent="0.35">
      <c r="A159" s="7"/>
      <c r="B159" s="7" t="s">
        <v>893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</row>
    <row r="160" spans="1:193" ht="15.5" x14ac:dyDescent="0.35">
      <c r="A160" s="12" t="s">
        <v>894</v>
      </c>
      <c r="B160" s="7" t="s">
        <v>895</v>
      </c>
      <c r="C160" s="7">
        <f ca="1">IFERROR(__xludf.DUMMYFUNCTION("ROUND(IF((AND((C103&lt;=459),(C139&lt;=C19)))=TRUE(),0,+C156+C158),2)"),7702524.55)</f>
        <v>7702524.5499999998</v>
      </c>
      <c r="D160" s="7">
        <f ca="1">IFERROR(__xludf.DUMMYFUNCTION("ROUND(IF((AND((D103&lt;=459),(D139&lt;=D19)))=TRUE(),0,+D156+D158),2)"),25149309.99)</f>
        <v>25149309.989999998</v>
      </c>
      <c r="E160" s="7">
        <f ca="1">IFERROR(__xludf.DUMMYFUNCTION("ROUND(IF((AND((E103&lt;=459),(E139&lt;=E19)))=TRUE(),0,+E156+E158),2)"),9000474.32)</f>
        <v>9000474.3200000003</v>
      </c>
      <c r="F160" s="7">
        <f ca="1">IFERROR(__xludf.DUMMYFUNCTION("ROUND(IF((AND((F103&lt;=459),(F139&lt;=F19)))=TRUE(),0,+F156+F158),2)"),16283677.71)</f>
        <v>16283677.710000001</v>
      </c>
      <c r="G160" s="7">
        <f ca="1">IFERROR(__xludf.DUMMYFUNCTION("ROUND(IF((AND((G103&lt;=459),(G139&lt;=G19)))=TRUE(),0,+G156+G158),2)"),0)</f>
        <v>0</v>
      </c>
      <c r="H160" s="7">
        <f ca="1">IFERROR(__xludf.DUMMYFUNCTION("ROUND(IF((AND((H103&lt;=459),(H139&lt;=H19)))=TRUE(),0,+H156+H158),2)"),0)</f>
        <v>0</v>
      </c>
      <c r="I160" s="7">
        <f ca="1">IFERROR(__xludf.DUMMYFUNCTION("ROUND(IF((AND((I103&lt;=459),(I139&lt;=I19)))=TRUE(),0,+I156+I158),2)"),11302227.64)</f>
        <v>11302227.640000001</v>
      </c>
      <c r="J160" s="7">
        <f ca="1">IFERROR(__xludf.DUMMYFUNCTION("ROUND(IF((AND((J103&lt;=459),(J139&lt;=J19)))=TRUE(),0,+J156+J158),2)"),2620199.99)</f>
        <v>2620199.9900000002</v>
      </c>
      <c r="K160" s="7">
        <f ca="1">IFERROR(__xludf.DUMMYFUNCTION("ROUND(IF((AND((K103&lt;=459),(K139&lt;=K19)))=TRUE(),0,+K156+K158),2)"),0)</f>
        <v>0</v>
      </c>
      <c r="L160" s="7">
        <f ca="1">IFERROR(__xludf.DUMMYFUNCTION("ROUND(IF((AND((L103&lt;=459),(L139&lt;=L19)))=TRUE(),0,+L156+L158),2)"),2034225.27)</f>
        <v>2034225.27</v>
      </c>
      <c r="M160" s="7">
        <f ca="1">IFERROR(__xludf.DUMMYFUNCTION("ROUND(IF((AND((M103&lt;=459),(M139&lt;=M19)))=TRUE(),0,+M156+M158),2)"),1515039.22)</f>
        <v>1515039.22</v>
      </c>
      <c r="N160" s="7">
        <f ca="1">IFERROR(__xludf.DUMMYFUNCTION("ROUND(IF((AND((N103&lt;=459),(N139&lt;=N19)))=TRUE(),0,+N156+N158),2)"),0)</f>
        <v>0</v>
      </c>
      <c r="O160" s="7">
        <f ca="1">IFERROR(__xludf.DUMMYFUNCTION("ROUND(IF((AND((O103&lt;=459),(O139&lt;=O19)))=TRUE(),0,+O156+O158),2)"),0)</f>
        <v>0</v>
      </c>
      <c r="P160" s="7">
        <f ca="1">IFERROR(__xludf.DUMMYFUNCTION("ROUND(IF((AND((P103&lt;=459),(P139&lt;=P19)))=TRUE(),0,+P156+P158),2)"),0)</f>
        <v>0</v>
      </c>
      <c r="Q160" s="7">
        <f ca="1">IFERROR(__xludf.DUMMYFUNCTION("ROUND(IF((AND((Q103&lt;=459),(Q139&lt;=Q19)))=TRUE(),0,+Q156+Q158),2)"),55064680.12)</f>
        <v>55064680.119999997</v>
      </c>
      <c r="R160" s="7">
        <f ca="1">IFERROR(__xludf.DUMMYFUNCTION("ROUND(IF((AND((R103&lt;=459),(R139&lt;=R19)))=TRUE(),0,+R156+R158),2)"),5154876.45)</f>
        <v>5154876.45</v>
      </c>
      <c r="S160" s="7">
        <f ca="1">IFERROR(__xludf.DUMMYFUNCTION("ROUND(IF((AND((S103&lt;=459),(S139&lt;=S19)))=TRUE(),0,+S156+S158),2)"),1320376.69)</f>
        <v>1320376.69</v>
      </c>
      <c r="T160" s="7">
        <f ca="1">IFERROR(__xludf.DUMMYFUNCTION("ROUND(IF((AND((T103&lt;=459),(T139&lt;=T19)))=TRUE(),0,+T156+T158),2)"),0)</f>
        <v>0</v>
      </c>
      <c r="U160" s="7">
        <f ca="1">IFERROR(__xludf.DUMMYFUNCTION("ROUND(IF((AND((U103&lt;=459),(U139&lt;=U19)))=TRUE(),0,+U156+U158),2)"),0)</f>
        <v>0</v>
      </c>
      <c r="V160" s="7">
        <f ca="1">IFERROR(__xludf.DUMMYFUNCTION("ROUND(IF((AND((V103&lt;=459),(V139&lt;=V19)))=TRUE(),0,+V156+V158),2)"),0)</f>
        <v>0</v>
      </c>
      <c r="W160" s="7">
        <f ca="1">IFERROR(__xludf.DUMMYFUNCTION("ROUND(IF((AND((W103&lt;=459),(W139&lt;=W19)))=TRUE(),0,+W156+W158),2)"),0)</f>
        <v>0</v>
      </c>
      <c r="X160" s="7">
        <f ca="1">IFERROR(__xludf.DUMMYFUNCTION("ROUND(IF((AND((X103&lt;=459),(X139&lt;=X19)))=TRUE(),0,+X156+X158),2)"),0)</f>
        <v>0</v>
      </c>
      <c r="Y160" s="7">
        <f ca="1">IFERROR(__xludf.DUMMYFUNCTION("ROUND(IF((AND((Y103&lt;=459),(Y139&lt;=Y19)))=TRUE(),0,+Y156+Y158),2)"),1327527.72)</f>
        <v>1327527.72</v>
      </c>
      <c r="Z160" s="7">
        <f ca="1">IFERROR(__xludf.DUMMYFUNCTION("ROUND(IF((AND((Z103&lt;=459),(Z139&lt;=Z19)))=TRUE(),0,+Z156+Z158),2)"),0)</f>
        <v>0</v>
      </c>
      <c r="AA160" s="7">
        <f ca="1">IFERROR(__xludf.DUMMYFUNCTION("ROUND(IF((AND((AA103&lt;=459),(AA139&lt;=AA19)))=TRUE(),0,+AA156+AA158),2)"),0)</f>
        <v>0</v>
      </c>
      <c r="AB160" s="7">
        <f ca="1">IFERROR(__xludf.DUMMYFUNCTION("ROUND(IF((AND((AB103&lt;=459),(AB139&lt;=AB19)))=TRUE(),0,+AB156+AB158),2)"),0)</f>
        <v>0</v>
      </c>
      <c r="AC160" s="7">
        <f ca="1">IFERROR(__xludf.DUMMYFUNCTION("ROUND(IF((AND((AC103&lt;=459),(AC139&lt;=AC19)))=TRUE(),0,+AC156+AC158),2)"),0)</f>
        <v>0</v>
      </c>
      <c r="AD160" s="7">
        <f ca="1">IFERROR(__xludf.DUMMYFUNCTION("ROUND(IF((AND((AD103&lt;=459),(AD139&lt;=AD19)))=TRUE(),0,+AD156+AD158),2)"),0)</f>
        <v>0</v>
      </c>
      <c r="AE160" s="7">
        <f ca="1">IFERROR(__xludf.DUMMYFUNCTION("ROUND(IF((AND((AE103&lt;=459),(AE139&lt;=AE19)))=TRUE(),0,+AE156+AE158),2)"),0)</f>
        <v>0</v>
      </c>
      <c r="AF160" s="7">
        <f ca="1">IFERROR(__xludf.DUMMYFUNCTION("ROUND(IF((AND((AF103&lt;=459),(AF139&lt;=AF19)))=TRUE(),0,+AF156+AF158),2)"),0)</f>
        <v>0</v>
      </c>
      <c r="AG160" s="7">
        <f ca="1">IFERROR(__xludf.DUMMYFUNCTION("ROUND(IF((AND((AG103&lt;=459),(AG139&lt;=AG19)))=TRUE(),0,+AG156+AG158),2)"),0)</f>
        <v>0</v>
      </c>
      <c r="AH160" s="7">
        <f ca="1">IFERROR(__xludf.DUMMYFUNCTION("ROUND(IF((AND((AH103&lt;=459),(AH139&lt;=AH19)))=TRUE(),0,+AH156+AH158),2)"),953247.2)</f>
        <v>953247.2</v>
      </c>
      <c r="AI160" s="7">
        <f ca="1">IFERROR(__xludf.DUMMYFUNCTION("ROUND(IF((AND((AI103&lt;=459),(AI139&lt;=AI19)))=TRUE(),0,+AI156+AI158),2)"),0)</f>
        <v>0</v>
      </c>
      <c r="AJ160" s="7">
        <f ca="1">IFERROR(__xludf.DUMMYFUNCTION("ROUND(IF((AND((AJ103&lt;=459),(AJ139&lt;=AJ19)))=TRUE(),0,+AJ156+AJ158),2)"),0)</f>
        <v>0</v>
      </c>
      <c r="AK160" s="7">
        <f ca="1">IFERROR(__xludf.DUMMYFUNCTION("ROUND(IF((AND((AK103&lt;=459),(AK139&lt;=AK19)))=TRUE(),0,+AK156+AK158),2)"),0)</f>
        <v>0</v>
      </c>
      <c r="AL160" s="7">
        <f ca="1">IFERROR(__xludf.DUMMYFUNCTION("ROUND(IF((AND((AL103&lt;=459),(AL139&lt;=AL19)))=TRUE(),0,+AL156+AL158),2)"),0)</f>
        <v>0</v>
      </c>
      <c r="AM160" s="7">
        <f ca="1">IFERROR(__xludf.DUMMYFUNCTION("ROUND(IF((AND((AM103&lt;=459),(AM139&lt;=AM19)))=TRUE(),0,+AM156+AM158),2)"),0)</f>
        <v>0</v>
      </c>
      <c r="AN160" s="7">
        <f ca="1">IFERROR(__xludf.DUMMYFUNCTION("ROUND(IF((AND((AN103&lt;=459),(AN139&lt;=AN19)))=TRUE(),0,+AN156+AN158),2)"),0)</f>
        <v>0</v>
      </c>
      <c r="AO160" s="7">
        <f ca="1">IFERROR(__xludf.DUMMYFUNCTION("ROUND(IF((AND((AO103&lt;=459),(AO139&lt;=AO19)))=TRUE(),0,+AO156+AO158),2)"),3392999.36)</f>
        <v>3392999.36</v>
      </c>
      <c r="AP160" s="7">
        <f ca="1">IFERROR(__xludf.DUMMYFUNCTION("ROUND(IF((AND((AP103&lt;=459),(AP139&lt;=AP19)))=TRUE(),0,+AP156+AP158),2)"),78296235.93)</f>
        <v>78296235.930000007</v>
      </c>
      <c r="AQ160" s="7">
        <f ca="1">IFERROR(__xludf.DUMMYFUNCTION("ROUND(IF((AND((AQ103&lt;=459),(AQ139&lt;=AQ19)))=TRUE(),0,+AQ156+AQ158),2)"),0)</f>
        <v>0</v>
      </c>
      <c r="AR160" s="7">
        <f ca="1">IFERROR(__xludf.DUMMYFUNCTION("ROUND(IF((AND((AR103&lt;=459),(AR139&lt;=AR19)))=TRUE(),0,+AR156+AR158),2)"),0)</f>
        <v>0</v>
      </c>
      <c r="AS160" s="7">
        <f ca="1">IFERROR(__xludf.DUMMYFUNCTION("ROUND(IF((AND((AS103&lt;=459),(AS139&lt;=AS19)))=TRUE(),0,+AS156+AS158),2)"),0)</f>
        <v>0</v>
      </c>
      <c r="AT160" s="7">
        <f ca="1">IFERROR(__xludf.DUMMYFUNCTION("ROUND(IF((AND((AT103&lt;=459),(AT139&lt;=AT19)))=TRUE(),0,+AT156+AT158),2)"),0)</f>
        <v>0</v>
      </c>
      <c r="AU160" s="7">
        <f ca="1">IFERROR(__xludf.DUMMYFUNCTION("ROUND(IF((AND((AU103&lt;=459),(AU139&lt;=AU19)))=TRUE(),0,+AU156+AU158),2)"),0)</f>
        <v>0</v>
      </c>
      <c r="AV160" s="7">
        <f ca="1">IFERROR(__xludf.DUMMYFUNCTION("ROUND(IF((AND((AV103&lt;=459),(AV139&lt;=AV19)))=TRUE(),0,+AV156+AV158),2)"),0)</f>
        <v>0</v>
      </c>
      <c r="AW160" s="7">
        <f ca="1">IFERROR(__xludf.DUMMYFUNCTION("ROUND(IF((AND((AW103&lt;=459),(AW139&lt;=AW19)))=TRUE(),0,+AW156+AW158),2)"),0)</f>
        <v>0</v>
      </c>
      <c r="AX160" s="7">
        <f ca="1">IFERROR(__xludf.DUMMYFUNCTION("ROUND(IF((AND((AX103&lt;=459),(AX139&lt;=AX19)))=TRUE(),0,+AX156+AX158),2)"),0)</f>
        <v>0</v>
      </c>
      <c r="AY160" s="7">
        <f ca="1">IFERROR(__xludf.DUMMYFUNCTION("ROUND(IF((AND((AY103&lt;=459),(AY139&lt;=AY19)))=TRUE(),0,+AY156+AY158),2)"),0)</f>
        <v>0</v>
      </c>
      <c r="AZ160" s="7">
        <f ca="1">IFERROR(__xludf.DUMMYFUNCTION("ROUND(IF((AND((AZ103&lt;=459),(AZ139&lt;=AZ19)))=TRUE(),0,+AZ156+AZ158),2)"),11966830.19)</f>
        <v>11966830.189999999</v>
      </c>
      <c r="BA160" s="7">
        <f ca="1">IFERROR(__xludf.DUMMYFUNCTION("ROUND(IF((AND((BA103&lt;=459),(BA139&lt;=BA19)))=TRUE(),0,+BA156+BA158),2)"),5483637.6)</f>
        <v>5483637.5999999996</v>
      </c>
      <c r="BB160" s="7">
        <f ca="1">IFERROR(__xludf.DUMMYFUNCTION("ROUND(IF((AND((BB103&lt;=459),(BB139&lt;=BB19)))=TRUE(),0,+BB156+BB158),2)"),4612477.33)</f>
        <v>4612477.33</v>
      </c>
      <c r="BC160" s="7">
        <f ca="1">IFERROR(__xludf.DUMMYFUNCTION("ROUND(IF((AND((BC103&lt;=459),(BC139&lt;=BC19)))=TRUE(),0,+BC156+BC158),2)"),19124788.96)</f>
        <v>19124788.960000001</v>
      </c>
      <c r="BD160" s="7">
        <f ca="1">IFERROR(__xludf.DUMMYFUNCTION("ROUND(IF((AND((BD103&lt;=459),(BD139&lt;=BD19)))=TRUE(),0,+BD156+BD158),2)"),0)</f>
        <v>0</v>
      </c>
      <c r="BE160" s="7">
        <f ca="1">IFERROR(__xludf.DUMMYFUNCTION("ROUND(IF((AND((BE103&lt;=459),(BE139&lt;=BE19)))=TRUE(),0,+BE156+BE158),2)"),0)</f>
        <v>0</v>
      </c>
      <c r="BF160" s="7">
        <f ca="1">IFERROR(__xludf.DUMMYFUNCTION("ROUND(IF((AND((BF103&lt;=459),(BF139&lt;=BF19)))=TRUE(),0,+BF156+BF158),2)"),0)</f>
        <v>0</v>
      </c>
      <c r="BG160" s="7">
        <f ca="1">IFERROR(__xludf.DUMMYFUNCTION("ROUND(IF((AND((BG103&lt;=459),(BG139&lt;=BG19)))=TRUE(),0,+BG156+BG158),2)"),822488.54)</f>
        <v>822488.54</v>
      </c>
      <c r="BH160" s="7">
        <f ca="1">IFERROR(__xludf.DUMMYFUNCTION("ROUND(IF((AND((BH103&lt;=459),(BH139&lt;=BH19)))=TRUE(),0,+BH156+BH158),2)"),0)</f>
        <v>0</v>
      </c>
      <c r="BI160" s="7">
        <f ca="1">IFERROR(__xludf.DUMMYFUNCTION("ROUND(IF((AND((BI103&lt;=459),(BI139&lt;=BI19)))=TRUE(),0,+BI156+BI158),2)"),0)</f>
        <v>0</v>
      </c>
      <c r="BJ160" s="7">
        <f ca="1">IFERROR(__xludf.DUMMYFUNCTION("ROUND(IF((AND((BJ103&lt;=459),(BJ139&lt;=BJ19)))=TRUE(),0,+BJ156+BJ158),2)"),0)</f>
        <v>0</v>
      </c>
      <c r="BK160" s="7">
        <f ca="1">IFERROR(__xludf.DUMMYFUNCTION("ROUND(IF((AND((BK103&lt;=459),(BK139&lt;=BK19)))=TRUE(),0,+BK156+BK158),2)"),18259110.43)</f>
        <v>18259110.43</v>
      </c>
      <c r="BL160" s="7">
        <f ca="1">IFERROR(__xludf.DUMMYFUNCTION("ROUND(IF((AND((BL103&lt;=459),(BL139&lt;=BL19)))=TRUE(),0,+BL156+BL158),2)"),0)</f>
        <v>0</v>
      </c>
      <c r="BM160" s="7">
        <f ca="1">IFERROR(__xludf.DUMMYFUNCTION("ROUND(IF((AND((BM103&lt;=459),(BM139&lt;=BM19)))=TRUE(),0,+BM156+BM158),2)"),0)</f>
        <v>0</v>
      </c>
      <c r="BN160" s="7">
        <f ca="1">IFERROR(__xludf.DUMMYFUNCTION("ROUND(IF((AND((BN103&lt;=459),(BN139&lt;=BN19)))=TRUE(),0,+BN156+BN158),2)"),2381038.71)</f>
        <v>2381038.71</v>
      </c>
      <c r="BO160" s="7">
        <f ca="1">IFERROR(__xludf.DUMMYFUNCTION("ROUND(IF((AND((BO103&lt;=459),(BO139&lt;=BO19)))=TRUE(),0,+BO156+BO158),2)"),929495.27)</f>
        <v>929495.27</v>
      </c>
      <c r="BP160" s="7">
        <f ca="1">IFERROR(__xludf.DUMMYFUNCTION("ROUND(IF((AND((BP103&lt;=459),(BP139&lt;=BP19)))=TRUE(),0,+BP156+BP158),2)"),0)</f>
        <v>0</v>
      </c>
      <c r="BQ160" s="7">
        <f ca="1">IFERROR(__xludf.DUMMYFUNCTION("ROUND(IF((AND((BQ103&lt;=459),(BQ139&lt;=BQ19)))=TRUE(),0,+BQ156+BQ158),2)"),4047062.13)</f>
        <v>4047062.13</v>
      </c>
      <c r="BR160" s="7">
        <f ca="1">IFERROR(__xludf.DUMMYFUNCTION("ROUND(IF((AND((BR103&lt;=459),(BR139&lt;=BR19)))=TRUE(),0,+BR156+BR158),2)"),2861589.72)</f>
        <v>2861589.72</v>
      </c>
      <c r="BS160" s="7">
        <f ca="1">IFERROR(__xludf.DUMMYFUNCTION("ROUND(IF((AND((BS103&lt;=459),(BS139&lt;=BS19)))=TRUE(),0,+BS156+BS158),2)"),1236615.1)</f>
        <v>1236615.1000000001</v>
      </c>
      <c r="BT160" s="7">
        <f ca="1">IFERROR(__xludf.DUMMYFUNCTION("ROUND(IF((AND((BT103&lt;=459),(BT139&lt;=BT19)))=TRUE(),0,+BT156+BT158),2)"),0)</f>
        <v>0</v>
      </c>
      <c r="BU160" s="7">
        <f ca="1">IFERROR(__xludf.DUMMYFUNCTION("ROUND(IF((AND((BU103&lt;=459),(BU139&lt;=BU19)))=TRUE(),0,+BU156+BU158),2)"),0)</f>
        <v>0</v>
      </c>
      <c r="BV160" s="7">
        <f ca="1">IFERROR(__xludf.DUMMYFUNCTION("ROUND(IF((AND((BV103&lt;=459),(BV139&lt;=BV19)))=TRUE(),0,+BV156+BV158),2)"),0)</f>
        <v>0</v>
      </c>
      <c r="BW160" s="7">
        <f ca="1">IFERROR(__xludf.DUMMYFUNCTION("ROUND(IF((AND((BW103&lt;=459),(BW139&lt;=BW19)))=TRUE(),0,+BW156+BW158),2)"),0)</f>
        <v>0</v>
      </c>
      <c r="BX160" s="7">
        <f ca="1">IFERROR(__xludf.DUMMYFUNCTION("ROUND(IF((AND((BX103&lt;=459),(BX139&lt;=BX19)))=TRUE(),0,+BX156+BX158),2)"),0)</f>
        <v>0</v>
      </c>
      <c r="BY160" s="7">
        <f ca="1">IFERROR(__xludf.DUMMYFUNCTION("ROUND(IF((AND((BY103&lt;=459),(BY139&lt;=BY19)))=TRUE(),0,+BY156+BY158),2)"),0)</f>
        <v>0</v>
      </c>
      <c r="BZ160" s="7">
        <f ca="1">IFERROR(__xludf.DUMMYFUNCTION("ROUND(IF((AND((BZ103&lt;=459),(BZ139&lt;=BZ19)))=TRUE(),0,+BZ156+BZ158),2)"),0)</f>
        <v>0</v>
      </c>
      <c r="CA160" s="7">
        <f ca="1">IFERROR(__xludf.DUMMYFUNCTION("ROUND(IF((AND((CA103&lt;=459),(CA139&lt;=CA19)))=TRUE(),0,+CA156+CA158),2)"),0)</f>
        <v>0</v>
      </c>
      <c r="CB160" s="7">
        <f ca="1">IFERROR(__xludf.DUMMYFUNCTION("ROUND(IF((AND((CB103&lt;=459),(CB139&lt;=CB19)))=TRUE(),0,+CB156+CB158),2)"),0)</f>
        <v>0</v>
      </c>
      <c r="CC160" s="7">
        <f ca="1">IFERROR(__xludf.DUMMYFUNCTION("ROUND(IF((AND((CC103&lt;=459),(CC139&lt;=CC19)))=TRUE(),0,+CC156+CC158),2)"),0)</f>
        <v>0</v>
      </c>
      <c r="CD160" s="7">
        <f ca="1">IFERROR(__xludf.DUMMYFUNCTION("ROUND(IF((AND((CD103&lt;=459),(CD139&lt;=CD19)))=TRUE(),0,+CD156+CD158),2)"),0)</f>
        <v>0</v>
      </c>
      <c r="CE160" s="7">
        <f ca="1">IFERROR(__xludf.DUMMYFUNCTION("ROUND(IF((AND((CE103&lt;=459),(CE139&lt;=CE19)))=TRUE(),0,+CE156+CE158),2)"),0)</f>
        <v>0</v>
      </c>
      <c r="CF160" s="7">
        <f ca="1">IFERROR(__xludf.DUMMYFUNCTION("ROUND(IF((AND((CF103&lt;=459),(CF139&lt;=CF19)))=TRUE(),0,+CF156+CF158),2)"),0)</f>
        <v>0</v>
      </c>
      <c r="CG160" s="7">
        <f ca="1">IFERROR(__xludf.DUMMYFUNCTION("ROUND(IF((AND((CG103&lt;=459),(CG139&lt;=CG19)))=TRUE(),0,+CG156+CG158),2)"),0)</f>
        <v>0</v>
      </c>
      <c r="CH160" s="7">
        <f ca="1">IFERROR(__xludf.DUMMYFUNCTION("ROUND(IF((AND((CH103&lt;=459),(CH139&lt;=CH19)))=TRUE(),0,+CH156+CH158),2)"),0)</f>
        <v>0</v>
      </c>
      <c r="CI160" s="7">
        <f ca="1">IFERROR(__xludf.DUMMYFUNCTION("ROUND(IF((AND((CI103&lt;=459),(CI139&lt;=CI19)))=TRUE(),0,+CI156+CI158),2)"),631890.12)</f>
        <v>631890.12</v>
      </c>
      <c r="CJ160" s="7">
        <f ca="1">IFERROR(__xludf.DUMMYFUNCTION("ROUND(IF((AND((CJ103&lt;=459),(CJ139&lt;=CJ19)))=TRUE(),0,+CJ156+CJ158),2)"),782829.8)</f>
        <v>782829.8</v>
      </c>
      <c r="CK160" s="7">
        <f ca="1">IFERROR(__xludf.DUMMYFUNCTION("ROUND(IF((AND((CK103&lt;=459),(CK139&lt;=CK19)))=TRUE(),0,+CK156+CK158),2)"),0)</f>
        <v>0</v>
      </c>
      <c r="CL160" s="7">
        <f ca="1">IFERROR(__xludf.DUMMYFUNCTION("ROUND(IF((AND((CL103&lt;=459),(CL139&lt;=CL19)))=TRUE(),0,+CL156+CL158),2)"),0)</f>
        <v>0</v>
      </c>
      <c r="CM160" s="7">
        <f ca="1">IFERROR(__xludf.DUMMYFUNCTION("ROUND(IF((AND((CM103&lt;=459),(CM139&lt;=CM19)))=TRUE(),0,+CM156+CM158),2)"),545028.26)</f>
        <v>545028.26</v>
      </c>
      <c r="CN160" s="7">
        <f ca="1">IFERROR(__xludf.DUMMYFUNCTION("ROUND(IF((AND((CN103&lt;=459),(CN139&lt;=CN19)))=TRUE(),0,+CN156+CN158),2)"),0)</f>
        <v>0</v>
      </c>
      <c r="CO160" s="7">
        <f ca="1">IFERROR(__xludf.DUMMYFUNCTION("ROUND(IF((AND((CO103&lt;=459),(CO139&lt;=CO19)))=TRUE(),0,+CO156+CO158),2)"),0)</f>
        <v>0</v>
      </c>
      <c r="CP160" s="7">
        <f ca="1">IFERROR(__xludf.DUMMYFUNCTION("ROUND(IF((AND((CP103&lt;=459),(CP139&lt;=CP19)))=TRUE(),0,+CP156+CP158),2)"),603286.3)</f>
        <v>603286.30000000005</v>
      </c>
      <c r="CQ160" s="7">
        <f ca="1">IFERROR(__xludf.DUMMYFUNCTION("ROUND(IF((AND((CQ103&lt;=459),(CQ139&lt;=CQ19)))=TRUE(),0,+CQ156+CQ158),2)"),1022295.94)</f>
        <v>1022295.94</v>
      </c>
      <c r="CR160" s="7">
        <f ca="1">IFERROR(__xludf.DUMMYFUNCTION("ROUND(IF((AND((CR103&lt;=459),(CR139&lt;=CR19)))=TRUE(),0,+CR156+CR158),2)"),0)</f>
        <v>0</v>
      </c>
      <c r="CS160" s="7">
        <f ca="1">IFERROR(__xludf.DUMMYFUNCTION("ROUND(IF((AND((CS103&lt;=459),(CS139&lt;=CS19)))=TRUE(),0,+CS156+CS158),2)"),0)</f>
        <v>0</v>
      </c>
      <c r="CT160" s="7">
        <f ca="1">IFERROR(__xludf.DUMMYFUNCTION("ROUND(IF((AND((CT103&lt;=459),(CT139&lt;=CT19)))=TRUE(),0,+CT156+CT158),2)"),0)</f>
        <v>0</v>
      </c>
      <c r="CU160" s="7">
        <f ca="1">IFERROR(__xludf.DUMMYFUNCTION("ROUND(IF((AND((CU103&lt;=459),(CU139&lt;=CU19)))=TRUE(),0,+CU156+CU158),2)"),0)</f>
        <v>0</v>
      </c>
      <c r="CV160" s="7">
        <f ca="1">IFERROR(__xludf.DUMMYFUNCTION("ROUND(IF((AND((CV103&lt;=459),(CV139&lt;=CV19)))=TRUE(),0,+CV156+CV158),2)"),0)</f>
        <v>0</v>
      </c>
      <c r="CW160" s="7">
        <f ca="1">IFERROR(__xludf.DUMMYFUNCTION("ROUND(IF((AND((CW103&lt;=459),(CW139&lt;=CW19)))=TRUE(),0,+CW156+CW158),2)"),0)</f>
        <v>0</v>
      </c>
      <c r="CX160" s="7">
        <f ca="1">IFERROR(__xludf.DUMMYFUNCTION("ROUND(IF((AND((CX103&lt;=459),(CX139&lt;=CX19)))=TRUE(),0,+CX156+CX158),2)"),337153.17)</f>
        <v>337153.17</v>
      </c>
      <c r="CY160" s="7">
        <f ca="1">IFERROR(__xludf.DUMMYFUNCTION("ROUND(IF((AND((CY103&lt;=459),(CY139&lt;=CY19)))=TRUE(),0,+CY156+CY158),2)"),0)</f>
        <v>0</v>
      </c>
      <c r="CZ160" s="7">
        <f ca="1">IFERROR(__xludf.DUMMYFUNCTION("ROUND(IF((AND((CZ103&lt;=459),(CZ139&lt;=CZ19)))=TRUE(),0,+CZ156+CZ158),2)"),1344401.22)</f>
        <v>1344401.22</v>
      </c>
      <c r="DA160" s="7">
        <f ca="1">IFERROR(__xludf.DUMMYFUNCTION("ROUND(IF((AND((DA103&lt;=459),(DA139&lt;=DA19)))=TRUE(),0,+DA156+DA158),2)"),0)</f>
        <v>0</v>
      </c>
      <c r="DB160" s="7">
        <f ca="1">IFERROR(__xludf.DUMMYFUNCTION("ROUND(IF((AND((DB103&lt;=459),(DB139&lt;=DB19)))=TRUE(),0,+DB156+DB158),2)"),0)</f>
        <v>0</v>
      </c>
      <c r="DC160" s="7">
        <f ca="1">IFERROR(__xludf.DUMMYFUNCTION("ROUND(IF((AND((DC103&lt;=459),(DC139&lt;=DC19)))=TRUE(),0,+DC156+DC158),2)"),0)</f>
        <v>0</v>
      </c>
      <c r="DD160" s="7">
        <f ca="1">IFERROR(__xludf.DUMMYFUNCTION("ROUND(IF((AND((DD103&lt;=459),(DD139&lt;=DD19)))=TRUE(),0,+DD156+DD158),2)"),0)</f>
        <v>0</v>
      </c>
      <c r="DE160" s="7">
        <f ca="1">IFERROR(__xludf.DUMMYFUNCTION("ROUND(IF((AND((DE103&lt;=459),(DE139&lt;=DE19)))=TRUE(),0,+DE156+DE158),2)"),0)</f>
        <v>0</v>
      </c>
      <c r="DF160" s="7">
        <f ca="1">IFERROR(__xludf.DUMMYFUNCTION("ROUND(IF((AND((DF103&lt;=459),(DF139&lt;=DF19)))=TRUE(),0,+DF156+DF158),2)"),14838409.64)</f>
        <v>14838409.640000001</v>
      </c>
      <c r="DG160" s="7">
        <f ca="1">IFERROR(__xludf.DUMMYFUNCTION("ROUND(IF((AND((DG103&lt;=459),(DG139&lt;=DG19)))=TRUE(),0,+DG156+DG158),2)"),0)</f>
        <v>0</v>
      </c>
      <c r="DH160" s="7">
        <f ca="1">IFERROR(__xludf.DUMMYFUNCTION("ROUND(IF((AND((DH103&lt;=459),(DH139&lt;=DH19)))=TRUE(),0,+DH156+DH158),2)"),1297872.44)</f>
        <v>1297872.44</v>
      </c>
      <c r="DI160" s="7">
        <f ca="1">IFERROR(__xludf.DUMMYFUNCTION("ROUND(IF((AND((DI103&lt;=459),(DI139&lt;=DI19)))=TRUE(),0,+DI156+DI158),2)"),2237974.71)</f>
        <v>2237974.71</v>
      </c>
      <c r="DJ160" s="7">
        <f ca="1">IFERROR(__xludf.DUMMYFUNCTION("ROUND(IF((AND((DJ103&lt;=459),(DJ139&lt;=DJ19)))=TRUE(),0,+DJ156+DJ158),2)"),503211.97)</f>
        <v>503211.97</v>
      </c>
      <c r="DK160" s="7">
        <f ca="1">IFERROR(__xludf.DUMMYFUNCTION("ROUND(IF((AND((DK103&lt;=459),(DK139&lt;=DK19)))=TRUE(),0,+DK156+DK158),2)"),0)</f>
        <v>0</v>
      </c>
      <c r="DL160" s="7">
        <f ca="1">IFERROR(__xludf.DUMMYFUNCTION("ROUND(IF((AND((DL103&lt;=459),(DL139&lt;=DL19)))=TRUE(),0,+DL156+DL158),2)"),4289317.1)</f>
        <v>4289317.0999999996</v>
      </c>
      <c r="DM160" s="7">
        <f ca="1">IFERROR(__xludf.DUMMYFUNCTION("ROUND(IF((AND((DM103&lt;=459),(DM139&lt;=DM19)))=TRUE(),0,+DM156+DM158),2)"),0)</f>
        <v>0</v>
      </c>
      <c r="DN160" s="7">
        <f ca="1">IFERROR(__xludf.DUMMYFUNCTION("ROUND(IF((AND((DN103&lt;=459),(DN139&lt;=DN19)))=TRUE(),0,+DN156+DN158),2)"),1309224.69)</f>
        <v>1309224.69</v>
      </c>
      <c r="DO160" s="7">
        <f ca="1">IFERROR(__xludf.DUMMYFUNCTION("ROUND(IF((AND((DO103&lt;=459),(DO139&lt;=DO19)))=TRUE(),0,+DO156+DO158),2)"),2781204.44)</f>
        <v>2781204.44</v>
      </c>
      <c r="DP160" s="7">
        <f ca="1">IFERROR(__xludf.DUMMYFUNCTION("ROUND(IF((AND((DP103&lt;=459),(DP139&lt;=DP19)))=TRUE(),0,+DP156+DP158),2)"),0)</f>
        <v>0</v>
      </c>
      <c r="DQ160" s="7">
        <f ca="1">IFERROR(__xludf.DUMMYFUNCTION("ROUND(IF((AND((DQ103&lt;=459),(DQ139&lt;=DQ19)))=TRUE(),0,+DQ156+DQ158),2)"),0)</f>
        <v>0</v>
      </c>
      <c r="DR160" s="7">
        <f ca="1">IFERROR(__xludf.DUMMYFUNCTION("ROUND(IF((AND((DR103&lt;=459),(DR139&lt;=DR19)))=TRUE(),0,+DR156+DR158),2)"),1667379.13)</f>
        <v>1667379.13</v>
      </c>
      <c r="DS160" s="7">
        <f ca="1">IFERROR(__xludf.DUMMYFUNCTION("ROUND(IF((AND((DS103&lt;=459),(DS139&lt;=DS19)))=TRUE(),0,+DS156+DS158),2)"),894329.53)</f>
        <v>894329.53</v>
      </c>
      <c r="DT160" s="7">
        <f ca="1">IFERROR(__xludf.DUMMYFUNCTION("ROUND(IF((AND((DT103&lt;=459),(DT139&lt;=DT19)))=TRUE(),0,+DT156+DT158),2)"),0)</f>
        <v>0</v>
      </c>
      <c r="DU160" s="7">
        <f ca="1">IFERROR(__xludf.DUMMYFUNCTION("ROUND(IF((AND((DU103&lt;=459),(DU139&lt;=DU19)))=TRUE(),0,+DU156+DU158),2)"),0)</f>
        <v>0</v>
      </c>
      <c r="DV160" s="7">
        <f ca="1">IFERROR(__xludf.DUMMYFUNCTION("ROUND(IF((AND((DV103&lt;=459),(DV139&lt;=DV19)))=TRUE(),0,+DV156+DV158),2)"),0)</f>
        <v>0</v>
      </c>
      <c r="DW160" s="7">
        <f ca="1">IFERROR(__xludf.DUMMYFUNCTION("ROUND(IF((AND((DW103&lt;=459),(DW139&lt;=DW19)))=TRUE(),0,+DW156+DW158),2)"),0)</f>
        <v>0</v>
      </c>
      <c r="DX160" s="7">
        <f ca="1">IFERROR(__xludf.DUMMYFUNCTION("ROUND(IF((AND((DX103&lt;=459),(DX139&lt;=DX19)))=TRUE(),0,+DX156+DX158),2)"),0)</f>
        <v>0</v>
      </c>
      <c r="DY160" s="7">
        <f ca="1">IFERROR(__xludf.DUMMYFUNCTION("ROUND(IF((AND((DY103&lt;=459),(DY139&lt;=DY19)))=TRUE(),0,+DY156+DY158),2)"),0)</f>
        <v>0</v>
      </c>
      <c r="DZ160" s="7">
        <f ca="1">IFERROR(__xludf.DUMMYFUNCTION("ROUND(IF((AND((DZ103&lt;=459),(DZ139&lt;=DZ19)))=TRUE(),0,+DZ156+DZ158),2)"),0)</f>
        <v>0</v>
      </c>
      <c r="EA160" s="7">
        <f ca="1">IFERROR(__xludf.DUMMYFUNCTION("ROUND(IF((AND((EA103&lt;=459),(EA139&lt;=EA19)))=TRUE(),0,+EA156+EA158),2)"),0)</f>
        <v>0</v>
      </c>
      <c r="EB160" s="7">
        <f ca="1">IFERROR(__xludf.DUMMYFUNCTION("ROUND(IF((AND((EB103&lt;=459),(EB139&lt;=EB19)))=TRUE(),0,+EB156+EB158),2)"),488363.68)</f>
        <v>488363.68</v>
      </c>
      <c r="EC160" s="7">
        <f ca="1">IFERROR(__xludf.DUMMYFUNCTION("ROUND(IF((AND((EC103&lt;=459),(EC139&lt;=EC19)))=TRUE(),0,+EC156+EC158),2)"),0)</f>
        <v>0</v>
      </c>
      <c r="ED160" s="7">
        <f ca="1">IFERROR(__xludf.DUMMYFUNCTION("ROUND(IF((AND((ED103&lt;=459),(ED139&lt;=ED19)))=TRUE(),0,+ED156+ED158),2)"),0)</f>
        <v>0</v>
      </c>
      <c r="EE160" s="7">
        <f ca="1">IFERROR(__xludf.DUMMYFUNCTION("ROUND(IF((AND((EE103&lt;=459),(EE139&lt;=EE19)))=TRUE(),0,+EE156+EE158),2)"),0)</f>
        <v>0</v>
      </c>
      <c r="EF160" s="7">
        <f ca="1">IFERROR(__xludf.DUMMYFUNCTION("ROUND(IF((AND((EF103&lt;=459),(EF139&lt;=EF19)))=TRUE(),0,+EF156+EF158),2)"),1593783.85)</f>
        <v>1593783.85</v>
      </c>
      <c r="EG160" s="7">
        <f ca="1">IFERROR(__xludf.DUMMYFUNCTION("ROUND(IF((AND((EG103&lt;=459),(EG139&lt;=EG19)))=TRUE(),0,+EG156+EG158),2)"),0)</f>
        <v>0</v>
      </c>
      <c r="EH160" s="7">
        <f ca="1">IFERROR(__xludf.DUMMYFUNCTION("ROUND(IF((AND((EH103&lt;=459),(EH139&lt;=EH19)))=TRUE(),0,+EH156+EH158),2)"),0)</f>
        <v>0</v>
      </c>
      <c r="EI160" s="7">
        <f ca="1">IFERROR(__xludf.DUMMYFUNCTION("ROUND(IF((AND((EI103&lt;=459),(EI139&lt;=EI19)))=TRUE(),0,+EI156+EI158),2)"),18252061.22)</f>
        <v>18252061.219999999</v>
      </c>
      <c r="EJ160" s="7">
        <f ca="1">IFERROR(__xludf.DUMMYFUNCTION("ROUND(IF((AND((EJ103&lt;=459),(EJ139&lt;=EJ19)))=TRUE(),0,+EJ156+EJ158),2)"),6552800.9)</f>
        <v>6552800.9000000004</v>
      </c>
      <c r="EK160" s="7">
        <f ca="1">IFERROR(__xludf.DUMMYFUNCTION("ROUND(IF((AND((EK103&lt;=459),(EK139&lt;=EK19)))=TRUE(),0,+EK156+EK158),2)"),0)</f>
        <v>0</v>
      </c>
      <c r="EL160" s="7">
        <f ca="1">IFERROR(__xludf.DUMMYFUNCTION("ROUND(IF((AND((EL103&lt;=459),(EL139&lt;=EL19)))=TRUE(),0,+EL156+EL158),2)"),303521.7)</f>
        <v>303521.7</v>
      </c>
      <c r="EM160" s="7">
        <f ca="1">IFERROR(__xludf.DUMMYFUNCTION("ROUND(IF((AND((EM103&lt;=459),(EM139&lt;=EM19)))=TRUE(),0,+EM156+EM158),2)"),0)</f>
        <v>0</v>
      </c>
      <c r="EN160" s="7">
        <f ca="1">IFERROR(__xludf.DUMMYFUNCTION("ROUND(IF((AND((EN103&lt;=459),(EN139&lt;=EN19)))=TRUE(),0,+EN156+EN158),2)"),1117499.9)</f>
        <v>1117499.8999999999</v>
      </c>
      <c r="EO160" s="7">
        <f ca="1">IFERROR(__xludf.DUMMYFUNCTION("ROUND(IF((AND((EO103&lt;=459),(EO139&lt;=EO19)))=TRUE(),0,+EO156+EO158),2)"),0)</f>
        <v>0</v>
      </c>
      <c r="EP160" s="7">
        <f ca="1">IFERROR(__xludf.DUMMYFUNCTION("ROUND(IF((AND((EP103&lt;=459),(EP139&lt;=EP19)))=TRUE(),0,+EP156+EP158),2)"),0)</f>
        <v>0</v>
      </c>
      <c r="EQ160" s="7">
        <f ca="1">IFERROR(__xludf.DUMMYFUNCTION("ROUND(IF((AND((EQ103&lt;=459),(EQ139&lt;=EQ19)))=TRUE(),0,+EQ156+EQ158),2)"),0)</f>
        <v>0</v>
      </c>
      <c r="ER160" s="7">
        <f ca="1">IFERROR(__xludf.DUMMYFUNCTION("ROUND(IF((AND((ER103&lt;=459),(ER139&lt;=ER19)))=TRUE(),0,+ER156+ER158),2)"),0)</f>
        <v>0</v>
      </c>
      <c r="ES160" s="7">
        <f ca="1">IFERROR(__xludf.DUMMYFUNCTION("ROUND(IF((AND((ES103&lt;=459),(ES139&lt;=ES19)))=TRUE(),0,+ES156+ES158),2)"),0)</f>
        <v>0</v>
      </c>
      <c r="ET160" s="7">
        <f ca="1">IFERROR(__xludf.DUMMYFUNCTION("ROUND(IF((AND((ET103&lt;=459),(ET139&lt;=ET19)))=TRUE(),0,+ET156+ET158),2)"),0)</f>
        <v>0</v>
      </c>
      <c r="EU160" s="7">
        <f ca="1">IFERROR(__xludf.DUMMYFUNCTION("ROUND(IF((AND((EU103&lt;=459),(EU139&lt;=EU19)))=TRUE(),0,+EU156+EU158),2)"),1158927.58)</f>
        <v>1158927.58</v>
      </c>
      <c r="EV160" s="7">
        <f ca="1">IFERROR(__xludf.DUMMYFUNCTION("ROUND(IF((AND((EV103&lt;=459),(EV139&lt;=EV19)))=TRUE(),0,+EV156+EV158),2)"),0)</f>
        <v>0</v>
      </c>
      <c r="EW160" s="7">
        <f ca="1">IFERROR(__xludf.DUMMYFUNCTION("ROUND(IF((AND((EW103&lt;=459),(EW139&lt;=EW19)))=TRUE(),0,+EW156+EW158),2)"),0)</f>
        <v>0</v>
      </c>
      <c r="EX160" s="7">
        <f ca="1">IFERROR(__xludf.DUMMYFUNCTION("ROUND(IF((AND((EX103&lt;=459),(EX139&lt;=EX19)))=TRUE(),0,+EX156+EX158),2)"),0)</f>
        <v>0</v>
      </c>
      <c r="EY160" s="7">
        <f ca="1">IFERROR(__xludf.DUMMYFUNCTION("ROUND(IF((AND((EY103&lt;=459),(EY139&lt;=EY19)))=TRUE(),0,+EY156+EY158),2)"),669249.91)</f>
        <v>669249.91</v>
      </c>
      <c r="EZ160" s="7">
        <f ca="1">IFERROR(__xludf.DUMMYFUNCTION("ROUND(IF((AND((EZ103&lt;=459),(EZ139&lt;=EZ19)))=TRUE(),0,+EZ156+EZ158),2)"),0)</f>
        <v>0</v>
      </c>
      <c r="FA160" s="7">
        <f ca="1">IFERROR(__xludf.DUMMYFUNCTION("ROUND(IF((AND((FA103&lt;=459),(FA139&lt;=FA19)))=TRUE(),0,+FA156+FA158),2)"),0)</f>
        <v>0</v>
      </c>
      <c r="FB160" s="7">
        <f ca="1">IFERROR(__xludf.DUMMYFUNCTION("ROUND(IF((AND((FB103&lt;=459),(FB139&lt;=FB19)))=TRUE(),0,+FB156+FB158),2)"),0)</f>
        <v>0</v>
      </c>
      <c r="FC160" s="7">
        <f ca="1">IFERROR(__xludf.DUMMYFUNCTION("ROUND(IF((AND((FC103&lt;=459),(FC139&lt;=FC19)))=TRUE(),0,+FC156+FC158),2)"),0)</f>
        <v>0</v>
      </c>
      <c r="FD160" s="7">
        <f ca="1">IFERROR(__xludf.DUMMYFUNCTION("ROUND(IF((AND((FD103&lt;=459),(FD139&lt;=FD19)))=TRUE(),0,+FD156+FD158),2)"),0)</f>
        <v>0</v>
      </c>
      <c r="FE160" s="7">
        <f ca="1">IFERROR(__xludf.DUMMYFUNCTION("ROUND(IF((AND((FE103&lt;=459),(FE139&lt;=FE19)))=TRUE(),0,+FE156+FE158),2)"),0)</f>
        <v>0</v>
      </c>
      <c r="FF160" s="7">
        <f ca="1">IFERROR(__xludf.DUMMYFUNCTION("ROUND(IF((AND((FF103&lt;=459),(FF139&lt;=FF19)))=TRUE(),0,+FF156+FF158),2)"),0)</f>
        <v>0</v>
      </c>
      <c r="FG160" s="7">
        <f ca="1">IFERROR(__xludf.DUMMYFUNCTION("ROUND(IF((AND((FG103&lt;=459),(FG139&lt;=FG19)))=TRUE(),0,+FG156+FG158),2)"),0)</f>
        <v>0</v>
      </c>
      <c r="FH160" s="7">
        <f ca="1">IFERROR(__xludf.DUMMYFUNCTION("ROUND(IF((AND((FH103&lt;=459),(FH139&lt;=FH19)))=TRUE(),0,+FH156+FH158),2)"),0)</f>
        <v>0</v>
      </c>
      <c r="FI160" s="7">
        <f ca="1">IFERROR(__xludf.DUMMYFUNCTION("ROUND(IF((AND((FI103&lt;=459),(FI139&lt;=FI19)))=TRUE(),0,+FI156+FI158),2)"),1488162.37)</f>
        <v>1488162.37</v>
      </c>
      <c r="FJ160" s="7">
        <f ca="1">IFERROR(__xludf.DUMMYFUNCTION("ROUND(IF((AND((FJ103&lt;=459),(FJ139&lt;=FJ19)))=TRUE(),0,+FJ156+FJ158),2)"),0)</f>
        <v>0</v>
      </c>
      <c r="FK160" s="7">
        <f ca="1">IFERROR(__xludf.DUMMYFUNCTION("ROUND(IF((AND((FK103&lt;=459),(FK139&lt;=FK19)))=TRUE(),0,+FK156+FK158),2)"),1811742.16)</f>
        <v>1811742.16</v>
      </c>
      <c r="FL160" s="7">
        <f ca="1">IFERROR(__xludf.DUMMYFUNCTION("ROUND(IF((AND((FL103&lt;=459),(FL139&lt;=FL19)))=TRUE(),0,+FL156+FL158),2)"),0)</f>
        <v>0</v>
      </c>
      <c r="FM160" s="7">
        <f ca="1">IFERROR(__xludf.DUMMYFUNCTION("ROUND(IF((AND((FM103&lt;=459),(FM139&lt;=FM19)))=TRUE(),0,+FM156+FM158),2)"),0)</f>
        <v>0</v>
      </c>
      <c r="FN160" s="7">
        <f ca="1">IFERROR(__xludf.DUMMYFUNCTION("ROUND(IF((AND((FN103&lt;=459),(FN139&lt;=FN19)))=TRUE(),0,+FN156+FN158),2)"),23696133.83)</f>
        <v>23696133.829999998</v>
      </c>
      <c r="FO160" s="7">
        <f ca="1">IFERROR(__xludf.DUMMYFUNCTION("ROUND(IF((AND((FO103&lt;=459),(FO139&lt;=FO19)))=TRUE(),0,+FO156+FO158),2)"),784156.66)</f>
        <v>784156.66</v>
      </c>
      <c r="FP160" s="7">
        <f ca="1">IFERROR(__xludf.DUMMYFUNCTION("ROUND(IF((AND((FP103&lt;=459),(FP139&lt;=FP19)))=TRUE(),0,+FP156+FP158),2)"),1825259.1)</f>
        <v>1825259.1</v>
      </c>
      <c r="FQ160" s="7">
        <f ca="1">IFERROR(__xludf.DUMMYFUNCTION("ROUND(IF((AND((FQ103&lt;=459),(FQ139&lt;=FQ19)))=TRUE(),0,+FQ156+FQ158),2)"),0)</f>
        <v>0</v>
      </c>
      <c r="FR160" s="7">
        <f ca="1">IFERROR(__xludf.DUMMYFUNCTION("ROUND(IF((AND((FR103&lt;=459),(FR139&lt;=FR19)))=TRUE(),0,+FR156+FR158),2)"),0)</f>
        <v>0</v>
      </c>
      <c r="FS160" s="7">
        <f ca="1">IFERROR(__xludf.DUMMYFUNCTION("ROUND(IF((AND((FS103&lt;=459),(FS139&lt;=FS19)))=TRUE(),0,+FS156+FS158),2)"),0)</f>
        <v>0</v>
      </c>
      <c r="FT160" s="7">
        <f ca="1">IFERROR(__xludf.DUMMYFUNCTION("ROUND(IF((AND((FT103&lt;=459),(FT139&lt;=FT19)))=TRUE(),0,+FT156+FT158),2)"),0)</f>
        <v>0</v>
      </c>
      <c r="FU160" s="7">
        <f ca="1">IFERROR(__xludf.DUMMYFUNCTION("ROUND(IF((AND((FU103&lt;=459),(FU139&lt;=FU19)))=TRUE(),0,+FU156+FU158),2)"),769260.71)</f>
        <v>769260.71</v>
      </c>
      <c r="FV160" s="7">
        <f ca="1">IFERROR(__xludf.DUMMYFUNCTION("ROUND(IF((AND((FV103&lt;=459),(FV139&lt;=FV19)))=TRUE(),0,+FV156+FV158),2)"),665564.09)</f>
        <v>665564.09</v>
      </c>
      <c r="FW160" s="7">
        <f ca="1">IFERROR(__xludf.DUMMYFUNCTION("ROUND(IF((AND((FW103&lt;=459),(FW139&lt;=FW19)))=TRUE(),0,+FW156+FW158),2)"),0)</f>
        <v>0</v>
      </c>
      <c r="FX160" s="7">
        <f ca="1">IFERROR(__xludf.DUMMYFUNCTION("ROUND(IF((AND((FX103&lt;=459),(FX139&lt;=FX19)))=TRUE(),0,+FX156+FX158),2)"),0)</f>
        <v>0</v>
      </c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</row>
    <row r="161" spans="1:193" ht="15.5" x14ac:dyDescent="0.35">
      <c r="A161" s="7"/>
      <c r="B161" s="7" t="s">
        <v>896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</row>
    <row r="162" spans="1:193" ht="15.5" x14ac:dyDescent="0.35">
      <c r="A162" s="12" t="s">
        <v>5</v>
      </c>
      <c r="B162" s="7" t="s">
        <v>897</v>
      </c>
      <c r="C162" s="7">
        <f t="shared" ref="C162:FX162" ca="1" si="72">MAX(C150,C152,C160)</f>
        <v>7702524.5499999998</v>
      </c>
      <c r="D162" s="7">
        <f t="shared" ca="1" si="72"/>
        <v>25149309.989999998</v>
      </c>
      <c r="E162" s="7">
        <f t="shared" ca="1" si="72"/>
        <v>9000474.3200000003</v>
      </c>
      <c r="F162" s="7">
        <f t="shared" ca="1" si="72"/>
        <v>16283677.710000001</v>
      </c>
      <c r="G162" s="7">
        <f t="shared" ca="1" si="72"/>
        <v>1083193.69</v>
      </c>
      <c r="H162" s="7">
        <f t="shared" ca="1" si="72"/>
        <v>600619.73</v>
      </c>
      <c r="I162" s="7">
        <f t="shared" ca="1" si="72"/>
        <v>11302227.640000001</v>
      </c>
      <c r="J162" s="7">
        <f t="shared" ca="1" si="72"/>
        <v>2620199.9900000002</v>
      </c>
      <c r="K162" s="7">
        <f t="shared" ca="1" si="72"/>
        <v>283125.45</v>
      </c>
      <c r="L162" s="7">
        <f t="shared" ca="1" si="72"/>
        <v>2034225.27</v>
      </c>
      <c r="M162" s="7">
        <f t="shared" ca="1" si="72"/>
        <v>1515039.22</v>
      </c>
      <c r="N162" s="7">
        <f t="shared" ca="1" si="72"/>
        <v>25142156.91</v>
      </c>
      <c r="O162" s="7">
        <f t="shared" ca="1" si="72"/>
        <v>3936885.83</v>
      </c>
      <c r="P162" s="7">
        <f t="shared" ca="1" si="72"/>
        <v>297006.36</v>
      </c>
      <c r="Q162" s="7">
        <f t="shared" ca="1" si="72"/>
        <v>55064680.119999997</v>
      </c>
      <c r="R162" s="7">
        <f t="shared" ca="1" si="72"/>
        <v>5154876.45</v>
      </c>
      <c r="S162" s="7">
        <f t="shared" ca="1" si="72"/>
        <v>1320376.69</v>
      </c>
      <c r="T162" s="7">
        <f t="shared" ca="1" si="72"/>
        <v>261020.59</v>
      </c>
      <c r="U162" s="7">
        <f t="shared" ca="1" si="72"/>
        <v>95842.76</v>
      </c>
      <c r="V162" s="7">
        <f t="shared" ca="1" si="72"/>
        <v>340577.65</v>
      </c>
      <c r="W162" s="7">
        <f t="shared" ca="1" si="72"/>
        <v>97032.41</v>
      </c>
      <c r="X162" s="7">
        <f t="shared" ca="1" si="72"/>
        <v>59814.11</v>
      </c>
      <c r="Y162" s="7">
        <f t="shared" ca="1" si="72"/>
        <v>1327527.72</v>
      </c>
      <c r="Z162" s="7">
        <f t="shared" ca="1" si="72"/>
        <v>168185.63</v>
      </c>
      <c r="AA162" s="7">
        <f t="shared" ca="1" si="72"/>
        <v>14756771.41</v>
      </c>
      <c r="AB162" s="7">
        <f t="shared" ca="1" si="72"/>
        <v>9833669.5899999999</v>
      </c>
      <c r="AC162" s="7">
        <f t="shared" ca="1" si="72"/>
        <v>428326.22</v>
      </c>
      <c r="AD162" s="7">
        <f t="shared" ca="1" si="72"/>
        <v>727363.7</v>
      </c>
      <c r="AE162" s="7">
        <f t="shared" ca="1" si="72"/>
        <v>165110.03</v>
      </c>
      <c r="AF162" s="7">
        <f t="shared" ca="1" si="72"/>
        <v>200413.71</v>
      </c>
      <c r="AG162" s="7">
        <f t="shared" ca="1" si="72"/>
        <v>279740.32</v>
      </c>
      <c r="AH162" s="7">
        <f t="shared" ca="1" si="72"/>
        <v>953247.2</v>
      </c>
      <c r="AI162" s="7">
        <f t="shared" ca="1" si="72"/>
        <v>361631.14</v>
      </c>
      <c r="AJ162" s="7">
        <f t="shared" ca="1" si="72"/>
        <v>333090.88</v>
      </c>
      <c r="AK162" s="7">
        <f t="shared" ca="1" si="72"/>
        <v>325962.96000000002</v>
      </c>
      <c r="AL162" s="7">
        <f t="shared" ca="1" si="72"/>
        <v>410068.51</v>
      </c>
      <c r="AM162" s="7">
        <f t="shared" ca="1" si="72"/>
        <v>324570.98</v>
      </c>
      <c r="AN162" s="7">
        <f t="shared" ca="1" si="72"/>
        <v>245151.74</v>
      </c>
      <c r="AO162" s="7">
        <f t="shared" ca="1" si="72"/>
        <v>3392999.36</v>
      </c>
      <c r="AP162" s="7">
        <f t="shared" ca="1" si="72"/>
        <v>78296235.930000007</v>
      </c>
      <c r="AQ162" s="7">
        <f t="shared" ca="1" si="72"/>
        <v>294870.96999999997</v>
      </c>
      <c r="AR162" s="7">
        <f t="shared" ca="1" si="72"/>
        <v>14101608.779999999</v>
      </c>
      <c r="AS162" s="7">
        <f t="shared" ca="1" si="72"/>
        <v>3689853.5</v>
      </c>
      <c r="AT162" s="7">
        <f t="shared" ca="1" si="72"/>
        <v>806477.43</v>
      </c>
      <c r="AU162" s="7">
        <f t="shared" ca="1" si="72"/>
        <v>207769.34</v>
      </c>
      <c r="AV162" s="7">
        <f t="shared" ca="1" si="72"/>
        <v>340340.03</v>
      </c>
      <c r="AW162" s="7">
        <f t="shared" ca="1" si="72"/>
        <v>173746.39</v>
      </c>
      <c r="AX162" s="7">
        <f t="shared" ca="1" si="72"/>
        <v>120264.08</v>
      </c>
      <c r="AY162" s="7">
        <f t="shared" ca="1" si="72"/>
        <v>340375.31</v>
      </c>
      <c r="AZ162" s="7">
        <f t="shared" ca="1" si="72"/>
        <v>11966830.189999999</v>
      </c>
      <c r="BA162" s="7">
        <f t="shared" ca="1" si="72"/>
        <v>5483637.5999999996</v>
      </c>
      <c r="BB162" s="7">
        <f t="shared" ca="1" si="72"/>
        <v>4612477.33</v>
      </c>
      <c r="BC162" s="7">
        <f t="shared" ca="1" si="72"/>
        <v>19124788.960000001</v>
      </c>
      <c r="BD162" s="7">
        <f t="shared" ca="1" si="72"/>
        <v>1017062.12</v>
      </c>
      <c r="BE162" s="7">
        <f t="shared" ca="1" si="72"/>
        <v>567159.96</v>
      </c>
      <c r="BF162" s="7">
        <f t="shared" ca="1" si="72"/>
        <v>7601617.5899999999</v>
      </c>
      <c r="BG162" s="7">
        <f t="shared" ca="1" si="72"/>
        <v>822488.54</v>
      </c>
      <c r="BH162" s="7">
        <f t="shared" ca="1" si="72"/>
        <v>252560.85</v>
      </c>
      <c r="BI162" s="7">
        <f t="shared" ca="1" si="72"/>
        <v>368754.2</v>
      </c>
      <c r="BJ162" s="7">
        <f t="shared" ca="1" si="72"/>
        <v>1422668.53</v>
      </c>
      <c r="BK162" s="7">
        <f t="shared" ca="1" si="72"/>
        <v>18259110.43</v>
      </c>
      <c r="BL162" s="7">
        <f t="shared" ca="1" si="72"/>
        <v>150826.93</v>
      </c>
      <c r="BM162" s="7">
        <f t="shared" ca="1" si="72"/>
        <v>382003.56</v>
      </c>
      <c r="BN162" s="7">
        <f t="shared" ca="1" si="72"/>
        <v>2381038.71</v>
      </c>
      <c r="BO162" s="7">
        <f t="shared" ca="1" si="72"/>
        <v>929495.27</v>
      </c>
      <c r="BP162" s="7">
        <f t="shared" ca="1" si="72"/>
        <v>199338.6</v>
      </c>
      <c r="BQ162" s="7">
        <f t="shared" ca="1" si="72"/>
        <v>4047062.13</v>
      </c>
      <c r="BR162" s="7">
        <f t="shared" ca="1" si="72"/>
        <v>2861589.72</v>
      </c>
      <c r="BS162" s="7">
        <f t="shared" ca="1" si="72"/>
        <v>1236615.1000000001</v>
      </c>
      <c r="BT162" s="7">
        <f t="shared" ca="1" si="72"/>
        <v>280241.84999999998</v>
      </c>
      <c r="BU162" s="7">
        <f t="shared" ca="1" si="72"/>
        <v>280206.69</v>
      </c>
      <c r="BV162" s="7">
        <f t="shared" ca="1" si="72"/>
        <v>556116.47999999998</v>
      </c>
      <c r="BW162" s="7">
        <f t="shared" ca="1" si="72"/>
        <v>946859.81</v>
      </c>
      <c r="BX162" s="7">
        <f t="shared" ca="1" si="72"/>
        <v>64280.81</v>
      </c>
      <c r="BY162" s="7">
        <f t="shared" ca="1" si="72"/>
        <v>523542.71</v>
      </c>
      <c r="BZ162" s="7">
        <f t="shared" ca="1" si="72"/>
        <v>310569.59999999998</v>
      </c>
      <c r="CA162" s="7">
        <f t="shared" ca="1" si="72"/>
        <v>109115.36</v>
      </c>
      <c r="CB162" s="7">
        <f t="shared" ca="1" si="72"/>
        <v>29316995.149999999</v>
      </c>
      <c r="CC162" s="7">
        <f t="shared" ca="1" si="72"/>
        <v>249871.67</v>
      </c>
      <c r="CD162" s="7">
        <f t="shared" ca="1" si="72"/>
        <v>31582.47</v>
      </c>
      <c r="CE162" s="7">
        <f t="shared" ca="1" si="72"/>
        <v>162433.03</v>
      </c>
      <c r="CF162" s="7">
        <f t="shared" ca="1" si="72"/>
        <v>116030.97</v>
      </c>
      <c r="CG162" s="7">
        <f t="shared" ca="1" si="72"/>
        <v>176187.13</v>
      </c>
      <c r="CH162" s="7">
        <f t="shared" ca="1" si="72"/>
        <v>167247.29</v>
      </c>
      <c r="CI162" s="7">
        <f t="shared" ca="1" si="72"/>
        <v>631890.12</v>
      </c>
      <c r="CJ162" s="7">
        <f t="shared" ca="1" si="72"/>
        <v>782829.8</v>
      </c>
      <c r="CK162" s="7">
        <f t="shared" ca="1" si="72"/>
        <v>2363477.21</v>
      </c>
      <c r="CL162" s="7">
        <f t="shared" ca="1" si="72"/>
        <v>685928.44</v>
      </c>
      <c r="CM162" s="7">
        <f t="shared" ca="1" si="72"/>
        <v>545028.26</v>
      </c>
      <c r="CN162" s="7">
        <f t="shared" ca="1" si="72"/>
        <v>12268475.35</v>
      </c>
      <c r="CO162" s="7">
        <f t="shared" ca="1" si="72"/>
        <v>5886809.3600000003</v>
      </c>
      <c r="CP162" s="7">
        <f t="shared" ca="1" si="72"/>
        <v>603286.30000000005</v>
      </c>
      <c r="CQ162" s="7">
        <f t="shared" ca="1" si="72"/>
        <v>1022295.94</v>
      </c>
      <c r="CR162" s="7">
        <f t="shared" ca="1" si="72"/>
        <v>147880.14000000001</v>
      </c>
      <c r="CS162" s="7">
        <f t="shared" ca="1" si="72"/>
        <v>174535.01</v>
      </c>
      <c r="CT162" s="7">
        <f t="shared" ca="1" si="72"/>
        <v>215783.38</v>
      </c>
      <c r="CU162" s="7">
        <f t="shared" ca="1" si="72"/>
        <v>272669.08</v>
      </c>
      <c r="CV162" s="7">
        <f t="shared" ca="1" si="72"/>
        <v>23012.21</v>
      </c>
      <c r="CW162" s="7">
        <f t="shared" ca="1" si="72"/>
        <v>220414.02</v>
      </c>
      <c r="CX162" s="7">
        <f t="shared" ca="1" si="72"/>
        <v>337153.17</v>
      </c>
      <c r="CY162" s="7">
        <f t="shared" ca="1" si="72"/>
        <v>35252.019999999997</v>
      </c>
      <c r="CZ162" s="7">
        <f t="shared" ca="1" si="72"/>
        <v>1344401.22</v>
      </c>
      <c r="DA162" s="7">
        <f t="shared" ca="1" si="72"/>
        <v>105232.55</v>
      </c>
      <c r="DB162" s="7">
        <f t="shared" ca="1" si="72"/>
        <v>157783.5</v>
      </c>
      <c r="DC162" s="7">
        <f t="shared" ca="1" si="72"/>
        <v>108596.12</v>
      </c>
      <c r="DD162" s="7">
        <f t="shared" ca="1" si="72"/>
        <v>243550.94</v>
      </c>
      <c r="DE162" s="7">
        <f t="shared" ca="1" si="72"/>
        <v>231242.2</v>
      </c>
      <c r="DF162" s="7">
        <f t="shared" ca="1" si="72"/>
        <v>14838409.640000001</v>
      </c>
      <c r="DG162" s="7">
        <f t="shared" ca="1" si="72"/>
        <v>98282.9</v>
      </c>
      <c r="DH162" s="7">
        <f t="shared" ca="1" si="72"/>
        <v>1297872.44</v>
      </c>
      <c r="DI162" s="7">
        <f t="shared" ca="1" si="72"/>
        <v>2237974.71</v>
      </c>
      <c r="DJ162" s="7">
        <f t="shared" ca="1" si="72"/>
        <v>503211.97</v>
      </c>
      <c r="DK162" s="7">
        <f t="shared" ca="1" si="72"/>
        <v>284054.75</v>
      </c>
      <c r="DL162" s="7">
        <f t="shared" ca="1" si="72"/>
        <v>4289317.0999999996</v>
      </c>
      <c r="DM162" s="7">
        <f t="shared" ca="1" si="72"/>
        <v>283100.67</v>
      </c>
      <c r="DN162" s="7">
        <f t="shared" ca="1" si="72"/>
        <v>1309224.69</v>
      </c>
      <c r="DO162" s="7">
        <f t="shared" ca="1" si="72"/>
        <v>2781204.44</v>
      </c>
      <c r="DP162" s="7">
        <f t="shared" ca="1" si="72"/>
        <v>144688.45000000001</v>
      </c>
      <c r="DQ162" s="7">
        <f t="shared" ca="1" si="72"/>
        <v>512100.96</v>
      </c>
      <c r="DR162" s="7">
        <f t="shared" ca="1" si="72"/>
        <v>1667379.13</v>
      </c>
      <c r="DS162" s="7">
        <f t="shared" ca="1" si="72"/>
        <v>894329.53</v>
      </c>
      <c r="DT162" s="7">
        <f t="shared" ca="1" si="72"/>
        <v>337520.35</v>
      </c>
      <c r="DU162" s="7">
        <f t="shared" ca="1" si="72"/>
        <v>338226.79</v>
      </c>
      <c r="DV162" s="7">
        <f t="shared" ca="1" si="72"/>
        <v>190141.83</v>
      </c>
      <c r="DW162" s="7">
        <f t="shared" ca="1" si="72"/>
        <v>263269.31</v>
      </c>
      <c r="DX162" s="7">
        <f t="shared" ca="1" si="72"/>
        <v>144404.78</v>
      </c>
      <c r="DY162" s="7">
        <f t="shared" ca="1" si="72"/>
        <v>138466.88</v>
      </c>
      <c r="DZ162" s="7">
        <f t="shared" ca="1" si="72"/>
        <v>358197.79</v>
      </c>
      <c r="EA162" s="7">
        <f t="shared" ca="1" si="72"/>
        <v>334380.78000000003</v>
      </c>
      <c r="EB162" s="7">
        <f t="shared" ca="1" si="72"/>
        <v>488363.68</v>
      </c>
      <c r="EC162" s="7">
        <f t="shared" ca="1" si="72"/>
        <v>163611.96</v>
      </c>
      <c r="ED162" s="7">
        <f t="shared" ca="1" si="72"/>
        <v>183158.52</v>
      </c>
      <c r="EE162" s="7">
        <f t="shared" ca="1" si="72"/>
        <v>272483.38</v>
      </c>
      <c r="EF162" s="7">
        <f t="shared" ca="1" si="72"/>
        <v>1593783.85</v>
      </c>
      <c r="EG162" s="7">
        <f t="shared" ca="1" si="72"/>
        <v>283858.28999999998</v>
      </c>
      <c r="EH162" s="7">
        <f t="shared" ca="1" si="72"/>
        <v>238737.9</v>
      </c>
      <c r="EI162" s="7">
        <f t="shared" ca="1" si="72"/>
        <v>18252061.219999999</v>
      </c>
      <c r="EJ162" s="7">
        <f t="shared" ca="1" si="72"/>
        <v>6552800.9000000004</v>
      </c>
      <c r="EK162" s="7">
        <f t="shared" ca="1" si="72"/>
        <v>350649.47</v>
      </c>
      <c r="EL162" s="7">
        <f t="shared" ca="1" si="72"/>
        <v>303521.7</v>
      </c>
      <c r="EM162" s="7">
        <f t="shared" ca="1" si="72"/>
        <v>328773.40999999997</v>
      </c>
      <c r="EN162" s="7">
        <f t="shared" ca="1" si="72"/>
        <v>1117499.8999999999</v>
      </c>
      <c r="EO162" s="7">
        <f t="shared" ca="1" si="72"/>
        <v>235559.47</v>
      </c>
      <c r="EP162" s="7">
        <f t="shared" ca="1" si="72"/>
        <v>191275.04</v>
      </c>
      <c r="EQ162" s="7">
        <f t="shared" ca="1" si="72"/>
        <v>649179.47</v>
      </c>
      <c r="ER162" s="7">
        <f t="shared" ca="1" si="72"/>
        <v>163791.82999999999</v>
      </c>
      <c r="ES162" s="7">
        <f t="shared" ca="1" si="72"/>
        <v>272622.65999999997</v>
      </c>
      <c r="ET162" s="7">
        <f t="shared" ca="1" si="72"/>
        <v>361568.7</v>
      </c>
      <c r="EU162" s="7">
        <f t="shared" ca="1" si="72"/>
        <v>1158927.58</v>
      </c>
      <c r="EV162" s="7">
        <f t="shared" ca="1" si="72"/>
        <v>111130.23</v>
      </c>
      <c r="EW162" s="7">
        <f t="shared" ca="1" si="72"/>
        <v>417797.27</v>
      </c>
      <c r="EX162" s="7">
        <f t="shared" ca="1" si="72"/>
        <v>220502.13</v>
      </c>
      <c r="EY162" s="7">
        <f t="shared" ca="1" si="72"/>
        <v>669249.91</v>
      </c>
      <c r="EZ162" s="7">
        <f t="shared" ca="1" si="72"/>
        <v>165713.54999999999</v>
      </c>
      <c r="FA162" s="7">
        <f t="shared" ca="1" si="72"/>
        <v>1780553.55</v>
      </c>
      <c r="FB162" s="7">
        <f t="shared" ca="1" si="72"/>
        <v>381139.17</v>
      </c>
      <c r="FC162" s="7">
        <f t="shared" ca="1" si="72"/>
        <v>812705.15</v>
      </c>
      <c r="FD162" s="7">
        <f t="shared" ca="1" si="72"/>
        <v>355086.12</v>
      </c>
      <c r="FE162" s="7">
        <f t="shared" ca="1" si="72"/>
        <v>124339.73</v>
      </c>
      <c r="FF162" s="7">
        <f t="shared" ca="1" si="72"/>
        <v>224347.86</v>
      </c>
      <c r="FG162" s="7">
        <f t="shared" ca="1" si="72"/>
        <v>130351.06</v>
      </c>
      <c r="FH162" s="7">
        <f t="shared" ca="1" si="72"/>
        <v>84412.67</v>
      </c>
      <c r="FI162" s="7">
        <f t="shared" ca="1" si="72"/>
        <v>1488162.37</v>
      </c>
      <c r="FJ162" s="7">
        <f t="shared" ca="1" si="72"/>
        <v>953056.28</v>
      </c>
      <c r="FK162" s="7">
        <f t="shared" ca="1" si="72"/>
        <v>1811742.16</v>
      </c>
      <c r="FL162" s="7">
        <f t="shared" ca="1" si="72"/>
        <v>2694154.84</v>
      </c>
      <c r="FM162" s="7">
        <f t="shared" ca="1" si="72"/>
        <v>1619323.36</v>
      </c>
      <c r="FN162" s="7">
        <f t="shared" ca="1" si="72"/>
        <v>23696133.829999998</v>
      </c>
      <c r="FO162" s="7">
        <f t="shared" ca="1" si="72"/>
        <v>784156.66</v>
      </c>
      <c r="FP162" s="7">
        <f t="shared" ca="1" si="72"/>
        <v>1825259.1</v>
      </c>
      <c r="FQ162" s="7">
        <f t="shared" ca="1" si="72"/>
        <v>475937.67</v>
      </c>
      <c r="FR162" s="7">
        <f t="shared" ca="1" si="72"/>
        <v>100787.05</v>
      </c>
      <c r="FS162" s="7">
        <f t="shared" ca="1" si="72"/>
        <v>102273.7</v>
      </c>
      <c r="FT162" s="7">
        <f t="shared" ca="1" si="72"/>
        <v>88665.26</v>
      </c>
      <c r="FU162" s="7">
        <f t="shared" ca="1" si="72"/>
        <v>769260.71</v>
      </c>
      <c r="FV162" s="7">
        <f t="shared" ca="1" si="72"/>
        <v>665564.09</v>
      </c>
      <c r="FW162" s="7">
        <f t="shared" ca="1" si="72"/>
        <v>192660.61</v>
      </c>
      <c r="FX162" s="7">
        <f t="shared" ca="1" si="72"/>
        <v>82771.59</v>
      </c>
      <c r="FY162" s="7"/>
      <c r="FZ162" s="7">
        <f ca="1">SUM(C162:FX162)</f>
        <v>556571420.48000002</v>
      </c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</row>
    <row r="163" spans="1:193" ht="15.5" x14ac:dyDescent="0.35">
      <c r="A163" s="7"/>
      <c r="B163" s="7" t="s">
        <v>898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7"/>
      <c r="FZ163" s="49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</row>
    <row r="164" spans="1:193" ht="15.5" x14ac:dyDescent="0.35">
      <c r="A164" s="7"/>
      <c r="B164" s="7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7"/>
      <c r="FZ164" s="49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</row>
    <row r="165" spans="1:193" ht="15.5" x14ac:dyDescent="0.35">
      <c r="A165" s="12"/>
      <c r="B165" s="5" t="s">
        <v>899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7"/>
      <c r="FZ165" s="49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</row>
    <row r="166" spans="1:193" ht="15.5" x14ac:dyDescent="0.35">
      <c r="A166" s="12" t="s">
        <v>6</v>
      </c>
      <c r="B166" s="7" t="s">
        <v>900</v>
      </c>
      <c r="C166" s="22">
        <f t="shared" ref="C166:FX166" si="73">C29</f>
        <v>1359</v>
      </c>
      <c r="D166" s="22">
        <f t="shared" si="73"/>
        <v>4465</v>
      </c>
      <c r="E166" s="22">
        <f t="shared" si="73"/>
        <v>1525</v>
      </c>
      <c r="F166" s="22">
        <f t="shared" si="73"/>
        <v>2508</v>
      </c>
      <c r="G166" s="22">
        <f t="shared" si="73"/>
        <v>207</v>
      </c>
      <c r="H166" s="22">
        <f t="shared" si="73"/>
        <v>69</v>
      </c>
      <c r="I166" s="22">
        <f t="shared" si="73"/>
        <v>1835</v>
      </c>
      <c r="J166" s="22">
        <f t="shared" si="73"/>
        <v>185</v>
      </c>
      <c r="K166" s="22">
        <f t="shared" si="73"/>
        <v>3</v>
      </c>
      <c r="L166" s="22">
        <f t="shared" si="73"/>
        <v>184</v>
      </c>
      <c r="M166" s="22">
        <f t="shared" si="73"/>
        <v>187</v>
      </c>
      <c r="N166" s="22">
        <f t="shared" si="73"/>
        <v>5452</v>
      </c>
      <c r="O166" s="22">
        <f t="shared" si="73"/>
        <v>401</v>
      </c>
      <c r="P166" s="22">
        <f t="shared" si="73"/>
        <v>31</v>
      </c>
      <c r="Q166" s="22">
        <f t="shared" si="73"/>
        <v>11916</v>
      </c>
      <c r="R166" s="22">
        <f t="shared" si="73"/>
        <v>108</v>
      </c>
      <c r="S166" s="22">
        <f t="shared" si="73"/>
        <v>50</v>
      </c>
      <c r="T166" s="22">
        <f t="shared" si="73"/>
        <v>0</v>
      </c>
      <c r="U166" s="22">
        <f t="shared" si="73"/>
        <v>0</v>
      </c>
      <c r="V166" s="22">
        <f t="shared" si="73"/>
        <v>0</v>
      </c>
      <c r="W166" s="22">
        <f t="shared" si="73"/>
        <v>0</v>
      </c>
      <c r="X166" s="22">
        <f t="shared" si="73"/>
        <v>0</v>
      </c>
      <c r="Y166" s="22">
        <f t="shared" si="73"/>
        <v>4</v>
      </c>
      <c r="Z166" s="22">
        <f t="shared" si="73"/>
        <v>4</v>
      </c>
      <c r="AA166" s="22">
        <f t="shared" si="73"/>
        <v>2041</v>
      </c>
      <c r="AB166" s="22">
        <f t="shared" si="73"/>
        <v>1565</v>
      </c>
      <c r="AC166" s="22">
        <f t="shared" si="73"/>
        <v>32</v>
      </c>
      <c r="AD166" s="22">
        <f t="shared" si="73"/>
        <v>35</v>
      </c>
      <c r="AE166" s="22">
        <f t="shared" si="73"/>
        <v>3</v>
      </c>
      <c r="AF166" s="22">
        <f t="shared" si="73"/>
        <v>6</v>
      </c>
      <c r="AG166" s="22">
        <f t="shared" si="73"/>
        <v>12</v>
      </c>
      <c r="AH166" s="22">
        <f t="shared" si="73"/>
        <v>0</v>
      </c>
      <c r="AI166" s="22">
        <f t="shared" si="73"/>
        <v>3</v>
      </c>
      <c r="AJ166" s="22">
        <f t="shared" si="73"/>
        <v>2</v>
      </c>
      <c r="AK166" s="22">
        <f t="shared" si="73"/>
        <v>1</v>
      </c>
      <c r="AL166" s="22">
        <f t="shared" si="73"/>
        <v>21</v>
      </c>
      <c r="AM166" s="22">
        <f t="shared" si="73"/>
        <v>1</v>
      </c>
      <c r="AN166" s="22">
        <f t="shared" si="73"/>
        <v>0</v>
      </c>
      <c r="AO166" s="22">
        <f t="shared" si="73"/>
        <v>117</v>
      </c>
      <c r="AP166" s="22">
        <f t="shared" si="73"/>
        <v>16832</v>
      </c>
      <c r="AQ166" s="22">
        <f t="shared" si="73"/>
        <v>0</v>
      </c>
      <c r="AR166" s="22">
        <f t="shared" si="73"/>
        <v>1715</v>
      </c>
      <c r="AS166" s="22">
        <f t="shared" si="73"/>
        <v>1141</v>
      </c>
      <c r="AT166" s="22">
        <f t="shared" si="73"/>
        <v>32</v>
      </c>
      <c r="AU166" s="22">
        <f t="shared" si="73"/>
        <v>4</v>
      </c>
      <c r="AV166" s="22">
        <f t="shared" si="73"/>
        <v>3</v>
      </c>
      <c r="AW166" s="22">
        <f t="shared" si="73"/>
        <v>1</v>
      </c>
      <c r="AX166" s="22">
        <f t="shared" si="73"/>
        <v>5</v>
      </c>
      <c r="AY166" s="22">
        <f t="shared" si="73"/>
        <v>5</v>
      </c>
      <c r="AZ166" s="22">
        <f t="shared" si="73"/>
        <v>1133</v>
      </c>
      <c r="BA166" s="22">
        <f t="shared" si="73"/>
        <v>201</v>
      </c>
      <c r="BB166" s="22">
        <f t="shared" si="73"/>
        <v>184</v>
      </c>
      <c r="BC166" s="22">
        <f t="shared" si="73"/>
        <v>1622</v>
      </c>
      <c r="BD166" s="22">
        <f t="shared" si="73"/>
        <v>53</v>
      </c>
      <c r="BE166" s="22">
        <f t="shared" si="73"/>
        <v>3</v>
      </c>
      <c r="BF166" s="22">
        <f t="shared" si="73"/>
        <v>448</v>
      </c>
      <c r="BG166" s="22">
        <f t="shared" si="73"/>
        <v>78</v>
      </c>
      <c r="BH166" s="22">
        <f t="shared" si="73"/>
        <v>6</v>
      </c>
      <c r="BI166" s="22">
        <f t="shared" si="73"/>
        <v>15</v>
      </c>
      <c r="BJ166" s="22">
        <f t="shared" si="73"/>
        <v>68</v>
      </c>
      <c r="BK166" s="22">
        <f t="shared" si="73"/>
        <v>681</v>
      </c>
      <c r="BL166" s="22">
        <f t="shared" si="73"/>
        <v>1</v>
      </c>
      <c r="BM166" s="22">
        <f t="shared" si="73"/>
        <v>11</v>
      </c>
      <c r="BN166" s="22">
        <f t="shared" si="73"/>
        <v>11</v>
      </c>
      <c r="BO166" s="22">
        <f t="shared" si="73"/>
        <v>9</v>
      </c>
      <c r="BP166" s="22">
        <f t="shared" si="73"/>
        <v>1</v>
      </c>
      <c r="BQ166" s="22">
        <f t="shared" si="73"/>
        <v>1133</v>
      </c>
      <c r="BR166" s="22">
        <f t="shared" si="73"/>
        <v>764</v>
      </c>
      <c r="BS166" s="22">
        <f t="shared" si="73"/>
        <v>207</v>
      </c>
      <c r="BT166" s="22">
        <f t="shared" si="73"/>
        <v>2</v>
      </c>
      <c r="BU166" s="22">
        <f t="shared" si="73"/>
        <v>42</v>
      </c>
      <c r="BV166" s="22">
        <f t="shared" si="73"/>
        <v>85</v>
      </c>
      <c r="BW166" s="22">
        <f t="shared" si="73"/>
        <v>214</v>
      </c>
      <c r="BX166" s="22">
        <f t="shared" si="73"/>
        <v>0</v>
      </c>
      <c r="BY166" s="22">
        <f t="shared" si="73"/>
        <v>0</v>
      </c>
      <c r="BZ166" s="22">
        <f t="shared" si="73"/>
        <v>0</v>
      </c>
      <c r="CA166" s="22">
        <f t="shared" si="73"/>
        <v>5</v>
      </c>
      <c r="CB166" s="22">
        <f t="shared" si="73"/>
        <v>2880</v>
      </c>
      <c r="CC166" s="22">
        <f t="shared" si="73"/>
        <v>0</v>
      </c>
      <c r="CD166" s="22">
        <f t="shared" si="73"/>
        <v>1</v>
      </c>
      <c r="CE166" s="22">
        <f t="shared" si="73"/>
        <v>0</v>
      </c>
      <c r="CF166" s="22">
        <f t="shared" si="73"/>
        <v>0</v>
      </c>
      <c r="CG166" s="22">
        <f t="shared" si="73"/>
        <v>11</v>
      </c>
      <c r="CH166" s="22">
        <f t="shared" si="73"/>
        <v>6</v>
      </c>
      <c r="CI166" s="22">
        <f t="shared" si="73"/>
        <v>63</v>
      </c>
      <c r="CJ166" s="22">
        <f t="shared" si="73"/>
        <v>158</v>
      </c>
      <c r="CK166" s="22">
        <f t="shared" si="73"/>
        <v>168</v>
      </c>
      <c r="CL166" s="22">
        <f t="shared" si="73"/>
        <v>22</v>
      </c>
      <c r="CM166" s="22">
        <f t="shared" si="73"/>
        <v>8</v>
      </c>
      <c r="CN166" s="22">
        <f t="shared" si="73"/>
        <v>1199</v>
      </c>
      <c r="CO166" s="22">
        <f t="shared" si="73"/>
        <v>377</v>
      </c>
      <c r="CP166" s="22">
        <f t="shared" si="73"/>
        <v>139</v>
      </c>
      <c r="CQ166" s="22">
        <f t="shared" si="73"/>
        <v>3</v>
      </c>
      <c r="CR166" s="22">
        <f t="shared" si="73"/>
        <v>0</v>
      </c>
      <c r="CS166" s="22">
        <f t="shared" si="73"/>
        <v>1</v>
      </c>
      <c r="CT166" s="22">
        <f t="shared" si="73"/>
        <v>1</v>
      </c>
      <c r="CU166" s="22">
        <f t="shared" si="73"/>
        <v>3</v>
      </c>
      <c r="CV166" s="22">
        <f t="shared" si="73"/>
        <v>0</v>
      </c>
      <c r="CW166" s="22">
        <f t="shared" si="73"/>
        <v>1</v>
      </c>
      <c r="CX166" s="22">
        <f t="shared" si="73"/>
        <v>12</v>
      </c>
      <c r="CY166" s="22">
        <f t="shared" si="73"/>
        <v>0</v>
      </c>
      <c r="CZ166" s="22">
        <f t="shared" si="73"/>
        <v>39</v>
      </c>
      <c r="DA166" s="22">
        <f t="shared" si="73"/>
        <v>0</v>
      </c>
      <c r="DB166" s="22">
        <f t="shared" si="73"/>
        <v>7</v>
      </c>
      <c r="DC166" s="22">
        <f t="shared" si="73"/>
        <v>0</v>
      </c>
      <c r="DD166" s="22">
        <f t="shared" si="73"/>
        <v>7</v>
      </c>
      <c r="DE166" s="22">
        <f t="shared" si="73"/>
        <v>1</v>
      </c>
      <c r="DF166" s="22">
        <f t="shared" si="73"/>
        <v>654</v>
      </c>
      <c r="DG166" s="22">
        <f t="shared" si="73"/>
        <v>0</v>
      </c>
      <c r="DH166" s="22">
        <f t="shared" si="73"/>
        <v>120</v>
      </c>
      <c r="DI166" s="22">
        <f t="shared" si="73"/>
        <v>62</v>
      </c>
      <c r="DJ166" s="22">
        <f t="shared" si="73"/>
        <v>9</v>
      </c>
      <c r="DK166" s="22">
        <f t="shared" si="73"/>
        <v>19</v>
      </c>
      <c r="DL166" s="22">
        <f t="shared" si="73"/>
        <v>415</v>
      </c>
      <c r="DM166" s="22">
        <f t="shared" si="73"/>
        <v>0</v>
      </c>
      <c r="DN166" s="22">
        <f t="shared" si="73"/>
        <v>66</v>
      </c>
      <c r="DO166" s="22">
        <f t="shared" si="73"/>
        <v>533</v>
      </c>
      <c r="DP166" s="22">
        <f t="shared" si="73"/>
        <v>0</v>
      </c>
      <c r="DQ166" s="22">
        <f t="shared" si="73"/>
        <v>51</v>
      </c>
      <c r="DR166" s="22">
        <f t="shared" si="73"/>
        <v>17</v>
      </c>
      <c r="DS166" s="22">
        <f t="shared" si="73"/>
        <v>32</v>
      </c>
      <c r="DT166" s="22">
        <f t="shared" si="73"/>
        <v>6</v>
      </c>
      <c r="DU166" s="22">
        <f t="shared" si="73"/>
        <v>3</v>
      </c>
      <c r="DV166" s="22">
        <f t="shared" si="73"/>
        <v>1</v>
      </c>
      <c r="DW166" s="22">
        <f t="shared" si="73"/>
        <v>1</v>
      </c>
      <c r="DX166" s="22">
        <f t="shared" si="73"/>
        <v>1</v>
      </c>
      <c r="DY166" s="22">
        <f t="shared" si="73"/>
        <v>4</v>
      </c>
      <c r="DZ166" s="22">
        <f t="shared" si="73"/>
        <v>0</v>
      </c>
      <c r="EA166" s="22">
        <f t="shared" si="73"/>
        <v>28</v>
      </c>
      <c r="EB166" s="22">
        <f t="shared" si="73"/>
        <v>62</v>
      </c>
      <c r="EC166" s="22">
        <f t="shared" si="73"/>
        <v>9</v>
      </c>
      <c r="ED166" s="22">
        <f t="shared" si="73"/>
        <v>66</v>
      </c>
      <c r="EE166" s="22">
        <f t="shared" si="73"/>
        <v>19</v>
      </c>
      <c r="EF166" s="22">
        <f t="shared" si="73"/>
        <v>71</v>
      </c>
      <c r="EG166" s="22">
        <f t="shared" si="73"/>
        <v>44</v>
      </c>
      <c r="EH166" s="22">
        <f t="shared" si="73"/>
        <v>14</v>
      </c>
      <c r="EI166" s="22">
        <f t="shared" si="73"/>
        <v>421</v>
      </c>
      <c r="EJ166" s="22">
        <f t="shared" si="73"/>
        <v>200</v>
      </c>
      <c r="EK166" s="22">
        <f t="shared" si="73"/>
        <v>17</v>
      </c>
      <c r="EL166" s="22">
        <f t="shared" si="73"/>
        <v>1</v>
      </c>
      <c r="EM166" s="22">
        <f t="shared" si="73"/>
        <v>6</v>
      </c>
      <c r="EN166" s="22">
        <f t="shared" si="73"/>
        <v>10</v>
      </c>
      <c r="EO166" s="22">
        <f t="shared" si="73"/>
        <v>5</v>
      </c>
      <c r="EP166" s="22">
        <f t="shared" si="73"/>
        <v>17</v>
      </c>
      <c r="EQ166" s="22">
        <f t="shared" si="73"/>
        <v>184</v>
      </c>
      <c r="ER166" s="22">
        <f t="shared" si="73"/>
        <v>14</v>
      </c>
      <c r="ES166" s="22">
        <f t="shared" si="73"/>
        <v>3</v>
      </c>
      <c r="ET166" s="22">
        <f t="shared" si="73"/>
        <v>5</v>
      </c>
      <c r="EU166" s="22">
        <f t="shared" si="73"/>
        <v>102</v>
      </c>
      <c r="EV166" s="22">
        <f t="shared" si="73"/>
        <v>6</v>
      </c>
      <c r="EW166" s="22">
        <f t="shared" si="73"/>
        <v>59</v>
      </c>
      <c r="EX166" s="22">
        <f t="shared" si="73"/>
        <v>8</v>
      </c>
      <c r="EY166" s="22">
        <f t="shared" si="73"/>
        <v>17</v>
      </c>
      <c r="EZ166" s="22">
        <f t="shared" si="73"/>
        <v>0</v>
      </c>
      <c r="FA166" s="22">
        <f t="shared" si="73"/>
        <v>611</v>
      </c>
      <c r="FB166" s="22">
        <f t="shared" si="73"/>
        <v>3</v>
      </c>
      <c r="FC166" s="22">
        <f t="shared" si="73"/>
        <v>32</v>
      </c>
      <c r="FD166" s="22">
        <f t="shared" si="73"/>
        <v>4</v>
      </c>
      <c r="FE166" s="22">
        <f t="shared" si="73"/>
        <v>13</v>
      </c>
      <c r="FF166" s="22">
        <f t="shared" si="73"/>
        <v>2</v>
      </c>
      <c r="FG166" s="22">
        <f t="shared" si="73"/>
        <v>3</v>
      </c>
      <c r="FH166" s="22">
        <f t="shared" si="73"/>
        <v>0</v>
      </c>
      <c r="FI166" s="22">
        <f t="shared" si="73"/>
        <v>182</v>
      </c>
      <c r="FJ166" s="22">
        <f t="shared" si="73"/>
        <v>72</v>
      </c>
      <c r="FK166" s="22">
        <f t="shared" si="73"/>
        <v>246</v>
      </c>
      <c r="FL166" s="22">
        <f t="shared" si="73"/>
        <v>195</v>
      </c>
      <c r="FM166" s="22">
        <f t="shared" si="73"/>
        <v>93</v>
      </c>
      <c r="FN166" s="22">
        <f t="shared" si="73"/>
        <v>3402</v>
      </c>
      <c r="FO166" s="22">
        <f t="shared" si="73"/>
        <v>55</v>
      </c>
      <c r="FP166" s="22">
        <f t="shared" si="73"/>
        <v>325</v>
      </c>
      <c r="FQ166" s="22">
        <f t="shared" si="73"/>
        <v>60</v>
      </c>
      <c r="FR166" s="22">
        <f t="shared" si="73"/>
        <v>1</v>
      </c>
      <c r="FS166" s="22">
        <f t="shared" si="73"/>
        <v>0</v>
      </c>
      <c r="FT166" s="22">
        <f t="shared" si="73"/>
        <v>0</v>
      </c>
      <c r="FU166" s="22">
        <f t="shared" si="73"/>
        <v>137</v>
      </c>
      <c r="FV166" s="22">
        <f t="shared" si="73"/>
        <v>88</v>
      </c>
      <c r="FW166" s="22">
        <f t="shared" si="73"/>
        <v>5</v>
      </c>
      <c r="FX166" s="22">
        <f t="shared" si="73"/>
        <v>0</v>
      </c>
      <c r="FY166" s="7"/>
      <c r="FZ166" s="49">
        <f>SUM(C166:FY166)</f>
        <v>75065</v>
      </c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</row>
    <row r="167" spans="1:193" ht="15.5" x14ac:dyDescent="0.35">
      <c r="A167" s="12" t="s">
        <v>603</v>
      </c>
      <c r="B167" s="7" t="s">
        <v>901</v>
      </c>
      <c r="C167" s="49">
        <f t="shared" ref="C167:FX167" ca="1" si="74">C124</f>
        <v>10738.609369934627</v>
      </c>
      <c r="D167" s="49">
        <f t="shared" ca="1" si="74"/>
        <v>10780.479009459999</v>
      </c>
      <c r="E167" s="49">
        <f t="shared" ca="1" si="74"/>
        <v>10643.85360178</v>
      </c>
      <c r="F167" s="49">
        <f t="shared" ca="1" si="74"/>
        <v>10689.81605182</v>
      </c>
      <c r="G167" s="49">
        <f t="shared" ca="1" si="74"/>
        <v>11113.78245269</v>
      </c>
      <c r="H167" s="49">
        <f t="shared" ca="1" si="74"/>
        <v>11422.10040904</v>
      </c>
      <c r="I167" s="49">
        <f t="shared" ca="1" si="74"/>
        <v>10661.398181820001</v>
      </c>
      <c r="J167" s="49">
        <f t="shared" ca="1" si="74"/>
        <v>10314.757123519999</v>
      </c>
      <c r="K167" s="49">
        <f t="shared" ca="1" si="74"/>
        <v>15512.023119580001</v>
      </c>
      <c r="L167" s="49">
        <f t="shared" ca="1" si="74"/>
        <v>11159.38840795</v>
      </c>
      <c r="M167" s="49">
        <f t="shared" ca="1" si="74"/>
        <v>11911.168863340001</v>
      </c>
      <c r="N167" s="49">
        <f t="shared" ca="1" si="74"/>
        <v>11104.467071319999</v>
      </c>
      <c r="O167" s="49">
        <f t="shared" ca="1" si="74"/>
        <v>10828.94833951</v>
      </c>
      <c r="P167" s="49">
        <f t="shared" ca="1" si="74"/>
        <v>15128.685684890001</v>
      </c>
      <c r="Q167" s="49">
        <f t="shared" ca="1" si="74"/>
        <v>10934.37333884</v>
      </c>
      <c r="R167" s="49">
        <f t="shared" ca="1" si="74"/>
        <v>10659.65831223</v>
      </c>
      <c r="S167" s="49">
        <f t="shared" ca="1" si="74"/>
        <v>10975.56024513</v>
      </c>
      <c r="T167" s="49">
        <f t="shared" ca="1" si="74"/>
        <v>18355.878521719998</v>
      </c>
      <c r="U167" s="49">
        <f t="shared" ca="1" si="74"/>
        <v>21881.90851397</v>
      </c>
      <c r="V167" s="49">
        <f t="shared" ca="1" si="74"/>
        <v>15024.600686629999</v>
      </c>
      <c r="W167" s="49">
        <f t="shared" ca="1" si="74"/>
        <v>21736.64996594</v>
      </c>
      <c r="X167" s="49">
        <f t="shared" ca="1" si="74"/>
        <v>22055.351485030002</v>
      </c>
      <c r="Y167" s="49">
        <f t="shared" ca="1" si="74"/>
        <v>10590.946651419999</v>
      </c>
      <c r="Z167" s="49">
        <f t="shared" ca="1" si="74"/>
        <v>15555.45957053</v>
      </c>
      <c r="AA167" s="49">
        <f t="shared" ca="1" si="74"/>
        <v>10853.37632338</v>
      </c>
      <c r="AB167" s="49">
        <f t="shared" ca="1" si="74"/>
        <v>11090.43803024</v>
      </c>
      <c r="AC167" s="49">
        <f t="shared" ca="1" si="74"/>
        <v>11444.004921559999</v>
      </c>
      <c r="AD167" s="49">
        <f t="shared" ca="1" si="74"/>
        <v>10837.41130458</v>
      </c>
      <c r="AE167" s="49">
        <f t="shared" ca="1" si="74"/>
        <v>20323.735904280002</v>
      </c>
      <c r="AF167" s="49">
        <f t="shared" ca="1" si="74"/>
        <v>18639.667538599999</v>
      </c>
      <c r="AG167" s="49">
        <f t="shared" ca="1" si="74"/>
        <v>12393.244597659999</v>
      </c>
      <c r="AH167" s="49">
        <f t="shared" ca="1" si="74"/>
        <v>10793.282859020001</v>
      </c>
      <c r="AI167" s="49">
        <f t="shared" ca="1" si="74"/>
        <v>12867.603865110001</v>
      </c>
      <c r="AJ167" s="49">
        <f t="shared" ca="1" si="74"/>
        <v>18059.57909376</v>
      </c>
      <c r="AK167" s="49">
        <f t="shared" ca="1" si="74"/>
        <v>18291.973206760002</v>
      </c>
      <c r="AL167" s="49">
        <f t="shared" ca="1" si="74"/>
        <v>14364.17662738</v>
      </c>
      <c r="AM167" s="49">
        <f t="shared" ca="1" si="74"/>
        <v>13456.508305519999</v>
      </c>
      <c r="AN167" s="49">
        <f t="shared" ca="1" si="74"/>
        <v>14634.177562819999</v>
      </c>
      <c r="AO167" s="49">
        <f t="shared" ca="1" si="74"/>
        <v>10495.23070873</v>
      </c>
      <c r="AP167" s="49">
        <f t="shared" ca="1" si="74"/>
        <v>10942.473040389999</v>
      </c>
      <c r="AQ167" s="49">
        <f t="shared" ca="1" si="74"/>
        <v>16219.525156309999</v>
      </c>
      <c r="AR167" s="49">
        <f t="shared" ca="1" si="74"/>
        <v>10942.473040389999</v>
      </c>
      <c r="AS167" s="49">
        <f t="shared" ca="1" si="74"/>
        <v>11481.99371289</v>
      </c>
      <c r="AT167" s="49">
        <f t="shared" ca="1" si="74"/>
        <v>11104.83353812</v>
      </c>
      <c r="AU167" s="49">
        <f t="shared" ca="1" si="74"/>
        <v>15987.176242940001</v>
      </c>
      <c r="AV167" s="49">
        <f t="shared" ca="1" si="74"/>
        <v>15158.5620239</v>
      </c>
      <c r="AW167" s="49">
        <f t="shared" ca="1" si="74"/>
        <v>16397.356424760001</v>
      </c>
      <c r="AX167" s="49">
        <f t="shared" ca="1" si="74"/>
        <v>22572.087759149999</v>
      </c>
      <c r="AY167" s="49">
        <f t="shared" ca="1" si="74"/>
        <v>13468.475264590001</v>
      </c>
      <c r="AZ167" s="49">
        <f t="shared" ca="1" si="74"/>
        <v>10612.85546221</v>
      </c>
      <c r="BA167" s="49">
        <f t="shared" ca="1" si="74"/>
        <v>10377.606119509999</v>
      </c>
      <c r="BB167" s="49">
        <f t="shared" ca="1" si="74"/>
        <v>10454.539859279999</v>
      </c>
      <c r="BC167" s="49">
        <f t="shared" ca="1" si="74"/>
        <v>10625.74875508</v>
      </c>
      <c r="BD167" s="49">
        <f t="shared" ca="1" si="74"/>
        <v>10658.347160290001</v>
      </c>
      <c r="BE167" s="49">
        <f t="shared" ca="1" si="74"/>
        <v>11380.527282270001</v>
      </c>
      <c r="BF167" s="49">
        <f t="shared" ca="1" si="74"/>
        <v>10708.072152610001</v>
      </c>
      <c r="BG167" s="49">
        <f t="shared" ca="1" si="74"/>
        <v>11573.26131351</v>
      </c>
      <c r="BH167" s="49">
        <f t="shared" ca="1" si="74"/>
        <v>12351.371819</v>
      </c>
      <c r="BI167" s="49">
        <f t="shared" ca="1" si="74"/>
        <v>16097.179919280001</v>
      </c>
      <c r="BJ167" s="49">
        <f t="shared" ca="1" si="74"/>
        <v>10768.002784099999</v>
      </c>
      <c r="BK167" s="49">
        <f t="shared" ca="1" si="74"/>
        <v>10650.883784719999</v>
      </c>
      <c r="BL167" s="49">
        <f t="shared" ca="1" si="74"/>
        <v>22565.369211050001</v>
      </c>
      <c r="BM167" s="49">
        <f t="shared" ca="1" si="74"/>
        <v>13901.148564499999</v>
      </c>
      <c r="BN167" s="49">
        <f t="shared" ca="1" si="74"/>
        <v>10270.43818291</v>
      </c>
      <c r="BO167" s="49">
        <f t="shared" ca="1" si="74"/>
        <v>10778.9162891</v>
      </c>
      <c r="BP167" s="49">
        <f t="shared" ca="1" si="74"/>
        <v>18962.956738360001</v>
      </c>
      <c r="BQ167" s="49">
        <f t="shared" ca="1" si="74"/>
        <v>11386.381434860001</v>
      </c>
      <c r="BR167" s="49">
        <f t="shared" ca="1" si="74"/>
        <v>10585.9467159</v>
      </c>
      <c r="BS167" s="49">
        <f t="shared" ca="1" si="74"/>
        <v>11449.62029024</v>
      </c>
      <c r="BT167" s="49">
        <f t="shared" ca="1" si="74"/>
        <v>14353.71077806</v>
      </c>
      <c r="BU167" s="49">
        <f t="shared" ca="1" si="74"/>
        <v>14007.53289848</v>
      </c>
      <c r="BV167" s="49">
        <f t="shared" ca="1" si="74"/>
        <v>11202.0885667</v>
      </c>
      <c r="BW167" s="49">
        <f t="shared" ca="1" si="74"/>
        <v>11035.662144800001</v>
      </c>
      <c r="BX167" s="49">
        <f t="shared" ca="1" si="74"/>
        <v>23807.7059935</v>
      </c>
      <c r="BY167" s="49">
        <f t="shared" ca="1" si="74"/>
        <v>12686.40864539</v>
      </c>
      <c r="BZ167" s="49">
        <f t="shared" ca="1" si="74"/>
        <v>15819.56011814</v>
      </c>
      <c r="CA167" s="49">
        <f t="shared" ca="1" si="74"/>
        <v>20028.51729539</v>
      </c>
      <c r="CB167" s="49">
        <f t="shared" ca="1" si="74"/>
        <v>10845.27662183</v>
      </c>
      <c r="CC167" s="49">
        <f t="shared" ca="1" si="74"/>
        <v>17123.881216850001</v>
      </c>
      <c r="CD167" s="49">
        <f t="shared" ca="1" si="74"/>
        <v>21572.722102520001</v>
      </c>
      <c r="CE167" s="49">
        <f t="shared" ca="1" si="74"/>
        <v>18341.580141840001</v>
      </c>
      <c r="CF167" s="49">
        <f t="shared" ca="1" si="74"/>
        <v>19338.494874970002</v>
      </c>
      <c r="CG167" s="49">
        <f t="shared" ca="1" si="74"/>
        <v>16915.047340820001</v>
      </c>
      <c r="CH167" s="49">
        <f t="shared" ca="1" si="74"/>
        <v>20495.991559990001</v>
      </c>
      <c r="CI167" s="49">
        <f t="shared" ca="1" si="74"/>
        <v>11027.596785510001</v>
      </c>
      <c r="CJ167" s="49">
        <f t="shared" ca="1" si="74"/>
        <v>11612.7315368</v>
      </c>
      <c r="CK167" s="49">
        <f t="shared" ca="1" si="74"/>
        <v>10961.511256289999</v>
      </c>
      <c r="CL167" s="49">
        <f t="shared" ca="1" si="74"/>
        <v>11582.71589997</v>
      </c>
      <c r="CM167" s="49">
        <f t="shared" ca="1" si="74"/>
        <v>12295.44129243</v>
      </c>
      <c r="CN167" s="49">
        <f t="shared" ca="1" si="74"/>
        <v>10456.49094761</v>
      </c>
      <c r="CO167" s="49">
        <f t="shared" ca="1" si="74"/>
        <v>10441.159689329999</v>
      </c>
      <c r="CP167" s="49">
        <f t="shared" ca="1" si="74"/>
        <v>11779.038239150001</v>
      </c>
      <c r="CQ167" s="49">
        <f t="shared" ca="1" si="74"/>
        <v>11588.107996819999</v>
      </c>
      <c r="CR167" s="49">
        <f t="shared" ca="1" si="74"/>
        <v>16812.203358639999</v>
      </c>
      <c r="CS167" s="49">
        <f t="shared" ca="1" si="74"/>
        <v>14617.67253657</v>
      </c>
      <c r="CT167" s="49">
        <f t="shared" ca="1" si="74"/>
        <v>19847.62466026</v>
      </c>
      <c r="CU167" s="49">
        <f t="shared" ca="1" si="74"/>
        <v>10887.60118027</v>
      </c>
      <c r="CV167" s="49">
        <f t="shared" ca="1" si="74"/>
        <v>21073.45032751</v>
      </c>
      <c r="CW167" s="49">
        <f t="shared" ca="1" si="74"/>
        <v>17459.91918257</v>
      </c>
      <c r="CX167" s="49">
        <f t="shared" ca="1" si="74"/>
        <v>12056.85861487</v>
      </c>
      <c r="CY167" s="49">
        <f t="shared" ca="1" si="74"/>
        <v>22255.060195040001</v>
      </c>
      <c r="CZ167" s="49">
        <f t="shared" ca="1" si="74"/>
        <v>10682.846703220001</v>
      </c>
      <c r="DA167" s="49">
        <f t="shared" ca="1" si="74"/>
        <v>17365.10770181</v>
      </c>
      <c r="DB167" s="49">
        <f t="shared" ca="1" si="74"/>
        <v>14449.038702989999</v>
      </c>
      <c r="DC167" s="49">
        <f t="shared" ca="1" si="74"/>
        <v>17884.736210269999</v>
      </c>
      <c r="DD167" s="49">
        <f t="shared" ca="1" si="74"/>
        <v>18484.437191249999</v>
      </c>
      <c r="DE167" s="49">
        <f t="shared" ca="1" si="74"/>
        <v>14880.45045436</v>
      </c>
      <c r="DF167" s="49">
        <f t="shared" ca="1" si="74"/>
        <v>10121.78800986</v>
      </c>
      <c r="DG167" s="49">
        <f t="shared" ca="1" si="74"/>
        <v>21782.55764331</v>
      </c>
      <c r="DH167" s="49">
        <f t="shared" ca="1" si="74"/>
        <v>10481.946712319999</v>
      </c>
      <c r="DI167" s="49">
        <f t="shared" ca="1" si="74"/>
        <v>10319.83318774</v>
      </c>
      <c r="DJ167" s="49">
        <f t="shared" ca="1" si="74"/>
        <v>11860.095092789999</v>
      </c>
      <c r="DK167" s="49">
        <f t="shared" ca="1" si="74"/>
        <v>12040.29964279</v>
      </c>
      <c r="DL167" s="49">
        <f t="shared" ca="1" si="74"/>
        <v>10737.990928630001</v>
      </c>
      <c r="DM167" s="49">
        <f t="shared" ca="1" si="74"/>
        <v>17207.67481027</v>
      </c>
      <c r="DN167" s="49">
        <f t="shared" ca="1" si="74"/>
        <v>11169.56877761</v>
      </c>
      <c r="DO167" s="49">
        <f t="shared" ca="1" si="74"/>
        <v>10574.28813685</v>
      </c>
      <c r="DP167" s="49">
        <f t="shared" ca="1" si="74"/>
        <v>18186.07966639</v>
      </c>
      <c r="DQ167" s="49">
        <f t="shared" ca="1" si="74"/>
        <v>11437.97369266</v>
      </c>
      <c r="DR167" s="49">
        <f t="shared" ca="1" si="74"/>
        <v>10800.31880784</v>
      </c>
      <c r="DS167" s="49">
        <f t="shared" ca="1" si="74"/>
        <v>11681.25381111</v>
      </c>
      <c r="DT167" s="49">
        <f t="shared" ca="1" si="74"/>
        <v>18480.089066150002</v>
      </c>
      <c r="DU167" s="49">
        <f t="shared" ca="1" si="74"/>
        <v>13596.51032644</v>
      </c>
      <c r="DV167" s="49">
        <f t="shared" ca="1" si="74"/>
        <v>17204.291485400001</v>
      </c>
      <c r="DW167" s="49">
        <f t="shared" ca="1" si="74"/>
        <v>14500.40260652</v>
      </c>
      <c r="DX167" s="49">
        <f t="shared" ca="1" si="74"/>
        <v>21223.512856869998</v>
      </c>
      <c r="DY167" s="49">
        <f t="shared" ca="1" si="74"/>
        <v>16206.32911432</v>
      </c>
      <c r="DZ167" s="49">
        <f t="shared" ca="1" si="74"/>
        <v>12427.067367539999</v>
      </c>
      <c r="EA167" s="49">
        <f t="shared" ca="1" si="74"/>
        <v>12529.25582581</v>
      </c>
      <c r="EB167" s="49">
        <f t="shared" ca="1" si="74"/>
        <v>11668.044721849999</v>
      </c>
      <c r="EC167" s="49">
        <f t="shared" ca="1" si="74"/>
        <v>14114.213119419999</v>
      </c>
      <c r="ED167" s="49">
        <f t="shared" ca="1" si="74"/>
        <v>14818.65013047</v>
      </c>
      <c r="EE167" s="49">
        <f t="shared" ca="1" si="74"/>
        <v>17163.226516030001</v>
      </c>
      <c r="EF167" s="49">
        <f t="shared" ca="1" si="74"/>
        <v>10682.311948570001</v>
      </c>
      <c r="EG167" s="49">
        <f t="shared" ca="1" si="74"/>
        <v>14665.13155769</v>
      </c>
      <c r="EH167" s="49">
        <f t="shared" ca="1" si="74"/>
        <v>15221.74832144</v>
      </c>
      <c r="EI167" s="49">
        <f t="shared" ca="1" si="74"/>
        <v>10368.59352343</v>
      </c>
      <c r="EJ167" s="49">
        <f t="shared" ca="1" si="74"/>
        <v>10268.051614890001</v>
      </c>
      <c r="EK167" s="49">
        <f t="shared" ca="1" si="74"/>
        <v>11495.19640968</v>
      </c>
      <c r="EL167" s="49">
        <f t="shared" ca="1" si="74"/>
        <v>11696.46315473</v>
      </c>
      <c r="EM167" s="49">
        <f t="shared" ca="1" si="74"/>
        <v>13140.42408106</v>
      </c>
      <c r="EN167" s="49">
        <f t="shared" ca="1" si="74"/>
        <v>10926.66002257</v>
      </c>
      <c r="EO167" s="49">
        <f t="shared" ca="1" si="74"/>
        <v>14204.02039064</v>
      </c>
      <c r="EP167" s="49">
        <f t="shared" ca="1" si="74"/>
        <v>13508.124605360001</v>
      </c>
      <c r="EQ167" s="49">
        <f t="shared" ca="1" si="74"/>
        <v>11261.09261858</v>
      </c>
      <c r="ER167" s="49">
        <f t="shared" ca="1" si="74"/>
        <v>15563.648275240001</v>
      </c>
      <c r="ES167" s="49">
        <f t="shared" ca="1" si="74"/>
        <v>18262.504002009999</v>
      </c>
      <c r="ET167" s="49">
        <f t="shared" ca="1" si="74"/>
        <v>19680.421551020001</v>
      </c>
      <c r="EU167" s="49">
        <f t="shared" ca="1" si="74"/>
        <v>11360.99933194</v>
      </c>
      <c r="EV167" s="49">
        <f t="shared" ca="1" si="74"/>
        <v>22979.783798799999</v>
      </c>
      <c r="EW167" s="49">
        <f t="shared" ca="1" si="74"/>
        <v>15163.95450084</v>
      </c>
      <c r="EX167" s="49">
        <f t="shared" ca="1" si="74"/>
        <v>19929.69347079</v>
      </c>
      <c r="EY167" s="49">
        <f t="shared" ca="1" si="74"/>
        <v>11423.637462950001</v>
      </c>
      <c r="EZ167" s="49">
        <f t="shared" ca="1" si="74"/>
        <v>19756.026827379999</v>
      </c>
      <c r="FA167" s="49">
        <f t="shared" ca="1" si="74"/>
        <v>11539.855551520001</v>
      </c>
      <c r="FB167" s="49">
        <f t="shared" ca="1" si="74"/>
        <v>14834.93582784</v>
      </c>
      <c r="FC167" s="49">
        <f t="shared" ca="1" si="74"/>
        <v>10946.40843189</v>
      </c>
      <c r="FD167" s="49">
        <f t="shared" ca="1" si="74"/>
        <v>12978.293809479999</v>
      </c>
      <c r="FE167" s="49">
        <f t="shared" ca="1" si="74"/>
        <v>21722.525203550002</v>
      </c>
      <c r="FF167" s="49">
        <f t="shared" ca="1" si="74"/>
        <v>18186.434948229999</v>
      </c>
      <c r="FG167" s="49">
        <f t="shared" ca="1" si="74"/>
        <v>20651.308264539999</v>
      </c>
      <c r="FH167" s="49">
        <f t="shared" ca="1" si="74"/>
        <v>21913.984779629998</v>
      </c>
      <c r="FI167" s="49">
        <f t="shared" ca="1" si="74"/>
        <v>10859.185803079999</v>
      </c>
      <c r="FJ167" s="49">
        <f t="shared" ca="1" si="74"/>
        <v>10620.66814123</v>
      </c>
      <c r="FK167" s="49">
        <f t="shared" ca="1" si="74"/>
        <v>10602.273550690001</v>
      </c>
      <c r="FL167" s="49">
        <f t="shared" ca="1" si="74"/>
        <v>10337.16578643</v>
      </c>
      <c r="FM167" s="49">
        <f t="shared" ca="1" si="74"/>
        <v>10378.68120434</v>
      </c>
      <c r="FN167" s="49">
        <f t="shared" ca="1" si="74"/>
        <v>10437.463361440001</v>
      </c>
      <c r="FO167" s="49">
        <f t="shared" ca="1" si="74"/>
        <v>11156.86310002</v>
      </c>
      <c r="FP167" s="49">
        <f t="shared" ca="1" si="74"/>
        <v>10776.042997050001</v>
      </c>
      <c r="FQ167" s="49">
        <f t="shared" ca="1" si="74"/>
        <v>11203.805790500001</v>
      </c>
      <c r="FR167" s="49">
        <f t="shared" ca="1" si="74"/>
        <v>19002.083399480001</v>
      </c>
      <c r="FS167" s="49">
        <f t="shared" ca="1" si="74"/>
        <v>18939.573778990001</v>
      </c>
      <c r="FT167" s="49">
        <f t="shared" ca="1" si="74"/>
        <v>23017.98138664</v>
      </c>
      <c r="FU167" s="49">
        <f t="shared" ca="1" si="74"/>
        <v>11827.04351765</v>
      </c>
      <c r="FV167" s="49">
        <f t="shared" ca="1" si="74"/>
        <v>11610.821122789999</v>
      </c>
      <c r="FW167" s="49">
        <f t="shared" ca="1" si="74"/>
        <v>19651.225421070001</v>
      </c>
      <c r="FX167" s="49">
        <f t="shared" ca="1" si="74"/>
        <v>23541.407660289999</v>
      </c>
      <c r="FY167" s="7"/>
      <c r="FZ167" s="49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</row>
    <row r="168" spans="1:193" ht="15.5" x14ac:dyDescent="0.35">
      <c r="A168" s="12" t="s">
        <v>605</v>
      </c>
      <c r="B168" s="7" t="s">
        <v>902</v>
      </c>
      <c r="C168" s="49">
        <f t="shared" ref="C168:FX168" ca="1" si="75">C167*0.08</f>
        <v>859.08874959477021</v>
      </c>
      <c r="D168" s="49">
        <f t="shared" ca="1" si="75"/>
        <v>862.43832075679995</v>
      </c>
      <c r="E168" s="49">
        <f t="shared" ca="1" si="75"/>
        <v>851.50828814240003</v>
      </c>
      <c r="F168" s="49">
        <f t="shared" ca="1" si="75"/>
        <v>855.18528414560001</v>
      </c>
      <c r="G168" s="49">
        <f t="shared" ca="1" si="75"/>
        <v>889.10259621520004</v>
      </c>
      <c r="H168" s="49">
        <f t="shared" ca="1" si="75"/>
        <v>913.76803272320001</v>
      </c>
      <c r="I168" s="49">
        <f t="shared" ca="1" si="75"/>
        <v>852.91185454560014</v>
      </c>
      <c r="J168" s="49">
        <f t="shared" ca="1" si="75"/>
        <v>825.18056988159992</v>
      </c>
      <c r="K168" s="49">
        <f t="shared" ca="1" si="75"/>
        <v>1240.9618495664001</v>
      </c>
      <c r="L168" s="49">
        <f t="shared" ca="1" si="75"/>
        <v>892.751072636</v>
      </c>
      <c r="M168" s="49">
        <f t="shared" ca="1" si="75"/>
        <v>952.89350906720006</v>
      </c>
      <c r="N168" s="49">
        <f t="shared" ca="1" si="75"/>
        <v>888.35736570559993</v>
      </c>
      <c r="O168" s="49">
        <f t="shared" ca="1" si="75"/>
        <v>866.31586716079994</v>
      </c>
      <c r="P168" s="49">
        <f t="shared" ca="1" si="75"/>
        <v>1210.2948547912001</v>
      </c>
      <c r="Q168" s="49">
        <f t="shared" ca="1" si="75"/>
        <v>874.74986710719998</v>
      </c>
      <c r="R168" s="49">
        <f t="shared" ca="1" si="75"/>
        <v>852.77266497840003</v>
      </c>
      <c r="S168" s="49">
        <f t="shared" ca="1" si="75"/>
        <v>878.04481961040005</v>
      </c>
      <c r="T168" s="49">
        <f t="shared" ca="1" si="75"/>
        <v>1468.4702817375999</v>
      </c>
      <c r="U168" s="49">
        <f t="shared" ca="1" si="75"/>
        <v>1750.5526811176001</v>
      </c>
      <c r="V168" s="49">
        <f t="shared" ca="1" si="75"/>
        <v>1201.9680549304001</v>
      </c>
      <c r="W168" s="49">
        <f t="shared" ca="1" si="75"/>
        <v>1738.9319972752</v>
      </c>
      <c r="X168" s="49">
        <f t="shared" ca="1" si="75"/>
        <v>1764.4281188024001</v>
      </c>
      <c r="Y168" s="49">
        <f t="shared" ca="1" si="75"/>
        <v>847.27573211359993</v>
      </c>
      <c r="Z168" s="49">
        <f t="shared" ca="1" si="75"/>
        <v>1244.4367656423999</v>
      </c>
      <c r="AA168" s="49">
        <f t="shared" ca="1" si="75"/>
        <v>868.27010587040002</v>
      </c>
      <c r="AB168" s="49">
        <f t="shared" ca="1" si="75"/>
        <v>887.2350424192</v>
      </c>
      <c r="AC168" s="49">
        <f t="shared" ca="1" si="75"/>
        <v>915.52039372479999</v>
      </c>
      <c r="AD168" s="49">
        <f t="shared" ca="1" si="75"/>
        <v>866.99290436640001</v>
      </c>
      <c r="AE168" s="49">
        <f t="shared" ca="1" si="75"/>
        <v>1625.8988723424002</v>
      </c>
      <c r="AF168" s="49">
        <f t="shared" ca="1" si="75"/>
        <v>1491.173403088</v>
      </c>
      <c r="AG168" s="49">
        <f t="shared" ca="1" si="75"/>
        <v>991.45956781279995</v>
      </c>
      <c r="AH168" s="49">
        <f t="shared" ca="1" si="75"/>
        <v>863.46262872160003</v>
      </c>
      <c r="AI168" s="49">
        <f t="shared" ca="1" si="75"/>
        <v>1029.4083092088001</v>
      </c>
      <c r="AJ168" s="49">
        <f t="shared" ca="1" si="75"/>
        <v>1444.7663275007999</v>
      </c>
      <c r="AK168" s="49">
        <f t="shared" ca="1" si="75"/>
        <v>1463.3578565408002</v>
      </c>
      <c r="AL168" s="49">
        <f t="shared" ca="1" si="75"/>
        <v>1149.1341301904001</v>
      </c>
      <c r="AM168" s="49">
        <f t="shared" ca="1" si="75"/>
        <v>1076.5206644416</v>
      </c>
      <c r="AN168" s="49">
        <f t="shared" ca="1" si="75"/>
        <v>1170.7342050256</v>
      </c>
      <c r="AO168" s="49">
        <f t="shared" ca="1" si="75"/>
        <v>839.6184566984</v>
      </c>
      <c r="AP168" s="49">
        <f t="shared" ca="1" si="75"/>
        <v>875.3978432312</v>
      </c>
      <c r="AQ168" s="49">
        <f t="shared" ca="1" si="75"/>
        <v>1297.5620125047999</v>
      </c>
      <c r="AR168" s="49">
        <f t="shared" ca="1" si="75"/>
        <v>875.3978432312</v>
      </c>
      <c r="AS168" s="49">
        <f t="shared" ca="1" si="75"/>
        <v>918.55949703120007</v>
      </c>
      <c r="AT168" s="49">
        <f t="shared" ca="1" si="75"/>
        <v>888.38668304959992</v>
      </c>
      <c r="AU168" s="49">
        <f t="shared" ca="1" si="75"/>
        <v>1278.9740994352001</v>
      </c>
      <c r="AV168" s="49">
        <f t="shared" ca="1" si="75"/>
        <v>1212.6849619120001</v>
      </c>
      <c r="AW168" s="49">
        <f t="shared" ca="1" si="75"/>
        <v>1311.7885139808002</v>
      </c>
      <c r="AX168" s="49">
        <f t="shared" ca="1" si="75"/>
        <v>1805.767020732</v>
      </c>
      <c r="AY168" s="49">
        <f t="shared" ca="1" si="75"/>
        <v>1077.4780211672</v>
      </c>
      <c r="AZ168" s="49">
        <f t="shared" ca="1" si="75"/>
        <v>849.02843697679998</v>
      </c>
      <c r="BA168" s="49">
        <f t="shared" ca="1" si="75"/>
        <v>830.20848956079999</v>
      </c>
      <c r="BB168" s="49">
        <f t="shared" ca="1" si="75"/>
        <v>836.36318874239998</v>
      </c>
      <c r="BC168" s="49">
        <f t="shared" ca="1" si="75"/>
        <v>850.05990040639995</v>
      </c>
      <c r="BD168" s="49">
        <f t="shared" ca="1" si="75"/>
        <v>852.66777282320004</v>
      </c>
      <c r="BE168" s="49">
        <f t="shared" ca="1" si="75"/>
        <v>910.44218258160004</v>
      </c>
      <c r="BF168" s="49">
        <f t="shared" ca="1" si="75"/>
        <v>856.64577220880005</v>
      </c>
      <c r="BG168" s="49">
        <f t="shared" ca="1" si="75"/>
        <v>925.86090508079997</v>
      </c>
      <c r="BH168" s="49">
        <f t="shared" ca="1" si="75"/>
        <v>988.10974552000005</v>
      </c>
      <c r="BI168" s="49">
        <f t="shared" ca="1" si="75"/>
        <v>1287.7743935424</v>
      </c>
      <c r="BJ168" s="49">
        <f t="shared" ca="1" si="75"/>
        <v>861.44022272799998</v>
      </c>
      <c r="BK168" s="49">
        <f t="shared" ca="1" si="75"/>
        <v>852.07070277759999</v>
      </c>
      <c r="BL168" s="49">
        <f t="shared" ca="1" si="75"/>
        <v>1805.2295368840003</v>
      </c>
      <c r="BM168" s="49">
        <f t="shared" ca="1" si="75"/>
        <v>1112.0918851599999</v>
      </c>
      <c r="BN168" s="49">
        <f t="shared" ca="1" si="75"/>
        <v>821.63505463280001</v>
      </c>
      <c r="BO168" s="49">
        <f t="shared" ca="1" si="75"/>
        <v>862.31330312800003</v>
      </c>
      <c r="BP168" s="49">
        <f t="shared" ca="1" si="75"/>
        <v>1517.0365390688</v>
      </c>
      <c r="BQ168" s="49">
        <f t="shared" ca="1" si="75"/>
        <v>910.91051478880013</v>
      </c>
      <c r="BR168" s="49">
        <f t="shared" ca="1" si="75"/>
        <v>846.87573727200004</v>
      </c>
      <c r="BS168" s="49">
        <f t="shared" ca="1" si="75"/>
        <v>915.9696232192</v>
      </c>
      <c r="BT168" s="49">
        <f t="shared" ca="1" si="75"/>
        <v>1148.2968622448</v>
      </c>
      <c r="BU168" s="49">
        <f t="shared" ca="1" si="75"/>
        <v>1120.6026318784</v>
      </c>
      <c r="BV168" s="49">
        <f t="shared" ca="1" si="75"/>
        <v>896.16708533600001</v>
      </c>
      <c r="BW168" s="49">
        <f t="shared" ca="1" si="75"/>
        <v>882.8529715840001</v>
      </c>
      <c r="BX168" s="49">
        <f t="shared" ca="1" si="75"/>
        <v>1904.61647948</v>
      </c>
      <c r="BY168" s="49">
        <f t="shared" ca="1" si="75"/>
        <v>1014.9126916312</v>
      </c>
      <c r="BZ168" s="49">
        <f t="shared" ca="1" si="75"/>
        <v>1265.5648094512001</v>
      </c>
      <c r="CA168" s="49">
        <f t="shared" ca="1" si="75"/>
        <v>1602.2813836312</v>
      </c>
      <c r="CB168" s="49">
        <f t="shared" ca="1" si="75"/>
        <v>867.62212974639999</v>
      </c>
      <c r="CC168" s="49">
        <f t="shared" ca="1" si="75"/>
        <v>1369.910497348</v>
      </c>
      <c r="CD168" s="49">
        <f t="shared" ca="1" si="75"/>
        <v>1725.8177682016001</v>
      </c>
      <c r="CE168" s="49">
        <f t="shared" ca="1" si="75"/>
        <v>1467.3264113472001</v>
      </c>
      <c r="CF168" s="49">
        <f t="shared" ca="1" si="75"/>
        <v>1547.0795899976001</v>
      </c>
      <c r="CG168" s="49">
        <f t="shared" ca="1" si="75"/>
        <v>1353.2037872656001</v>
      </c>
      <c r="CH168" s="49">
        <f t="shared" ca="1" si="75"/>
        <v>1639.6793247992002</v>
      </c>
      <c r="CI168" s="49">
        <f t="shared" ca="1" si="75"/>
        <v>882.20774284080005</v>
      </c>
      <c r="CJ168" s="49">
        <f t="shared" ca="1" si="75"/>
        <v>929.01852294399998</v>
      </c>
      <c r="CK168" s="49">
        <f t="shared" ca="1" si="75"/>
        <v>876.92090050319996</v>
      </c>
      <c r="CL168" s="49">
        <f t="shared" ca="1" si="75"/>
        <v>926.61727199760003</v>
      </c>
      <c r="CM168" s="49">
        <f t="shared" ca="1" si="75"/>
        <v>983.63530339440001</v>
      </c>
      <c r="CN168" s="49">
        <f t="shared" ca="1" si="75"/>
        <v>836.51927580879999</v>
      </c>
      <c r="CO168" s="49">
        <f t="shared" ca="1" si="75"/>
        <v>835.2927751464</v>
      </c>
      <c r="CP168" s="49">
        <f t="shared" ca="1" si="75"/>
        <v>942.32305913200003</v>
      </c>
      <c r="CQ168" s="49">
        <f t="shared" ca="1" si="75"/>
        <v>927.04863974559998</v>
      </c>
      <c r="CR168" s="49">
        <f t="shared" ca="1" si="75"/>
        <v>1344.9762686911999</v>
      </c>
      <c r="CS168" s="49">
        <f t="shared" ca="1" si="75"/>
        <v>1169.4138029256001</v>
      </c>
      <c r="CT168" s="49">
        <f t="shared" ca="1" si="75"/>
        <v>1587.8099728208001</v>
      </c>
      <c r="CU168" s="49">
        <f t="shared" ca="1" si="75"/>
        <v>871.00809442159994</v>
      </c>
      <c r="CV168" s="49">
        <f t="shared" ca="1" si="75"/>
        <v>1685.8760262008</v>
      </c>
      <c r="CW168" s="49">
        <f t="shared" ca="1" si="75"/>
        <v>1396.7935346055999</v>
      </c>
      <c r="CX168" s="49">
        <f t="shared" ca="1" si="75"/>
        <v>964.54868918959994</v>
      </c>
      <c r="CY168" s="49">
        <f t="shared" ca="1" si="75"/>
        <v>1780.4048156032002</v>
      </c>
      <c r="CZ168" s="49">
        <f t="shared" ca="1" si="75"/>
        <v>854.62773625760008</v>
      </c>
      <c r="DA168" s="49">
        <f t="shared" ca="1" si="75"/>
        <v>1389.2086161448001</v>
      </c>
      <c r="DB168" s="49">
        <f t="shared" ca="1" si="75"/>
        <v>1155.9230962392</v>
      </c>
      <c r="DC168" s="49">
        <f t="shared" ca="1" si="75"/>
        <v>1430.7788968216</v>
      </c>
      <c r="DD168" s="49">
        <f t="shared" ca="1" si="75"/>
        <v>1478.7549753000001</v>
      </c>
      <c r="DE168" s="49">
        <f t="shared" ca="1" si="75"/>
        <v>1190.4360363487999</v>
      </c>
      <c r="DF168" s="49">
        <f t="shared" ca="1" si="75"/>
        <v>809.74304078880004</v>
      </c>
      <c r="DG168" s="49">
        <f t="shared" ca="1" si="75"/>
        <v>1742.6046114648</v>
      </c>
      <c r="DH168" s="49">
        <f t="shared" ca="1" si="75"/>
        <v>838.55573698559999</v>
      </c>
      <c r="DI168" s="49">
        <f t="shared" ca="1" si="75"/>
        <v>825.58665501919995</v>
      </c>
      <c r="DJ168" s="49">
        <f t="shared" ca="1" si="75"/>
        <v>948.80760742320001</v>
      </c>
      <c r="DK168" s="49">
        <f t="shared" ca="1" si="75"/>
        <v>963.22397142320006</v>
      </c>
      <c r="DL168" s="49">
        <f t="shared" ca="1" si="75"/>
        <v>859.03927429040004</v>
      </c>
      <c r="DM168" s="49">
        <f t="shared" ca="1" si="75"/>
        <v>1376.6139848216001</v>
      </c>
      <c r="DN168" s="49">
        <f t="shared" ca="1" si="75"/>
        <v>893.56550220880001</v>
      </c>
      <c r="DO168" s="49">
        <f t="shared" ca="1" si="75"/>
        <v>845.94305094800006</v>
      </c>
      <c r="DP168" s="49">
        <f t="shared" ca="1" si="75"/>
        <v>1454.8863733112</v>
      </c>
      <c r="DQ168" s="49">
        <f t="shared" ca="1" si="75"/>
        <v>915.03789541280003</v>
      </c>
      <c r="DR168" s="49">
        <f t="shared" ca="1" si="75"/>
        <v>864.02550462720001</v>
      </c>
      <c r="DS168" s="49">
        <f t="shared" ca="1" si="75"/>
        <v>934.50030488880009</v>
      </c>
      <c r="DT168" s="49">
        <f t="shared" ca="1" si="75"/>
        <v>1478.407125292</v>
      </c>
      <c r="DU168" s="49">
        <f t="shared" ca="1" si="75"/>
        <v>1087.7208261152</v>
      </c>
      <c r="DV168" s="49">
        <f t="shared" ca="1" si="75"/>
        <v>1376.343318832</v>
      </c>
      <c r="DW168" s="49">
        <f t="shared" ca="1" si="75"/>
        <v>1160.0322085216001</v>
      </c>
      <c r="DX168" s="49">
        <f t="shared" ca="1" si="75"/>
        <v>1697.8810285495999</v>
      </c>
      <c r="DY168" s="49">
        <f t="shared" ca="1" si="75"/>
        <v>1296.5063291456001</v>
      </c>
      <c r="DZ168" s="49">
        <f t="shared" ca="1" si="75"/>
        <v>994.16538940319992</v>
      </c>
      <c r="EA168" s="49">
        <f t="shared" ca="1" si="75"/>
        <v>1002.3404660648</v>
      </c>
      <c r="EB168" s="49">
        <f t="shared" ca="1" si="75"/>
        <v>933.44357774799994</v>
      </c>
      <c r="EC168" s="49">
        <f t="shared" ca="1" si="75"/>
        <v>1129.1370495536</v>
      </c>
      <c r="ED168" s="49">
        <f t="shared" ca="1" si="75"/>
        <v>1185.4920104375999</v>
      </c>
      <c r="EE168" s="49">
        <f t="shared" ca="1" si="75"/>
        <v>1373.0581212824002</v>
      </c>
      <c r="EF168" s="49">
        <f t="shared" ca="1" si="75"/>
        <v>854.58495588560004</v>
      </c>
      <c r="EG168" s="49">
        <f t="shared" ca="1" si="75"/>
        <v>1173.2105246152</v>
      </c>
      <c r="EH168" s="49">
        <f t="shared" ca="1" si="75"/>
        <v>1217.7398657152</v>
      </c>
      <c r="EI168" s="49">
        <f t="shared" ca="1" si="75"/>
        <v>829.48748187440003</v>
      </c>
      <c r="EJ168" s="49">
        <f t="shared" ca="1" si="75"/>
        <v>821.44412919120009</v>
      </c>
      <c r="EK168" s="49">
        <f t="shared" ca="1" si="75"/>
        <v>919.61571277439998</v>
      </c>
      <c r="EL168" s="49">
        <f t="shared" ca="1" si="75"/>
        <v>935.71705237840001</v>
      </c>
      <c r="EM168" s="49">
        <f t="shared" ca="1" si="75"/>
        <v>1051.2339264848001</v>
      </c>
      <c r="EN168" s="49">
        <f t="shared" ca="1" si="75"/>
        <v>874.13280180560002</v>
      </c>
      <c r="EO168" s="49">
        <f t="shared" ca="1" si="75"/>
        <v>1136.3216312512</v>
      </c>
      <c r="EP168" s="49">
        <f t="shared" ca="1" si="75"/>
        <v>1080.6499684288001</v>
      </c>
      <c r="EQ168" s="49">
        <f t="shared" ca="1" si="75"/>
        <v>900.88740948639997</v>
      </c>
      <c r="ER168" s="49">
        <f t="shared" ca="1" si="75"/>
        <v>1245.0918620192001</v>
      </c>
      <c r="ES168" s="49">
        <f t="shared" ca="1" si="75"/>
        <v>1461.0003201607999</v>
      </c>
      <c r="ET168" s="49">
        <f t="shared" ca="1" si="75"/>
        <v>1574.4337240816001</v>
      </c>
      <c r="EU168" s="49">
        <f t="shared" ca="1" si="75"/>
        <v>908.87994655520004</v>
      </c>
      <c r="EV168" s="49">
        <f t="shared" ca="1" si="75"/>
        <v>1838.382703904</v>
      </c>
      <c r="EW168" s="49">
        <f t="shared" ca="1" si="75"/>
        <v>1213.1163600672</v>
      </c>
      <c r="EX168" s="49">
        <f t="shared" ca="1" si="75"/>
        <v>1594.3754776631999</v>
      </c>
      <c r="EY168" s="49">
        <f t="shared" ca="1" si="75"/>
        <v>913.89099703600004</v>
      </c>
      <c r="EZ168" s="49">
        <f t="shared" ca="1" si="75"/>
        <v>1580.4821461904</v>
      </c>
      <c r="FA168" s="49">
        <f t="shared" ca="1" si="75"/>
        <v>923.18844412160001</v>
      </c>
      <c r="FB168" s="49">
        <f t="shared" ca="1" si="75"/>
        <v>1186.7948662271999</v>
      </c>
      <c r="FC168" s="49">
        <f t="shared" ca="1" si="75"/>
        <v>875.71267455120005</v>
      </c>
      <c r="FD168" s="49">
        <f t="shared" ca="1" si="75"/>
        <v>1038.2635047583999</v>
      </c>
      <c r="FE168" s="49">
        <f t="shared" ca="1" si="75"/>
        <v>1737.8020162840003</v>
      </c>
      <c r="FF168" s="49">
        <f t="shared" ca="1" si="75"/>
        <v>1454.9147958583999</v>
      </c>
      <c r="FG168" s="49">
        <f t="shared" ca="1" si="75"/>
        <v>1652.1046611632</v>
      </c>
      <c r="FH168" s="49">
        <f t="shared" ca="1" si="75"/>
        <v>1753.1187823703999</v>
      </c>
      <c r="FI168" s="49">
        <f t="shared" ca="1" si="75"/>
        <v>868.73486424639998</v>
      </c>
      <c r="FJ168" s="49">
        <f t="shared" ca="1" si="75"/>
        <v>849.6534512984</v>
      </c>
      <c r="FK168" s="49">
        <f t="shared" ca="1" si="75"/>
        <v>848.18188405520004</v>
      </c>
      <c r="FL168" s="49">
        <f t="shared" ca="1" si="75"/>
        <v>826.97326291440004</v>
      </c>
      <c r="FM168" s="49">
        <f t="shared" ca="1" si="75"/>
        <v>830.29449634720004</v>
      </c>
      <c r="FN168" s="49">
        <f t="shared" ca="1" si="75"/>
        <v>834.99706891520009</v>
      </c>
      <c r="FO168" s="49">
        <f t="shared" ca="1" si="75"/>
        <v>892.5490480016</v>
      </c>
      <c r="FP168" s="49">
        <f t="shared" ca="1" si="75"/>
        <v>862.0834397640001</v>
      </c>
      <c r="FQ168" s="49">
        <f t="shared" ca="1" si="75"/>
        <v>896.30446324000002</v>
      </c>
      <c r="FR168" s="49">
        <f t="shared" ca="1" si="75"/>
        <v>1520.1666719584002</v>
      </c>
      <c r="FS168" s="49">
        <f t="shared" ca="1" si="75"/>
        <v>1515.1659023192001</v>
      </c>
      <c r="FT168" s="49">
        <f t="shared" ca="1" si="75"/>
        <v>1841.4385109312</v>
      </c>
      <c r="FU168" s="49">
        <f t="shared" ca="1" si="75"/>
        <v>946.16348141200001</v>
      </c>
      <c r="FV168" s="49">
        <f t="shared" ca="1" si="75"/>
        <v>928.8656898232</v>
      </c>
      <c r="FW168" s="49">
        <f t="shared" ca="1" si="75"/>
        <v>1572.0980336856001</v>
      </c>
      <c r="FX168" s="49">
        <f t="shared" ca="1" si="75"/>
        <v>1883.3126128232</v>
      </c>
      <c r="FY168" s="7"/>
      <c r="FZ168" s="49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</row>
    <row r="169" spans="1:193" ht="15.5" x14ac:dyDescent="0.35">
      <c r="A169" s="12" t="s">
        <v>7</v>
      </c>
      <c r="B169" s="7" t="s">
        <v>903</v>
      </c>
      <c r="C169" s="49">
        <f t="shared" ref="C169:FX169" ca="1" si="76">ROUND(C166*C168,2)</f>
        <v>1167501.6100000001</v>
      </c>
      <c r="D169" s="49">
        <f t="shared" ca="1" si="76"/>
        <v>3850787.1</v>
      </c>
      <c r="E169" s="49">
        <f t="shared" ca="1" si="76"/>
        <v>1298550.1399999999</v>
      </c>
      <c r="F169" s="49">
        <f t="shared" ca="1" si="76"/>
        <v>2144804.69</v>
      </c>
      <c r="G169" s="49">
        <f t="shared" ca="1" si="76"/>
        <v>184044.24</v>
      </c>
      <c r="H169" s="49">
        <f t="shared" ca="1" si="76"/>
        <v>63049.99</v>
      </c>
      <c r="I169" s="49">
        <f t="shared" ca="1" si="76"/>
        <v>1565093.25</v>
      </c>
      <c r="J169" s="49">
        <f t="shared" ca="1" si="76"/>
        <v>152658.41</v>
      </c>
      <c r="K169" s="49">
        <f t="shared" ca="1" si="76"/>
        <v>3722.89</v>
      </c>
      <c r="L169" s="49">
        <f t="shared" ca="1" si="76"/>
        <v>164266.20000000001</v>
      </c>
      <c r="M169" s="49">
        <f t="shared" ca="1" si="76"/>
        <v>178191.09</v>
      </c>
      <c r="N169" s="49">
        <f t="shared" ca="1" si="76"/>
        <v>4843324.3600000003</v>
      </c>
      <c r="O169" s="49">
        <f t="shared" ca="1" si="76"/>
        <v>347392.66</v>
      </c>
      <c r="P169" s="49">
        <f t="shared" ca="1" si="76"/>
        <v>37519.14</v>
      </c>
      <c r="Q169" s="49">
        <f t="shared" ca="1" si="76"/>
        <v>10423519.42</v>
      </c>
      <c r="R169" s="49">
        <f t="shared" ca="1" si="76"/>
        <v>92099.45</v>
      </c>
      <c r="S169" s="49">
        <f t="shared" ca="1" si="76"/>
        <v>43902.239999999998</v>
      </c>
      <c r="T169" s="49">
        <f t="shared" ca="1" si="76"/>
        <v>0</v>
      </c>
      <c r="U169" s="49">
        <f t="shared" ca="1" si="76"/>
        <v>0</v>
      </c>
      <c r="V169" s="49">
        <f t="shared" ca="1" si="76"/>
        <v>0</v>
      </c>
      <c r="W169" s="49">
        <f t="shared" ca="1" si="76"/>
        <v>0</v>
      </c>
      <c r="X169" s="49">
        <f t="shared" ca="1" si="76"/>
        <v>0</v>
      </c>
      <c r="Y169" s="49">
        <f t="shared" ca="1" si="76"/>
        <v>3389.1</v>
      </c>
      <c r="Z169" s="49">
        <f t="shared" ca="1" si="76"/>
        <v>4977.75</v>
      </c>
      <c r="AA169" s="49">
        <f t="shared" ca="1" si="76"/>
        <v>1772139.29</v>
      </c>
      <c r="AB169" s="49">
        <f t="shared" ca="1" si="76"/>
        <v>1388522.84</v>
      </c>
      <c r="AC169" s="49">
        <f t="shared" ca="1" si="76"/>
        <v>29296.65</v>
      </c>
      <c r="AD169" s="49">
        <f t="shared" ca="1" si="76"/>
        <v>30344.75</v>
      </c>
      <c r="AE169" s="49">
        <f t="shared" ca="1" si="76"/>
        <v>4877.7</v>
      </c>
      <c r="AF169" s="49">
        <f t="shared" ca="1" si="76"/>
        <v>8947.0400000000009</v>
      </c>
      <c r="AG169" s="49">
        <f t="shared" ca="1" si="76"/>
        <v>11897.51</v>
      </c>
      <c r="AH169" s="49">
        <f t="shared" ca="1" si="76"/>
        <v>0</v>
      </c>
      <c r="AI169" s="49">
        <f t="shared" ca="1" si="76"/>
        <v>3088.22</v>
      </c>
      <c r="AJ169" s="49">
        <f t="shared" ca="1" si="76"/>
        <v>2889.53</v>
      </c>
      <c r="AK169" s="49">
        <f t="shared" ca="1" si="76"/>
        <v>1463.36</v>
      </c>
      <c r="AL169" s="49">
        <f t="shared" ca="1" si="76"/>
        <v>24131.82</v>
      </c>
      <c r="AM169" s="49">
        <f t="shared" ca="1" si="76"/>
        <v>1076.52</v>
      </c>
      <c r="AN169" s="49">
        <f t="shared" ca="1" si="76"/>
        <v>0</v>
      </c>
      <c r="AO169" s="49">
        <f t="shared" ca="1" si="76"/>
        <v>98235.36</v>
      </c>
      <c r="AP169" s="49">
        <f t="shared" ca="1" si="76"/>
        <v>14734696.5</v>
      </c>
      <c r="AQ169" s="49">
        <f t="shared" ca="1" si="76"/>
        <v>0</v>
      </c>
      <c r="AR169" s="49">
        <f t="shared" ca="1" si="76"/>
        <v>1501307.3</v>
      </c>
      <c r="AS169" s="49">
        <f t="shared" ca="1" si="76"/>
        <v>1048076.39</v>
      </c>
      <c r="AT169" s="49">
        <f t="shared" ca="1" si="76"/>
        <v>28428.37</v>
      </c>
      <c r="AU169" s="49">
        <f t="shared" ca="1" si="76"/>
        <v>5115.8999999999996</v>
      </c>
      <c r="AV169" s="49">
        <f t="shared" ca="1" si="76"/>
        <v>3638.05</v>
      </c>
      <c r="AW169" s="49">
        <f t="shared" ca="1" si="76"/>
        <v>1311.79</v>
      </c>
      <c r="AX169" s="49">
        <f t="shared" ca="1" si="76"/>
        <v>9028.84</v>
      </c>
      <c r="AY169" s="49">
        <f t="shared" ca="1" si="76"/>
        <v>5387.39</v>
      </c>
      <c r="AZ169" s="49">
        <f t="shared" ca="1" si="76"/>
        <v>961949.22</v>
      </c>
      <c r="BA169" s="49">
        <f t="shared" ca="1" si="76"/>
        <v>166871.91</v>
      </c>
      <c r="BB169" s="49">
        <f t="shared" ca="1" si="76"/>
        <v>153890.82999999999</v>
      </c>
      <c r="BC169" s="49">
        <f t="shared" ca="1" si="76"/>
        <v>1378797.16</v>
      </c>
      <c r="BD169" s="49">
        <f t="shared" ca="1" si="76"/>
        <v>45191.39</v>
      </c>
      <c r="BE169" s="49">
        <f t="shared" ca="1" si="76"/>
        <v>2731.33</v>
      </c>
      <c r="BF169" s="49">
        <f t="shared" ca="1" si="76"/>
        <v>383777.31</v>
      </c>
      <c r="BG169" s="49">
        <f t="shared" ca="1" si="76"/>
        <v>72217.149999999994</v>
      </c>
      <c r="BH169" s="49">
        <f t="shared" ca="1" si="76"/>
        <v>5928.66</v>
      </c>
      <c r="BI169" s="49">
        <f t="shared" ca="1" si="76"/>
        <v>19316.62</v>
      </c>
      <c r="BJ169" s="49">
        <f t="shared" ca="1" si="76"/>
        <v>58577.94</v>
      </c>
      <c r="BK169" s="49">
        <f t="shared" ca="1" si="76"/>
        <v>580260.15</v>
      </c>
      <c r="BL169" s="49">
        <f t="shared" ca="1" si="76"/>
        <v>1805.23</v>
      </c>
      <c r="BM169" s="49">
        <f t="shared" ca="1" si="76"/>
        <v>12233.01</v>
      </c>
      <c r="BN169" s="49">
        <f t="shared" ca="1" si="76"/>
        <v>9037.99</v>
      </c>
      <c r="BO169" s="49">
        <f t="shared" ca="1" si="76"/>
        <v>7760.82</v>
      </c>
      <c r="BP169" s="49">
        <f t="shared" ca="1" si="76"/>
        <v>1517.04</v>
      </c>
      <c r="BQ169" s="49">
        <f t="shared" ca="1" si="76"/>
        <v>1032061.61</v>
      </c>
      <c r="BR169" s="49">
        <f t="shared" ca="1" si="76"/>
        <v>647013.06000000006</v>
      </c>
      <c r="BS169" s="49">
        <f t="shared" ca="1" si="76"/>
        <v>189605.71</v>
      </c>
      <c r="BT169" s="49">
        <f t="shared" ca="1" si="76"/>
        <v>2296.59</v>
      </c>
      <c r="BU169" s="49">
        <f t="shared" ca="1" si="76"/>
        <v>47065.31</v>
      </c>
      <c r="BV169" s="49">
        <f t="shared" ca="1" si="76"/>
        <v>76174.2</v>
      </c>
      <c r="BW169" s="49">
        <f t="shared" ca="1" si="76"/>
        <v>188930.54</v>
      </c>
      <c r="BX169" s="49">
        <f t="shared" ca="1" si="76"/>
        <v>0</v>
      </c>
      <c r="BY169" s="49">
        <f t="shared" ca="1" si="76"/>
        <v>0</v>
      </c>
      <c r="BZ169" s="49">
        <f t="shared" ca="1" si="76"/>
        <v>0</v>
      </c>
      <c r="CA169" s="49">
        <f t="shared" ca="1" si="76"/>
        <v>8011.41</v>
      </c>
      <c r="CB169" s="49">
        <f t="shared" ca="1" si="76"/>
        <v>2498751.73</v>
      </c>
      <c r="CC169" s="49">
        <f t="shared" ca="1" si="76"/>
        <v>0</v>
      </c>
      <c r="CD169" s="49">
        <f t="shared" ca="1" si="76"/>
        <v>1725.82</v>
      </c>
      <c r="CE169" s="49">
        <f t="shared" ca="1" si="76"/>
        <v>0</v>
      </c>
      <c r="CF169" s="49">
        <f t="shared" ca="1" si="76"/>
        <v>0</v>
      </c>
      <c r="CG169" s="49">
        <f t="shared" ca="1" si="76"/>
        <v>14885.24</v>
      </c>
      <c r="CH169" s="49">
        <f t="shared" ca="1" si="76"/>
        <v>9838.08</v>
      </c>
      <c r="CI169" s="49">
        <f t="shared" ca="1" si="76"/>
        <v>55579.09</v>
      </c>
      <c r="CJ169" s="49">
        <f t="shared" ca="1" si="76"/>
        <v>146784.93</v>
      </c>
      <c r="CK169" s="49">
        <f t="shared" ca="1" si="76"/>
        <v>147322.71</v>
      </c>
      <c r="CL169" s="49">
        <f t="shared" ca="1" si="76"/>
        <v>20385.580000000002</v>
      </c>
      <c r="CM169" s="49">
        <f t="shared" ca="1" si="76"/>
        <v>7869.08</v>
      </c>
      <c r="CN169" s="49">
        <f t="shared" ca="1" si="76"/>
        <v>1002986.61</v>
      </c>
      <c r="CO169" s="49">
        <f t="shared" ca="1" si="76"/>
        <v>314905.38</v>
      </c>
      <c r="CP169" s="49">
        <f t="shared" ca="1" si="76"/>
        <v>130982.91</v>
      </c>
      <c r="CQ169" s="49">
        <f t="shared" ca="1" si="76"/>
        <v>2781.15</v>
      </c>
      <c r="CR169" s="49">
        <f t="shared" ca="1" si="76"/>
        <v>0</v>
      </c>
      <c r="CS169" s="49">
        <f t="shared" ca="1" si="76"/>
        <v>1169.4100000000001</v>
      </c>
      <c r="CT169" s="49">
        <f t="shared" ca="1" si="76"/>
        <v>1587.81</v>
      </c>
      <c r="CU169" s="49">
        <f t="shared" ca="1" si="76"/>
        <v>2613.02</v>
      </c>
      <c r="CV169" s="49">
        <f t="shared" ca="1" si="76"/>
        <v>0</v>
      </c>
      <c r="CW169" s="49">
        <f t="shared" ca="1" si="76"/>
        <v>1396.79</v>
      </c>
      <c r="CX169" s="49">
        <f t="shared" ca="1" si="76"/>
        <v>11574.58</v>
      </c>
      <c r="CY169" s="49">
        <f t="shared" ca="1" si="76"/>
        <v>0</v>
      </c>
      <c r="CZ169" s="49">
        <f t="shared" ca="1" si="76"/>
        <v>33330.480000000003</v>
      </c>
      <c r="DA169" s="49">
        <f t="shared" ca="1" si="76"/>
        <v>0</v>
      </c>
      <c r="DB169" s="49">
        <f t="shared" ca="1" si="76"/>
        <v>8091.46</v>
      </c>
      <c r="DC169" s="49">
        <f t="shared" ca="1" si="76"/>
        <v>0</v>
      </c>
      <c r="DD169" s="49">
        <f t="shared" ca="1" si="76"/>
        <v>10351.280000000001</v>
      </c>
      <c r="DE169" s="49">
        <f t="shared" ca="1" si="76"/>
        <v>1190.44</v>
      </c>
      <c r="DF169" s="49">
        <f t="shared" ca="1" si="76"/>
        <v>529571.94999999995</v>
      </c>
      <c r="DG169" s="49">
        <f t="shared" ca="1" si="76"/>
        <v>0</v>
      </c>
      <c r="DH169" s="49">
        <f t="shared" ca="1" si="76"/>
        <v>100626.69</v>
      </c>
      <c r="DI169" s="49">
        <f t="shared" ca="1" si="76"/>
        <v>51186.37</v>
      </c>
      <c r="DJ169" s="49">
        <f t="shared" ca="1" si="76"/>
        <v>8539.27</v>
      </c>
      <c r="DK169" s="49">
        <f t="shared" ca="1" si="76"/>
        <v>18301.259999999998</v>
      </c>
      <c r="DL169" s="49">
        <f t="shared" ca="1" si="76"/>
        <v>356501.3</v>
      </c>
      <c r="DM169" s="49">
        <f t="shared" ca="1" si="76"/>
        <v>0</v>
      </c>
      <c r="DN169" s="49">
        <f t="shared" ca="1" si="76"/>
        <v>58975.32</v>
      </c>
      <c r="DO169" s="49">
        <f t="shared" ca="1" si="76"/>
        <v>450887.65</v>
      </c>
      <c r="DP169" s="49">
        <f t="shared" ca="1" si="76"/>
        <v>0</v>
      </c>
      <c r="DQ169" s="49">
        <f t="shared" ca="1" si="76"/>
        <v>46666.93</v>
      </c>
      <c r="DR169" s="49">
        <f t="shared" ca="1" si="76"/>
        <v>14688.43</v>
      </c>
      <c r="DS169" s="49">
        <f t="shared" ca="1" si="76"/>
        <v>29904.01</v>
      </c>
      <c r="DT169" s="49">
        <f t="shared" ca="1" si="76"/>
        <v>8870.44</v>
      </c>
      <c r="DU169" s="49">
        <f t="shared" ca="1" si="76"/>
        <v>3263.16</v>
      </c>
      <c r="DV169" s="49">
        <f t="shared" ca="1" si="76"/>
        <v>1376.34</v>
      </c>
      <c r="DW169" s="49">
        <f t="shared" ca="1" si="76"/>
        <v>1160.03</v>
      </c>
      <c r="DX169" s="49">
        <f t="shared" ca="1" si="76"/>
        <v>1697.88</v>
      </c>
      <c r="DY169" s="49">
        <f t="shared" ca="1" si="76"/>
        <v>5186.03</v>
      </c>
      <c r="DZ169" s="49">
        <f t="shared" ca="1" si="76"/>
        <v>0</v>
      </c>
      <c r="EA169" s="49">
        <f t="shared" ca="1" si="76"/>
        <v>28065.53</v>
      </c>
      <c r="EB169" s="49">
        <f t="shared" ca="1" si="76"/>
        <v>57873.5</v>
      </c>
      <c r="EC169" s="49">
        <f t="shared" ca="1" si="76"/>
        <v>10162.23</v>
      </c>
      <c r="ED169" s="49">
        <f t="shared" ca="1" si="76"/>
        <v>78242.47</v>
      </c>
      <c r="EE169" s="49">
        <f t="shared" ca="1" si="76"/>
        <v>26088.1</v>
      </c>
      <c r="EF169" s="49">
        <f t="shared" ca="1" si="76"/>
        <v>60675.53</v>
      </c>
      <c r="EG169" s="49">
        <f t="shared" ca="1" si="76"/>
        <v>51621.26</v>
      </c>
      <c r="EH169" s="49">
        <f t="shared" ca="1" si="76"/>
        <v>17048.36</v>
      </c>
      <c r="EI169" s="49">
        <f t="shared" ca="1" si="76"/>
        <v>349214.23</v>
      </c>
      <c r="EJ169" s="49">
        <f t="shared" ca="1" si="76"/>
        <v>164288.82999999999</v>
      </c>
      <c r="EK169" s="49">
        <f t="shared" ca="1" si="76"/>
        <v>15633.47</v>
      </c>
      <c r="EL169" s="49">
        <f t="shared" ca="1" si="76"/>
        <v>935.72</v>
      </c>
      <c r="EM169" s="49">
        <f t="shared" ca="1" si="76"/>
        <v>6307.4</v>
      </c>
      <c r="EN169" s="49">
        <f t="shared" ca="1" si="76"/>
        <v>8741.33</v>
      </c>
      <c r="EO169" s="49">
        <f t="shared" ca="1" si="76"/>
        <v>5681.61</v>
      </c>
      <c r="EP169" s="49">
        <f t="shared" ca="1" si="76"/>
        <v>18371.05</v>
      </c>
      <c r="EQ169" s="49">
        <f t="shared" ca="1" si="76"/>
        <v>165763.28</v>
      </c>
      <c r="ER169" s="49">
        <f t="shared" ca="1" si="76"/>
        <v>17431.29</v>
      </c>
      <c r="ES169" s="49">
        <f t="shared" ca="1" si="76"/>
        <v>4383</v>
      </c>
      <c r="ET169" s="49">
        <f t="shared" ca="1" si="76"/>
        <v>7872.17</v>
      </c>
      <c r="EU169" s="49">
        <f t="shared" ca="1" si="76"/>
        <v>92705.75</v>
      </c>
      <c r="EV169" s="49">
        <f t="shared" ca="1" si="76"/>
        <v>11030.3</v>
      </c>
      <c r="EW169" s="49">
        <f t="shared" ca="1" si="76"/>
        <v>71573.87</v>
      </c>
      <c r="EX169" s="49">
        <f t="shared" ca="1" si="76"/>
        <v>12755</v>
      </c>
      <c r="EY169" s="49">
        <f t="shared" ca="1" si="76"/>
        <v>15536.15</v>
      </c>
      <c r="EZ169" s="49">
        <f t="shared" ca="1" si="76"/>
        <v>0</v>
      </c>
      <c r="FA169" s="49">
        <f t="shared" ca="1" si="76"/>
        <v>564068.14</v>
      </c>
      <c r="FB169" s="49">
        <f t="shared" ca="1" si="76"/>
        <v>3560.38</v>
      </c>
      <c r="FC169" s="49">
        <f t="shared" ca="1" si="76"/>
        <v>28022.81</v>
      </c>
      <c r="FD169" s="49">
        <f t="shared" ca="1" si="76"/>
        <v>4153.05</v>
      </c>
      <c r="FE169" s="49">
        <f t="shared" ca="1" si="76"/>
        <v>22591.43</v>
      </c>
      <c r="FF169" s="49">
        <f t="shared" ca="1" si="76"/>
        <v>2909.83</v>
      </c>
      <c r="FG169" s="49">
        <f t="shared" ca="1" si="76"/>
        <v>4956.3100000000004</v>
      </c>
      <c r="FH169" s="49">
        <f t="shared" ca="1" si="76"/>
        <v>0</v>
      </c>
      <c r="FI169" s="49">
        <f t="shared" ca="1" si="76"/>
        <v>158109.75</v>
      </c>
      <c r="FJ169" s="49">
        <f t="shared" ca="1" si="76"/>
        <v>61175.05</v>
      </c>
      <c r="FK169" s="49">
        <f t="shared" ca="1" si="76"/>
        <v>208652.74</v>
      </c>
      <c r="FL169" s="49">
        <f t="shared" ca="1" si="76"/>
        <v>161259.79</v>
      </c>
      <c r="FM169" s="49">
        <f t="shared" ca="1" si="76"/>
        <v>77217.39</v>
      </c>
      <c r="FN169" s="49">
        <f t="shared" ca="1" si="76"/>
        <v>2840660.03</v>
      </c>
      <c r="FO169" s="49">
        <f t="shared" ca="1" si="76"/>
        <v>49090.2</v>
      </c>
      <c r="FP169" s="49">
        <f t="shared" ca="1" si="76"/>
        <v>280177.12</v>
      </c>
      <c r="FQ169" s="49">
        <f t="shared" ca="1" si="76"/>
        <v>53778.27</v>
      </c>
      <c r="FR169" s="49">
        <f t="shared" ca="1" si="76"/>
        <v>1520.17</v>
      </c>
      <c r="FS169" s="49">
        <f t="shared" ca="1" si="76"/>
        <v>0</v>
      </c>
      <c r="FT169" s="49">
        <f t="shared" ca="1" si="76"/>
        <v>0</v>
      </c>
      <c r="FU169" s="49">
        <f t="shared" ca="1" si="76"/>
        <v>129624.4</v>
      </c>
      <c r="FV169" s="49">
        <f t="shared" ca="1" si="76"/>
        <v>81740.179999999993</v>
      </c>
      <c r="FW169" s="49">
        <f t="shared" ca="1" si="76"/>
        <v>7860.49</v>
      </c>
      <c r="FX169" s="49">
        <f t="shared" ca="1" si="76"/>
        <v>0</v>
      </c>
      <c r="FY169" s="7"/>
      <c r="FZ169" s="7">
        <f ca="1">SUM(C169:FX169)</f>
        <v>65488352.639999941</v>
      </c>
      <c r="GA169" s="62">
        <v>65488352.639999941</v>
      </c>
      <c r="GB169" s="7">
        <f ca="1">FZ169-GA169</f>
        <v>0</v>
      </c>
      <c r="GC169" s="7"/>
      <c r="GD169" s="7"/>
      <c r="GE169" s="7"/>
      <c r="GF169" s="7"/>
      <c r="GG169" s="7"/>
      <c r="GH169" s="7"/>
      <c r="GI169" s="7"/>
      <c r="GJ169" s="7"/>
      <c r="GK169" s="7"/>
    </row>
    <row r="170" spans="1:193" ht="15.5" x14ac:dyDescent="0.35">
      <c r="A170" s="7"/>
      <c r="B170" s="7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7"/>
      <c r="FZ170" s="49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</row>
    <row r="171" spans="1:193" ht="15.5" x14ac:dyDescent="0.35">
      <c r="A171" s="12"/>
      <c r="B171" s="5" t="s">
        <v>904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104"/>
      <c r="FZ171" s="23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</row>
    <row r="172" spans="1:193" ht="15.5" x14ac:dyDescent="0.35">
      <c r="A172" s="12" t="s">
        <v>905</v>
      </c>
      <c r="B172" s="7" t="s">
        <v>906</v>
      </c>
      <c r="C172" s="25">
        <f t="shared" ref="C172:FX172" si="77">C12+C33</f>
        <v>152</v>
      </c>
      <c r="D172" s="25">
        <f t="shared" si="77"/>
        <v>499</v>
      </c>
      <c r="E172" s="25">
        <f t="shared" si="77"/>
        <v>0</v>
      </c>
      <c r="F172" s="25">
        <f t="shared" si="77"/>
        <v>2031</v>
      </c>
      <c r="G172" s="25">
        <f t="shared" si="77"/>
        <v>0</v>
      </c>
      <c r="H172" s="25">
        <f t="shared" si="77"/>
        <v>0</v>
      </c>
      <c r="I172" s="25">
        <f t="shared" si="77"/>
        <v>0</v>
      </c>
      <c r="J172" s="25">
        <f t="shared" si="77"/>
        <v>0</v>
      </c>
      <c r="K172" s="25">
        <f t="shared" si="77"/>
        <v>0</v>
      </c>
      <c r="L172" s="25">
        <f t="shared" si="77"/>
        <v>0</v>
      </c>
      <c r="M172" s="25">
        <f t="shared" si="77"/>
        <v>0</v>
      </c>
      <c r="N172" s="25">
        <f t="shared" si="77"/>
        <v>0</v>
      </c>
      <c r="O172" s="25">
        <f t="shared" si="77"/>
        <v>0</v>
      </c>
      <c r="P172" s="25">
        <f t="shared" si="77"/>
        <v>0</v>
      </c>
      <c r="Q172" s="25">
        <f t="shared" si="77"/>
        <v>0</v>
      </c>
      <c r="R172" s="25">
        <f t="shared" si="77"/>
        <v>6618</v>
      </c>
      <c r="S172" s="25">
        <f t="shared" si="77"/>
        <v>14</v>
      </c>
      <c r="T172" s="25">
        <f t="shared" si="77"/>
        <v>0</v>
      </c>
      <c r="U172" s="25">
        <f t="shared" si="77"/>
        <v>0</v>
      </c>
      <c r="V172" s="25">
        <f t="shared" si="77"/>
        <v>0</v>
      </c>
      <c r="W172" s="25">
        <f t="shared" si="77"/>
        <v>0</v>
      </c>
      <c r="X172" s="25">
        <f t="shared" si="77"/>
        <v>0</v>
      </c>
      <c r="Y172" s="25">
        <f t="shared" si="77"/>
        <v>473.5</v>
      </c>
      <c r="Z172" s="25">
        <f t="shared" si="77"/>
        <v>0</v>
      </c>
      <c r="AA172" s="25">
        <f t="shared" si="77"/>
        <v>336.5</v>
      </c>
      <c r="AB172" s="25">
        <f t="shared" si="77"/>
        <v>224</v>
      </c>
      <c r="AC172" s="25">
        <f t="shared" si="77"/>
        <v>0</v>
      </c>
      <c r="AD172" s="25">
        <f t="shared" si="77"/>
        <v>0</v>
      </c>
      <c r="AE172" s="25">
        <f t="shared" si="77"/>
        <v>0</v>
      </c>
      <c r="AF172" s="25">
        <f t="shared" si="77"/>
        <v>0</v>
      </c>
      <c r="AG172" s="25">
        <f t="shared" si="77"/>
        <v>0</v>
      </c>
      <c r="AH172" s="25">
        <f t="shared" si="77"/>
        <v>0</v>
      </c>
      <c r="AI172" s="25">
        <f t="shared" si="77"/>
        <v>0</v>
      </c>
      <c r="AJ172" s="25">
        <f t="shared" si="77"/>
        <v>0</v>
      </c>
      <c r="AK172" s="25">
        <f t="shared" si="77"/>
        <v>0</v>
      </c>
      <c r="AL172" s="25">
        <f t="shared" si="77"/>
        <v>0</v>
      </c>
      <c r="AM172" s="25">
        <f t="shared" si="77"/>
        <v>0</v>
      </c>
      <c r="AN172" s="25">
        <f t="shared" si="77"/>
        <v>0</v>
      </c>
      <c r="AO172" s="25">
        <f t="shared" si="77"/>
        <v>370.5</v>
      </c>
      <c r="AP172" s="25">
        <f t="shared" si="77"/>
        <v>595.5</v>
      </c>
      <c r="AQ172" s="25">
        <f t="shared" si="77"/>
        <v>0</v>
      </c>
      <c r="AR172" s="25">
        <f t="shared" si="77"/>
        <v>1303</v>
      </c>
      <c r="AS172" s="25">
        <f t="shared" si="77"/>
        <v>0</v>
      </c>
      <c r="AT172" s="25">
        <f t="shared" si="77"/>
        <v>0</v>
      </c>
      <c r="AU172" s="25">
        <f t="shared" si="77"/>
        <v>0</v>
      </c>
      <c r="AV172" s="25">
        <f t="shared" si="77"/>
        <v>0</v>
      </c>
      <c r="AW172" s="25">
        <f t="shared" si="77"/>
        <v>0</v>
      </c>
      <c r="AX172" s="25">
        <f t="shared" si="77"/>
        <v>0</v>
      </c>
      <c r="AY172" s="25">
        <f t="shared" si="77"/>
        <v>0</v>
      </c>
      <c r="AZ172" s="25">
        <f t="shared" si="77"/>
        <v>98</v>
      </c>
      <c r="BA172" s="25">
        <f t="shared" si="77"/>
        <v>240</v>
      </c>
      <c r="BB172" s="25">
        <f t="shared" si="77"/>
        <v>0</v>
      </c>
      <c r="BC172" s="25">
        <f t="shared" si="77"/>
        <v>475</v>
      </c>
      <c r="BD172" s="25">
        <f t="shared" si="77"/>
        <v>0</v>
      </c>
      <c r="BE172" s="25">
        <f t="shared" si="77"/>
        <v>0</v>
      </c>
      <c r="BF172" s="25">
        <f t="shared" si="77"/>
        <v>1194.5</v>
      </c>
      <c r="BG172" s="25">
        <f t="shared" si="77"/>
        <v>0</v>
      </c>
      <c r="BH172" s="25">
        <f t="shared" si="77"/>
        <v>28</v>
      </c>
      <c r="BI172" s="25">
        <f t="shared" si="77"/>
        <v>0</v>
      </c>
      <c r="BJ172" s="25">
        <f t="shared" si="77"/>
        <v>0</v>
      </c>
      <c r="BK172" s="25">
        <f t="shared" si="77"/>
        <v>13175.5</v>
      </c>
      <c r="BL172" s="25">
        <f t="shared" si="77"/>
        <v>0</v>
      </c>
      <c r="BM172" s="25">
        <f t="shared" si="77"/>
        <v>0</v>
      </c>
      <c r="BN172" s="25">
        <f t="shared" si="77"/>
        <v>0</v>
      </c>
      <c r="BO172" s="25">
        <f t="shared" si="77"/>
        <v>0</v>
      </c>
      <c r="BP172" s="25">
        <f t="shared" si="77"/>
        <v>0</v>
      </c>
      <c r="BQ172" s="25">
        <f t="shared" si="77"/>
        <v>0</v>
      </c>
      <c r="BR172" s="25">
        <f t="shared" si="77"/>
        <v>0</v>
      </c>
      <c r="BS172" s="25">
        <f t="shared" si="77"/>
        <v>0</v>
      </c>
      <c r="BT172" s="25">
        <f t="shared" si="77"/>
        <v>0</v>
      </c>
      <c r="BU172" s="25">
        <f t="shared" si="77"/>
        <v>0</v>
      </c>
      <c r="BV172" s="25">
        <f t="shared" si="77"/>
        <v>0</v>
      </c>
      <c r="BW172" s="25">
        <f t="shared" si="77"/>
        <v>0</v>
      </c>
      <c r="BX172" s="25">
        <f t="shared" si="77"/>
        <v>0</v>
      </c>
      <c r="BY172" s="25">
        <f t="shared" si="77"/>
        <v>0</v>
      </c>
      <c r="BZ172" s="25">
        <f t="shared" si="77"/>
        <v>0</v>
      </c>
      <c r="CA172" s="25">
        <f t="shared" si="77"/>
        <v>0</v>
      </c>
      <c r="CB172" s="25">
        <f t="shared" si="77"/>
        <v>815.5</v>
      </c>
      <c r="CC172" s="25">
        <f t="shared" si="77"/>
        <v>0</v>
      </c>
      <c r="CD172" s="25">
        <f t="shared" si="77"/>
        <v>0</v>
      </c>
      <c r="CE172" s="25">
        <f t="shared" si="77"/>
        <v>0</v>
      </c>
      <c r="CF172" s="25">
        <f t="shared" si="77"/>
        <v>0</v>
      </c>
      <c r="CG172" s="25">
        <f t="shared" si="77"/>
        <v>0</v>
      </c>
      <c r="CH172" s="25">
        <f t="shared" si="77"/>
        <v>0</v>
      </c>
      <c r="CI172" s="25">
        <f t="shared" si="77"/>
        <v>0</v>
      </c>
      <c r="CJ172" s="25">
        <f t="shared" si="77"/>
        <v>0</v>
      </c>
      <c r="CK172" s="25">
        <f t="shared" si="77"/>
        <v>23.5</v>
      </c>
      <c r="CL172" s="25">
        <f t="shared" si="77"/>
        <v>5.5</v>
      </c>
      <c r="CM172" s="25">
        <f t="shared" si="77"/>
        <v>2</v>
      </c>
      <c r="CN172" s="25">
        <f t="shared" si="77"/>
        <v>662</v>
      </c>
      <c r="CO172" s="25">
        <f t="shared" si="77"/>
        <v>0</v>
      </c>
      <c r="CP172" s="25">
        <f t="shared" si="77"/>
        <v>0</v>
      </c>
      <c r="CQ172" s="25">
        <f t="shared" si="77"/>
        <v>0</v>
      </c>
      <c r="CR172" s="25">
        <f t="shared" si="77"/>
        <v>0</v>
      </c>
      <c r="CS172" s="25">
        <f t="shared" si="77"/>
        <v>0</v>
      </c>
      <c r="CT172" s="25">
        <f t="shared" si="77"/>
        <v>0</v>
      </c>
      <c r="CU172" s="25">
        <f t="shared" si="77"/>
        <v>396</v>
      </c>
      <c r="CV172" s="25">
        <f t="shared" si="77"/>
        <v>0</v>
      </c>
      <c r="CW172" s="25">
        <f t="shared" si="77"/>
        <v>0</v>
      </c>
      <c r="CX172" s="25">
        <f t="shared" si="77"/>
        <v>0</v>
      </c>
      <c r="CY172" s="25">
        <f t="shared" si="77"/>
        <v>0</v>
      </c>
      <c r="CZ172" s="25">
        <f t="shared" si="77"/>
        <v>0</v>
      </c>
      <c r="DA172" s="25">
        <f t="shared" si="77"/>
        <v>0</v>
      </c>
      <c r="DB172" s="25">
        <f t="shared" si="77"/>
        <v>0</v>
      </c>
      <c r="DC172" s="25">
        <f t="shared" si="77"/>
        <v>0</v>
      </c>
      <c r="DD172" s="25">
        <f t="shared" si="77"/>
        <v>0</v>
      </c>
      <c r="DE172" s="25">
        <f t="shared" si="77"/>
        <v>0</v>
      </c>
      <c r="DF172" s="25">
        <f t="shared" si="77"/>
        <v>0</v>
      </c>
      <c r="DG172" s="25">
        <f t="shared" si="77"/>
        <v>0</v>
      </c>
      <c r="DH172" s="25">
        <f t="shared" si="77"/>
        <v>0</v>
      </c>
      <c r="DI172" s="25">
        <f t="shared" si="77"/>
        <v>4</v>
      </c>
      <c r="DJ172" s="25">
        <f t="shared" si="77"/>
        <v>1</v>
      </c>
      <c r="DK172" s="25">
        <f t="shared" si="77"/>
        <v>1</v>
      </c>
      <c r="DL172" s="25">
        <f t="shared" si="77"/>
        <v>0</v>
      </c>
      <c r="DM172" s="25">
        <f t="shared" si="77"/>
        <v>0</v>
      </c>
      <c r="DN172" s="25">
        <f t="shared" si="77"/>
        <v>0</v>
      </c>
      <c r="DO172" s="25">
        <f t="shared" si="77"/>
        <v>0</v>
      </c>
      <c r="DP172" s="25">
        <f t="shared" si="77"/>
        <v>0</v>
      </c>
      <c r="DQ172" s="25">
        <f t="shared" si="77"/>
        <v>0</v>
      </c>
      <c r="DR172" s="25">
        <f t="shared" si="77"/>
        <v>0</v>
      </c>
      <c r="DS172" s="25">
        <f t="shared" si="77"/>
        <v>0</v>
      </c>
      <c r="DT172" s="25">
        <f t="shared" si="77"/>
        <v>0</v>
      </c>
      <c r="DU172" s="25">
        <f t="shared" si="77"/>
        <v>0</v>
      </c>
      <c r="DV172" s="25">
        <f t="shared" si="77"/>
        <v>0</v>
      </c>
      <c r="DW172" s="25">
        <f t="shared" si="77"/>
        <v>0</v>
      </c>
      <c r="DX172" s="25">
        <f t="shared" si="77"/>
        <v>0</v>
      </c>
      <c r="DY172" s="25">
        <f t="shared" si="77"/>
        <v>0</v>
      </c>
      <c r="DZ172" s="25">
        <f t="shared" si="77"/>
        <v>0</v>
      </c>
      <c r="EA172" s="25">
        <f t="shared" si="77"/>
        <v>0</v>
      </c>
      <c r="EB172" s="25">
        <f t="shared" si="77"/>
        <v>0</v>
      </c>
      <c r="EC172" s="25">
        <f t="shared" si="77"/>
        <v>0</v>
      </c>
      <c r="ED172" s="25">
        <f t="shared" si="77"/>
        <v>0</v>
      </c>
      <c r="EE172" s="25">
        <f t="shared" si="77"/>
        <v>0</v>
      </c>
      <c r="EF172" s="25">
        <f t="shared" si="77"/>
        <v>0</v>
      </c>
      <c r="EG172" s="25">
        <f t="shared" si="77"/>
        <v>0</v>
      </c>
      <c r="EH172" s="25">
        <f t="shared" si="77"/>
        <v>0</v>
      </c>
      <c r="EI172" s="25">
        <f t="shared" si="77"/>
        <v>0</v>
      </c>
      <c r="EJ172" s="25">
        <f t="shared" si="77"/>
        <v>207.5</v>
      </c>
      <c r="EK172" s="25">
        <f t="shared" si="77"/>
        <v>0</v>
      </c>
      <c r="EL172" s="25">
        <f t="shared" si="77"/>
        <v>0</v>
      </c>
      <c r="EM172" s="25">
        <f t="shared" si="77"/>
        <v>0</v>
      </c>
      <c r="EN172" s="25">
        <f t="shared" si="77"/>
        <v>43</v>
      </c>
      <c r="EO172" s="25">
        <f t="shared" si="77"/>
        <v>0</v>
      </c>
      <c r="EP172" s="25">
        <f t="shared" si="77"/>
        <v>0</v>
      </c>
      <c r="EQ172" s="25">
        <f t="shared" si="77"/>
        <v>0</v>
      </c>
      <c r="ER172" s="25">
        <f t="shared" si="77"/>
        <v>0</v>
      </c>
      <c r="ES172" s="25">
        <f t="shared" si="77"/>
        <v>0</v>
      </c>
      <c r="ET172" s="25">
        <f t="shared" si="77"/>
        <v>0</v>
      </c>
      <c r="EU172" s="25">
        <f t="shared" si="77"/>
        <v>0</v>
      </c>
      <c r="EV172" s="25">
        <f t="shared" si="77"/>
        <v>0</v>
      </c>
      <c r="EW172" s="25">
        <f t="shared" si="77"/>
        <v>0</v>
      </c>
      <c r="EX172" s="25">
        <f t="shared" si="77"/>
        <v>0</v>
      </c>
      <c r="EY172" s="25">
        <f t="shared" si="77"/>
        <v>450</v>
      </c>
      <c r="EZ172" s="25">
        <f t="shared" si="77"/>
        <v>0</v>
      </c>
      <c r="FA172" s="25">
        <f t="shared" si="77"/>
        <v>0</v>
      </c>
      <c r="FB172" s="25">
        <f t="shared" si="77"/>
        <v>0</v>
      </c>
      <c r="FC172" s="25">
        <f t="shared" si="77"/>
        <v>0</v>
      </c>
      <c r="FD172" s="25">
        <f t="shared" si="77"/>
        <v>0</v>
      </c>
      <c r="FE172" s="25">
        <f t="shared" si="77"/>
        <v>0</v>
      </c>
      <c r="FF172" s="25">
        <f t="shared" si="77"/>
        <v>0</v>
      </c>
      <c r="FG172" s="25">
        <f t="shared" si="77"/>
        <v>0</v>
      </c>
      <c r="FH172" s="25">
        <f t="shared" si="77"/>
        <v>0</v>
      </c>
      <c r="FI172" s="25">
        <f t="shared" si="77"/>
        <v>0</v>
      </c>
      <c r="FJ172" s="25">
        <f t="shared" si="77"/>
        <v>0</v>
      </c>
      <c r="FK172" s="25">
        <f t="shared" si="77"/>
        <v>0</v>
      </c>
      <c r="FL172" s="25">
        <f t="shared" si="77"/>
        <v>0</v>
      </c>
      <c r="FM172" s="25">
        <f t="shared" si="77"/>
        <v>0</v>
      </c>
      <c r="FN172" s="25">
        <f t="shared" si="77"/>
        <v>254.5</v>
      </c>
      <c r="FO172" s="25">
        <f t="shared" si="77"/>
        <v>0</v>
      </c>
      <c r="FP172" s="25">
        <f t="shared" si="77"/>
        <v>0</v>
      </c>
      <c r="FQ172" s="25">
        <f t="shared" si="77"/>
        <v>0</v>
      </c>
      <c r="FR172" s="25">
        <f t="shared" si="77"/>
        <v>0</v>
      </c>
      <c r="FS172" s="25">
        <f t="shared" si="77"/>
        <v>0</v>
      </c>
      <c r="FT172" s="25">
        <f t="shared" si="77"/>
        <v>0</v>
      </c>
      <c r="FU172" s="25">
        <f t="shared" si="77"/>
        <v>0</v>
      </c>
      <c r="FV172" s="25">
        <f t="shared" si="77"/>
        <v>0</v>
      </c>
      <c r="FW172" s="25">
        <f t="shared" si="77"/>
        <v>0</v>
      </c>
      <c r="FX172" s="25">
        <f t="shared" si="77"/>
        <v>0</v>
      </c>
      <c r="FY172" s="47"/>
      <c r="FZ172" s="7">
        <f>SUM(C172:FX172)</f>
        <v>30693.5</v>
      </c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</row>
    <row r="173" spans="1:193" ht="15.5" x14ac:dyDescent="0.35">
      <c r="A173" s="12" t="s">
        <v>907</v>
      </c>
      <c r="B173" s="7" t="s">
        <v>908</v>
      </c>
      <c r="C173" s="7">
        <f t="shared" ref="C173:FX173" si="78">C41</f>
        <v>10480</v>
      </c>
      <c r="D173" s="7">
        <f t="shared" si="78"/>
        <v>10480</v>
      </c>
      <c r="E173" s="7">
        <f t="shared" si="78"/>
        <v>10480</v>
      </c>
      <c r="F173" s="7">
        <f t="shared" si="78"/>
        <v>10480</v>
      </c>
      <c r="G173" s="7">
        <f t="shared" si="78"/>
        <v>10480</v>
      </c>
      <c r="H173" s="7">
        <f t="shared" si="78"/>
        <v>10480</v>
      </c>
      <c r="I173" s="7">
        <f t="shared" si="78"/>
        <v>10480</v>
      </c>
      <c r="J173" s="7">
        <f t="shared" si="78"/>
        <v>10480</v>
      </c>
      <c r="K173" s="7">
        <f t="shared" si="78"/>
        <v>10480</v>
      </c>
      <c r="L173" s="7">
        <f t="shared" si="78"/>
        <v>10480</v>
      </c>
      <c r="M173" s="7">
        <f t="shared" si="78"/>
        <v>10480</v>
      </c>
      <c r="N173" s="7">
        <f t="shared" si="78"/>
        <v>10480</v>
      </c>
      <c r="O173" s="7">
        <f t="shared" si="78"/>
        <v>10480</v>
      </c>
      <c r="P173" s="7">
        <f t="shared" si="78"/>
        <v>10480</v>
      </c>
      <c r="Q173" s="7">
        <f t="shared" si="78"/>
        <v>10480</v>
      </c>
      <c r="R173" s="7">
        <f t="shared" si="78"/>
        <v>10480</v>
      </c>
      <c r="S173" s="7">
        <f t="shared" si="78"/>
        <v>10480</v>
      </c>
      <c r="T173" s="7">
        <f t="shared" si="78"/>
        <v>10480</v>
      </c>
      <c r="U173" s="7">
        <f t="shared" si="78"/>
        <v>10480</v>
      </c>
      <c r="V173" s="7">
        <f t="shared" si="78"/>
        <v>10480</v>
      </c>
      <c r="W173" s="7">
        <f t="shared" si="78"/>
        <v>10480</v>
      </c>
      <c r="X173" s="7">
        <f t="shared" si="78"/>
        <v>10480</v>
      </c>
      <c r="Y173" s="7">
        <f t="shared" si="78"/>
        <v>10480</v>
      </c>
      <c r="Z173" s="7">
        <f t="shared" si="78"/>
        <v>10480</v>
      </c>
      <c r="AA173" s="7">
        <f t="shared" si="78"/>
        <v>10480</v>
      </c>
      <c r="AB173" s="7">
        <f t="shared" si="78"/>
        <v>10480</v>
      </c>
      <c r="AC173" s="7">
        <f t="shared" si="78"/>
        <v>10480</v>
      </c>
      <c r="AD173" s="7">
        <f t="shared" si="78"/>
        <v>10480</v>
      </c>
      <c r="AE173" s="7">
        <f t="shared" si="78"/>
        <v>10480</v>
      </c>
      <c r="AF173" s="7">
        <f t="shared" si="78"/>
        <v>10480</v>
      </c>
      <c r="AG173" s="7">
        <f t="shared" si="78"/>
        <v>10480</v>
      </c>
      <c r="AH173" s="7">
        <f t="shared" si="78"/>
        <v>10480</v>
      </c>
      <c r="AI173" s="7">
        <f t="shared" si="78"/>
        <v>10480</v>
      </c>
      <c r="AJ173" s="7">
        <f t="shared" si="78"/>
        <v>10480</v>
      </c>
      <c r="AK173" s="7">
        <f t="shared" si="78"/>
        <v>10480</v>
      </c>
      <c r="AL173" s="7">
        <f t="shared" si="78"/>
        <v>10480</v>
      </c>
      <c r="AM173" s="7">
        <f t="shared" si="78"/>
        <v>10480</v>
      </c>
      <c r="AN173" s="7">
        <f t="shared" si="78"/>
        <v>10480</v>
      </c>
      <c r="AO173" s="7">
        <f t="shared" si="78"/>
        <v>10480</v>
      </c>
      <c r="AP173" s="7">
        <f t="shared" si="78"/>
        <v>10480</v>
      </c>
      <c r="AQ173" s="7">
        <f t="shared" si="78"/>
        <v>10480</v>
      </c>
      <c r="AR173" s="7">
        <f t="shared" si="78"/>
        <v>10480</v>
      </c>
      <c r="AS173" s="7">
        <f t="shared" si="78"/>
        <v>10480</v>
      </c>
      <c r="AT173" s="7">
        <f t="shared" si="78"/>
        <v>10480</v>
      </c>
      <c r="AU173" s="7">
        <f t="shared" si="78"/>
        <v>10480</v>
      </c>
      <c r="AV173" s="7">
        <f t="shared" si="78"/>
        <v>10480</v>
      </c>
      <c r="AW173" s="7">
        <f t="shared" si="78"/>
        <v>10480</v>
      </c>
      <c r="AX173" s="7">
        <f t="shared" si="78"/>
        <v>10480</v>
      </c>
      <c r="AY173" s="7">
        <f t="shared" si="78"/>
        <v>10480</v>
      </c>
      <c r="AZ173" s="7">
        <f t="shared" si="78"/>
        <v>10480</v>
      </c>
      <c r="BA173" s="7">
        <f t="shared" si="78"/>
        <v>10480</v>
      </c>
      <c r="BB173" s="7">
        <f t="shared" si="78"/>
        <v>10480</v>
      </c>
      <c r="BC173" s="7">
        <f t="shared" si="78"/>
        <v>10480</v>
      </c>
      <c r="BD173" s="7">
        <f t="shared" si="78"/>
        <v>10480</v>
      </c>
      <c r="BE173" s="7">
        <f t="shared" si="78"/>
        <v>10480</v>
      </c>
      <c r="BF173" s="7">
        <f t="shared" si="78"/>
        <v>10480</v>
      </c>
      <c r="BG173" s="7">
        <f t="shared" si="78"/>
        <v>10480</v>
      </c>
      <c r="BH173" s="7">
        <f t="shared" si="78"/>
        <v>10480</v>
      </c>
      <c r="BI173" s="7">
        <f t="shared" si="78"/>
        <v>10480</v>
      </c>
      <c r="BJ173" s="7">
        <f t="shared" si="78"/>
        <v>10480</v>
      </c>
      <c r="BK173" s="7">
        <f t="shared" si="78"/>
        <v>10480</v>
      </c>
      <c r="BL173" s="7">
        <f t="shared" si="78"/>
        <v>10480</v>
      </c>
      <c r="BM173" s="7">
        <f t="shared" si="78"/>
        <v>10480</v>
      </c>
      <c r="BN173" s="7">
        <f t="shared" si="78"/>
        <v>10480</v>
      </c>
      <c r="BO173" s="7">
        <f t="shared" si="78"/>
        <v>10480</v>
      </c>
      <c r="BP173" s="7">
        <f t="shared" si="78"/>
        <v>10480</v>
      </c>
      <c r="BQ173" s="7">
        <f t="shared" si="78"/>
        <v>10480</v>
      </c>
      <c r="BR173" s="7">
        <f t="shared" si="78"/>
        <v>10480</v>
      </c>
      <c r="BS173" s="7">
        <f t="shared" si="78"/>
        <v>10480</v>
      </c>
      <c r="BT173" s="7">
        <f t="shared" si="78"/>
        <v>10480</v>
      </c>
      <c r="BU173" s="7">
        <f t="shared" si="78"/>
        <v>10480</v>
      </c>
      <c r="BV173" s="7">
        <f t="shared" si="78"/>
        <v>10480</v>
      </c>
      <c r="BW173" s="7">
        <f t="shared" si="78"/>
        <v>10480</v>
      </c>
      <c r="BX173" s="7">
        <f t="shared" si="78"/>
        <v>10480</v>
      </c>
      <c r="BY173" s="7">
        <f t="shared" si="78"/>
        <v>10480</v>
      </c>
      <c r="BZ173" s="7">
        <f t="shared" si="78"/>
        <v>10480</v>
      </c>
      <c r="CA173" s="7">
        <f t="shared" si="78"/>
        <v>10480</v>
      </c>
      <c r="CB173" s="7">
        <f t="shared" si="78"/>
        <v>10480</v>
      </c>
      <c r="CC173" s="7">
        <f t="shared" si="78"/>
        <v>10480</v>
      </c>
      <c r="CD173" s="7">
        <f t="shared" si="78"/>
        <v>10480</v>
      </c>
      <c r="CE173" s="7">
        <f t="shared" si="78"/>
        <v>10480</v>
      </c>
      <c r="CF173" s="7">
        <f t="shared" si="78"/>
        <v>10480</v>
      </c>
      <c r="CG173" s="7">
        <f t="shared" si="78"/>
        <v>10480</v>
      </c>
      <c r="CH173" s="7">
        <f t="shared" si="78"/>
        <v>10480</v>
      </c>
      <c r="CI173" s="7">
        <f t="shared" si="78"/>
        <v>10480</v>
      </c>
      <c r="CJ173" s="7">
        <f t="shared" si="78"/>
        <v>10480</v>
      </c>
      <c r="CK173" s="7">
        <f t="shared" si="78"/>
        <v>10480</v>
      </c>
      <c r="CL173" s="7">
        <f t="shared" si="78"/>
        <v>10480</v>
      </c>
      <c r="CM173" s="7">
        <f t="shared" si="78"/>
        <v>10480</v>
      </c>
      <c r="CN173" s="7">
        <f t="shared" si="78"/>
        <v>10480</v>
      </c>
      <c r="CO173" s="7">
        <f t="shared" si="78"/>
        <v>10480</v>
      </c>
      <c r="CP173" s="7">
        <f t="shared" si="78"/>
        <v>10480</v>
      </c>
      <c r="CQ173" s="7">
        <f t="shared" si="78"/>
        <v>10480</v>
      </c>
      <c r="CR173" s="7">
        <f t="shared" si="78"/>
        <v>10480</v>
      </c>
      <c r="CS173" s="7">
        <f t="shared" si="78"/>
        <v>10480</v>
      </c>
      <c r="CT173" s="7">
        <f t="shared" si="78"/>
        <v>10480</v>
      </c>
      <c r="CU173" s="7">
        <f t="shared" si="78"/>
        <v>10480</v>
      </c>
      <c r="CV173" s="7">
        <f t="shared" si="78"/>
        <v>10480</v>
      </c>
      <c r="CW173" s="7">
        <f t="shared" si="78"/>
        <v>10480</v>
      </c>
      <c r="CX173" s="7">
        <f t="shared" si="78"/>
        <v>10480</v>
      </c>
      <c r="CY173" s="7">
        <f t="shared" si="78"/>
        <v>10480</v>
      </c>
      <c r="CZ173" s="7">
        <f t="shared" si="78"/>
        <v>10480</v>
      </c>
      <c r="DA173" s="7">
        <f t="shared" si="78"/>
        <v>10480</v>
      </c>
      <c r="DB173" s="7">
        <f t="shared" si="78"/>
        <v>10480</v>
      </c>
      <c r="DC173" s="7">
        <f t="shared" si="78"/>
        <v>10480</v>
      </c>
      <c r="DD173" s="7">
        <f t="shared" si="78"/>
        <v>10480</v>
      </c>
      <c r="DE173" s="7">
        <f t="shared" si="78"/>
        <v>10480</v>
      </c>
      <c r="DF173" s="7">
        <f t="shared" si="78"/>
        <v>10480</v>
      </c>
      <c r="DG173" s="7">
        <f t="shared" si="78"/>
        <v>10480</v>
      </c>
      <c r="DH173" s="7">
        <f t="shared" si="78"/>
        <v>10480</v>
      </c>
      <c r="DI173" s="7">
        <f t="shared" si="78"/>
        <v>10480</v>
      </c>
      <c r="DJ173" s="7">
        <f t="shared" si="78"/>
        <v>10480</v>
      </c>
      <c r="DK173" s="7">
        <f t="shared" si="78"/>
        <v>10480</v>
      </c>
      <c r="DL173" s="7">
        <f t="shared" si="78"/>
        <v>10480</v>
      </c>
      <c r="DM173" s="7">
        <f t="shared" si="78"/>
        <v>10480</v>
      </c>
      <c r="DN173" s="7">
        <f t="shared" si="78"/>
        <v>10480</v>
      </c>
      <c r="DO173" s="7">
        <f t="shared" si="78"/>
        <v>10480</v>
      </c>
      <c r="DP173" s="7">
        <f t="shared" si="78"/>
        <v>10480</v>
      </c>
      <c r="DQ173" s="7">
        <f t="shared" si="78"/>
        <v>10480</v>
      </c>
      <c r="DR173" s="7">
        <f t="shared" si="78"/>
        <v>10480</v>
      </c>
      <c r="DS173" s="7">
        <f t="shared" si="78"/>
        <v>10480</v>
      </c>
      <c r="DT173" s="7">
        <f t="shared" si="78"/>
        <v>10480</v>
      </c>
      <c r="DU173" s="7">
        <f t="shared" si="78"/>
        <v>10480</v>
      </c>
      <c r="DV173" s="7">
        <f t="shared" si="78"/>
        <v>10480</v>
      </c>
      <c r="DW173" s="7">
        <f t="shared" si="78"/>
        <v>10480</v>
      </c>
      <c r="DX173" s="7">
        <f t="shared" si="78"/>
        <v>10480</v>
      </c>
      <c r="DY173" s="7">
        <f t="shared" si="78"/>
        <v>10480</v>
      </c>
      <c r="DZ173" s="7">
        <f t="shared" si="78"/>
        <v>10480</v>
      </c>
      <c r="EA173" s="7">
        <f t="shared" si="78"/>
        <v>10480</v>
      </c>
      <c r="EB173" s="7">
        <f t="shared" si="78"/>
        <v>10480</v>
      </c>
      <c r="EC173" s="7">
        <f t="shared" si="78"/>
        <v>10480</v>
      </c>
      <c r="ED173" s="7">
        <f t="shared" si="78"/>
        <v>10480</v>
      </c>
      <c r="EE173" s="7">
        <f t="shared" si="78"/>
        <v>10480</v>
      </c>
      <c r="EF173" s="7">
        <f t="shared" si="78"/>
        <v>10480</v>
      </c>
      <c r="EG173" s="7">
        <f t="shared" si="78"/>
        <v>10480</v>
      </c>
      <c r="EH173" s="7">
        <f t="shared" si="78"/>
        <v>10480</v>
      </c>
      <c r="EI173" s="7">
        <f t="shared" si="78"/>
        <v>10480</v>
      </c>
      <c r="EJ173" s="7">
        <f t="shared" si="78"/>
        <v>10480</v>
      </c>
      <c r="EK173" s="7">
        <f t="shared" si="78"/>
        <v>10480</v>
      </c>
      <c r="EL173" s="7">
        <f t="shared" si="78"/>
        <v>10480</v>
      </c>
      <c r="EM173" s="7">
        <f t="shared" si="78"/>
        <v>10480</v>
      </c>
      <c r="EN173" s="7">
        <f t="shared" si="78"/>
        <v>10480</v>
      </c>
      <c r="EO173" s="7">
        <f t="shared" si="78"/>
        <v>10480</v>
      </c>
      <c r="EP173" s="7">
        <f t="shared" si="78"/>
        <v>10480</v>
      </c>
      <c r="EQ173" s="7">
        <f t="shared" si="78"/>
        <v>10480</v>
      </c>
      <c r="ER173" s="7">
        <f t="shared" si="78"/>
        <v>10480</v>
      </c>
      <c r="ES173" s="7">
        <f t="shared" si="78"/>
        <v>10480</v>
      </c>
      <c r="ET173" s="7">
        <f t="shared" si="78"/>
        <v>10480</v>
      </c>
      <c r="EU173" s="7">
        <f t="shared" si="78"/>
        <v>10480</v>
      </c>
      <c r="EV173" s="7">
        <f t="shared" si="78"/>
        <v>10480</v>
      </c>
      <c r="EW173" s="7">
        <f t="shared" si="78"/>
        <v>10480</v>
      </c>
      <c r="EX173" s="7">
        <f t="shared" si="78"/>
        <v>10480</v>
      </c>
      <c r="EY173" s="7">
        <f t="shared" si="78"/>
        <v>10480</v>
      </c>
      <c r="EZ173" s="7">
        <f t="shared" si="78"/>
        <v>10480</v>
      </c>
      <c r="FA173" s="7">
        <f t="shared" si="78"/>
        <v>10480</v>
      </c>
      <c r="FB173" s="7">
        <f t="shared" si="78"/>
        <v>10480</v>
      </c>
      <c r="FC173" s="7">
        <f t="shared" si="78"/>
        <v>10480</v>
      </c>
      <c r="FD173" s="7">
        <f t="shared" si="78"/>
        <v>10480</v>
      </c>
      <c r="FE173" s="7">
        <f t="shared" si="78"/>
        <v>10480</v>
      </c>
      <c r="FF173" s="7">
        <f t="shared" si="78"/>
        <v>10480</v>
      </c>
      <c r="FG173" s="7">
        <f t="shared" si="78"/>
        <v>10480</v>
      </c>
      <c r="FH173" s="7">
        <f t="shared" si="78"/>
        <v>10480</v>
      </c>
      <c r="FI173" s="7">
        <f t="shared" si="78"/>
        <v>10480</v>
      </c>
      <c r="FJ173" s="7">
        <f t="shared" si="78"/>
        <v>10480</v>
      </c>
      <c r="FK173" s="7">
        <f t="shared" si="78"/>
        <v>10480</v>
      </c>
      <c r="FL173" s="7">
        <f t="shared" si="78"/>
        <v>10480</v>
      </c>
      <c r="FM173" s="7">
        <f t="shared" si="78"/>
        <v>10480</v>
      </c>
      <c r="FN173" s="7">
        <f t="shared" si="78"/>
        <v>10480</v>
      </c>
      <c r="FO173" s="7">
        <f t="shared" si="78"/>
        <v>10480</v>
      </c>
      <c r="FP173" s="7">
        <f t="shared" si="78"/>
        <v>10480</v>
      </c>
      <c r="FQ173" s="7">
        <f t="shared" si="78"/>
        <v>10480</v>
      </c>
      <c r="FR173" s="7">
        <f t="shared" si="78"/>
        <v>10480</v>
      </c>
      <c r="FS173" s="7">
        <f t="shared" si="78"/>
        <v>10480</v>
      </c>
      <c r="FT173" s="7">
        <f t="shared" si="78"/>
        <v>10480</v>
      </c>
      <c r="FU173" s="7">
        <f t="shared" si="78"/>
        <v>10480</v>
      </c>
      <c r="FV173" s="7">
        <f t="shared" si="78"/>
        <v>10480</v>
      </c>
      <c r="FW173" s="7">
        <f t="shared" si="78"/>
        <v>10480</v>
      </c>
      <c r="FX173" s="7">
        <f t="shared" si="78"/>
        <v>10480</v>
      </c>
      <c r="FY173" s="7"/>
      <c r="FZ173" s="7">
        <f>AVERAGE(C173:FX173)</f>
        <v>10480</v>
      </c>
      <c r="GA173" s="7"/>
      <c r="GB173" s="23"/>
      <c r="GC173" s="23"/>
      <c r="GD173" s="23"/>
      <c r="GE173" s="7"/>
      <c r="GF173" s="7"/>
      <c r="GG173" s="7"/>
      <c r="GH173" s="7"/>
      <c r="GI173" s="7"/>
      <c r="GJ173" s="7"/>
      <c r="GK173" s="7"/>
    </row>
    <row r="174" spans="1:193" ht="15.5" x14ac:dyDescent="0.35">
      <c r="A174" s="12" t="s">
        <v>909</v>
      </c>
      <c r="B174" s="7" t="s">
        <v>910</v>
      </c>
      <c r="C174" s="7">
        <f t="shared" ref="C174:FX174" si="79">ROUND(C173*C172,2)</f>
        <v>1592960</v>
      </c>
      <c r="D174" s="7">
        <f t="shared" si="79"/>
        <v>5229520</v>
      </c>
      <c r="E174" s="7">
        <f t="shared" si="79"/>
        <v>0</v>
      </c>
      <c r="F174" s="7">
        <f t="shared" si="79"/>
        <v>21284880</v>
      </c>
      <c r="G174" s="7">
        <f t="shared" si="79"/>
        <v>0</v>
      </c>
      <c r="H174" s="7">
        <f t="shared" si="79"/>
        <v>0</v>
      </c>
      <c r="I174" s="7">
        <f t="shared" si="79"/>
        <v>0</v>
      </c>
      <c r="J174" s="7">
        <f t="shared" si="79"/>
        <v>0</v>
      </c>
      <c r="K174" s="7">
        <f t="shared" si="79"/>
        <v>0</v>
      </c>
      <c r="L174" s="7">
        <f t="shared" si="79"/>
        <v>0</v>
      </c>
      <c r="M174" s="7">
        <f t="shared" si="79"/>
        <v>0</v>
      </c>
      <c r="N174" s="7">
        <f t="shared" si="79"/>
        <v>0</v>
      </c>
      <c r="O174" s="7">
        <f t="shared" si="79"/>
        <v>0</v>
      </c>
      <c r="P174" s="7">
        <f t="shared" si="79"/>
        <v>0</v>
      </c>
      <c r="Q174" s="7">
        <f t="shared" si="79"/>
        <v>0</v>
      </c>
      <c r="R174" s="7">
        <f t="shared" si="79"/>
        <v>69356640</v>
      </c>
      <c r="S174" s="7">
        <f t="shared" si="79"/>
        <v>146720</v>
      </c>
      <c r="T174" s="7">
        <f t="shared" si="79"/>
        <v>0</v>
      </c>
      <c r="U174" s="7">
        <f t="shared" si="79"/>
        <v>0</v>
      </c>
      <c r="V174" s="7">
        <f t="shared" si="79"/>
        <v>0</v>
      </c>
      <c r="W174" s="7">
        <f t="shared" si="79"/>
        <v>0</v>
      </c>
      <c r="X174" s="7">
        <f t="shared" si="79"/>
        <v>0</v>
      </c>
      <c r="Y174" s="7">
        <f t="shared" si="79"/>
        <v>4962280</v>
      </c>
      <c r="Z174" s="7">
        <f t="shared" si="79"/>
        <v>0</v>
      </c>
      <c r="AA174" s="7">
        <f t="shared" si="79"/>
        <v>3526520</v>
      </c>
      <c r="AB174" s="7">
        <f t="shared" si="79"/>
        <v>2347520</v>
      </c>
      <c r="AC174" s="7">
        <f t="shared" si="79"/>
        <v>0</v>
      </c>
      <c r="AD174" s="7">
        <f t="shared" si="79"/>
        <v>0</v>
      </c>
      <c r="AE174" s="7">
        <f t="shared" si="79"/>
        <v>0</v>
      </c>
      <c r="AF174" s="7">
        <f t="shared" si="79"/>
        <v>0</v>
      </c>
      <c r="AG174" s="7">
        <f t="shared" si="79"/>
        <v>0</v>
      </c>
      <c r="AH174" s="7">
        <f t="shared" si="79"/>
        <v>0</v>
      </c>
      <c r="AI174" s="7">
        <f t="shared" si="79"/>
        <v>0</v>
      </c>
      <c r="AJ174" s="7">
        <f t="shared" si="79"/>
        <v>0</v>
      </c>
      <c r="AK174" s="7">
        <f t="shared" si="79"/>
        <v>0</v>
      </c>
      <c r="AL174" s="7">
        <f t="shared" si="79"/>
        <v>0</v>
      </c>
      <c r="AM174" s="7">
        <f t="shared" si="79"/>
        <v>0</v>
      </c>
      <c r="AN174" s="7">
        <f t="shared" si="79"/>
        <v>0</v>
      </c>
      <c r="AO174" s="7">
        <f t="shared" si="79"/>
        <v>3882840</v>
      </c>
      <c r="AP174" s="7">
        <f t="shared" si="79"/>
        <v>6240840</v>
      </c>
      <c r="AQ174" s="7">
        <f t="shared" si="79"/>
        <v>0</v>
      </c>
      <c r="AR174" s="7">
        <f t="shared" si="79"/>
        <v>13655440</v>
      </c>
      <c r="AS174" s="7">
        <f t="shared" si="79"/>
        <v>0</v>
      </c>
      <c r="AT174" s="7">
        <f t="shared" si="79"/>
        <v>0</v>
      </c>
      <c r="AU174" s="7">
        <f t="shared" si="79"/>
        <v>0</v>
      </c>
      <c r="AV174" s="7">
        <f t="shared" si="79"/>
        <v>0</v>
      </c>
      <c r="AW174" s="7">
        <f t="shared" si="79"/>
        <v>0</v>
      </c>
      <c r="AX174" s="7">
        <f t="shared" si="79"/>
        <v>0</v>
      </c>
      <c r="AY174" s="7">
        <f t="shared" si="79"/>
        <v>0</v>
      </c>
      <c r="AZ174" s="7">
        <f t="shared" si="79"/>
        <v>1027040</v>
      </c>
      <c r="BA174" s="7">
        <f t="shared" si="79"/>
        <v>2515200</v>
      </c>
      <c r="BB174" s="7">
        <f t="shared" si="79"/>
        <v>0</v>
      </c>
      <c r="BC174" s="7">
        <f t="shared" si="79"/>
        <v>4978000</v>
      </c>
      <c r="BD174" s="7">
        <f t="shared" si="79"/>
        <v>0</v>
      </c>
      <c r="BE174" s="7">
        <f t="shared" si="79"/>
        <v>0</v>
      </c>
      <c r="BF174" s="7">
        <f t="shared" si="79"/>
        <v>12518360</v>
      </c>
      <c r="BG174" s="7">
        <f t="shared" si="79"/>
        <v>0</v>
      </c>
      <c r="BH174" s="7">
        <f t="shared" si="79"/>
        <v>293440</v>
      </c>
      <c r="BI174" s="7">
        <f t="shared" si="79"/>
        <v>0</v>
      </c>
      <c r="BJ174" s="7">
        <f t="shared" si="79"/>
        <v>0</v>
      </c>
      <c r="BK174" s="7">
        <f t="shared" si="79"/>
        <v>138079240</v>
      </c>
      <c r="BL174" s="7">
        <f t="shared" si="79"/>
        <v>0</v>
      </c>
      <c r="BM174" s="7">
        <f t="shared" si="79"/>
        <v>0</v>
      </c>
      <c r="BN174" s="7">
        <f t="shared" si="79"/>
        <v>0</v>
      </c>
      <c r="BO174" s="7">
        <f t="shared" si="79"/>
        <v>0</v>
      </c>
      <c r="BP174" s="7">
        <f t="shared" si="79"/>
        <v>0</v>
      </c>
      <c r="BQ174" s="7">
        <f t="shared" si="79"/>
        <v>0</v>
      </c>
      <c r="BR174" s="7">
        <f t="shared" si="79"/>
        <v>0</v>
      </c>
      <c r="BS174" s="7">
        <f t="shared" si="79"/>
        <v>0</v>
      </c>
      <c r="BT174" s="7">
        <f t="shared" si="79"/>
        <v>0</v>
      </c>
      <c r="BU174" s="7">
        <f t="shared" si="79"/>
        <v>0</v>
      </c>
      <c r="BV174" s="7">
        <f t="shared" si="79"/>
        <v>0</v>
      </c>
      <c r="BW174" s="7">
        <f t="shared" si="79"/>
        <v>0</v>
      </c>
      <c r="BX174" s="7">
        <f t="shared" si="79"/>
        <v>0</v>
      </c>
      <c r="BY174" s="7">
        <f t="shared" si="79"/>
        <v>0</v>
      </c>
      <c r="BZ174" s="7">
        <f t="shared" si="79"/>
        <v>0</v>
      </c>
      <c r="CA174" s="7">
        <f t="shared" si="79"/>
        <v>0</v>
      </c>
      <c r="CB174" s="7">
        <f t="shared" si="79"/>
        <v>8546440</v>
      </c>
      <c r="CC174" s="7">
        <f t="shared" si="79"/>
        <v>0</v>
      </c>
      <c r="CD174" s="7">
        <f t="shared" si="79"/>
        <v>0</v>
      </c>
      <c r="CE174" s="7">
        <f t="shared" si="79"/>
        <v>0</v>
      </c>
      <c r="CF174" s="7">
        <f t="shared" si="79"/>
        <v>0</v>
      </c>
      <c r="CG174" s="7">
        <f t="shared" si="79"/>
        <v>0</v>
      </c>
      <c r="CH174" s="7">
        <f t="shared" si="79"/>
        <v>0</v>
      </c>
      <c r="CI174" s="7">
        <f t="shared" si="79"/>
        <v>0</v>
      </c>
      <c r="CJ174" s="7">
        <f t="shared" si="79"/>
        <v>0</v>
      </c>
      <c r="CK174" s="7">
        <f t="shared" si="79"/>
        <v>246280</v>
      </c>
      <c r="CL174" s="7">
        <f t="shared" si="79"/>
        <v>57640</v>
      </c>
      <c r="CM174" s="7">
        <f t="shared" si="79"/>
        <v>20960</v>
      </c>
      <c r="CN174" s="7">
        <f t="shared" si="79"/>
        <v>6937760</v>
      </c>
      <c r="CO174" s="7">
        <f t="shared" si="79"/>
        <v>0</v>
      </c>
      <c r="CP174" s="7">
        <f t="shared" si="79"/>
        <v>0</v>
      </c>
      <c r="CQ174" s="7">
        <f t="shared" si="79"/>
        <v>0</v>
      </c>
      <c r="CR174" s="7">
        <f t="shared" si="79"/>
        <v>0</v>
      </c>
      <c r="CS174" s="7">
        <f t="shared" si="79"/>
        <v>0</v>
      </c>
      <c r="CT174" s="7">
        <f t="shared" si="79"/>
        <v>0</v>
      </c>
      <c r="CU174" s="7">
        <f t="shared" si="79"/>
        <v>4150080</v>
      </c>
      <c r="CV174" s="7">
        <f t="shared" si="79"/>
        <v>0</v>
      </c>
      <c r="CW174" s="7">
        <f t="shared" si="79"/>
        <v>0</v>
      </c>
      <c r="CX174" s="7">
        <f t="shared" si="79"/>
        <v>0</v>
      </c>
      <c r="CY174" s="7">
        <f t="shared" si="79"/>
        <v>0</v>
      </c>
      <c r="CZ174" s="7">
        <f t="shared" si="79"/>
        <v>0</v>
      </c>
      <c r="DA174" s="7">
        <f t="shared" si="79"/>
        <v>0</v>
      </c>
      <c r="DB174" s="7">
        <f t="shared" si="79"/>
        <v>0</v>
      </c>
      <c r="DC174" s="7">
        <f t="shared" si="79"/>
        <v>0</v>
      </c>
      <c r="DD174" s="7">
        <f t="shared" si="79"/>
        <v>0</v>
      </c>
      <c r="DE174" s="7">
        <f t="shared" si="79"/>
        <v>0</v>
      </c>
      <c r="DF174" s="7">
        <f t="shared" si="79"/>
        <v>0</v>
      </c>
      <c r="DG174" s="7">
        <f t="shared" si="79"/>
        <v>0</v>
      </c>
      <c r="DH174" s="7">
        <f t="shared" si="79"/>
        <v>0</v>
      </c>
      <c r="DI174" s="7">
        <f t="shared" si="79"/>
        <v>41920</v>
      </c>
      <c r="DJ174" s="7">
        <f t="shared" si="79"/>
        <v>10480</v>
      </c>
      <c r="DK174" s="7">
        <f t="shared" si="79"/>
        <v>10480</v>
      </c>
      <c r="DL174" s="7">
        <f t="shared" si="79"/>
        <v>0</v>
      </c>
      <c r="DM174" s="7">
        <f t="shared" si="79"/>
        <v>0</v>
      </c>
      <c r="DN174" s="7">
        <f t="shared" si="79"/>
        <v>0</v>
      </c>
      <c r="DO174" s="7">
        <f t="shared" si="79"/>
        <v>0</v>
      </c>
      <c r="DP174" s="7">
        <f t="shared" si="79"/>
        <v>0</v>
      </c>
      <c r="DQ174" s="7">
        <f t="shared" si="79"/>
        <v>0</v>
      </c>
      <c r="DR174" s="7">
        <f t="shared" si="79"/>
        <v>0</v>
      </c>
      <c r="DS174" s="7">
        <f t="shared" si="79"/>
        <v>0</v>
      </c>
      <c r="DT174" s="7">
        <f t="shared" si="79"/>
        <v>0</v>
      </c>
      <c r="DU174" s="7">
        <f t="shared" si="79"/>
        <v>0</v>
      </c>
      <c r="DV174" s="7">
        <f t="shared" si="79"/>
        <v>0</v>
      </c>
      <c r="DW174" s="7">
        <f t="shared" si="79"/>
        <v>0</v>
      </c>
      <c r="DX174" s="7">
        <f t="shared" si="79"/>
        <v>0</v>
      </c>
      <c r="DY174" s="7">
        <f t="shared" si="79"/>
        <v>0</v>
      </c>
      <c r="DZ174" s="7">
        <f t="shared" si="79"/>
        <v>0</v>
      </c>
      <c r="EA174" s="7">
        <f t="shared" si="79"/>
        <v>0</v>
      </c>
      <c r="EB174" s="7">
        <f t="shared" si="79"/>
        <v>0</v>
      </c>
      <c r="EC174" s="7">
        <f t="shared" si="79"/>
        <v>0</v>
      </c>
      <c r="ED174" s="7">
        <f t="shared" si="79"/>
        <v>0</v>
      </c>
      <c r="EE174" s="7">
        <f t="shared" si="79"/>
        <v>0</v>
      </c>
      <c r="EF174" s="7">
        <f t="shared" si="79"/>
        <v>0</v>
      </c>
      <c r="EG174" s="7">
        <f t="shared" si="79"/>
        <v>0</v>
      </c>
      <c r="EH174" s="7">
        <f t="shared" si="79"/>
        <v>0</v>
      </c>
      <c r="EI174" s="7">
        <f t="shared" si="79"/>
        <v>0</v>
      </c>
      <c r="EJ174" s="7">
        <f t="shared" si="79"/>
        <v>2174600</v>
      </c>
      <c r="EK174" s="7">
        <f t="shared" si="79"/>
        <v>0</v>
      </c>
      <c r="EL174" s="7">
        <f t="shared" si="79"/>
        <v>0</v>
      </c>
      <c r="EM174" s="7">
        <f t="shared" si="79"/>
        <v>0</v>
      </c>
      <c r="EN174" s="7">
        <f t="shared" si="79"/>
        <v>450640</v>
      </c>
      <c r="EO174" s="7">
        <f t="shared" si="79"/>
        <v>0</v>
      </c>
      <c r="EP174" s="7">
        <f t="shared" si="79"/>
        <v>0</v>
      </c>
      <c r="EQ174" s="7">
        <f t="shared" si="79"/>
        <v>0</v>
      </c>
      <c r="ER174" s="7">
        <f t="shared" si="79"/>
        <v>0</v>
      </c>
      <c r="ES174" s="7">
        <f t="shared" si="79"/>
        <v>0</v>
      </c>
      <c r="ET174" s="7">
        <f t="shared" si="79"/>
        <v>0</v>
      </c>
      <c r="EU174" s="7">
        <f t="shared" si="79"/>
        <v>0</v>
      </c>
      <c r="EV174" s="7">
        <f t="shared" si="79"/>
        <v>0</v>
      </c>
      <c r="EW174" s="7">
        <f t="shared" si="79"/>
        <v>0</v>
      </c>
      <c r="EX174" s="7">
        <f t="shared" si="79"/>
        <v>0</v>
      </c>
      <c r="EY174" s="7">
        <f t="shared" si="79"/>
        <v>4716000</v>
      </c>
      <c r="EZ174" s="7">
        <f t="shared" si="79"/>
        <v>0</v>
      </c>
      <c r="FA174" s="7">
        <f t="shared" si="79"/>
        <v>0</v>
      </c>
      <c r="FB174" s="7">
        <f t="shared" si="79"/>
        <v>0</v>
      </c>
      <c r="FC174" s="7">
        <f t="shared" si="79"/>
        <v>0</v>
      </c>
      <c r="FD174" s="7">
        <f t="shared" si="79"/>
        <v>0</v>
      </c>
      <c r="FE174" s="7">
        <f t="shared" si="79"/>
        <v>0</v>
      </c>
      <c r="FF174" s="7">
        <f t="shared" si="79"/>
        <v>0</v>
      </c>
      <c r="FG174" s="7">
        <f t="shared" si="79"/>
        <v>0</v>
      </c>
      <c r="FH174" s="7">
        <f t="shared" si="79"/>
        <v>0</v>
      </c>
      <c r="FI174" s="7">
        <f t="shared" si="79"/>
        <v>0</v>
      </c>
      <c r="FJ174" s="7">
        <f t="shared" si="79"/>
        <v>0</v>
      </c>
      <c r="FK174" s="7">
        <f t="shared" si="79"/>
        <v>0</v>
      </c>
      <c r="FL174" s="7">
        <f t="shared" si="79"/>
        <v>0</v>
      </c>
      <c r="FM174" s="7">
        <f t="shared" si="79"/>
        <v>0</v>
      </c>
      <c r="FN174" s="7">
        <f t="shared" si="79"/>
        <v>2667160</v>
      </c>
      <c r="FO174" s="7">
        <f t="shared" si="79"/>
        <v>0</v>
      </c>
      <c r="FP174" s="7">
        <f t="shared" si="79"/>
        <v>0</v>
      </c>
      <c r="FQ174" s="7">
        <f t="shared" si="79"/>
        <v>0</v>
      </c>
      <c r="FR174" s="7">
        <f t="shared" si="79"/>
        <v>0</v>
      </c>
      <c r="FS174" s="7">
        <f t="shared" si="79"/>
        <v>0</v>
      </c>
      <c r="FT174" s="7">
        <f t="shared" si="79"/>
        <v>0</v>
      </c>
      <c r="FU174" s="7">
        <f t="shared" si="79"/>
        <v>0</v>
      </c>
      <c r="FV174" s="7">
        <f t="shared" si="79"/>
        <v>0</v>
      </c>
      <c r="FW174" s="7">
        <f t="shared" si="79"/>
        <v>0</v>
      </c>
      <c r="FX174" s="7">
        <f t="shared" si="79"/>
        <v>0</v>
      </c>
      <c r="FY174" s="25"/>
      <c r="FZ174" s="7">
        <f>SUM(C174:FX174)</f>
        <v>321667880</v>
      </c>
      <c r="GA174" s="7"/>
      <c r="GB174" s="47"/>
      <c r="GC174" s="47"/>
      <c r="GD174" s="47"/>
      <c r="GE174" s="7"/>
      <c r="GF174" s="7"/>
      <c r="GG174" s="7"/>
      <c r="GH174" s="7"/>
      <c r="GI174" s="7"/>
      <c r="GJ174" s="7"/>
      <c r="GK174" s="7"/>
    </row>
    <row r="175" spans="1:193" ht="15.5" x14ac:dyDescent="0.35">
      <c r="A175" s="12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</row>
    <row r="176" spans="1:193" ht="15.5" x14ac:dyDescent="0.35">
      <c r="A176" s="12" t="s">
        <v>911</v>
      </c>
      <c r="B176" s="7" t="s">
        <v>912</v>
      </c>
      <c r="C176" s="7">
        <f t="shared" ref="C176:FX176" si="80">C13+C14+C34</f>
        <v>0</v>
      </c>
      <c r="D176" s="7">
        <f t="shared" si="80"/>
        <v>39.5</v>
      </c>
      <c r="E176" s="7">
        <f t="shared" si="80"/>
        <v>0</v>
      </c>
      <c r="F176" s="7">
        <f t="shared" si="80"/>
        <v>3</v>
      </c>
      <c r="G176" s="7">
        <f t="shared" si="80"/>
        <v>0</v>
      </c>
      <c r="H176" s="7">
        <f t="shared" si="80"/>
        <v>0</v>
      </c>
      <c r="I176" s="7">
        <f t="shared" si="80"/>
        <v>6</v>
      </c>
      <c r="J176" s="7">
        <f t="shared" si="80"/>
        <v>0</v>
      </c>
      <c r="K176" s="7">
        <f t="shared" si="80"/>
        <v>0</v>
      </c>
      <c r="L176" s="7">
        <f t="shared" si="80"/>
        <v>0</v>
      </c>
      <c r="M176" s="7">
        <f t="shared" si="80"/>
        <v>0</v>
      </c>
      <c r="N176" s="7">
        <f t="shared" si="80"/>
        <v>35.5</v>
      </c>
      <c r="O176" s="7">
        <f t="shared" si="80"/>
        <v>8</v>
      </c>
      <c r="P176" s="7">
        <f t="shared" si="80"/>
        <v>0</v>
      </c>
      <c r="Q176" s="7">
        <f t="shared" si="80"/>
        <v>9.5</v>
      </c>
      <c r="R176" s="7">
        <f t="shared" si="80"/>
        <v>0</v>
      </c>
      <c r="S176" s="7">
        <f t="shared" si="80"/>
        <v>0</v>
      </c>
      <c r="T176" s="7">
        <f t="shared" si="80"/>
        <v>0</v>
      </c>
      <c r="U176" s="7">
        <f t="shared" si="80"/>
        <v>0</v>
      </c>
      <c r="V176" s="7">
        <f t="shared" si="80"/>
        <v>0</v>
      </c>
      <c r="W176" s="7">
        <f t="shared" si="80"/>
        <v>0</v>
      </c>
      <c r="X176" s="7">
        <f t="shared" si="80"/>
        <v>0</v>
      </c>
      <c r="Y176" s="7">
        <f t="shared" si="80"/>
        <v>0</v>
      </c>
      <c r="Z176" s="7">
        <f t="shared" si="80"/>
        <v>0</v>
      </c>
      <c r="AA176" s="7">
        <f t="shared" si="80"/>
        <v>48.5</v>
      </c>
      <c r="AB176" s="7">
        <f t="shared" si="80"/>
        <v>2</v>
      </c>
      <c r="AC176" s="7">
        <f t="shared" si="80"/>
        <v>0</v>
      </c>
      <c r="AD176" s="7">
        <f t="shared" si="80"/>
        <v>0</v>
      </c>
      <c r="AE176" s="7">
        <f t="shared" si="80"/>
        <v>0</v>
      </c>
      <c r="AF176" s="7">
        <f t="shared" si="80"/>
        <v>0</v>
      </c>
      <c r="AG176" s="7">
        <f t="shared" si="80"/>
        <v>0</v>
      </c>
      <c r="AH176" s="7">
        <f t="shared" si="80"/>
        <v>0</v>
      </c>
      <c r="AI176" s="7">
        <f t="shared" si="80"/>
        <v>0</v>
      </c>
      <c r="AJ176" s="7">
        <f t="shared" si="80"/>
        <v>0</v>
      </c>
      <c r="AK176" s="7">
        <f t="shared" si="80"/>
        <v>0</v>
      </c>
      <c r="AL176" s="7">
        <f t="shared" si="80"/>
        <v>0</v>
      </c>
      <c r="AM176" s="7">
        <f t="shared" si="80"/>
        <v>0</v>
      </c>
      <c r="AN176" s="7">
        <f t="shared" si="80"/>
        <v>0</v>
      </c>
      <c r="AO176" s="7">
        <f t="shared" si="80"/>
        <v>0</v>
      </c>
      <c r="AP176" s="7">
        <f t="shared" si="80"/>
        <v>14.5</v>
      </c>
      <c r="AQ176" s="7">
        <f t="shared" si="80"/>
        <v>0.5</v>
      </c>
      <c r="AR176" s="7">
        <f t="shared" si="80"/>
        <v>10</v>
      </c>
      <c r="AS176" s="7">
        <f t="shared" si="80"/>
        <v>1</v>
      </c>
      <c r="AT176" s="7">
        <f t="shared" si="80"/>
        <v>1</v>
      </c>
      <c r="AU176" s="7">
        <f t="shared" si="80"/>
        <v>0</v>
      </c>
      <c r="AV176" s="7">
        <f t="shared" si="80"/>
        <v>0</v>
      </c>
      <c r="AW176" s="7">
        <f t="shared" si="80"/>
        <v>0</v>
      </c>
      <c r="AX176" s="7">
        <f t="shared" si="80"/>
        <v>0</v>
      </c>
      <c r="AY176" s="7">
        <f t="shared" si="80"/>
        <v>0</v>
      </c>
      <c r="AZ176" s="7">
        <f t="shared" si="80"/>
        <v>0</v>
      </c>
      <c r="BA176" s="7">
        <f t="shared" si="80"/>
        <v>0</v>
      </c>
      <c r="BB176" s="7">
        <f t="shared" si="80"/>
        <v>1</v>
      </c>
      <c r="BC176" s="7">
        <f t="shared" si="80"/>
        <v>21.5</v>
      </c>
      <c r="BD176" s="7">
        <f t="shared" si="80"/>
        <v>0</v>
      </c>
      <c r="BE176" s="7">
        <f t="shared" si="80"/>
        <v>0</v>
      </c>
      <c r="BF176" s="7">
        <f t="shared" si="80"/>
        <v>2</v>
      </c>
      <c r="BG176" s="7">
        <f t="shared" si="80"/>
        <v>0</v>
      </c>
      <c r="BH176" s="7">
        <f t="shared" si="80"/>
        <v>0</v>
      </c>
      <c r="BI176" s="7">
        <f t="shared" si="80"/>
        <v>0</v>
      </c>
      <c r="BJ176" s="7">
        <f t="shared" si="80"/>
        <v>2</v>
      </c>
      <c r="BK176" s="7">
        <f t="shared" si="80"/>
        <v>26</v>
      </c>
      <c r="BL176" s="7">
        <f t="shared" si="80"/>
        <v>2</v>
      </c>
      <c r="BM176" s="7">
        <f t="shared" si="80"/>
        <v>0</v>
      </c>
      <c r="BN176" s="7">
        <f t="shared" si="80"/>
        <v>15</v>
      </c>
      <c r="BO176" s="7">
        <f t="shared" si="80"/>
        <v>0</v>
      </c>
      <c r="BP176" s="7">
        <f t="shared" si="80"/>
        <v>0</v>
      </c>
      <c r="BQ176" s="7">
        <f t="shared" si="80"/>
        <v>1</v>
      </c>
      <c r="BR176" s="7">
        <f t="shared" si="80"/>
        <v>0</v>
      </c>
      <c r="BS176" s="7">
        <f t="shared" si="80"/>
        <v>0</v>
      </c>
      <c r="BT176" s="7">
        <f t="shared" si="80"/>
        <v>0</v>
      </c>
      <c r="BU176" s="7">
        <f t="shared" si="80"/>
        <v>0</v>
      </c>
      <c r="BV176" s="7">
        <f t="shared" si="80"/>
        <v>0</v>
      </c>
      <c r="BW176" s="7">
        <f t="shared" si="80"/>
        <v>0</v>
      </c>
      <c r="BX176" s="7">
        <f t="shared" si="80"/>
        <v>0</v>
      </c>
      <c r="BY176" s="7">
        <f t="shared" si="80"/>
        <v>3</v>
      </c>
      <c r="BZ176" s="7">
        <f t="shared" si="80"/>
        <v>0</v>
      </c>
      <c r="CA176" s="7">
        <f t="shared" si="80"/>
        <v>0</v>
      </c>
      <c r="CB176" s="7">
        <f t="shared" si="80"/>
        <v>18.5</v>
      </c>
      <c r="CC176" s="7">
        <f t="shared" si="80"/>
        <v>0</v>
      </c>
      <c r="CD176" s="7">
        <f t="shared" si="80"/>
        <v>0</v>
      </c>
      <c r="CE176" s="7">
        <f t="shared" si="80"/>
        <v>0</v>
      </c>
      <c r="CF176" s="7">
        <f t="shared" si="80"/>
        <v>0</v>
      </c>
      <c r="CG176" s="7">
        <f t="shared" si="80"/>
        <v>0</v>
      </c>
      <c r="CH176" s="7">
        <f t="shared" si="80"/>
        <v>0</v>
      </c>
      <c r="CI176" s="7">
        <f t="shared" si="80"/>
        <v>0</v>
      </c>
      <c r="CJ176" s="7">
        <f t="shared" si="80"/>
        <v>1</v>
      </c>
      <c r="CK176" s="7">
        <f t="shared" si="80"/>
        <v>0</v>
      </c>
      <c r="CL176" s="7">
        <f t="shared" si="80"/>
        <v>0</v>
      </c>
      <c r="CM176" s="7">
        <f t="shared" si="80"/>
        <v>0</v>
      </c>
      <c r="CN176" s="7">
        <f t="shared" si="80"/>
        <v>30.5</v>
      </c>
      <c r="CO176" s="7">
        <f t="shared" si="80"/>
        <v>3</v>
      </c>
      <c r="CP176" s="7">
        <f t="shared" si="80"/>
        <v>2</v>
      </c>
      <c r="CQ176" s="7">
        <f t="shared" si="80"/>
        <v>0</v>
      </c>
      <c r="CR176" s="7">
        <f t="shared" si="80"/>
        <v>0</v>
      </c>
      <c r="CS176" s="7">
        <f t="shared" si="80"/>
        <v>0</v>
      </c>
      <c r="CT176" s="7">
        <f t="shared" si="80"/>
        <v>0</v>
      </c>
      <c r="CU176" s="7">
        <f t="shared" si="80"/>
        <v>0</v>
      </c>
      <c r="CV176" s="7">
        <f t="shared" si="80"/>
        <v>0</v>
      </c>
      <c r="CW176" s="7">
        <f t="shared" si="80"/>
        <v>0</v>
      </c>
      <c r="CX176" s="7">
        <f t="shared" si="80"/>
        <v>0</v>
      </c>
      <c r="CY176" s="7">
        <f t="shared" si="80"/>
        <v>0</v>
      </c>
      <c r="CZ176" s="7">
        <f t="shared" si="80"/>
        <v>0</v>
      </c>
      <c r="DA176" s="7">
        <f t="shared" si="80"/>
        <v>0</v>
      </c>
      <c r="DB176" s="7">
        <f t="shared" si="80"/>
        <v>0</v>
      </c>
      <c r="DC176" s="7">
        <f t="shared" si="80"/>
        <v>0</v>
      </c>
      <c r="DD176" s="7">
        <f t="shared" si="80"/>
        <v>0</v>
      </c>
      <c r="DE176" s="7">
        <f t="shared" si="80"/>
        <v>0</v>
      </c>
      <c r="DF176" s="7">
        <f t="shared" si="80"/>
        <v>30</v>
      </c>
      <c r="DG176" s="7">
        <f t="shared" si="80"/>
        <v>0</v>
      </c>
      <c r="DH176" s="7">
        <f t="shared" si="80"/>
        <v>0</v>
      </c>
      <c r="DI176" s="7">
        <f t="shared" si="80"/>
        <v>0</v>
      </c>
      <c r="DJ176" s="7">
        <f t="shared" si="80"/>
        <v>0</v>
      </c>
      <c r="DK176" s="7">
        <f t="shared" si="80"/>
        <v>0</v>
      </c>
      <c r="DL176" s="7">
        <f t="shared" si="80"/>
        <v>0</v>
      </c>
      <c r="DM176" s="7">
        <f t="shared" si="80"/>
        <v>0</v>
      </c>
      <c r="DN176" s="7">
        <f t="shared" si="80"/>
        <v>0.5</v>
      </c>
      <c r="DO176" s="7">
        <f t="shared" si="80"/>
        <v>1</v>
      </c>
      <c r="DP176" s="7">
        <f t="shared" si="80"/>
        <v>0</v>
      </c>
      <c r="DQ176" s="7">
        <f t="shared" si="80"/>
        <v>0</v>
      </c>
      <c r="DR176" s="7">
        <f t="shared" si="80"/>
        <v>0</v>
      </c>
      <c r="DS176" s="7">
        <f t="shared" si="80"/>
        <v>0</v>
      </c>
      <c r="DT176" s="7">
        <f t="shared" si="80"/>
        <v>0</v>
      </c>
      <c r="DU176" s="7">
        <f t="shared" si="80"/>
        <v>0</v>
      </c>
      <c r="DV176" s="7">
        <f t="shared" si="80"/>
        <v>0</v>
      </c>
      <c r="DW176" s="7">
        <f t="shared" si="80"/>
        <v>0</v>
      </c>
      <c r="DX176" s="7">
        <f t="shared" si="80"/>
        <v>0</v>
      </c>
      <c r="DY176" s="7">
        <f t="shared" si="80"/>
        <v>0</v>
      </c>
      <c r="DZ176" s="7">
        <f t="shared" si="80"/>
        <v>0</v>
      </c>
      <c r="EA176" s="7">
        <f t="shared" si="80"/>
        <v>0</v>
      </c>
      <c r="EB176" s="7">
        <f t="shared" si="80"/>
        <v>0</v>
      </c>
      <c r="EC176" s="7">
        <f t="shared" si="80"/>
        <v>0</v>
      </c>
      <c r="ED176" s="7">
        <f t="shared" si="80"/>
        <v>0</v>
      </c>
      <c r="EE176" s="7">
        <f t="shared" si="80"/>
        <v>0</v>
      </c>
      <c r="EF176" s="7">
        <f t="shared" si="80"/>
        <v>0</v>
      </c>
      <c r="EG176" s="7">
        <f t="shared" si="80"/>
        <v>0</v>
      </c>
      <c r="EH176" s="7">
        <f t="shared" si="80"/>
        <v>0</v>
      </c>
      <c r="EI176" s="7">
        <f t="shared" si="80"/>
        <v>1</v>
      </c>
      <c r="EJ176" s="7">
        <f t="shared" si="80"/>
        <v>3</v>
      </c>
      <c r="EK176" s="7">
        <f t="shared" si="80"/>
        <v>0</v>
      </c>
      <c r="EL176" s="7">
        <f t="shared" si="80"/>
        <v>0</v>
      </c>
      <c r="EM176" s="7">
        <f t="shared" si="80"/>
        <v>0</v>
      </c>
      <c r="EN176" s="7">
        <f t="shared" si="80"/>
        <v>0</v>
      </c>
      <c r="EO176" s="7">
        <f t="shared" si="80"/>
        <v>0</v>
      </c>
      <c r="EP176" s="7">
        <f t="shared" si="80"/>
        <v>0</v>
      </c>
      <c r="EQ176" s="7">
        <f t="shared" si="80"/>
        <v>0</v>
      </c>
      <c r="ER176" s="7">
        <f t="shared" si="80"/>
        <v>0</v>
      </c>
      <c r="ES176" s="7">
        <f t="shared" si="80"/>
        <v>0</v>
      </c>
      <c r="ET176" s="7">
        <f t="shared" si="80"/>
        <v>0</v>
      </c>
      <c r="EU176" s="7">
        <f t="shared" si="80"/>
        <v>0</v>
      </c>
      <c r="EV176" s="7">
        <f t="shared" si="80"/>
        <v>0</v>
      </c>
      <c r="EW176" s="7">
        <f t="shared" si="80"/>
        <v>0</v>
      </c>
      <c r="EX176" s="7">
        <f t="shared" si="80"/>
        <v>0</v>
      </c>
      <c r="EY176" s="7">
        <f t="shared" si="80"/>
        <v>0</v>
      </c>
      <c r="EZ176" s="7">
        <f t="shared" si="80"/>
        <v>0</v>
      </c>
      <c r="FA176" s="7">
        <f t="shared" si="80"/>
        <v>0</v>
      </c>
      <c r="FB176" s="7">
        <f t="shared" si="80"/>
        <v>0</v>
      </c>
      <c r="FC176" s="7">
        <f t="shared" si="80"/>
        <v>0</v>
      </c>
      <c r="FD176" s="7">
        <f t="shared" si="80"/>
        <v>0</v>
      </c>
      <c r="FE176" s="7">
        <f t="shared" si="80"/>
        <v>0</v>
      </c>
      <c r="FF176" s="7">
        <f t="shared" si="80"/>
        <v>0</v>
      </c>
      <c r="FG176" s="7">
        <f t="shared" si="80"/>
        <v>0</v>
      </c>
      <c r="FH176" s="7">
        <f t="shared" si="80"/>
        <v>0</v>
      </c>
      <c r="FI176" s="7">
        <f t="shared" si="80"/>
        <v>0</v>
      </c>
      <c r="FJ176" s="7">
        <f t="shared" si="80"/>
        <v>0</v>
      </c>
      <c r="FK176" s="7">
        <f t="shared" si="80"/>
        <v>0</v>
      </c>
      <c r="FL176" s="7">
        <f t="shared" si="80"/>
        <v>0</v>
      </c>
      <c r="FM176" s="7">
        <f t="shared" si="80"/>
        <v>0</v>
      </c>
      <c r="FN176" s="7">
        <f t="shared" si="80"/>
        <v>13</v>
      </c>
      <c r="FO176" s="7">
        <f t="shared" si="80"/>
        <v>2</v>
      </c>
      <c r="FP176" s="7">
        <f t="shared" si="80"/>
        <v>0</v>
      </c>
      <c r="FQ176" s="7">
        <f t="shared" si="80"/>
        <v>0</v>
      </c>
      <c r="FR176" s="7">
        <f t="shared" si="80"/>
        <v>0</v>
      </c>
      <c r="FS176" s="7">
        <f t="shared" si="80"/>
        <v>0</v>
      </c>
      <c r="FT176" s="7">
        <f t="shared" si="80"/>
        <v>0</v>
      </c>
      <c r="FU176" s="7">
        <f t="shared" si="80"/>
        <v>0</v>
      </c>
      <c r="FV176" s="7">
        <f t="shared" si="80"/>
        <v>0</v>
      </c>
      <c r="FW176" s="7">
        <f t="shared" si="80"/>
        <v>0</v>
      </c>
      <c r="FX176" s="7">
        <f t="shared" si="80"/>
        <v>0</v>
      </c>
      <c r="FY176" s="7"/>
      <c r="FZ176" s="7">
        <f t="shared" ref="FZ176:FZ177" si="81">SUM(C176:FX176)</f>
        <v>358</v>
      </c>
      <c r="GA176" s="45"/>
      <c r="GB176" s="7"/>
      <c r="GC176" s="7"/>
      <c r="GD176" s="7"/>
      <c r="GE176" s="7"/>
      <c r="GF176" s="7"/>
      <c r="GG176" s="7"/>
      <c r="GH176" s="7"/>
      <c r="GI176" s="7"/>
      <c r="GJ176" s="7"/>
      <c r="GK176" s="7"/>
    </row>
    <row r="177" spans="1:207" ht="15.5" x14ac:dyDescent="0.35">
      <c r="A177" s="12" t="s">
        <v>913</v>
      </c>
      <c r="B177" s="7" t="s">
        <v>914</v>
      </c>
      <c r="C177" s="7">
        <f t="shared" ref="C177:FX177" si="82">C176*C173</f>
        <v>0</v>
      </c>
      <c r="D177" s="7">
        <f t="shared" si="82"/>
        <v>413960</v>
      </c>
      <c r="E177" s="7">
        <f t="shared" si="82"/>
        <v>0</v>
      </c>
      <c r="F177" s="7">
        <f t="shared" si="82"/>
        <v>31440</v>
      </c>
      <c r="G177" s="7">
        <f t="shared" si="82"/>
        <v>0</v>
      </c>
      <c r="H177" s="7">
        <f t="shared" si="82"/>
        <v>0</v>
      </c>
      <c r="I177" s="7">
        <f t="shared" si="82"/>
        <v>62880</v>
      </c>
      <c r="J177" s="7">
        <f t="shared" si="82"/>
        <v>0</v>
      </c>
      <c r="K177" s="7">
        <f t="shared" si="82"/>
        <v>0</v>
      </c>
      <c r="L177" s="7">
        <f t="shared" si="82"/>
        <v>0</v>
      </c>
      <c r="M177" s="7">
        <f t="shared" si="82"/>
        <v>0</v>
      </c>
      <c r="N177" s="7">
        <f t="shared" si="82"/>
        <v>372040</v>
      </c>
      <c r="O177" s="7">
        <f t="shared" si="82"/>
        <v>83840</v>
      </c>
      <c r="P177" s="7">
        <f t="shared" si="82"/>
        <v>0</v>
      </c>
      <c r="Q177" s="7">
        <f t="shared" si="82"/>
        <v>99560</v>
      </c>
      <c r="R177" s="7">
        <f t="shared" si="82"/>
        <v>0</v>
      </c>
      <c r="S177" s="7">
        <f t="shared" si="82"/>
        <v>0</v>
      </c>
      <c r="T177" s="7">
        <f t="shared" si="82"/>
        <v>0</v>
      </c>
      <c r="U177" s="7">
        <f t="shared" si="82"/>
        <v>0</v>
      </c>
      <c r="V177" s="7">
        <f t="shared" si="82"/>
        <v>0</v>
      </c>
      <c r="W177" s="7">
        <f t="shared" si="82"/>
        <v>0</v>
      </c>
      <c r="X177" s="7">
        <f t="shared" si="82"/>
        <v>0</v>
      </c>
      <c r="Y177" s="7">
        <f t="shared" si="82"/>
        <v>0</v>
      </c>
      <c r="Z177" s="7">
        <f t="shared" si="82"/>
        <v>0</v>
      </c>
      <c r="AA177" s="7">
        <f t="shared" si="82"/>
        <v>508280</v>
      </c>
      <c r="AB177" s="7">
        <f t="shared" si="82"/>
        <v>20960</v>
      </c>
      <c r="AC177" s="7">
        <f t="shared" si="82"/>
        <v>0</v>
      </c>
      <c r="AD177" s="7">
        <f t="shared" si="82"/>
        <v>0</v>
      </c>
      <c r="AE177" s="7">
        <f t="shared" si="82"/>
        <v>0</v>
      </c>
      <c r="AF177" s="7">
        <f t="shared" si="82"/>
        <v>0</v>
      </c>
      <c r="AG177" s="7">
        <f t="shared" si="82"/>
        <v>0</v>
      </c>
      <c r="AH177" s="7">
        <f t="shared" si="82"/>
        <v>0</v>
      </c>
      <c r="AI177" s="7">
        <f t="shared" si="82"/>
        <v>0</v>
      </c>
      <c r="AJ177" s="7">
        <f t="shared" si="82"/>
        <v>0</v>
      </c>
      <c r="AK177" s="7">
        <f t="shared" si="82"/>
        <v>0</v>
      </c>
      <c r="AL177" s="7">
        <f t="shared" si="82"/>
        <v>0</v>
      </c>
      <c r="AM177" s="7">
        <f t="shared" si="82"/>
        <v>0</v>
      </c>
      <c r="AN177" s="7">
        <f t="shared" si="82"/>
        <v>0</v>
      </c>
      <c r="AO177" s="7">
        <f t="shared" si="82"/>
        <v>0</v>
      </c>
      <c r="AP177" s="7">
        <f t="shared" si="82"/>
        <v>151960</v>
      </c>
      <c r="AQ177" s="7">
        <f t="shared" si="82"/>
        <v>5240</v>
      </c>
      <c r="AR177" s="7">
        <f t="shared" si="82"/>
        <v>104800</v>
      </c>
      <c r="AS177" s="7">
        <f t="shared" si="82"/>
        <v>10480</v>
      </c>
      <c r="AT177" s="7">
        <f t="shared" si="82"/>
        <v>10480</v>
      </c>
      <c r="AU177" s="7">
        <f t="shared" si="82"/>
        <v>0</v>
      </c>
      <c r="AV177" s="7">
        <f t="shared" si="82"/>
        <v>0</v>
      </c>
      <c r="AW177" s="7">
        <f t="shared" si="82"/>
        <v>0</v>
      </c>
      <c r="AX177" s="7">
        <f t="shared" si="82"/>
        <v>0</v>
      </c>
      <c r="AY177" s="7">
        <f t="shared" si="82"/>
        <v>0</v>
      </c>
      <c r="AZ177" s="7">
        <f t="shared" si="82"/>
        <v>0</v>
      </c>
      <c r="BA177" s="7">
        <f t="shared" si="82"/>
        <v>0</v>
      </c>
      <c r="BB177" s="7">
        <f t="shared" si="82"/>
        <v>10480</v>
      </c>
      <c r="BC177" s="7">
        <f t="shared" si="82"/>
        <v>225320</v>
      </c>
      <c r="BD177" s="7">
        <f t="shared" si="82"/>
        <v>0</v>
      </c>
      <c r="BE177" s="7">
        <f t="shared" si="82"/>
        <v>0</v>
      </c>
      <c r="BF177" s="7">
        <f t="shared" si="82"/>
        <v>20960</v>
      </c>
      <c r="BG177" s="7">
        <f t="shared" si="82"/>
        <v>0</v>
      </c>
      <c r="BH177" s="7">
        <f t="shared" si="82"/>
        <v>0</v>
      </c>
      <c r="BI177" s="7">
        <f t="shared" si="82"/>
        <v>0</v>
      </c>
      <c r="BJ177" s="7">
        <f t="shared" si="82"/>
        <v>20960</v>
      </c>
      <c r="BK177" s="7">
        <f t="shared" si="82"/>
        <v>272480</v>
      </c>
      <c r="BL177" s="7">
        <f t="shared" si="82"/>
        <v>20960</v>
      </c>
      <c r="BM177" s="7">
        <f t="shared" si="82"/>
        <v>0</v>
      </c>
      <c r="BN177" s="7">
        <f t="shared" si="82"/>
        <v>157200</v>
      </c>
      <c r="BO177" s="7">
        <f t="shared" si="82"/>
        <v>0</v>
      </c>
      <c r="BP177" s="7">
        <f t="shared" si="82"/>
        <v>0</v>
      </c>
      <c r="BQ177" s="7">
        <f t="shared" si="82"/>
        <v>10480</v>
      </c>
      <c r="BR177" s="7">
        <f t="shared" si="82"/>
        <v>0</v>
      </c>
      <c r="BS177" s="7">
        <f t="shared" si="82"/>
        <v>0</v>
      </c>
      <c r="BT177" s="7">
        <f t="shared" si="82"/>
        <v>0</v>
      </c>
      <c r="BU177" s="7">
        <f t="shared" si="82"/>
        <v>0</v>
      </c>
      <c r="BV177" s="7">
        <f t="shared" si="82"/>
        <v>0</v>
      </c>
      <c r="BW177" s="7">
        <f t="shared" si="82"/>
        <v>0</v>
      </c>
      <c r="BX177" s="7">
        <f t="shared" si="82"/>
        <v>0</v>
      </c>
      <c r="BY177" s="7">
        <f t="shared" si="82"/>
        <v>31440</v>
      </c>
      <c r="BZ177" s="7">
        <f t="shared" si="82"/>
        <v>0</v>
      </c>
      <c r="CA177" s="7">
        <f t="shared" si="82"/>
        <v>0</v>
      </c>
      <c r="CB177" s="7">
        <f t="shared" si="82"/>
        <v>193880</v>
      </c>
      <c r="CC177" s="7">
        <f t="shared" si="82"/>
        <v>0</v>
      </c>
      <c r="CD177" s="7">
        <f t="shared" si="82"/>
        <v>0</v>
      </c>
      <c r="CE177" s="7">
        <f t="shared" si="82"/>
        <v>0</v>
      </c>
      <c r="CF177" s="7">
        <f t="shared" si="82"/>
        <v>0</v>
      </c>
      <c r="CG177" s="7">
        <f t="shared" si="82"/>
        <v>0</v>
      </c>
      <c r="CH177" s="7">
        <f t="shared" si="82"/>
        <v>0</v>
      </c>
      <c r="CI177" s="7">
        <f t="shared" si="82"/>
        <v>0</v>
      </c>
      <c r="CJ177" s="7">
        <f t="shared" si="82"/>
        <v>10480</v>
      </c>
      <c r="CK177" s="7">
        <f t="shared" si="82"/>
        <v>0</v>
      </c>
      <c r="CL177" s="7">
        <f t="shared" si="82"/>
        <v>0</v>
      </c>
      <c r="CM177" s="7">
        <f t="shared" si="82"/>
        <v>0</v>
      </c>
      <c r="CN177" s="7">
        <f t="shared" si="82"/>
        <v>319640</v>
      </c>
      <c r="CO177" s="7">
        <f t="shared" si="82"/>
        <v>31440</v>
      </c>
      <c r="CP177" s="7">
        <f t="shared" si="82"/>
        <v>20960</v>
      </c>
      <c r="CQ177" s="7">
        <f t="shared" si="82"/>
        <v>0</v>
      </c>
      <c r="CR177" s="7">
        <f t="shared" si="82"/>
        <v>0</v>
      </c>
      <c r="CS177" s="7">
        <f t="shared" si="82"/>
        <v>0</v>
      </c>
      <c r="CT177" s="7">
        <f t="shared" si="82"/>
        <v>0</v>
      </c>
      <c r="CU177" s="7">
        <f t="shared" si="82"/>
        <v>0</v>
      </c>
      <c r="CV177" s="7">
        <f t="shared" si="82"/>
        <v>0</v>
      </c>
      <c r="CW177" s="7">
        <f t="shared" si="82"/>
        <v>0</v>
      </c>
      <c r="CX177" s="7">
        <f t="shared" si="82"/>
        <v>0</v>
      </c>
      <c r="CY177" s="7">
        <f t="shared" si="82"/>
        <v>0</v>
      </c>
      <c r="CZ177" s="7">
        <f t="shared" si="82"/>
        <v>0</v>
      </c>
      <c r="DA177" s="7">
        <f t="shared" si="82"/>
        <v>0</v>
      </c>
      <c r="DB177" s="7">
        <f t="shared" si="82"/>
        <v>0</v>
      </c>
      <c r="DC177" s="7">
        <f t="shared" si="82"/>
        <v>0</v>
      </c>
      <c r="DD177" s="7">
        <f t="shared" si="82"/>
        <v>0</v>
      </c>
      <c r="DE177" s="7">
        <f t="shared" si="82"/>
        <v>0</v>
      </c>
      <c r="DF177" s="7">
        <f t="shared" si="82"/>
        <v>314400</v>
      </c>
      <c r="DG177" s="7">
        <f t="shared" si="82"/>
        <v>0</v>
      </c>
      <c r="DH177" s="7">
        <f t="shared" si="82"/>
        <v>0</v>
      </c>
      <c r="DI177" s="7">
        <f t="shared" si="82"/>
        <v>0</v>
      </c>
      <c r="DJ177" s="7">
        <f t="shared" si="82"/>
        <v>0</v>
      </c>
      <c r="DK177" s="7">
        <f t="shared" si="82"/>
        <v>0</v>
      </c>
      <c r="DL177" s="7">
        <f t="shared" si="82"/>
        <v>0</v>
      </c>
      <c r="DM177" s="7">
        <f t="shared" si="82"/>
        <v>0</v>
      </c>
      <c r="DN177" s="7">
        <f t="shared" si="82"/>
        <v>5240</v>
      </c>
      <c r="DO177" s="7">
        <f t="shared" si="82"/>
        <v>10480</v>
      </c>
      <c r="DP177" s="7">
        <f t="shared" si="82"/>
        <v>0</v>
      </c>
      <c r="DQ177" s="7">
        <f t="shared" si="82"/>
        <v>0</v>
      </c>
      <c r="DR177" s="7">
        <f t="shared" si="82"/>
        <v>0</v>
      </c>
      <c r="DS177" s="7">
        <f t="shared" si="82"/>
        <v>0</v>
      </c>
      <c r="DT177" s="7">
        <f t="shared" si="82"/>
        <v>0</v>
      </c>
      <c r="DU177" s="7">
        <f t="shared" si="82"/>
        <v>0</v>
      </c>
      <c r="DV177" s="7">
        <f t="shared" si="82"/>
        <v>0</v>
      </c>
      <c r="DW177" s="7">
        <f t="shared" si="82"/>
        <v>0</v>
      </c>
      <c r="DX177" s="7">
        <f t="shared" si="82"/>
        <v>0</v>
      </c>
      <c r="DY177" s="7">
        <f t="shared" si="82"/>
        <v>0</v>
      </c>
      <c r="DZ177" s="7">
        <f t="shared" si="82"/>
        <v>0</v>
      </c>
      <c r="EA177" s="7">
        <f t="shared" si="82"/>
        <v>0</v>
      </c>
      <c r="EB177" s="7">
        <f t="shared" si="82"/>
        <v>0</v>
      </c>
      <c r="EC177" s="7">
        <f t="shared" si="82"/>
        <v>0</v>
      </c>
      <c r="ED177" s="7">
        <f t="shared" si="82"/>
        <v>0</v>
      </c>
      <c r="EE177" s="7">
        <f t="shared" si="82"/>
        <v>0</v>
      </c>
      <c r="EF177" s="7">
        <f t="shared" si="82"/>
        <v>0</v>
      </c>
      <c r="EG177" s="7">
        <f t="shared" si="82"/>
        <v>0</v>
      </c>
      <c r="EH177" s="7">
        <f t="shared" si="82"/>
        <v>0</v>
      </c>
      <c r="EI177" s="7">
        <f t="shared" si="82"/>
        <v>10480</v>
      </c>
      <c r="EJ177" s="7">
        <f t="shared" si="82"/>
        <v>31440</v>
      </c>
      <c r="EK177" s="7">
        <f t="shared" si="82"/>
        <v>0</v>
      </c>
      <c r="EL177" s="7">
        <f t="shared" si="82"/>
        <v>0</v>
      </c>
      <c r="EM177" s="7">
        <f t="shared" si="82"/>
        <v>0</v>
      </c>
      <c r="EN177" s="7">
        <f t="shared" si="82"/>
        <v>0</v>
      </c>
      <c r="EO177" s="7">
        <f t="shared" si="82"/>
        <v>0</v>
      </c>
      <c r="EP177" s="7">
        <f t="shared" si="82"/>
        <v>0</v>
      </c>
      <c r="EQ177" s="7">
        <f t="shared" si="82"/>
        <v>0</v>
      </c>
      <c r="ER177" s="7">
        <f t="shared" si="82"/>
        <v>0</v>
      </c>
      <c r="ES177" s="7">
        <f t="shared" si="82"/>
        <v>0</v>
      </c>
      <c r="ET177" s="7">
        <f t="shared" si="82"/>
        <v>0</v>
      </c>
      <c r="EU177" s="7">
        <f t="shared" si="82"/>
        <v>0</v>
      </c>
      <c r="EV177" s="7">
        <f t="shared" si="82"/>
        <v>0</v>
      </c>
      <c r="EW177" s="7">
        <f t="shared" si="82"/>
        <v>0</v>
      </c>
      <c r="EX177" s="7">
        <f t="shared" si="82"/>
        <v>0</v>
      </c>
      <c r="EY177" s="7">
        <f t="shared" si="82"/>
        <v>0</v>
      </c>
      <c r="EZ177" s="7">
        <f t="shared" si="82"/>
        <v>0</v>
      </c>
      <c r="FA177" s="7">
        <f t="shared" si="82"/>
        <v>0</v>
      </c>
      <c r="FB177" s="7">
        <f t="shared" si="82"/>
        <v>0</v>
      </c>
      <c r="FC177" s="7">
        <f t="shared" si="82"/>
        <v>0</v>
      </c>
      <c r="FD177" s="7">
        <f t="shared" si="82"/>
        <v>0</v>
      </c>
      <c r="FE177" s="7">
        <f t="shared" si="82"/>
        <v>0</v>
      </c>
      <c r="FF177" s="7">
        <f t="shared" si="82"/>
        <v>0</v>
      </c>
      <c r="FG177" s="7">
        <f t="shared" si="82"/>
        <v>0</v>
      </c>
      <c r="FH177" s="7">
        <f t="shared" si="82"/>
        <v>0</v>
      </c>
      <c r="FI177" s="7">
        <f t="shared" si="82"/>
        <v>0</v>
      </c>
      <c r="FJ177" s="7">
        <f t="shared" si="82"/>
        <v>0</v>
      </c>
      <c r="FK177" s="7">
        <f t="shared" si="82"/>
        <v>0</v>
      </c>
      <c r="FL177" s="7">
        <f t="shared" si="82"/>
        <v>0</v>
      </c>
      <c r="FM177" s="7">
        <f t="shared" si="82"/>
        <v>0</v>
      </c>
      <c r="FN177" s="7">
        <f t="shared" si="82"/>
        <v>136240</v>
      </c>
      <c r="FO177" s="7">
        <f t="shared" si="82"/>
        <v>20960</v>
      </c>
      <c r="FP177" s="7">
        <f t="shared" si="82"/>
        <v>0</v>
      </c>
      <c r="FQ177" s="7">
        <f t="shared" si="82"/>
        <v>0</v>
      </c>
      <c r="FR177" s="7">
        <f t="shared" si="82"/>
        <v>0</v>
      </c>
      <c r="FS177" s="7">
        <f t="shared" si="82"/>
        <v>0</v>
      </c>
      <c r="FT177" s="7">
        <f t="shared" si="82"/>
        <v>0</v>
      </c>
      <c r="FU177" s="7">
        <f t="shared" si="82"/>
        <v>0</v>
      </c>
      <c r="FV177" s="7">
        <f t="shared" si="82"/>
        <v>0</v>
      </c>
      <c r="FW177" s="7">
        <f t="shared" si="82"/>
        <v>0</v>
      </c>
      <c r="FX177" s="7">
        <f t="shared" si="82"/>
        <v>0</v>
      </c>
      <c r="FY177" s="7"/>
      <c r="FZ177" s="7">
        <f t="shared" si="81"/>
        <v>3751840</v>
      </c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</row>
    <row r="178" spans="1:207" ht="15.5" x14ac:dyDescent="0.35">
      <c r="A178" s="1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45"/>
      <c r="GB178" s="7"/>
      <c r="GC178" s="7"/>
      <c r="GD178" s="7"/>
      <c r="GE178" s="7"/>
      <c r="GF178" s="7"/>
      <c r="GG178" s="7"/>
      <c r="GH178" s="7"/>
      <c r="GI178" s="7"/>
      <c r="GJ178" s="7"/>
      <c r="GK178" s="7"/>
    </row>
    <row r="179" spans="1:207" ht="15.5" x14ac:dyDescent="0.35">
      <c r="A179" s="12" t="s">
        <v>915</v>
      </c>
      <c r="B179" s="7" t="s">
        <v>916</v>
      </c>
      <c r="C179" s="25">
        <f t="shared" ref="C179:FX179" si="83">C15+C35</f>
        <v>4</v>
      </c>
      <c r="D179" s="25">
        <f t="shared" si="83"/>
        <v>81</v>
      </c>
      <c r="E179" s="25">
        <f t="shared" si="83"/>
        <v>11</v>
      </c>
      <c r="F179" s="25">
        <f t="shared" si="83"/>
        <v>11</v>
      </c>
      <c r="G179" s="25">
        <f t="shared" si="83"/>
        <v>1</v>
      </c>
      <c r="H179" s="25">
        <f t="shared" si="83"/>
        <v>1</v>
      </c>
      <c r="I179" s="25">
        <f t="shared" si="83"/>
        <v>9</v>
      </c>
      <c r="J179" s="25">
        <f t="shared" si="83"/>
        <v>0</v>
      </c>
      <c r="K179" s="25">
        <f t="shared" si="83"/>
        <v>0</v>
      </c>
      <c r="L179" s="25">
        <f t="shared" si="83"/>
        <v>23</v>
      </c>
      <c r="M179" s="25">
        <f t="shared" si="83"/>
        <v>14</v>
      </c>
      <c r="N179" s="25">
        <f t="shared" si="83"/>
        <v>159.5</v>
      </c>
      <c r="O179" s="25">
        <f t="shared" si="83"/>
        <v>98</v>
      </c>
      <c r="P179" s="25">
        <f t="shared" si="83"/>
        <v>0</v>
      </c>
      <c r="Q179" s="25">
        <f t="shared" si="83"/>
        <v>209</v>
      </c>
      <c r="R179" s="25">
        <f t="shared" si="83"/>
        <v>1</v>
      </c>
      <c r="S179" s="25">
        <f t="shared" si="83"/>
        <v>0</v>
      </c>
      <c r="T179" s="25">
        <f t="shared" si="83"/>
        <v>0</v>
      </c>
      <c r="U179" s="25">
        <f t="shared" si="83"/>
        <v>0</v>
      </c>
      <c r="V179" s="25">
        <f t="shared" si="83"/>
        <v>0</v>
      </c>
      <c r="W179" s="25">
        <f t="shared" si="83"/>
        <v>1</v>
      </c>
      <c r="X179" s="25">
        <f t="shared" si="83"/>
        <v>0</v>
      </c>
      <c r="Y179" s="25">
        <f t="shared" si="83"/>
        <v>0</v>
      </c>
      <c r="Z179" s="25">
        <f t="shared" si="83"/>
        <v>0</v>
      </c>
      <c r="AA179" s="25">
        <f t="shared" si="83"/>
        <v>37</v>
      </c>
      <c r="AB179" s="25">
        <f t="shared" si="83"/>
        <v>46.5</v>
      </c>
      <c r="AC179" s="25">
        <f t="shared" si="83"/>
        <v>0</v>
      </c>
      <c r="AD179" s="25">
        <f t="shared" si="83"/>
        <v>6.5</v>
      </c>
      <c r="AE179" s="25">
        <f t="shared" si="83"/>
        <v>0</v>
      </c>
      <c r="AF179" s="25">
        <f t="shared" si="83"/>
        <v>0</v>
      </c>
      <c r="AG179" s="25">
        <f t="shared" si="83"/>
        <v>0</v>
      </c>
      <c r="AH179" s="25">
        <f t="shared" si="83"/>
        <v>0</v>
      </c>
      <c r="AI179" s="25">
        <f t="shared" si="83"/>
        <v>0</v>
      </c>
      <c r="AJ179" s="25">
        <f t="shared" si="83"/>
        <v>0</v>
      </c>
      <c r="AK179" s="25">
        <f t="shared" si="83"/>
        <v>0</v>
      </c>
      <c r="AL179" s="25">
        <f t="shared" si="83"/>
        <v>0</v>
      </c>
      <c r="AM179" s="25">
        <f t="shared" si="83"/>
        <v>0</v>
      </c>
      <c r="AN179" s="25">
        <f t="shared" si="83"/>
        <v>1</v>
      </c>
      <c r="AO179" s="25">
        <f t="shared" si="83"/>
        <v>0</v>
      </c>
      <c r="AP179" s="25">
        <f t="shared" si="83"/>
        <v>191</v>
      </c>
      <c r="AQ179" s="25">
        <f t="shared" si="83"/>
        <v>0</v>
      </c>
      <c r="AR179" s="25">
        <f t="shared" si="83"/>
        <v>155</v>
      </c>
      <c r="AS179" s="25">
        <f t="shared" si="83"/>
        <v>16</v>
      </c>
      <c r="AT179" s="25">
        <f t="shared" si="83"/>
        <v>3</v>
      </c>
      <c r="AU179" s="25">
        <f t="shared" si="83"/>
        <v>0</v>
      </c>
      <c r="AV179" s="25">
        <f t="shared" si="83"/>
        <v>0</v>
      </c>
      <c r="AW179" s="25">
        <f t="shared" si="83"/>
        <v>2</v>
      </c>
      <c r="AX179" s="25">
        <f t="shared" si="83"/>
        <v>0</v>
      </c>
      <c r="AY179" s="25">
        <f t="shared" si="83"/>
        <v>0</v>
      </c>
      <c r="AZ179" s="25">
        <f t="shared" si="83"/>
        <v>1</v>
      </c>
      <c r="BA179" s="25">
        <f t="shared" si="83"/>
        <v>0.5</v>
      </c>
      <c r="BB179" s="25">
        <f t="shared" si="83"/>
        <v>9</v>
      </c>
      <c r="BC179" s="25">
        <f t="shared" si="83"/>
        <v>30</v>
      </c>
      <c r="BD179" s="25">
        <f t="shared" si="83"/>
        <v>4</v>
      </c>
      <c r="BE179" s="25">
        <f t="shared" si="83"/>
        <v>0</v>
      </c>
      <c r="BF179" s="25">
        <f t="shared" si="83"/>
        <v>31.5</v>
      </c>
      <c r="BG179" s="25">
        <f t="shared" si="83"/>
        <v>0</v>
      </c>
      <c r="BH179" s="25">
        <f t="shared" si="83"/>
        <v>12</v>
      </c>
      <c r="BI179" s="25">
        <f t="shared" si="83"/>
        <v>0</v>
      </c>
      <c r="BJ179" s="25">
        <f t="shared" si="83"/>
        <v>15.5</v>
      </c>
      <c r="BK179" s="25">
        <f t="shared" si="83"/>
        <v>83</v>
      </c>
      <c r="BL179" s="25">
        <f t="shared" si="83"/>
        <v>2.5</v>
      </c>
      <c r="BM179" s="25">
        <f t="shared" si="83"/>
        <v>18.5</v>
      </c>
      <c r="BN179" s="25">
        <f t="shared" si="83"/>
        <v>33.5</v>
      </c>
      <c r="BO179" s="25">
        <f t="shared" si="83"/>
        <v>3</v>
      </c>
      <c r="BP179" s="25">
        <f t="shared" si="83"/>
        <v>0</v>
      </c>
      <c r="BQ179" s="25">
        <f t="shared" si="83"/>
        <v>2</v>
      </c>
      <c r="BR179" s="25">
        <f t="shared" si="83"/>
        <v>0</v>
      </c>
      <c r="BS179" s="25">
        <f t="shared" si="83"/>
        <v>0</v>
      </c>
      <c r="BT179" s="25">
        <f t="shared" si="83"/>
        <v>0</v>
      </c>
      <c r="BU179" s="25">
        <f t="shared" si="83"/>
        <v>0</v>
      </c>
      <c r="BV179" s="25">
        <f t="shared" si="83"/>
        <v>0</v>
      </c>
      <c r="BW179" s="25">
        <f t="shared" si="83"/>
        <v>0</v>
      </c>
      <c r="BX179" s="25">
        <f t="shared" si="83"/>
        <v>0</v>
      </c>
      <c r="BY179" s="25">
        <f t="shared" si="83"/>
        <v>0</v>
      </c>
      <c r="BZ179" s="25">
        <f t="shared" si="83"/>
        <v>0</v>
      </c>
      <c r="CA179" s="25">
        <f t="shared" si="83"/>
        <v>0</v>
      </c>
      <c r="CB179" s="25">
        <f t="shared" si="83"/>
        <v>235</v>
      </c>
      <c r="CC179" s="25">
        <f t="shared" si="83"/>
        <v>0</v>
      </c>
      <c r="CD179" s="25">
        <f t="shared" si="83"/>
        <v>0</v>
      </c>
      <c r="CE179" s="25">
        <f t="shared" si="83"/>
        <v>0</v>
      </c>
      <c r="CF179" s="25">
        <f t="shared" si="83"/>
        <v>0</v>
      </c>
      <c r="CG179" s="25">
        <f t="shared" si="83"/>
        <v>0</v>
      </c>
      <c r="CH179" s="25">
        <f t="shared" si="83"/>
        <v>0</v>
      </c>
      <c r="CI179" s="25">
        <f t="shared" si="83"/>
        <v>0</v>
      </c>
      <c r="CJ179" s="25">
        <f t="shared" si="83"/>
        <v>0</v>
      </c>
      <c r="CK179" s="25">
        <f t="shared" si="83"/>
        <v>0</v>
      </c>
      <c r="CL179" s="25">
        <f t="shared" si="83"/>
        <v>4</v>
      </c>
      <c r="CM179" s="25">
        <f t="shared" si="83"/>
        <v>0</v>
      </c>
      <c r="CN179" s="25">
        <f t="shared" si="83"/>
        <v>232</v>
      </c>
      <c r="CO179" s="25">
        <f t="shared" si="83"/>
        <v>69.5</v>
      </c>
      <c r="CP179" s="25">
        <f t="shared" si="83"/>
        <v>3</v>
      </c>
      <c r="CQ179" s="25">
        <f t="shared" si="83"/>
        <v>0</v>
      </c>
      <c r="CR179" s="25">
        <f t="shared" si="83"/>
        <v>0</v>
      </c>
      <c r="CS179" s="25">
        <f t="shared" si="83"/>
        <v>0</v>
      </c>
      <c r="CT179" s="25">
        <f t="shared" si="83"/>
        <v>0</v>
      </c>
      <c r="CU179" s="25">
        <f t="shared" si="83"/>
        <v>2</v>
      </c>
      <c r="CV179" s="25">
        <f t="shared" si="83"/>
        <v>0</v>
      </c>
      <c r="CW179" s="25">
        <f t="shared" si="83"/>
        <v>0</v>
      </c>
      <c r="CX179" s="25">
        <f t="shared" si="83"/>
        <v>0</v>
      </c>
      <c r="CY179" s="25">
        <f t="shared" si="83"/>
        <v>0</v>
      </c>
      <c r="CZ179" s="25">
        <f t="shared" si="83"/>
        <v>0</v>
      </c>
      <c r="DA179" s="25">
        <f t="shared" si="83"/>
        <v>0</v>
      </c>
      <c r="DB179" s="25">
        <f t="shared" si="83"/>
        <v>0</v>
      </c>
      <c r="DC179" s="25">
        <f t="shared" si="83"/>
        <v>0</v>
      </c>
      <c r="DD179" s="25">
        <f t="shared" si="83"/>
        <v>0</v>
      </c>
      <c r="DE179" s="25">
        <f t="shared" si="83"/>
        <v>0</v>
      </c>
      <c r="DF179" s="25">
        <f t="shared" si="83"/>
        <v>18.5</v>
      </c>
      <c r="DG179" s="25">
        <f t="shared" si="83"/>
        <v>0</v>
      </c>
      <c r="DH179" s="25">
        <f t="shared" si="83"/>
        <v>0</v>
      </c>
      <c r="DI179" s="25">
        <f t="shared" si="83"/>
        <v>0</v>
      </c>
      <c r="DJ179" s="25">
        <f t="shared" si="83"/>
        <v>0</v>
      </c>
      <c r="DK179" s="25">
        <f t="shared" si="83"/>
        <v>0</v>
      </c>
      <c r="DL179" s="25">
        <f t="shared" si="83"/>
        <v>0</v>
      </c>
      <c r="DM179" s="25">
        <f t="shared" si="83"/>
        <v>0</v>
      </c>
      <c r="DN179" s="25">
        <f t="shared" si="83"/>
        <v>1</v>
      </c>
      <c r="DO179" s="25">
        <f t="shared" si="83"/>
        <v>0</v>
      </c>
      <c r="DP179" s="25">
        <f t="shared" si="83"/>
        <v>0</v>
      </c>
      <c r="DQ179" s="25">
        <f t="shared" si="83"/>
        <v>1</v>
      </c>
      <c r="DR179" s="25">
        <f t="shared" si="83"/>
        <v>0</v>
      </c>
      <c r="DS179" s="25">
        <f t="shared" si="83"/>
        <v>0</v>
      </c>
      <c r="DT179" s="25">
        <f t="shared" si="83"/>
        <v>0</v>
      </c>
      <c r="DU179" s="25">
        <f t="shared" si="83"/>
        <v>0</v>
      </c>
      <c r="DV179" s="25">
        <f t="shared" si="83"/>
        <v>0</v>
      </c>
      <c r="DW179" s="25">
        <f t="shared" si="83"/>
        <v>0</v>
      </c>
      <c r="DX179" s="25">
        <f t="shared" si="83"/>
        <v>0</v>
      </c>
      <c r="DY179" s="25">
        <f t="shared" si="83"/>
        <v>0</v>
      </c>
      <c r="DZ179" s="25">
        <f t="shared" si="83"/>
        <v>1</v>
      </c>
      <c r="EA179" s="25">
        <f t="shared" si="83"/>
        <v>0</v>
      </c>
      <c r="EB179" s="25">
        <f t="shared" si="83"/>
        <v>0</v>
      </c>
      <c r="EC179" s="25">
        <f t="shared" si="83"/>
        <v>0</v>
      </c>
      <c r="ED179" s="25">
        <f t="shared" si="83"/>
        <v>0</v>
      </c>
      <c r="EE179" s="25">
        <f t="shared" si="83"/>
        <v>0</v>
      </c>
      <c r="EF179" s="25">
        <f t="shared" si="83"/>
        <v>2</v>
      </c>
      <c r="EG179" s="25">
        <f t="shared" si="83"/>
        <v>0</v>
      </c>
      <c r="EH179" s="25">
        <f t="shared" si="83"/>
        <v>0</v>
      </c>
      <c r="EI179" s="25">
        <f t="shared" si="83"/>
        <v>24.5</v>
      </c>
      <c r="EJ179" s="25">
        <f t="shared" si="83"/>
        <v>26</v>
      </c>
      <c r="EK179" s="25">
        <f t="shared" si="83"/>
        <v>0</v>
      </c>
      <c r="EL179" s="25">
        <f t="shared" si="83"/>
        <v>0</v>
      </c>
      <c r="EM179" s="25">
        <f t="shared" si="83"/>
        <v>0</v>
      </c>
      <c r="EN179" s="25">
        <f t="shared" si="83"/>
        <v>0</v>
      </c>
      <c r="EO179" s="25">
        <f t="shared" si="83"/>
        <v>0</v>
      </c>
      <c r="EP179" s="25">
        <f t="shared" si="83"/>
        <v>0</v>
      </c>
      <c r="EQ179" s="25">
        <f t="shared" si="83"/>
        <v>2</v>
      </c>
      <c r="ER179" s="25">
        <f t="shared" si="83"/>
        <v>2</v>
      </c>
      <c r="ES179" s="25">
        <f t="shared" si="83"/>
        <v>0</v>
      </c>
      <c r="ET179" s="25">
        <f t="shared" si="83"/>
        <v>0</v>
      </c>
      <c r="EU179" s="25">
        <f t="shared" si="83"/>
        <v>0</v>
      </c>
      <c r="EV179" s="25">
        <f t="shared" si="83"/>
        <v>0</v>
      </c>
      <c r="EW179" s="25">
        <f t="shared" si="83"/>
        <v>0</v>
      </c>
      <c r="EX179" s="25">
        <f t="shared" si="83"/>
        <v>0</v>
      </c>
      <c r="EY179" s="25">
        <f t="shared" si="83"/>
        <v>0</v>
      </c>
      <c r="EZ179" s="25">
        <f t="shared" si="83"/>
        <v>0</v>
      </c>
      <c r="FA179" s="25">
        <f t="shared" si="83"/>
        <v>12</v>
      </c>
      <c r="FB179" s="25">
        <f t="shared" si="83"/>
        <v>0</v>
      </c>
      <c r="FC179" s="25">
        <f t="shared" si="83"/>
        <v>4</v>
      </c>
      <c r="FD179" s="25">
        <f t="shared" si="83"/>
        <v>0</v>
      </c>
      <c r="FE179" s="25">
        <f t="shared" si="83"/>
        <v>0</v>
      </c>
      <c r="FF179" s="25">
        <f t="shared" si="83"/>
        <v>0</v>
      </c>
      <c r="FG179" s="25">
        <f t="shared" si="83"/>
        <v>0</v>
      </c>
      <c r="FH179" s="25">
        <f t="shared" si="83"/>
        <v>0</v>
      </c>
      <c r="FI179" s="25">
        <f t="shared" si="83"/>
        <v>0</v>
      </c>
      <c r="FJ179" s="25">
        <f t="shared" si="83"/>
        <v>0</v>
      </c>
      <c r="FK179" s="25">
        <f t="shared" si="83"/>
        <v>0</v>
      </c>
      <c r="FL179" s="25">
        <f t="shared" si="83"/>
        <v>0</v>
      </c>
      <c r="FM179" s="25">
        <f t="shared" si="83"/>
        <v>0</v>
      </c>
      <c r="FN179" s="25">
        <f t="shared" si="83"/>
        <v>15.5</v>
      </c>
      <c r="FO179" s="25">
        <f t="shared" si="83"/>
        <v>0</v>
      </c>
      <c r="FP179" s="25">
        <f t="shared" si="83"/>
        <v>0</v>
      </c>
      <c r="FQ179" s="25">
        <f t="shared" si="83"/>
        <v>0</v>
      </c>
      <c r="FR179" s="25">
        <f t="shared" si="83"/>
        <v>0</v>
      </c>
      <c r="FS179" s="25">
        <f t="shared" si="83"/>
        <v>0</v>
      </c>
      <c r="FT179" s="25">
        <f t="shared" si="83"/>
        <v>0</v>
      </c>
      <c r="FU179" s="25">
        <f t="shared" si="83"/>
        <v>0</v>
      </c>
      <c r="FV179" s="25">
        <f t="shared" si="83"/>
        <v>1</v>
      </c>
      <c r="FW179" s="25">
        <f t="shared" si="83"/>
        <v>2</v>
      </c>
      <c r="FX179" s="25">
        <f t="shared" si="83"/>
        <v>0</v>
      </c>
      <c r="FY179" s="7"/>
      <c r="FZ179" s="7">
        <f t="shared" ref="FZ179:FZ180" si="84">SUM(C179:FX179)</f>
        <v>1985.5</v>
      </c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</row>
    <row r="180" spans="1:207" ht="15.5" x14ac:dyDescent="0.35">
      <c r="A180" s="12" t="s">
        <v>917</v>
      </c>
      <c r="B180" s="7" t="s">
        <v>918</v>
      </c>
      <c r="C180" s="7">
        <f t="shared" ref="C180:FX180" si="85">C179*7104</f>
        <v>28416</v>
      </c>
      <c r="D180" s="7">
        <f t="shared" si="85"/>
        <v>575424</v>
      </c>
      <c r="E180" s="7">
        <f t="shared" si="85"/>
        <v>78144</v>
      </c>
      <c r="F180" s="7">
        <f t="shared" si="85"/>
        <v>78144</v>
      </c>
      <c r="G180" s="7">
        <f t="shared" si="85"/>
        <v>7104</v>
      </c>
      <c r="H180" s="7">
        <f t="shared" si="85"/>
        <v>7104</v>
      </c>
      <c r="I180" s="7">
        <f t="shared" si="85"/>
        <v>63936</v>
      </c>
      <c r="J180" s="7">
        <f t="shared" si="85"/>
        <v>0</v>
      </c>
      <c r="K180" s="7">
        <f t="shared" si="85"/>
        <v>0</v>
      </c>
      <c r="L180" s="7">
        <f t="shared" si="85"/>
        <v>163392</v>
      </c>
      <c r="M180" s="7">
        <f t="shared" si="85"/>
        <v>99456</v>
      </c>
      <c r="N180" s="7">
        <f t="shared" si="85"/>
        <v>1133088</v>
      </c>
      <c r="O180" s="7">
        <f t="shared" si="85"/>
        <v>696192</v>
      </c>
      <c r="P180" s="7">
        <f t="shared" si="85"/>
        <v>0</v>
      </c>
      <c r="Q180" s="7">
        <f t="shared" si="85"/>
        <v>1484736</v>
      </c>
      <c r="R180" s="7">
        <f t="shared" si="85"/>
        <v>7104</v>
      </c>
      <c r="S180" s="7">
        <f t="shared" si="85"/>
        <v>0</v>
      </c>
      <c r="T180" s="7">
        <f t="shared" si="85"/>
        <v>0</v>
      </c>
      <c r="U180" s="7">
        <f t="shared" si="85"/>
        <v>0</v>
      </c>
      <c r="V180" s="7">
        <f t="shared" si="85"/>
        <v>0</v>
      </c>
      <c r="W180" s="7">
        <f t="shared" si="85"/>
        <v>7104</v>
      </c>
      <c r="X180" s="7">
        <f t="shared" si="85"/>
        <v>0</v>
      </c>
      <c r="Y180" s="7">
        <f t="shared" si="85"/>
        <v>0</v>
      </c>
      <c r="Z180" s="7">
        <f t="shared" si="85"/>
        <v>0</v>
      </c>
      <c r="AA180" s="7">
        <f t="shared" si="85"/>
        <v>262848</v>
      </c>
      <c r="AB180" s="7">
        <f t="shared" si="85"/>
        <v>330336</v>
      </c>
      <c r="AC180" s="7">
        <f t="shared" si="85"/>
        <v>0</v>
      </c>
      <c r="AD180" s="7">
        <f t="shared" si="85"/>
        <v>46176</v>
      </c>
      <c r="AE180" s="7">
        <f t="shared" si="85"/>
        <v>0</v>
      </c>
      <c r="AF180" s="7">
        <f t="shared" si="85"/>
        <v>0</v>
      </c>
      <c r="AG180" s="7">
        <f t="shared" si="85"/>
        <v>0</v>
      </c>
      <c r="AH180" s="7">
        <f t="shared" si="85"/>
        <v>0</v>
      </c>
      <c r="AI180" s="7">
        <f t="shared" si="85"/>
        <v>0</v>
      </c>
      <c r="AJ180" s="7">
        <f t="shared" si="85"/>
        <v>0</v>
      </c>
      <c r="AK180" s="7">
        <f t="shared" si="85"/>
        <v>0</v>
      </c>
      <c r="AL180" s="7">
        <f t="shared" si="85"/>
        <v>0</v>
      </c>
      <c r="AM180" s="7">
        <f t="shared" si="85"/>
        <v>0</v>
      </c>
      <c r="AN180" s="7">
        <f t="shared" si="85"/>
        <v>7104</v>
      </c>
      <c r="AO180" s="7">
        <f t="shared" si="85"/>
        <v>0</v>
      </c>
      <c r="AP180" s="7">
        <f t="shared" si="85"/>
        <v>1356864</v>
      </c>
      <c r="AQ180" s="7">
        <f t="shared" si="85"/>
        <v>0</v>
      </c>
      <c r="AR180" s="7">
        <f t="shared" si="85"/>
        <v>1101120</v>
      </c>
      <c r="AS180" s="7">
        <f t="shared" si="85"/>
        <v>113664</v>
      </c>
      <c r="AT180" s="7">
        <f t="shared" si="85"/>
        <v>21312</v>
      </c>
      <c r="AU180" s="7">
        <f t="shared" si="85"/>
        <v>0</v>
      </c>
      <c r="AV180" s="7">
        <f t="shared" si="85"/>
        <v>0</v>
      </c>
      <c r="AW180" s="7">
        <f t="shared" si="85"/>
        <v>14208</v>
      </c>
      <c r="AX180" s="7">
        <f t="shared" si="85"/>
        <v>0</v>
      </c>
      <c r="AY180" s="7">
        <f t="shared" si="85"/>
        <v>0</v>
      </c>
      <c r="AZ180" s="7">
        <f t="shared" si="85"/>
        <v>7104</v>
      </c>
      <c r="BA180" s="7">
        <f t="shared" si="85"/>
        <v>3552</v>
      </c>
      <c r="BB180" s="7">
        <f t="shared" si="85"/>
        <v>63936</v>
      </c>
      <c r="BC180" s="7">
        <f t="shared" si="85"/>
        <v>213120</v>
      </c>
      <c r="BD180" s="7">
        <f t="shared" si="85"/>
        <v>28416</v>
      </c>
      <c r="BE180" s="7">
        <f t="shared" si="85"/>
        <v>0</v>
      </c>
      <c r="BF180" s="7">
        <f t="shared" si="85"/>
        <v>223776</v>
      </c>
      <c r="BG180" s="7">
        <f t="shared" si="85"/>
        <v>0</v>
      </c>
      <c r="BH180" s="7">
        <f t="shared" si="85"/>
        <v>85248</v>
      </c>
      <c r="BI180" s="7">
        <f t="shared" si="85"/>
        <v>0</v>
      </c>
      <c r="BJ180" s="7">
        <f t="shared" si="85"/>
        <v>110112</v>
      </c>
      <c r="BK180" s="7">
        <f t="shared" si="85"/>
        <v>589632</v>
      </c>
      <c r="BL180" s="7">
        <f t="shared" si="85"/>
        <v>17760</v>
      </c>
      <c r="BM180" s="7">
        <f t="shared" si="85"/>
        <v>131424</v>
      </c>
      <c r="BN180" s="7">
        <f t="shared" si="85"/>
        <v>237984</v>
      </c>
      <c r="BO180" s="7">
        <f t="shared" si="85"/>
        <v>21312</v>
      </c>
      <c r="BP180" s="7">
        <f t="shared" si="85"/>
        <v>0</v>
      </c>
      <c r="BQ180" s="7">
        <f t="shared" si="85"/>
        <v>14208</v>
      </c>
      <c r="BR180" s="7">
        <f t="shared" si="85"/>
        <v>0</v>
      </c>
      <c r="BS180" s="7">
        <f t="shared" si="85"/>
        <v>0</v>
      </c>
      <c r="BT180" s="7">
        <f t="shared" si="85"/>
        <v>0</v>
      </c>
      <c r="BU180" s="7">
        <f t="shared" si="85"/>
        <v>0</v>
      </c>
      <c r="BV180" s="7">
        <f t="shared" si="85"/>
        <v>0</v>
      </c>
      <c r="BW180" s="7">
        <f t="shared" si="85"/>
        <v>0</v>
      </c>
      <c r="BX180" s="7">
        <f t="shared" si="85"/>
        <v>0</v>
      </c>
      <c r="BY180" s="7">
        <f t="shared" si="85"/>
        <v>0</v>
      </c>
      <c r="BZ180" s="7">
        <f t="shared" si="85"/>
        <v>0</v>
      </c>
      <c r="CA180" s="7">
        <f t="shared" si="85"/>
        <v>0</v>
      </c>
      <c r="CB180" s="7">
        <f t="shared" si="85"/>
        <v>1669440</v>
      </c>
      <c r="CC180" s="7">
        <f t="shared" si="85"/>
        <v>0</v>
      </c>
      <c r="CD180" s="7">
        <f t="shared" si="85"/>
        <v>0</v>
      </c>
      <c r="CE180" s="7">
        <f t="shared" si="85"/>
        <v>0</v>
      </c>
      <c r="CF180" s="7">
        <f t="shared" si="85"/>
        <v>0</v>
      </c>
      <c r="CG180" s="7">
        <f t="shared" si="85"/>
        <v>0</v>
      </c>
      <c r="CH180" s="7">
        <f t="shared" si="85"/>
        <v>0</v>
      </c>
      <c r="CI180" s="7">
        <f t="shared" si="85"/>
        <v>0</v>
      </c>
      <c r="CJ180" s="7">
        <f t="shared" si="85"/>
        <v>0</v>
      </c>
      <c r="CK180" s="7">
        <f t="shared" si="85"/>
        <v>0</v>
      </c>
      <c r="CL180" s="7">
        <f t="shared" si="85"/>
        <v>28416</v>
      </c>
      <c r="CM180" s="7">
        <f t="shared" si="85"/>
        <v>0</v>
      </c>
      <c r="CN180" s="7">
        <f t="shared" si="85"/>
        <v>1648128</v>
      </c>
      <c r="CO180" s="7">
        <f t="shared" si="85"/>
        <v>493728</v>
      </c>
      <c r="CP180" s="7">
        <f t="shared" si="85"/>
        <v>21312</v>
      </c>
      <c r="CQ180" s="7">
        <f t="shared" si="85"/>
        <v>0</v>
      </c>
      <c r="CR180" s="7">
        <f t="shared" si="85"/>
        <v>0</v>
      </c>
      <c r="CS180" s="7">
        <f t="shared" si="85"/>
        <v>0</v>
      </c>
      <c r="CT180" s="7">
        <f t="shared" si="85"/>
        <v>0</v>
      </c>
      <c r="CU180" s="7">
        <f t="shared" si="85"/>
        <v>14208</v>
      </c>
      <c r="CV180" s="7">
        <f t="shared" si="85"/>
        <v>0</v>
      </c>
      <c r="CW180" s="7">
        <f t="shared" si="85"/>
        <v>0</v>
      </c>
      <c r="CX180" s="7">
        <f t="shared" si="85"/>
        <v>0</v>
      </c>
      <c r="CY180" s="7">
        <f t="shared" si="85"/>
        <v>0</v>
      </c>
      <c r="CZ180" s="7">
        <f t="shared" si="85"/>
        <v>0</v>
      </c>
      <c r="DA180" s="7">
        <f t="shared" si="85"/>
        <v>0</v>
      </c>
      <c r="DB180" s="7">
        <f t="shared" si="85"/>
        <v>0</v>
      </c>
      <c r="DC180" s="7">
        <f t="shared" si="85"/>
        <v>0</v>
      </c>
      <c r="DD180" s="7">
        <f t="shared" si="85"/>
        <v>0</v>
      </c>
      <c r="DE180" s="7">
        <f t="shared" si="85"/>
        <v>0</v>
      </c>
      <c r="DF180" s="7">
        <f t="shared" si="85"/>
        <v>131424</v>
      </c>
      <c r="DG180" s="7">
        <f t="shared" si="85"/>
        <v>0</v>
      </c>
      <c r="DH180" s="7">
        <f t="shared" si="85"/>
        <v>0</v>
      </c>
      <c r="DI180" s="7">
        <f t="shared" si="85"/>
        <v>0</v>
      </c>
      <c r="DJ180" s="7">
        <f t="shared" si="85"/>
        <v>0</v>
      </c>
      <c r="DK180" s="7">
        <f t="shared" si="85"/>
        <v>0</v>
      </c>
      <c r="DL180" s="7">
        <f t="shared" si="85"/>
        <v>0</v>
      </c>
      <c r="DM180" s="7">
        <f t="shared" si="85"/>
        <v>0</v>
      </c>
      <c r="DN180" s="7">
        <f t="shared" si="85"/>
        <v>7104</v>
      </c>
      <c r="DO180" s="7">
        <f t="shared" si="85"/>
        <v>0</v>
      </c>
      <c r="DP180" s="7">
        <f t="shared" si="85"/>
        <v>0</v>
      </c>
      <c r="DQ180" s="7">
        <f t="shared" si="85"/>
        <v>7104</v>
      </c>
      <c r="DR180" s="7">
        <f t="shared" si="85"/>
        <v>0</v>
      </c>
      <c r="DS180" s="7">
        <f t="shared" si="85"/>
        <v>0</v>
      </c>
      <c r="DT180" s="7">
        <f t="shared" si="85"/>
        <v>0</v>
      </c>
      <c r="DU180" s="7">
        <f t="shared" si="85"/>
        <v>0</v>
      </c>
      <c r="DV180" s="7">
        <f t="shared" si="85"/>
        <v>0</v>
      </c>
      <c r="DW180" s="7">
        <f t="shared" si="85"/>
        <v>0</v>
      </c>
      <c r="DX180" s="7">
        <f t="shared" si="85"/>
        <v>0</v>
      </c>
      <c r="DY180" s="7">
        <f t="shared" si="85"/>
        <v>0</v>
      </c>
      <c r="DZ180" s="7">
        <f t="shared" si="85"/>
        <v>7104</v>
      </c>
      <c r="EA180" s="7">
        <f t="shared" si="85"/>
        <v>0</v>
      </c>
      <c r="EB180" s="7">
        <f t="shared" si="85"/>
        <v>0</v>
      </c>
      <c r="EC180" s="7">
        <f t="shared" si="85"/>
        <v>0</v>
      </c>
      <c r="ED180" s="7">
        <f t="shared" si="85"/>
        <v>0</v>
      </c>
      <c r="EE180" s="7">
        <f t="shared" si="85"/>
        <v>0</v>
      </c>
      <c r="EF180" s="7">
        <f t="shared" si="85"/>
        <v>14208</v>
      </c>
      <c r="EG180" s="7">
        <f t="shared" si="85"/>
        <v>0</v>
      </c>
      <c r="EH180" s="7">
        <f t="shared" si="85"/>
        <v>0</v>
      </c>
      <c r="EI180" s="7">
        <f t="shared" si="85"/>
        <v>174048</v>
      </c>
      <c r="EJ180" s="7">
        <f t="shared" si="85"/>
        <v>184704</v>
      </c>
      <c r="EK180" s="7">
        <f t="shared" si="85"/>
        <v>0</v>
      </c>
      <c r="EL180" s="7">
        <f t="shared" si="85"/>
        <v>0</v>
      </c>
      <c r="EM180" s="7">
        <f t="shared" si="85"/>
        <v>0</v>
      </c>
      <c r="EN180" s="7">
        <f t="shared" si="85"/>
        <v>0</v>
      </c>
      <c r="EO180" s="7">
        <f t="shared" si="85"/>
        <v>0</v>
      </c>
      <c r="EP180" s="7">
        <f t="shared" si="85"/>
        <v>0</v>
      </c>
      <c r="EQ180" s="7">
        <f t="shared" si="85"/>
        <v>14208</v>
      </c>
      <c r="ER180" s="7">
        <f t="shared" si="85"/>
        <v>14208</v>
      </c>
      <c r="ES180" s="7">
        <f t="shared" si="85"/>
        <v>0</v>
      </c>
      <c r="ET180" s="7">
        <f t="shared" si="85"/>
        <v>0</v>
      </c>
      <c r="EU180" s="7">
        <f t="shared" si="85"/>
        <v>0</v>
      </c>
      <c r="EV180" s="7">
        <f t="shared" si="85"/>
        <v>0</v>
      </c>
      <c r="EW180" s="7">
        <f t="shared" si="85"/>
        <v>0</v>
      </c>
      <c r="EX180" s="7">
        <f t="shared" si="85"/>
        <v>0</v>
      </c>
      <c r="EY180" s="7">
        <f t="shared" si="85"/>
        <v>0</v>
      </c>
      <c r="EZ180" s="7">
        <f t="shared" si="85"/>
        <v>0</v>
      </c>
      <c r="FA180" s="7">
        <f t="shared" si="85"/>
        <v>85248</v>
      </c>
      <c r="FB180" s="7">
        <f t="shared" si="85"/>
        <v>0</v>
      </c>
      <c r="FC180" s="7">
        <f t="shared" si="85"/>
        <v>28416</v>
      </c>
      <c r="FD180" s="7">
        <f t="shared" si="85"/>
        <v>0</v>
      </c>
      <c r="FE180" s="7">
        <f t="shared" si="85"/>
        <v>0</v>
      </c>
      <c r="FF180" s="7">
        <f t="shared" si="85"/>
        <v>0</v>
      </c>
      <c r="FG180" s="7">
        <f t="shared" si="85"/>
        <v>0</v>
      </c>
      <c r="FH180" s="7">
        <f t="shared" si="85"/>
        <v>0</v>
      </c>
      <c r="FI180" s="7">
        <f t="shared" si="85"/>
        <v>0</v>
      </c>
      <c r="FJ180" s="7">
        <f t="shared" si="85"/>
        <v>0</v>
      </c>
      <c r="FK180" s="7">
        <f t="shared" si="85"/>
        <v>0</v>
      </c>
      <c r="FL180" s="7">
        <f t="shared" si="85"/>
        <v>0</v>
      </c>
      <c r="FM180" s="7">
        <f t="shared" si="85"/>
        <v>0</v>
      </c>
      <c r="FN180" s="7">
        <f t="shared" si="85"/>
        <v>110112</v>
      </c>
      <c r="FO180" s="7">
        <f t="shared" si="85"/>
        <v>0</v>
      </c>
      <c r="FP180" s="7">
        <f t="shared" si="85"/>
        <v>0</v>
      </c>
      <c r="FQ180" s="7">
        <f t="shared" si="85"/>
        <v>0</v>
      </c>
      <c r="FR180" s="7">
        <f t="shared" si="85"/>
        <v>0</v>
      </c>
      <c r="FS180" s="7">
        <f t="shared" si="85"/>
        <v>0</v>
      </c>
      <c r="FT180" s="7">
        <f t="shared" si="85"/>
        <v>0</v>
      </c>
      <c r="FU180" s="7">
        <f t="shared" si="85"/>
        <v>0</v>
      </c>
      <c r="FV180" s="7">
        <f t="shared" si="85"/>
        <v>7104</v>
      </c>
      <c r="FW180" s="7">
        <f t="shared" si="85"/>
        <v>14208</v>
      </c>
      <c r="FX180" s="7">
        <f t="shared" si="85"/>
        <v>0</v>
      </c>
      <c r="FY180" s="7"/>
      <c r="FZ180" s="7">
        <f t="shared" si="84"/>
        <v>14104992</v>
      </c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</row>
    <row r="181" spans="1:207" ht="15.5" x14ac:dyDescent="0.35">
      <c r="A181" s="12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45"/>
      <c r="GB181" s="7"/>
      <c r="GC181" s="7"/>
      <c r="GD181" s="7"/>
      <c r="GE181" s="7"/>
      <c r="GF181" s="7"/>
      <c r="GG181" s="7"/>
      <c r="GH181" s="7"/>
      <c r="GI181" s="7"/>
      <c r="GJ181" s="7"/>
      <c r="GK181" s="7"/>
    </row>
    <row r="182" spans="1:207" ht="15.5" x14ac:dyDescent="0.35">
      <c r="A182" s="12" t="s">
        <v>919</v>
      </c>
      <c r="B182" s="7" t="s">
        <v>920</v>
      </c>
      <c r="C182" s="7">
        <f t="shared" ref="C182:FX182" si="86">C174+C177+C180</f>
        <v>1621376</v>
      </c>
      <c r="D182" s="7">
        <f t="shared" si="86"/>
        <v>6218904</v>
      </c>
      <c r="E182" s="7">
        <f t="shared" si="86"/>
        <v>78144</v>
      </c>
      <c r="F182" s="7">
        <f t="shared" si="86"/>
        <v>21394464</v>
      </c>
      <c r="G182" s="7">
        <f t="shared" si="86"/>
        <v>7104</v>
      </c>
      <c r="H182" s="7">
        <f t="shared" si="86"/>
        <v>7104</v>
      </c>
      <c r="I182" s="7">
        <f t="shared" si="86"/>
        <v>126816</v>
      </c>
      <c r="J182" s="7">
        <f t="shared" si="86"/>
        <v>0</v>
      </c>
      <c r="K182" s="7">
        <f t="shared" si="86"/>
        <v>0</v>
      </c>
      <c r="L182" s="7">
        <f t="shared" si="86"/>
        <v>163392</v>
      </c>
      <c r="M182" s="7">
        <f t="shared" si="86"/>
        <v>99456</v>
      </c>
      <c r="N182" s="7">
        <f t="shared" si="86"/>
        <v>1505128</v>
      </c>
      <c r="O182" s="7">
        <f t="shared" si="86"/>
        <v>780032</v>
      </c>
      <c r="P182" s="7">
        <f t="shared" si="86"/>
        <v>0</v>
      </c>
      <c r="Q182" s="7">
        <f t="shared" si="86"/>
        <v>1584296</v>
      </c>
      <c r="R182" s="7">
        <f t="shared" si="86"/>
        <v>69363744</v>
      </c>
      <c r="S182" s="7">
        <f t="shared" si="86"/>
        <v>146720</v>
      </c>
      <c r="T182" s="7">
        <f t="shared" si="86"/>
        <v>0</v>
      </c>
      <c r="U182" s="7">
        <f t="shared" si="86"/>
        <v>0</v>
      </c>
      <c r="V182" s="7">
        <f t="shared" si="86"/>
        <v>0</v>
      </c>
      <c r="W182" s="7">
        <f t="shared" si="86"/>
        <v>7104</v>
      </c>
      <c r="X182" s="7">
        <f t="shared" si="86"/>
        <v>0</v>
      </c>
      <c r="Y182" s="7">
        <f t="shared" si="86"/>
        <v>4962280</v>
      </c>
      <c r="Z182" s="7">
        <f t="shared" si="86"/>
        <v>0</v>
      </c>
      <c r="AA182" s="7">
        <f t="shared" si="86"/>
        <v>4297648</v>
      </c>
      <c r="AB182" s="7">
        <f t="shared" si="86"/>
        <v>2698816</v>
      </c>
      <c r="AC182" s="7">
        <f t="shared" si="86"/>
        <v>0</v>
      </c>
      <c r="AD182" s="7">
        <f t="shared" si="86"/>
        <v>46176</v>
      </c>
      <c r="AE182" s="7">
        <f t="shared" si="86"/>
        <v>0</v>
      </c>
      <c r="AF182" s="7">
        <f t="shared" si="86"/>
        <v>0</v>
      </c>
      <c r="AG182" s="7">
        <f t="shared" si="86"/>
        <v>0</v>
      </c>
      <c r="AH182" s="7">
        <f t="shared" si="86"/>
        <v>0</v>
      </c>
      <c r="AI182" s="7">
        <f t="shared" si="86"/>
        <v>0</v>
      </c>
      <c r="AJ182" s="7">
        <f t="shared" si="86"/>
        <v>0</v>
      </c>
      <c r="AK182" s="7">
        <f t="shared" si="86"/>
        <v>0</v>
      </c>
      <c r="AL182" s="7">
        <f t="shared" si="86"/>
        <v>0</v>
      </c>
      <c r="AM182" s="7">
        <f t="shared" si="86"/>
        <v>0</v>
      </c>
      <c r="AN182" s="7">
        <f t="shared" si="86"/>
        <v>7104</v>
      </c>
      <c r="AO182" s="7">
        <f t="shared" si="86"/>
        <v>3882840</v>
      </c>
      <c r="AP182" s="7">
        <f t="shared" si="86"/>
        <v>7749664</v>
      </c>
      <c r="AQ182" s="7">
        <f t="shared" si="86"/>
        <v>5240</v>
      </c>
      <c r="AR182" s="7">
        <f t="shared" si="86"/>
        <v>14861360</v>
      </c>
      <c r="AS182" s="7">
        <f t="shared" si="86"/>
        <v>124144</v>
      </c>
      <c r="AT182" s="7">
        <f t="shared" si="86"/>
        <v>31792</v>
      </c>
      <c r="AU182" s="7">
        <f t="shared" si="86"/>
        <v>0</v>
      </c>
      <c r="AV182" s="7">
        <f t="shared" si="86"/>
        <v>0</v>
      </c>
      <c r="AW182" s="7">
        <f t="shared" si="86"/>
        <v>14208</v>
      </c>
      <c r="AX182" s="7">
        <f t="shared" si="86"/>
        <v>0</v>
      </c>
      <c r="AY182" s="7">
        <f t="shared" si="86"/>
        <v>0</v>
      </c>
      <c r="AZ182" s="7">
        <f t="shared" si="86"/>
        <v>1034144</v>
      </c>
      <c r="BA182" s="7">
        <f t="shared" si="86"/>
        <v>2518752</v>
      </c>
      <c r="BB182" s="7">
        <f t="shared" si="86"/>
        <v>74416</v>
      </c>
      <c r="BC182" s="7">
        <f t="shared" si="86"/>
        <v>5416440</v>
      </c>
      <c r="BD182" s="7">
        <f t="shared" si="86"/>
        <v>28416</v>
      </c>
      <c r="BE182" s="7">
        <f t="shared" si="86"/>
        <v>0</v>
      </c>
      <c r="BF182" s="7">
        <f t="shared" si="86"/>
        <v>12763096</v>
      </c>
      <c r="BG182" s="7">
        <f t="shared" si="86"/>
        <v>0</v>
      </c>
      <c r="BH182" s="7">
        <f t="shared" si="86"/>
        <v>378688</v>
      </c>
      <c r="BI182" s="7">
        <f t="shared" si="86"/>
        <v>0</v>
      </c>
      <c r="BJ182" s="7">
        <f t="shared" si="86"/>
        <v>131072</v>
      </c>
      <c r="BK182" s="7">
        <f t="shared" si="86"/>
        <v>138941352</v>
      </c>
      <c r="BL182" s="7">
        <f t="shared" si="86"/>
        <v>38720</v>
      </c>
      <c r="BM182" s="7">
        <f t="shared" si="86"/>
        <v>131424</v>
      </c>
      <c r="BN182" s="7">
        <f t="shared" si="86"/>
        <v>395184</v>
      </c>
      <c r="BO182" s="7">
        <f t="shared" si="86"/>
        <v>21312</v>
      </c>
      <c r="BP182" s="7">
        <f t="shared" si="86"/>
        <v>0</v>
      </c>
      <c r="BQ182" s="7">
        <f t="shared" si="86"/>
        <v>24688</v>
      </c>
      <c r="BR182" s="7">
        <f t="shared" si="86"/>
        <v>0</v>
      </c>
      <c r="BS182" s="7">
        <f t="shared" si="86"/>
        <v>0</v>
      </c>
      <c r="BT182" s="7">
        <f t="shared" si="86"/>
        <v>0</v>
      </c>
      <c r="BU182" s="7">
        <f t="shared" si="86"/>
        <v>0</v>
      </c>
      <c r="BV182" s="7">
        <f t="shared" si="86"/>
        <v>0</v>
      </c>
      <c r="BW182" s="7">
        <f t="shared" si="86"/>
        <v>0</v>
      </c>
      <c r="BX182" s="7">
        <f t="shared" si="86"/>
        <v>0</v>
      </c>
      <c r="BY182" s="7">
        <f t="shared" si="86"/>
        <v>31440</v>
      </c>
      <c r="BZ182" s="7">
        <f t="shared" si="86"/>
        <v>0</v>
      </c>
      <c r="CA182" s="7">
        <f t="shared" si="86"/>
        <v>0</v>
      </c>
      <c r="CB182" s="7">
        <f t="shared" si="86"/>
        <v>10409760</v>
      </c>
      <c r="CC182" s="7">
        <f t="shared" si="86"/>
        <v>0</v>
      </c>
      <c r="CD182" s="7">
        <f t="shared" si="86"/>
        <v>0</v>
      </c>
      <c r="CE182" s="7">
        <f t="shared" si="86"/>
        <v>0</v>
      </c>
      <c r="CF182" s="7">
        <f t="shared" si="86"/>
        <v>0</v>
      </c>
      <c r="CG182" s="7">
        <f t="shared" si="86"/>
        <v>0</v>
      </c>
      <c r="CH182" s="7">
        <f t="shared" si="86"/>
        <v>0</v>
      </c>
      <c r="CI182" s="7">
        <f t="shared" si="86"/>
        <v>0</v>
      </c>
      <c r="CJ182" s="7">
        <f t="shared" si="86"/>
        <v>10480</v>
      </c>
      <c r="CK182" s="7">
        <f t="shared" si="86"/>
        <v>246280</v>
      </c>
      <c r="CL182" s="7">
        <f t="shared" si="86"/>
        <v>86056</v>
      </c>
      <c r="CM182" s="7">
        <f t="shared" si="86"/>
        <v>20960</v>
      </c>
      <c r="CN182" s="7">
        <f t="shared" si="86"/>
        <v>8905528</v>
      </c>
      <c r="CO182" s="7">
        <f t="shared" si="86"/>
        <v>525168</v>
      </c>
      <c r="CP182" s="7">
        <f t="shared" si="86"/>
        <v>42272</v>
      </c>
      <c r="CQ182" s="7">
        <f t="shared" si="86"/>
        <v>0</v>
      </c>
      <c r="CR182" s="7">
        <f t="shared" si="86"/>
        <v>0</v>
      </c>
      <c r="CS182" s="7">
        <f t="shared" si="86"/>
        <v>0</v>
      </c>
      <c r="CT182" s="7">
        <f t="shared" si="86"/>
        <v>0</v>
      </c>
      <c r="CU182" s="7">
        <f t="shared" si="86"/>
        <v>4164288</v>
      </c>
      <c r="CV182" s="7">
        <f t="shared" si="86"/>
        <v>0</v>
      </c>
      <c r="CW182" s="7">
        <f t="shared" si="86"/>
        <v>0</v>
      </c>
      <c r="CX182" s="7">
        <f t="shared" si="86"/>
        <v>0</v>
      </c>
      <c r="CY182" s="7">
        <f t="shared" si="86"/>
        <v>0</v>
      </c>
      <c r="CZ182" s="7">
        <f t="shared" si="86"/>
        <v>0</v>
      </c>
      <c r="DA182" s="7">
        <f t="shared" si="86"/>
        <v>0</v>
      </c>
      <c r="DB182" s="7">
        <f t="shared" si="86"/>
        <v>0</v>
      </c>
      <c r="DC182" s="7">
        <f t="shared" si="86"/>
        <v>0</v>
      </c>
      <c r="DD182" s="7">
        <f t="shared" si="86"/>
        <v>0</v>
      </c>
      <c r="DE182" s="7">
        <f t="shared" si="86"/>
        <v>0</v>
      </c>
      <c r="DF182" s="7">
        <f t="shared" si="86"/>
        <v>445824</v>
      </c>
      <c r="DG182" s="7">
        <f t="shared" si="86"/>
        <v>0</v>
      </c>
      <c r="DH182" s="7">
        <f t="shared" si="86"/>
        <v>0</v>
      </c>
      <c r="DI182" s="7">
        <f t="shared" si="86"/>
        <v>41920</v>
      </c>
      <c r="DJ182" s="7">
        <f t="shared" si="86"/>
        <v>10480</v>
      </c>
      <c r="DK182" s="7">
        <f t="shared" si="86"/>
        <v>10480</v>
      </c>
      <c r="DL182" s="7">
        <f t="shared" si="86"/>
        <v>0</v>
      </c>
      <c r="DM182" s="7">
        <f t="shared" si="86"/>
        <v>0</v>
      </c>
      <c r="DN182" s="7">
        <f t="shared" si="86"/>
        <v>12344</v>
      </c>
      <c r="DO182" s="7">
        <f t="shared" si="86"/>
        <v>10480</v>
      </c>
      <c r="DP182" s="7">
        <f t="shared" si="86"/>
        <v>0</v>
      </c>
      <c r="DQ182" s="7">
        <f t="shared" si="86"/>
        <v>7104</v>
      </c>
      <c r="DR182" s="7">
        <f t="shared" si="86"/>
        <v>0</v>
      </c>
      <c r="DS182" s="7">
        <f t="shared" si="86"/>
        <v>0</v>
      </c>
      <c r="DT182" s="7">
        <f t="shared" si="86"/>
        <v>0</v>
      </c>
      <c r="DU182" s="7">
        <f t="shared" si="86"/>
        <v>0</v>
      </c>
      <c r="DV182" s="7">
        <f t="shared" si="86"/>
        <v>0</v>
      </c>
      <c r="DW182" s="7">
        <f t="shared" si="86"/>
        <v>0</v>
      </c>
      <c r="DX182" s="7">
        <f t="shared" si="86"/>
        <v>0</v>
      </c>
      <c r="DY182" s="7">
        <f t="shared" si="86"/>
        <v>0</v>
      </c>
      <c r="DZ182" s="7">
        <f t="shared" si="86"/>
        <v>7104</v>
      </c>
      <c r="EA182" s="7">
        <f t="shared" si="86"/>
        <v>0</v>
      </c>
      <c r="EB182" s="7">
        <f t="shared" si="86"/>
        <v>0</v>
      </c>
      <c r="EC182" s="7">
        <f t="shared" si="86"/>
        <v>0</v>
      </c>
      <c r="ED182" s="7">
        <f t="shared" si="86"/>
        <v>0</v>
      </c>
      <c r="EE182" s="7">
        <f t="shared" si="86"/>
        <v>0</v>
      </c>
      <c r="EF182" s="7">
        <f t="shared" si="86"/>
        <v>14208</v>
      </c>
      <c r="EG182" s="7">
        <f t="shared" si="86"/>
        <v>0</v>
      </c>
      <c r="EH182" s="7">
        <f t="shared" si="86"/>
        <v>0</v>
      </c>
      <c r="EI182" s="7">
        <f t="shared" si="86"/>
        <v>184528</v>
      </c>
      <c r="EJ182" s="7">
        <f t="shared" si="86"/>
        <v>2390744</v>
      </c>
      <c r="EK182" s="7">
        <f t="shared" si="86"/>
        <v>0</v>
      </c>
      <c r="EL182" s="7">
        <f t="shared" si="86"/>
        <v>0</v>
      </c>
      <c r="EM182" s="7">
        <f t="shared" si="86"/>
        <v>0</v>
      </c>
      <c r="EN182" s="7">
        <f t="shared" si="86"/>
        <v>450640</v>
      </c>
      <c r="EO182" s="7">
        <f t="shared" si="86"/>
        <v>0</v>
      </c>
      <c r="EP182" s="7">
        <f t="shared" si="86"/>
        <v>0</v>
      </c>
      <c r="EQ182" s="7">
        <f t="shared" si="86"/>
        <v>14208</v>
      </c>
      <c r="ER182" s="7">
        <f t="shared" si="86"/>
        <v>14208</v>
      </c>
      <c r="ES182" s="7">
        <f t="shared" si="86"/>
        <v>0</v>
      </c>
      <c r="ET182" s="7">
        <f t="shared" si="86"/>
        <v>0</v>
      </c>
      <c r="EU182" s="7">
        <f t="shared" si="86"/>
        <v>0</v>
      </c>
      <c r="EV182" s="7">
        <f t="shared" si="86"/>
        <v>0</v>
      </c>
      <c r="EW182" s="7">
        <f t="shared" si="86"/>
        <v>0</v>
      </c>
      <c r="EX182" s="7">
        <f t="shared" si="86"/>
        <v>0</v>
      </c>
      <c r="EY182" s="7">
        <f t="shared" si="86"/>
        <v>4716000</v>
      </c>
      <c r="EZ182" s="7">
        <f t="shared" si="86"/>
        <v>0</v>
      </c>
      <c r="FA182" s="7">
        <f t="shared" si="86"/>
        <v>85248</v>
      </c>
      <c r="FB182" s="7">
        <f t="shared" si="86"/>
        <v>0</v>
      </c>
      <c r="FC182" s="7">
        <f t="shared" si="86"/>
        <v>28416</v>
      </c>
      <c r="FD182" s="7">
        <f t="shared" si="86"/>
        <v>0</v>
      </c>
      <c r="FE182" s="7">
        <f t="shared" si="86"/>
        <v>0</v>
      </c>
      <c r="FF182" s="7">
        <f t="shared" si="86"/>
        <v>0</v>
      </c>
      <c r="FG182" s="7">
        <f t="shared" si="86"/>
        <v>0</v>
      </c>
      <c r="FH182" s="7">
        <f t="shared" si="86"/>
        <v>0</v>
      </c>
      <c r="FI182" s="7">
        <f t="shared" si="86"/>
        <v>0</v>
      </c>
      <c r="FJ182" s="7">
        <f t="shared" si="86"/>
        <v>0</v>
      </c>
      <c r="FK182" s="7">
        <f t="shared" si="86"/>
        <v>0</v>
      </c>
      <c r="FL182" s="7">
        <f t="shared" si="86"/>
        <v>0</v>
      </c>
      <c r="FM182" s="7">
        <f t="shared" si="86"/>
        <v>0</v>
      </c>
      <c r="FN182" s="7">
        <f t="shared" si="86"/>
        <v>2913512</v>
      </c>
      <c r="FO182" s="7">
        <f t="shared" si="86"/>
        <v>20960</v>
      </c>
      <c r="FP182" s="7">
        <f t="shared" si="86"/>
        <v>0</v>
      </c>
      <c r="FQ182" s="7">
        <f t="shared" si="86"/>
        <v>0</v>
      </c>
      <c r="FR182" s="7">
        <f t="shared" si="86"/>
        <v>0</v>
      </c>
      <c r="FS182" s="7">
        <f t="shared" si="86"/>
        <v>0</v>
      </c>
      <c r="FT182" s="7">
        <f t="shared" si="86"/>
        <v>0</v>
      </c>
      <c r="FU182" s="7">
        <f t="shared" si="86"/>
        <v>0</v>
      </c>
      <c r="FV182" s="7">
        <f t="shared" si="86"/>
        <v>7104</v>
      </c>
      <c r="FW182" s="7">
        <f t="shared" si="86"/>
        <v>14208</v>
      </c>
      <c r="FX182" s="7">
        <f t="shared" si="86"/>
        <v>0</v>
      </c>
      <c r="FY182" s="7"/>
      <c r="FZ182" s="7">
        <f>SUM(C182:FX182)</f>
        <v>339524712</v>
      </c>
      <c r="GA182" s="62">
        <v>339524712</v>
      </c>
      <c r="GB182" s="7">
        <f>FZ182-GA182</f>
        <v>0</v>
      </c>
      <c r="GC182" s="7"/>
      <c r="GD182" s="7"/>
      <c r="GE182" s="7"/>
      <c r="GF182" s="7"/>
      <c r="GG182" s="7"/>
      <c r="GH182" s="7"/>
      <c r="GI182" s="7"/>
      <c r="GJ182" s="7"/>
      <c r="GK182" s="7"/>
    </row>
    <row r="183" spans="1:207" ht="15.5" x14ac:dyDescent="0.35">
      <c r="A183" s="12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</row>
    <row r="184" spans="1:207" ht="15.5" x14ac:dyDescent="0.35">
      <c r="A184" s="12" t="s">
        <v>921</v>
      </c>
      <c r="B184" s="7" t="s">
        <v>922</v>
      </c>
      <c r="C184" s="7">
        <f t="shared" ref="C184:FX184" si="87">C103</f>
        <v>6540.5</v>
      </c>
      <c r="D184" s="7">
        <f t="shared" si="87"/>
        <v>38720.400000000001</v>
      </c>
      <c r="E184" s="7">
        <f t="shared" si="87"/>
        <v>5749</v>
      </c>
      <c r="F184" s="7">
        <f t="shared" si="87"/>
        <v>24441.599999999999</v>
      </c>
      <c r="G184" s="7">
        <f t="shared" si="87"/>
        <v>1845</v>
      </c>
      <c r="H184" s="7">
        <f t="shared" si="87"/>
        <v>1096.7</v>
      </c>
      <c r="I184" s="7">
        <f t="shared" si="87"/>
        <v>8070</v>
      </c>
      <c r="J184" s="7">
        <f t="shared" si="87"/>
        <v>2066.8000000000002</v>
      </c>
      <c r="K184" s="7">
        <f t="shared" si="87"/>
        <v>251.7</v>
      </c>
      <c r="L184" s="7">
        <f t="shared" si="87"/>
        <v>2156.1</v>
      </c>
      <c r="M184" s="7">
        <f t="shared" si="87"/>
        <v>950.7</v>
      </c>
      <c r="N184" s="7">
        <f t="shared" si="87"/>
        <v>50642.1</v>
      </c>
      <c r="O184" s="7">
        <f t="shared" si="87"/>
        <v>12912.4</v>
      </c>
      <c r="P184" s="7">
        <f t="shared" si="87"/>
        <v>315.3</v>
      </c>
      <c r="Q184" s="7">
        <f t="shared" si="87"/>
        <v>39533.800000000003</v>
      </c>
      <c r="R184" s="7">
        <f t="shared" si="87"/>
        <v>7100.8</v>
      </c>
      <c r="S184" s="7">
        <f t="shared" si="87"/>
        <v>1605.4</v>
      </c>
      <c r="T184" s="7">
        <f t="shared" si="87"/>
        <v>161.1</v>
      </c>
      <c r="U184" s="7">
        <f t="shared" si="87"/>
        <v>55.5</v>
      </c>
      <c r="V184" s="7">
        <f t="shared" si="87"/>
        <v>256.39999999999998</v>
      </c>
      <c r="W184" s="7">
        <f t="shared" si="87"/>
        <v>59.7</v>
      </c>
      <c r="X184" s="7">
        <f t="shared" si="87"/>
        <v>50</v>
      </c>
      <c r="Y184" s="7">
        <f t="shared" si="87"/>
        <v>897.3</v>
      </c>
      <c r="Z184" s="7">
        <f t="shared" si="87"/>
        <v>231.1</v>
      </c>
      <c r="AA184" s="7">
        <f t="shared" si="87"/>
        <v>30969.9</v>
      </c>
      <c r="AB184" s="7">
        <f t="shared" si="87"/>
        <v>27219.200000000001</v>
      </c>
      <c r="AC184" s="7">
        <f t="shared" si="87"/>
        <v>906.3</v>
      </c>
      <c r="AD184" s="7">
        <f t="shared" si="87"/>
        <v>1441.6</v>
      </c>
      <c r="AE184" s="7">
        <f t="shared" si="87"/>
        <v>97</v>
      </c>
      <c r="AF184" s="7">
        <f t="shared" si="87"/>
        <v>167.5</v>
      </c>
      <c r="AG184" s="7">
        <f t="shared" si="87"/>
        <v>601.1</v>
      </c>
      <c r="AH184" s="7">
        <f t="shared" si="87"/>
        <v>957.7</v>
      </c>
      <c r="AI184" s="7">
        <f t="shared" si="87"/>
        <v>383</v>
      </c>
      <c r="AJ184" s="7">
        <f t="shared" si="87"/>
        <v>181.5</v>
      </c>
      <c r="AK184" s="7">
        <f t="shared" si="87"/>
        <v>165.7</v>
      </c>
      <c r="AL184" s="7">
        <f t="shared" si="87"/>
        <v>288.5</v>
      </c>
      <c r="AM184" s="7">
        <f t="shared" si="87"/>
        <v>352.6</v>
      </c>
      <c r="AN184" s="7">
        <f t="shared" si="87"/>
        <v>300.5</v>
      </c>
      <c r="AO184" s="7">
        <f t="shared" si="87"/>
        <v>4406.5</v>
      </c>
      <c r="AP184" s="7">
        <f t="shared" si="87"/>
        <v>84753.600000000006</v>
      </c>
      <c r="AQ184" s="7">
        <f t="shared" si="87"/>
        <v>251</v>
      </c>
      <c r="AR184" s="7">
        <f t="shared" si="87"/>
        <v>62161.1</v>
      </c>
      <c r="AS184" s="7">
        <f t="shared" si="87"/>
        <v>6500</v>
      </c>
      <c r="AT184" s="7">
        <f t="shared" si="87"/>
        <v>2363.1999999999998</v>
      </c>
      <c r="AU184" s="7">
        <f t="shared" si="87"/>
        <v>271</v>
      </c>
      <c r="AV184" s="7">
        <f t="shared" si="87"/>
        <v>305.39999999999998</v>
      </c>
      <c r="AW184" s="7">
        <f t="shared" si="87"/>
        <v>257</v>
      </c>
      <c r="AX184" s="7">
        <f t="shared" si="87"/>
        <v>81</v>
      </c>
      <c r="AY184" s="7">
        <f t="shared" si="87"/>
        <v>406.8</v>
      </c>
      <c r="AZ184" s="7">
        <f t="shared" si="87"/>
        <v>12222.4</v>
      </c>
      <c r="BA184" s="7">
        <f t="shared" si="87"/>
        <v>9136.2999999999993</v>
      </c>
      <c r="BB184" s="7">
        <f t="shared" si="87"/>
        <v>7564.3</v>
      </c>
      <c r="BC184" s="7">
        <f t="shared" si="87"/>
        <v>24699.9</v>
      </c>
      <c r="BD184" s="7">
        <f t="shared" si="87"/>
        <v>3637.5</v>
      </c>
      <c r="BE184" s="7">
        <f t="shared" si="87"/>
        <v>1198.7</v>
      </c>
      <c r="BF184" s="7">
        <f t="shared" si="87"/>
        <v>25614.3</v>
      </c>
      <c r="BG184" s="7">
        <f t="shared" si="87"/>
        <v>920.6</v>
      </c>
      <c r="BH184" s="7">
        <f t="shared" si="87"/>
        <v>583.5</v>
      </c>
      <c r="BI184" s="7">
        <f t="shared" si="87"/>
        <v>257.39999999999998</v>
      </c>
      <c r="BJ184" s="7">
        <f t="shared" si="87"/>
        <v>6314.9</v>
      </c>
      <c r="BK184" s="7">
        <f t="shared" si="87"/>
        <v>35146.699999999997</v>
      </c>
      <c r="BL184" s="7">
        <f t="shared" si="87"/>
        <v>77.3</v>
      </c>
      <c r="BM184" s="7">
        <f t="shared" si="87"/>
        <v>359.3</v>
      </c>
      <c r="BN184" s="7">
        <f t="shared" si="87"/>
        <v>3145.6</v>
      </c>
      <c r="BO184" s="7">
        <f t="shared" si="87"/>
        <v>1257.3</v>
      </c>
      <c r="BP184" s="7">
        <f t="shared" si="87"/>
        <v>160.4</v>
      </c>
      <c r="BQ184" s="7">
        <f t="shared" si="87"/>
        <v>5887.2</v>
      </c>
      <c r="BR184" s="7">
        <f t="shared" si="87"/>
        <v>4488.3999999999996</v>
      </c>
      <c r="BS184" s="7">
        <f t="shared" si="87"/>
        <v>1158.0999999999999</v>
      </c>
      <c r="BT184" s="7">
        <f t="shared" si="87"/>
        <v>372.5</v>
      </c>
      <c r="BU184" s="7">
        <f t="shared" si="87"/>
        <v>393.7</v>
      </c>
      <c r="BV184" s="7">
        <f t="shared" si="87"/>
        <v>1245.3</v>
      </c>
      <c r="BW184" s="7">
        <f t="shared" si="87"/>
        <v>2017.5</v>
      </c>
      <c r="BX184" s="7">
        <f t="shared" si="87"/>
        <v>66.5</v>
      </c>
      <c r="BY184" s="7">
        <f t="shared" si="87"/>
        <v>430.7</v>
      </c>
      <c r="BZ184" s="7">
        <f t="shared" si="87"/>
        <v>228</v>
      </c>
      <c r="CA184" s="7">
        <f t="shared" si="87"/>
        <v>146.19999999999999</v>
      </c>
      <c r="CB184" s="7">
        <f t="shared" si="87"/>
        <v>73642.899999999994</v>
      </c>
      <c r="CC184" s="7">
        <f t="shared" si="87"/>
        <v>189.3</v>
      </c>
      <c r="CD184" s="7">
        <f t="shared" si="87"/>
        <v>50</v>
      </c>
      <c r="CE184" s="7">
        <f t="shared" si="87"/>
        <v>158.30000000000001</v>
      </c>
      <c r="CF184" s="7">
        <f t="shared" si="87"/>
        <v>112.5</v>
      </c>
      <c r="CG184" s="7">
        <f t="shared" si="87"/>
        <v>199.9</v>
      </c>
      <c r="CH184" s="7">
        <f t="shared" si="87"/>
        <v>96.5</v>
      </c>
      <c r="CI184" s="7">
        <f t="shared" si="87"/>
        <v>687.9</v>
      </c>
      <c r="CJ184" s="7">
        <f t="shared" si="87"/>
        <v>872.3</v>
      </c>
      <c r="CK184" s="7">
        <f t="shared" si="87"/>
        <v>4911.5</v>
      </c>
      <c r="CL184" s="7">
        <f t="shared" si="87"/>
        <v>1237.9000000000001</v>
      </c>
      <c r="CM184" s="7">
        <f t="shared" si="87"/>
        <v>687.4</v>
      </c>
      <c r="CN184" s="7">
        <f t="shared" si="87"/>
        <v>31536.3</v>
      </c>
      <c r="CO184" s="7">
        <f t="shared" si="87"/>
        <v>14394.7</v>
      </c>
      <c r="CP184" s="7">
        <f t="shared" si="87"/>
        <v>934.4</v>
      </c>
      <c r="CQ184" s="7">
        <f t="shared" si="87"/>
        <v>770.1</v>
      </c>
      <c r="CR184" s="7">
        <f t="shared" si="87"/>
        <v>215.8</v>
      </c>
      <c r="CS184" s="7">
        <f t="shared" si="87"/>
        <v>285.5</v>
      </c>
      <c r="CT184" s="7">
        <f t="shared" si="87"/>
        <v>113.5</v>
      </c>
      <c r="CU184" s="7">
        <f t="shared" si="87"/>
        <v>469.8</v>
      </c>
      <c r="CV184" s="7">
        <f t="shared" si="87"/>
        <v>50</v>
      </c>
      <c r="CW184" s="7">
        <f t="shared" si="87"/>
        <v>198.7</v>
      </c>
      <c r="CX184" s="7">
        <f t="shared" si="87"/>
        <v>461.4</v>
      </c>
      <c r="CY184" s="7">
        <f t="shared" si="87"/>
        <v>50</v>
      </c>
      <c r="CZ184" s="7">
        <f t="shared" si="87"/>
        <v>1806.8</v>
      </c>
      <c r="DA184" s="7">
        <f t="shared" si="87"/>
        <v>203.5</v>
      </c>
      <c r="DB184" s="7">
        <f t="shared" si="87"/>
        <v>315.8</v>
      </c>
      <c r="DC184" s="7">
        <f t="shared" si="87"/>
        <v>193</v>
      </c>
      <c r="DD184" s="7">
        <f t="shared" si="87"/>
        <v>174.5</v>
      </c>
      <c r="DE184" s="7">
        <f t="shared" si="87"/>
        <v>285.3</v>
      </c>
      <c r="DF184" s="7">
        <f t="shared" si="87"/>
        <v>20834.599999999999</v>
      </c>
      <c r="DG184" s="7">
        <f t="shared" si="87"/>
        <v>93.5</v>
      </c>
      <c r="DH184" s="7">
        <f t="shared" si="87"/>
        <v>1805.4</v>
      </c>
      <c r="DI184" s="7">
        <f t="shared" si="87"/>
        <v>2452.3000000000002</v>
      </c>
      <c r="DJ184" s="7">
        <f t="shared" si="87"/>
        <v>624</v>
      </c>
      <c r="DK184" s="7">
        <f t="shared" si="87"/>
        <v>478.7</v>
      </c>
      <c r="DL184" s="7">
        <f t="shared" si="87"/>
        <v>5694</v>
      </c>
      <c r="DM184" s="7">
        <f t="shared" si="87"/>
        <v>235</v>
      </c>
      <c r="DN184" s="7">
        <f t="shared" si="87"/>
        <v>1296</v>
      </c>
      <c r="DO184" s="7">
        <f t="shared" si="87"/>
        <v>3290</v>
      </c>
      <c r="DP184" s="7">
        <f t="shared" si="87"/>
        <v>200</v>
      </c>
      <c r="DQ184" s="7">
        <f t="shared" si="87"/>
        <v>888</v>
      </c>
      <c r="DR184" s="7">
        <f t="shared" si="87"/>
        <v>1315.2</v>
      </c>
      <c r="DS184" s="7">
        <f t="shared" si="87"/>
        <v>599.9</v>
      </c>
      <c r="DT184" s="7">
        <f t="shared" si="87"/>
        <v>176.5</v>
      </c>
      <c r="DU184" s="7">
        <f t="shared" si="87"/>
        <v>351.4</v>
      </c>
      <c r="DV184" s="7">
        <f t="shared" si="87"/>
        <v>208</v>
      </c>
      <c r="DW184" s="7">
        <f t="shared" si="87"/>
        <v>300.2</v>
      </c>
      <c r="DX184" s="7">
        <f t="shared" si="87"/>
        <v>168</v>
      </c>
      <c r="DY184" s="7">
        <f t="shared" si="87"/>
        <v>296.60000000000002</v>
      </c>
      <c r="DZ184" s="7">
        <f t="shared" si="87"/>
        <v>681.8</v>
      </c>
      <c r="EA184" s="7">
        <f t="shared" si="87"/>
        <v>530.6</v>
      </c>
      <c r="EB184" s="7">
        <f t="shared" si="87"/>
        <v>534.4</v>
      </c>
      <c r="EC184" s="7">
        <f t="shared" si="87"/>
        <v>285.10000000000002</v>
      </c>
      <c r="ED184" s="7">
        <f t="shared" si="87"/>
        <v>1561.8</v>
      </c>
      <c r="EE184" s="7">
        <f t="shared" si="87"/>
        <v>191.6</v>
      </c>
      <c r="EF184" s="7">
        <f t="shared" si="87"/>
        <v>1355.2</v>
      </c>
      <c r="EG184" s="7">
        <f t="shared" si="87"/>
        <v>253.5</v>
      </c>
      <c r="EH184" s="7">
        <f t="shared" si="87"/>
        <v>247.4</v>
      </c>
      <c r="EI184" s="7">
        <f t="shared" si="87"/>
        <v>13890.3</v>
      </c>
      <c r="EJ184" s="7">
        <f t="shared" si="87"/>
        <v>10185.299999999999</v>
      </c>
      <c r="EK184" s="7">
        <f t="shared" si="87"/>
        <v>668.7</v>
      </c>
      <c r="EL184" s="7">
        <f t="shared" si="87"/>
        <v>459.4</v>
      </c>
      <c r="EM184" s="7">
        <f t="shared" si="87"/>
        <v>378.1</v>
      </c>
      <c r="EN184" s="7">
        <f t="shared" si="87"/>
        <v>939.9</v>
      </c>
      <c r="EO184" s="7">
        <f t="shared" si="87"/>
        <v>305.39999999999998</v>
      </c>
      <c r="EP184" s="7">
        <f t="shared" si="87"/>
        <v>428.5</v>
      </c>
      <c r="EQ184" s="7">
        <f t="shared" si="87"/>
        <v>2616.4</v>
      </c>
      <c r="ER184" s="7">
        <f t="shared" si="87"/>
        <v>309.60000000000002</v>
      </c>
      <c r="ES184" s="7">
        <f t="shared" si="87"/>
        <v>163</v>
      </c>
      <c r="ET184" s="7">
        <f t="shared" si="87"/>
        <v>197.5</v>
      </c>
      <c r="EU184" s="7">
        <f t="shared" si="87"/>
        <v>575.29999999999995</v>
      </c>
      <c r="EV184" s="7">
        <f t="shared" si="87"/>
        <v>72.599999999999994</v>
      </c>
      <c r="EW184" s="7">
        <f t="shared" si="87"/>
        <v>819.4</v>
      </c>
      <c r="EX184" s="7">
        <f t="shared" si="87"/>
        <v>173.5</v>
      </c>
      <c r="EY184" s="7">
        <f t="shared" si="87"/>
        <v>656.5</v>
      </c>
      <c r="EZ184" s="7">
        <f t="shared" si="87"/>
        <v>129.30000000000001</v>
      </c>
      <c r="FA184" s="7">
        <f t="shared" si="87"/>
        <v>3397.2</v>
      </c>
      <c r="FB184" s="7">
        <f t="shared" si="87"/>
        <v>288.10000000000002</v>
      </c>
      <c r="FC184" s="7">
        <f t="shared" si="87"/>
        <v>1826.2</v>
      </c>
      <c r="FD184" s="7">
        <f t="shared" si="87"/>
        <v>402</v>
      </c>
      <c r="FE184" s="7">
        <f t="shared" si="87"/>
        <v>79</v>
      </c>
      <c r="FF184" s="7">
        <f t="shared" si="87"/>
        <v>185</v>
      </c>
      <c r="FG184" s="7">
        <f t="shared" si="87"/>
        <v>120.8</v>
      </c>
      <c r="FH184" s="7">
        <f t="shared" si="87"/>
        <v>70</v>
      </c>
      <c r="FI184" s="7">
        <f t="shared" si="87"/>
        <v>1702.5</v>
      </c>
      <c r="FJ184" s="7">
        <f t="shared" si="87"/>
        <v>2016.5</v>
      </c>
      <c r="FK184" s="7">
        <f t="shared" si="87"/>
        <v>2529.1</v>
      </c>
      <c r="FL184" s="7">
        <f t="shared" si="87"/>
        <v>8538.5</v>
      </c>
      <c r="FM184" s="7">
        <f t="shared" si="87"/>
        <v>3981.5</v>
      </c>
      <c r="FN184" s="7">
        <f t="shared" si="87"/>
        <v>22705.3</v>
      </c>
      <c r="FO184" s="7">
        <f t="shared" si="87"/>
        <v>1119.2</v>
      </c>
      <c r="FP184" s="7">
        <f t="shared" si="87"/>
        <v>2341.5</v>
      </c>
      <c r="FQ184" s="7">
        <f t="shared" si="87"/>
        <v>984.9</v>
      </c>
      <c r="FR184" s="7">
        <f t="shared" si="87"/>
        <v>168.1</v>
      </c>
      <c r="FS184" s="7">
        <f t="shared" si="87"/>
        <v>168.3</v>
      </c>
      <c r="FT184" s="7">
        <f t="shared" si="87"/>
        <v>56.5</v>
      </c>
      <c r="FU184" s="7">
        <f t="shared" si="87"/>
        <v>791.1</v>
      </c>
      <c r="FV184" s="7">
        <f t="shared" si="87"/>
        <v>693.7</v>
      </c>
      <c r="FW184" s="7">
        <f t="shared" si="87"/>
        <v>149.5</v>
      </c>
      <c r="FX184" s="7">
        <f t="shared" si="87"/>
        <v>64.5</v>
      </c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</row>
    <row r="185" spans="1:207" ht="15.5" x14ac:dyDescent="0.35">
      <c r="A185" s="107" t="s">
        <v>923</v>
      </c>
      <c r="B185" s="7" t="s">
        <v>924</v>
      </c>
      <c r="C185" s="49" t="s">
        <v>925</v>
      </c>
      <c r="D185" s="49" t="s">
        <v>925</v>
      </c>
      <c r="E185" s="49" t="s">
        <v>925</v>
      </c>
      <c r="F185" s="49" t="s">
        <v>925</v>
      </c>
      <c r="G185" s="49" t="s">
        <v>741</v>
      </c>
      <c r="H185" s="49" t="s">
        <v>741</v>
      </c>
      <c r="I185" s="49" t="s">
        <v>925</v>
      </c>
      <c r="J185" s="49" t="s">
        <v>741</v>
      </c>
      <c r="K185" s="49" t="s">
        <v>737</v>
      </c>
      <c r="L185" s="49" t="s">
        <v>925</v>
      </c>
      <c r="M185" s="49" t="s">
        <v>925</v>
      </c>
      <c r="N185" s="49" t="s">
        <v>925</v>
      </c>
      <c r="O185" s="49" t="s">
        <v>925</v>
      </c>
      <c r="P185" s="49" t="s">
        <v>737</v>
      </c>
      <c r="Q185" s="49" t="s">
        <v>925</v>
      </c>
      <c r="R185" s="49" t="s">
        <v>741</v>
      </c>
      <c r="S185" s="49" t="s">
        <v>741</v>
      </c>
      <c r="T185" s="49" t="s">
        <v>737</v>
      </c>
      <c r="U185" s="49" t="s">
        <v>737</v>
      </c>
      <c r="V185" s="49" t="s">
        <v>737</v>
      </c>
      <c r="W185" s="49" t="s">
        <v>737</v>
      </c>
      <c r="X185" s="49" t="s">
        <v>737</v>
      </c>
      <c r="Y185" s="49" t="s">
        <v>737</v>
      </c>
      <c r="Z185" s="49" t="s">
        <v>737</v>
      </c>
      <c r="AA185" s="49" t="s">
        <v>925</v>
      </c>
      <c r="AB185" s="49" t="s">
        <v>925</v>
      </c>
      <c r="AC185" s="49" t="s">
        <v>737</v>
      </c>
      <c r="AD185" s="49" t="s">
        <v>741</v>
      </c>
      <c r="AE185" s="49" t="s">
        <v>737</v>
      </c>
      <c r="AF185" s="49" t="s">
        <v>737</v>
      </c>
      <c r="AG185" s="49" t="s">
        <v>737</v>
      </c>
      <c r="AH185" s="49" t="s">
        <v>737</v>
      </c>
      <c r="AI185" s="49" t="s">
        <v>737</v>
      </c>
      <c r="AJ185" s="49" t="s">
        <v>737</v>
      </c>
      <c r="AK185" s="49" t="s">
        <v>737</v>
      </c>
      <c r="AL185" s="49" t="s">
        <v>737</v>
      </c>
      <c r="AM185" s="49" t="s">
        <v>737</v>
      </c>
      <c r="AN185" s="49" t="s">
        <v>737</v>
      </c>
      <c r="AO185" s="49" t="s">
        <v>741</v>
      </c>
      <c r="AP185" s="49" t="s">
        <v>925</v>
      </c>
      <c r="AQ185" s="49" t="s">
        <v>737</v>
      </c>
      <c r="AR185" s="49" t="s">
        <v>925</v>
      </c>
      <c r="AS185" s="49" t="s">
        <v>741</v>
      </c>
      <c r="AT185" s="49" t="s">
        <v>741</v>
      </c>
      <c r="AU185" s="49" t="s">
        <v>737</v>
      </c>
      <c r="AV185" s="49" t="s">
        <v>737</v>
      </c>
      <c r="AW185" s="49" t="s">
        <v>737</v>
      </c>
      <c r="AX185" s="49" t="s">
        <v>737</v>
      </c>
      <c r="AY185" s="49" t="s">
        <v>737</v>
      </c>
      <c r="AZ185" s="49" t="s">
        <v>925</v>
      </c>
      <c r="BA185" s="49" t="s">
        <v>925</v>
      </c>
      <c r="BB185" s="49" t="s">
        <v>925</v>
      </c>
      <c r="BC185" s="49" t="s">
        <v>925</v>
      </c>
      <c r="BD185" s="49" t="s">
        <v>925</v>
      </c>
      <c r="BE185" s="49" t="s">
        <v>925</v>
      </c>
      <c r="BF185" s="49" t="s">
        <v>925</v>
      </c>
      <c r="BG185" s="49" t="s">
        <v>737</v>
      </c>
      <c r="BH185" s="49" t="s">
        <v>737</v>
      </c>
      <c r="BI185" s="49" t="s">
        <v>737</v>
      </c>
      <c r="BJ185" s="49" t="s">
        <v>925</v>
      </c>
      <c r="BK185" s="49" t="s">
        <v>925</v>
      </c>
      <c r="BL185" s="49" t="s">
        <v>737</v>
      </c>
      <c r="BM185" s="49" t="s">
        <v>737</v>
      </c>
      <c r="BN185" s="49" t="s">
        <v>741</v>
      </c>
      <c r="BO185" s="49" t="s">
        <v>741</v>
      </c>
      <c r="BP185" s="49" t="s">
        <v>737</v>
      </c>
      <c r="BQ185" s="49" t="s">
        <v>741</v>
      </c>
      <c r="BR185" s="49" t="s">
        <v>741</v>
      </c>
      <c r="BS185" s="49" t="s">
        <v>741</v>
      </c>
      <c r="BT185" s="49" t="s">
        <v>737</v>
      </c>
      <c r="BU185" s="49" t="s">
        <v>737</v>
      </c>
      <c r="BV185" s="49" t="s">
        <v>741</v>
      </c>
      <c r="BW185" s="49" t="s">
        <v>741</v>
      </c>
      <c r="BX185" s="49" t="s">
        <v>737</v>
      </c>
      <c r="BY185" s="49" t="s">
        <v>737</v>
      </c>
      <c r="BZ185" s="49" t="s">
        <v>737</v>
      </c>
      <c r="CA185" s="49" t="s">
        <v>737</v>
      </c>
      <c r="CB185" s="49" t="s">
        <v>925</v>
      </c>
      <c r="CC185" s="49" t="s">
        <v>737</v>
      </c>
      <c r="CD185" s="49" t="s">
        <v>737</v>
      </c>
      <c r="CE185" s="49" t="s">
        <v>737</v>
      </c>
      <c r="CF185" s="49" t="s">
        <v>737</v>
      </c>
      <c r="CG185" s="49" t="s">
        <v>737</v>
      </c>
      <c r="CH185" s="49" t="s">
        <v>737</v>
      </c>
      <c r="CI185" s="49" t="s">
        <v>737</v>
      </c>
      <c r="CJ185" s="49" t="s">
        <v>737</v>
      </c>
      <c r="CK185" s="49" t="s">
        <v>741</v>
      </c>
      <c r="CL185" s="49" t="s">
        <v>741</v>
      </c>
      <c r="CM185" s="49" t="s">
        <v>737</v>
      </c>
      <c r="CN185" s="49" t="s">
        <v>925</v>
      </c>
      <c r="CO185" s="49" t="s">
        <v>925</v>
      </c>
      <c r="CP185" s="49" t="s">
        <v>741</v>
      </c>
      <c r="CQ185" s="49" t="s">
        <v>737</v>
      </c>
      <c r="CR185" s="49" t="s">
        <v>737</v>
      </c>
      <c r="CS185" s="49" t="s">
        <v>737</v>
      </c>
      <c r="CT185" s="49" t="s">
        <v>737</v>
      </c>
      <c r="CU185" s="49" t="s">
        <v>737</v>
      </c>
      <c r="CV185" s="49" t="s">
        <v>737</v>
      </c>
      <c r="CW185" s="49" t="s">
        <v>737</v>
      </c>
      <c r="CX185" s="49" t="s">
        <v>737</v>
      </c>
      <c r="CY185" s="49" t="s">
        <v>737</v>
      </c>
      <c r="CZ185" s="49" t="s">
        <v>741</v>
      </c>
      <c r="DA185" s="49" t="s">
        <v>737</v>
      </c>
      <c r="DB185" s="49" t="s">
        <v>737</v>
      </c>
      <c r="DC185" s="49" t="s">
        <v>737</v>
      </c>
      <c r="DD185" s="49" t="s">
        <v>737</v>
      </c>
      <c r="DE185" s="49" t="s">
        <v>737</v>
      </c>
      <c r="DF185" s="49" t="s">
        <v>925</v>
      </c>
      <c r="DG185" s="49" t="s">
        <v>737</v>
      </c>
      <c r="DH185" s="49" t="s">
        <v>741</v>
      </c>
      <c r="DI185" s="49" t="s">
        <v>741</v>
      </c>
      <c r="DJ185" s="49" t="s">
        <v>737</v>
      </c>
      <c r="DK185" s="49" t="s">
        <v>737</v>
      </c>
      <c r="DL185" s="49" t="s">
        <v>741</v>
      </c>
      <c r="DM185" s="49" t="s">
        <v>737</v>
      </c>
      <c r="DN185" s="49" t="s">
        <v>741</v>
      </c>
      <c r="DO185" s="49" t="s">
        <v>741</v>
      </c>
      <c r="DP185" s="49" t="s">
        <v>737</v>
      </c>
      <c r="DQ185" s="49" t="s">
        <v>737</v>
      </c>
      <c r="DR185" s="49" t="s">
        <v>741</v>
      </c>
      <c r="DS185" s="49" t="s">
        <v>737</v>
      </c>
      <c r="DT185" s="49" t="s">
        <v>737</v>
      </c>
      <c r="DU185" s="49" t="s">
        <v>737</v>
      </c>
      <c r="DV185" s="49" t="s">
        <v>737</v>
      </c>
      <c r="DW185" s="49" t="s">
        <v>737</v>
      </c>
      <c r="DX185" s="49" t="s">
        <v>737</v>
      </c>
      <c r="DY185" s="49" t="s">
        <v>737</v>
      </c>
      <c r="DZ185" s="49" t="s">
        <v>737</v>
      </c>
      <c r="EA185" s="49" t="s">
        <v>737</v>
      </c>
      <c r="EB185" s="49" t="s">
        <v>737</v>
      </c>
      <c r="EC185" s="49" t="s">
        <v>737</v>
      </c>
      <c r="ED185" s="49" t="s">
        <v>741</v>
      </c>
      <c r="EE185" s="49" t="s">
        <v>737</v>
      </c>
      <c r="EF185" s="49" t="s">
        <v>741</v>
      </c>
      <c r="EG185" s="49" t="s">
        <v>737</v>
      </c>
      <c r="EH185" s="49" t="s">
        <v>737</v>
      </c>
      <c r="EI185" s="49" t="s">
        <v>925</v>
      </c>
      <c r="EJ185" s="49" t="s">
        <v>925</v>
      </c>
      <c r="EK185" s="49" t="s">
        <v>737</v>
      </c>
      <c r="EL185" s="49" t="s">
        <v>737</v>
      </c>
      <c r="EM185" s="49" t="s">
        <v>737</v>
      </c>
      <c r="EN185" s="49" t="s">
        <v>737</v>
      </c>
      <c r="EO185" s="49" t="s">
        <v>737</v>
      </c>
      <c r="EP185" s="49" t="s">
        <v>737</v>
      </c>
      <c r="EQ185" s="49" t="s">
        <v>741</v>
      </c>
      <c r="ER185" s="49" t="s">
        <v>737</v>
      </c>
      <c r="ES185" s="49" t="s">
        <v>737</v>
      </c>
      <c r="ET185" s="49" t="s">
        <v>737</v>
      </c>
      <c r="EU185" s="49" t="s">
        <v>737</v>
      </c>
      <c r="EV185" s="49" t="s">
        <v>737</v>
      </c>
      <c r="EW185" s="49" t="s">
        <v>737</v>
      </c>
      <c r="EX185" s="49" t="s">
        <v>737</v>
      </c>
      <c r="EY185" s="49" t="s">
        <v>737</v>
      </c>
      <c r="EZ185" s="49" t="s">
        <v>737</v>
      </c>
      <c r="FA185" s="49" t="s">
        <v>741</v>
      </c>
      <c r="FB185" s="49" t="s">
        <v>737</v>
      </c>
      <c r="FC185" s="49" t="s">
        <v>741</v>
      </c>
      <c r="FD185" s="49" t="s">
        <v>737</v>
      </c>
      <c r="FE185" s="49" t="s">
        <v>737</v>
      </c>
      <c r="FF185" s="49" t="s">
        <v>737</v>
      </c>
      <c r="FG185" s="49" t="s">
        <v>737</v>
      </c>
      <c r="FH185" s="49" t="s">
        <v>737</v>
      </c>
      <c r="FI185" s="49" t="s">
        <v>741</v>
      </c>
      <c r="FJ185" s="49" t="s">
        <v>741</v>
      </c>
      <c r="FK185" s="49" t="s">
        <v>741</v>
      </c>
      <c r="FL185" s="49" t="s">
        <v>925</v>
      </c>
      <c r="FM185" s="49" t="s">
        <v>741</v>
      </c>
      <c r="FN185" s="49" t="s">
        <v>925</v>
      </c>
      <c r="FO185" s="49" t="s">
        <v>741</v>
      </c>
      <c r="FP185" s="49" t="s">
        <v>741</v>
      </c>
      <c r="FQ185" s="49" t="s">
        <v>737</v>
      </c>
      <c r="FR185" s="49" t="s">
        <v>737</v>
      </c>
      <c r="FS185" s="49" t="s">
        <v>737</v>
      </c>
      <c r="FT185" s="49" t="s">
        <v>737</v>
      </c>
      <c r="FU185" s="49" t="s">
        <v>737</v>
      </c>
      <c r="FV185" s="49" t="s">
        <v>737</v>
      </c>
      <c r="FW185" s="49" t="s">
        <v>737</v>
      </c>
      <c r="FX185" s="49" t="s">
        <v>737</v>
      </c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</row>
    <row r="186" spans="1:207" ht="15.5" x14ac:dyDescent="0.35">
      <c r="A186" s="12" t="s">
        <v>926</v>
      </c>
      <c r="B186" s="7" t="s">
        <v>927</v>
      </c>
      <c r="C186" s="7">
        <f t="shared" ref="C186:FX186" si="88">IF(AND(OR(C185="Rural",C185="Small Rural"),C184&lt;6500),1,0)</f>
        <v>0</v>
      </c>
      <c r="D186" s="7">
        <f t="shared" si="88"/>
        <v>0</v>
      </c>
      <c r="E186" s="7">
        <f t="shared" si="88"/>
        <v>0</v>
      </c>
      <c r="F186" s="7">
        <f t="shared" si="88"/>
        <v>0</v>
      </c>
      <c r="G186" s="7">
        <f t="shared" si="88"/>
        <v>1</v>
      </c>
      <c r="H186" s="7">
        <f t="shared" si="88"/>
        <v>1</v>
      </c>
      <c r="I186" s="7">
        <f t="shared" si="88"/>
        <v>0</v>
      </c>
      <c r="J186" s="7">
        <f t="shared" si="88"/>
        <v>1</v>
      </c>
      <c r="K186" s="7">
        <f t="shared" si="88"/>
        <v>1</v>
      </c>
      <c r="L186" s="7">
        <f t="shared" si="88"/>
        <v>0</v>
      </c>
      <c r="M186" s="7">
        <f t="shared" si="88"/>
        <v>0</v>
      </c>
      <c r="N186" s="7">
        <f t="shared" si="88"/>
        <v>0</v>
      </c>
      <c r="O186" s="7">
        <f t="shared" si="88"/>
        <v>0</v>
      </c>
      <c r="P186" s="7">
        <f t="shared" si="88"/>
        <v>1</v>
      </c>
      <c r="Q186" s="7">
        <f t="shared" si="88"/>
        <v>0</v>
      </c>
      <c r="R186" s="7">
        <f t="shared" si="88"/>
        <v>0</v>
      </c>
      <c r="S186" s="7">
        <f t="shared" si="88"/>
        <v>1</v>
      </c>
      <c r="T186" s="7">
        <f t="shared" si="88"/>
        <v>1</v>
      </c>
      <c r="U186" s="7">
        <f t="shared" si="88"/>
        <v>1</v>
      </c>
      <c r="V186" s="7">
        <f t="shared" si="88"/>
        <v>1</v>
      </c>
      <c r="W186" s="7">
        <f t="shared" si="88"/>
        <v>1</v>
      </c>
      <c r="X186" s="7">
        <f t="shared" si="88"/>
        <v>1</v>
      </c>
      <c r="Y186" s="7">
        <f t="shared" si="88"/>
        <v>1</v>
      </c>
      <c r="Z186" s="7">
        <f t="shared" si="88"/>
        <v>1</v>
      </c>
      <c r="AA186" s="7">
        <f t="shared" si="88"/>
        <v>0</v>
      </c>
      <c r="AB186" s="7">
        <f t="shared" si="88"/>
        <v>0</v>
      </c>
      <c r="AC186" s="7">
        <f t="shared" si="88"/>
        <v>1</v>
      </c>
      <c r="AD186" s="7">
        <f t="shared" si="88"/>
        <v>1</v>
      </c>
      <c r="AE186" s="7">
        <f t="shared" si="88"/>
        <v>1</v>
      </c>
      <c r="AF186" s="7">
        <f t="shared" si="88"/>
        <v>1</v>
      </c>
      <c r="AG186" s="7">
        <f t="shared" si="88"/>
        <v>1</v>
      </c>
      <c r="AH186" s="7">
        <f t="shared" si="88"/>
        <v>1</v>
      </c>
      <c r="AI186" s="7">
        <f t="shared" si="88"/>
        <v>1</v>
      </c>
      <c r="AJ186" s="7">
        <f t="shared" si="88"/>
        <v>1</v>
      </c>
      <c r="AK186" s="7">
        <f t="shared" si="88"/>
        <v>1</v>
      </c>
      <c r="AL186" s="7">
        <f t="shared" si="88"/>
        <v>1</v>
      </c>
      <c r="AM186" s="7">
        <f t="shared" si="88"/>
        <v>1</v>
      </c>
      <c r="AN186" s="7">
        <f t="shared" si="88"/>
        <v>1</v>
      </c>
      <c r="AO186" s="7">
        <f t="shared" si="88"/>
        <v>1</v>
      </c>
      <c r="AP186" s="7">
        <f t="shared" si="88"/>
        <v>0</v>
      </c>
      <c r="AQ186" s="7">
        <f t="shared" si="88"/>
        <v>1</v>
      </c>
      <c r="AR186" s="7">
        <f t="shared" si="88"/>
        <v>0</v>
      </c>
      <c r="AS186" s="7">
        <f t="shared" si="88"/>
        <v>0</v>
      </c>
      <c r="AT186" s="7">
        <f t="shared" si="88"/>
        <v>1</v>
      </c>
      <c r="AU186" s="7">
        <f t="shared" si="88"/>
        <v>1</v>
      </c>
      <c r="AV186" s="7">
        <f t="shared" si="88"/>
        <v>1</v>
      </c>
      <c r="AW186" s="7">
        <f t="shared" si="88"/>
        <v>1</v>
      </c>
      <c r="AX186" s="7">
        <f t="shared" si="88"/>
        <v>1</v>
      </c>
      <c r="AY186" s="7">
        <f t="shared" si="88"/>
        <v>1</v>
      </c>
      <c r="AZ186" s="7">
        <f t="shared" si="88"/>
        <v>0</v>
      </c>
      <c r="BA186" s="7">
        <f t="shared" si="88"/>
        <v>0</v>
      </c>
      <c r="BB186" s="7">
        <f t="shared" si="88"/>
        <v>0</v>
      </c>
      <c r="BC186" s="7">
        <f t="shared" si="88"/>
        <v>0</v>
      </c>
      <c r="BD186" s="7">
        <f t="shared" si="88"/>
        <v>0</v>
      </c>
      <c r="BE186" s="7">
        <f t="shared" si="88"/>
        <v>0</v>
      </c>
      <c r="BF186" s="7">
        <f t="shared" si="88"/>
        <v>0</v>
      </c>
      <c r="BG186" s="7">
        <f t="shared" si="88"/>
        <v>1</v>
      </c>
      <c r="BH186" s="7">
        <f t="shared" si="88"/>
        <v>1</v>
      </c>
      <c r="BI186" s="7">
        <f t="shared" si="88"/>
        <v>1</v>
      </c>
      <c r="BJ186" s="7">
        <f t="shared" si="88"/>
        <v>0</v>
      </c>
      <c r="BK186" s="7">
        <f t="shared" si="88"/>
        <v>0</v>
      </c>
      <c r="BL186" s="7">
        <f t="shared" si="88"/>
        <v>1</v>
      </c>
      <c r="BM186" s="7">
        <f t="shared" si="88"/>
        <v>1</v>
      </c>
      <c r="BN186" s="7">
        <f t="shared" si="88"/>
        <v>1</v>
      </c>
      <c r="BO186" s="7">
        <f t="shared" si="88"/>
        <v>1</v>
      </c>
      <c r="BP186" s="7">
        <f t="shared" si="88"/>
        <v>1</v>
      </c>
      <c r="BQ186" s="7">
        <f t="shared" si="88"/>
        <v>1</v>
      </c>
      <c r="BR186" s="7">
        <f t="shared" si="88"/>
        <v>1</v>
      </c>
      <c r="BS186" s="7">
        <f t="shared" si="88"/>
        <v>1</v>
      </c>
      <c r="BT186" s="7">
        <f t="shared" si="88"/>
        <v>1</v>
      </c>
      <c r="BU186" s="7">
        <f t="shared" si="88"/>
        <v>1</v>
      </c>
      <c r="BV186" s="7">
        <f t="shared" si="88"/>
        <v>1</v>
      </c>
      <c r="BW186" s="7">
        <f t="shared" si="88"/>
        <v>1</v>
      </c>
      <c r="BX186" s="7">
        <f t="shared" si="88"/>
        <v>1</v>
      </c>
      <c r="BY186" s="7">
        <f t="shared" si="88"/>
        <v>1</v>
      </c>
      <c r="BZ186" s="7">
        <f t="shared" si="88"/>
        <v>1</v>
      </c>
      <c r="CA186" s="7">
        <f t="shared" si="88"/>
        <v>1</v>
      </c>
      <c r="CB186" s="7">
        <f t="shared" si="88"/>
        <v>0</v>
      </c>
      <c r="CC186" s="7">
        <f t="shared" si="88"/>
        <v>1</v>
      </c>
      <c r="CD186" s="7">
        <f t="shared" si="88"/>
        <v>1</v>
      </c>
      <c r="CE186" s="7">
        <f t="shared" si="88"/>
        <v>1</v>
      </c>
      <c r="CF186" s="7">
        <f t="shared" si="88"/>
        <v>1</v>
      </c>
      <c r="CG186" s="7">
        <f t="shared" si="88"/>
        <v>1</v>
      </c>
      <c r="CH186" s="7">
        <f t="shared" si="88"/>
        <v>1</v>
      </c>
      <c r="CI186" s="7">
        <f t="shared" si="88"/>
        <v>1</v>
      </c>
      <c r="CJ186" s="7">
        <f t="shared" si="88"/>
        <v>1</v>
      </c>
      <c r="CK186" s="7">
        <f t="shared" si="88"/>
        <v>1</v>
      </c>
      <c r="CL186" s="7">
        <f t="shared" si="88"/>
        <v>1</v>
      </c>
      <c r="CM186" s="7">
        <f t="shared" si="88"/>
        <v>1</v>
      </c>
      <c r="CN186" s="7">
        <f t="shared" si="88"/>
        <v>0</v>
      </c>
      <c r="CO186" s="7">
        <f t="shared" si="88"/>
        <v>0</v>
      </c>
      <c r="CP186" s="7">
        <f t="shared" si="88"/>
        <v>1</v>
      </c>
      <c r="CQ186" s="7">
        <f t="shared" si="88"/>
        <v>1</v>
      </c>
      <c r="CR186" s="7">
        <f t="shared" si="88"/>
        <v>1</v>
      </c>
      <c r="CS186" s="7">
        <f t="shared" si="88"/>
        <v>1</v>
      </c>
      <c r="CT186" s="7">
        <f t="shared" si="88"/>
        <v>1</v>
      </c>
      <c r="CU186" s="7">
        <f t="shared" si="88"/>
        <v>1</v>
      </c>
      <c r="CV186" s="7">
        <f t="shared" si="88"/>
        <v>1</v>
      </c>
      <c r="CW186" s="7">
        <f t="shared" si="88"/>
        <v>1</v>
      </c>
      <c r="CX186" s="7">
        <f t="shared" si="88"/>
        <v>1</v>
      </c>
      <c r="CY186" s="7">
        <f t="shared" si="88"/>
        <v>1</v>
      </c>
      <c r="CZ186" s="7">
        <f t="shared" si="88"/>
        <v>1</v>
      </c>
      <c r="DA186" s="7">
        <f t="shared" si="88"/>
        <v>1</v>
      </c>
      <c r="DB186" s="7">
        <f t="shared" si="88"/>
        <v>1</v>
      </c>
      <c r="DC186" s="7">
        <f t="shared" si="88"/>
        <v>1</v>
      </c>
      <c r="DD186" s="7">
        <f t="shared" si="88"/>
        <v>1</v>
      </c>
      <c r="DE186" s="7">
        <f t="shared" si="88"/>
        <v>1</v>
      </c>
      <c r="DF186" s="7">
        <f t="shared" si="88"/>
        <v>0</v>
      </c>
      <c r="DG186" s="7">
        <f t="shared" si="88"/>
        <v>1</v>
      </c>
      <c r="DH186" s="7">
        <f t="shared" si="88"/>
        <v>1</v>
      </c>
      <c r="DI186" s="7">
        <f t="shared" si="88"/>
        <v>1</v>
      </c>
      <c r="DJ186" s="7">
        <f t="shared" si="88"/>
        <v>1</v>
      </c>
      <c r="DK186" s="7">
        <f t="shared" si="88"/>
        <v>1</v>
      </c>
      <c r="DL186" s="7">
        <f t="shared" si="88"/>
        <v>1</v>
      </c>
      <c r="DM186" s="7">
        <f t="shared" si="88"/>
        <v>1</v>
      </c>
      <c r="DN186" s="7">
        <f t="shared" si="88"/>
        <v>1</v>
      </c>
      <c r="DO186" s="7">
        <f t="shared" si="88"/>
        <v>1</v>
      </c>
      <c r="DP186" s="7">
        <f t="shared" si="88"/>
        <v>1</v>
      </c>
      <c r="DQ186" s="7">
        <f t="shared" si="88"/>
        <v>1</v>
      </c>
      <c r="DR186" s="7">
        <f t="shared" si="88"/>
        <v>1</v>
      </c>
      <c r="DS186" s="7">
        <f t="shared" si="88"/>
        <v>1</v>
      </c>
      <c r="DT186" s="7">
        <f t="shared" si="88"/>
        <v>1</v>
      </c>
      <c r="DU186" s="7">
        <f t="shared" si="88"/>
        <v>1</v>
      </c>
      <c r="DV186" s="7">
        <f t="shared" si="88"/>
        <v>1</v>
      </c>
      <c r="DW186" s="7">
        <f t="shared" si="88"/>
        <v>1</v>
      </c>
      <c r="DX186" s="7">
        <f t="shared" si="88"/>
        <v>1</v>
      </c>
      <c r="DY186" s="7">
        <f t="shared" si="88"/>
        <v>1</v>
      </c>
      <c r="DZ186" s="7">
        <f t="shared" si="88"/>
        <v>1</v>
      </c>
      <c r="EA186" s="7">
        <f t="shared" si="88"/>
        <v>1</v>
      </c>
      <c r="EB186" s="7">
        <f t="shared" si="88"/>
        <v>1</v>
      </c>
      <c r="EC186" s="7">
        <f t="shared" si="88"/>
        <v>1</v>
      </c>
      <c r="ED186" s="7">
        <f t="shared" si="88"/>
        <v>1</v>
      </c>
      <c r="EE186" s="7">
        <f t="shared" si="88"/>
        <v>1</v>
      </c>
      <c r="EF186" s="7">
        <f t="shared" si="88"/>
        <v>1</v>
      </c>
      <c r="EG186" s="7">
        <f t="shared" si="88"/>
        <v>1</v>
      </c>
      <c r="EH186" s="7">
        <f t="shared" si="88"/>
        <v>1</v>
      </c>
      <c r="EI186" s="7">
        <f t="shared" si="88"/>
        <v>0</v>
      </c>
      <c r="EJ186" s="7">
        <f t="shared" si="88"/>
        <v>0</v>
      </c>
      <c r="EK186" s="7">
        <f t="shared" si="88"/>
        <v>1</v>
      </c>
      <c r="EL186" s="7">
        <f t="shared" si="88"/>
        <v>1</v>
      </c>
      <c r="EM186" s="7">
        <f t="shared" si="88"/>
        <v>1</v>
      </c>
      <c r="EN186" s="7">
        <f t="shared" si="88"/>
        <v>1</v>
      </c>
      <c r="EO186" s="7">
        <f t="shared" si="88"/>
        <v>1</v>
      </c>
      <c r="EP186" s="7">
        <f t="shared" si="88"/>
        <v>1</v>
      </c>
      <c r="EQ186" s="7">
        <f t="shared" si="88"/>
        <v>1</v>
      </c>
      <c r="ER186" s="7">
        <f t="shared" si="88"/>
        <v>1</v>
      </c>
      <c r="ES186" s="7">
        <f t="shared" si="88"/>
        <v>1</v>
      </c>
      <c r="ET186" s="7">
        <f t="shared" si="88"/>
        <v>1</v>
      </c>
      <c r="EU186" s="7">
        <f t="shared" si="88"/>
        <v>1</v>
      </c>
      <c r="EV186" s="7">
        <f t="shared" si="88"/>
        <v>1</v>
      </c>
      <c r="EW186" s="7">
        <f t="shared" si="88"/>
        <v>1</v>
      </c>
      <c r="EX186" s="7">
        <f t="shared" si="88"/>
        <v>1</v>
      </c>
      <c r="EY186" s="7">
        <f t="shared" si="88"/>
        <v>1</v>
      </c>
      <c r="EZ186" s="7">
        <f t="shared" si="88"/>
        <v>1</v>
      </c>
      <c r="FA186" s="7">
        <f t="shared" si="88"/>
        <v>1</v>
      </c>
      <c r="FB186" s="7">
        <f t="shared" si="88"/>
        <v>1</v>
      </c>
      <c r="FC186" s="7">
        <f t="shared" si="88"/>
        <v>1</v>
      </c>
      <c r="FD186" s="7">
        <f t="shared" si="88"/>
        <v>1</v>
      </c>
      <c r="FE186" s="7">
        <f t="shared" si="88"/>
        <v>1</v>
      </c>
      <c r="FF186" s="7">
        <f t="shared" si="88"/>
        <v>1</v>
      </c>
      <c r="FG186" s="7">
        <f t="shared" si="88"/>
        <v>1</v>
      </c>
      <c r="FH186" s="7">
        <f t="shared" si="88"/>
        <v>1</v>
      </c>
      <c r="FI186" s="7">
        <f t="shared" si="88"/>
        <v>1</v>
      </c>
      <c r="FJ186" s="7">
        <f t="shared" si="88"/>
        <v>1</v>
      </c>
      <c r="FK186" s="7">
        <f t="shared" si="88"/>
        <v>1</v>
      </c>
      <c r="FL186" s="7">
        <f t="shared" si="88"/>
        <v>0</v>
      </c>
      <c r="FM186" s="7">
        <f t="shared" si="88"/>
        <v>1</v>
      </c>
      <c r="FN186" s="7">
        <f t="shared" si="88"/>
        <v>0</v>
      </c>
      <c r="FO186" s="7">
        <f t="shared" si="88"/>
        <v>1</v>
      </c>
      <c r="FP186" s="7">
        <f t="shared" si="88"/>
        <v>1</v>
      </c>
      <c r="FQ186" s="7">
        <f t="shared" si="88"/>
        <v>1</v>
      </c>
      <c r="FR186" s="7">
        <f t="shared" si="88"/>
        <v>1</v>
      </c>
      <c r="FS186" s="7">
        <f t="shared" si="88"/>
        <v>1</v>
      </c>
      <c r="FT186" s="7">
        <f t="shared" si="88"/>
        <v>1</v>
      </c>
      <c r="FU186" s="7">
        <f t="shared" si="88"/>
        <v>1</v>
      </c>
      <c r="FV186" s="7">
        <f t="shared" si="88"/>
        <v>1</v>
      </c>
      <c r="FW186" s="7">
        <f t="shared" si="88"/>
        <v>1</v>
      </c>
      <c r="FX186" s="7">
        <f t="shared" si="88"/>
        <v>1</v>
      </c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</row>
    <row r="187" spans="1:207" ht="15.5" x14ac:dyDescent="0.35">
      <c r="A187" s="12" t="s">
        <v>928</v>
      </c>
      <c r="B187" s="7" t="s">
        <v>929</v>
      </c>
      <c r="C187" s="7">
        <f t="shared" ref="C187:FX187" si="89">ROUND(IF(AND(C186=1,C184&lt;1000),C184*$D$1,IF(AND(C186=1,C184&lt;6500),C184*$D$2,0)),2)</f>
        <v>0</v>
      </c>
      <c r="D187" s="7">
        <f t="shared" si="89"/>
        <v>0</v>
      </c>
      <c r="E187" s="7">
        <f t="shared" si="89"/>
        <v>0</v>
      </c>
      <c r="F187" s="7">
        <f t="shared" si="89"/>
        <v>0</v>
      </c>
      <c r="G187" s="7">
        <f t="shared" si="89"/>
        <v>335587.05</v>
      </c>
      <c r="H187" s="7">
        <f t="shared" si="89"/>
        <v>199478.76</v>
      </c>
      <c r="I187" s="7">
        <f t="shared" si="89"/>
        <v>0</v>
      </c>
      <c r="J187" s="7">
        <f t="shared" si="89"/>
        <v>375930.25</v>
      </c>
      <c r="K187" s="7">
        <f t="shared" si="89"/>
        <v>121213.69</v>
      </c>
      <c r="L187" s="7">
        <f t="shared" si="89"/>
        <v>0</v>
      </c>
      <c r="M187" s="7">
        <f t="shared" si="89"/>
        <v>0</v>
      </c>
      <c r="N187" s="7">
        <f t="shared" si="89"/>
        <v>0</v>
      </c>
      <c r="O187" s="7">
        <f t="shared" si="89"/>
        <v>0</v>
      </c>
      <c r="P187" s="7">
        <f t="shared" si="89"/>
        <v>151842.17000000001</v>
      </c>
      <c r="Q187" s="7">
        <f t="shared" si="89"/>
        <v>0</v>
      </c>
      <c r="R187" s="7">
        <f t="shared" si="89"/>
        <v>0</v>
      </c>
      <c r="S187" s="7">
        <f t="shared" si="89"/>
        <v>292006.21000000002</v>
      </c>
      <c r="T187" s="7">
        <f t="shared" si="89"/>
        <v>77582.539999999994</v>
      </c>
      <c r="U187" s="7">
        <f t="shared" si="89"/>
        <v>26727.69</v>
      </c>
      <c r="V187" s="7">
        <f t="shared" si="89"/>
        <v>123477.11</v>
      </c>
      <c r="W187" s="7">
        <f t="shared" si="89"/>
        <v>28750.33</v>
      </c>
      <c r="X187" s="7">
        <f t="shared" si="89"/>
        <v>24079</v>
      </c>
      <c r="Y187" s="7">
        <f t="shared" si="89"/>
        <v>432121.73</v>
      </c>
      <c r="Z187" s="7">
        <f t="shared" si="89"/>
        <v>111293.14</v>
      </c>
      <c r="AA187" s="7">
        <f t="shared" si="89"/>
        <v>0</v>
      </c>
      <c r="AB187" s="7">
        <f t="shared" si="89"/>
        <v>0</v>
      </c>
      <c r="AC187" s="7">
        <f t="shared" si="89"/>
        <v>436455.95</v>
      </c>
      <c r="AD187" s="7">
        <f t="shared" si="89"/>
        <v>262212.62</v>
      </c>
      <c r="AE187" s="7">
        <f t="shared" si="89"/>
        <v>46713.26</v>
      </c>
      <c r="AF187" s="7">
        <f t="shared" si="89"/>
        <v>80664.649999999994</v>
      </c>
      <c r="AG187" s="7">
        <f t="shared" si="89"/>
        <v>289477.74</v>
      </c>
      <c r="AH187" s="7">
        <f t="shared" si="89"/>
        <v>461209.17</v>
      </c>
      <c r="AI187" s="7">
        <f t="shared" si="89"/>
        <v>184445.14</v>
      </c>
      <c r="AJ187" s="7">
        <f t="shared" si="89"/>
        <v>87406.77</v>
      </c>
      <c r="AK187" s="7">
        <f t="shared" si="89"/>
        <v>79797.81</v>
      </c>
      <c r="AL187" s="7">
        <f t="shared" si="89"/>
        <v>138935.82999999999</v>
      </c>
      <c r="AM187" s="7">
        <f t="shared" si="89"/>
        <v>169805.11</v>
      </c>
      <c r="AN187" s="7">
        <f t="shared" si="89"/>
        <v>144714.79</v>
      </c>
      <c r="AO187" s="7">
        <f t="shared" si="89"/>
        <v>801498.29</v>
      </c>
      <c r="AP187" s="7">
        <f t="shared" si="89"/>
        <v>0</v>
      </c>
      <c r="AQ187" s="7">
        <f t="shared" si="89"/>
        <v>120876.58</v>
      </c>
      <c r="AR187" s="7">
        <f t="shared" si="89"/>
        <v>0</v>
      </c>
      <c r="AS187" s="7">
        <f t="shared" si="89"/>
        <v>0</v>
      </c>
      <c r="AT187" s="7">
        <f t="shared" si="89"/>
        <v>429842.45</v>
      </c>
      <c r="AU187" s="7">
        <f t="shared" si="89"/>
        <v>130508.18</v>
      </c>
      <c r="AV187" s="7">
        <f t="shared" si="89"/>
        <v>147074.53</v>
      </c>
      <c r="AW187" s="7">
        <f t="shared" si="89"/>
        <v>123766.06</v>
      </c>
      <c r="AX187" s="7">
        <f t="shared" si="89"/>
        <v>39007.980000000003</v>
      </c>
      <c r="AY187" s="7">
        <f t="shared" si="89"/>
        <v>195906.74</v>
      </c>
      <c r="AZ187" s="7">
        <f t="shared" si="89"/>
        <v>0</v>
      </c>
      <c r="BA187" s="7">
        <f t="shared" si="89"/>
        <v>0</v>
      </c>
      <c r="BB187" s="7">
        <f t="shared" si="89"/>
        <v>0</v>
      </c>
      <c r="BC187" s="7">
        <f t="shared" si="89"/>
        <v>0</v>
      </c>
      <c r="BD187" s="7">
        <f t="shared" si="89"/>
        <v>0</v>
      </c>
      <c r="BE187" s="7">
        <f t="shared" si="89"/>
        <v>0</v>
      </c>
      <c r="BF187" s="7">
        <f t="shared" si="89"/>
        <v>0</v>
      </c>
      <c r="BG187" s="7">
        <f t="shared" si="89"/>
        <v>443342.55</v>
      </c>
      <c r="BH187" s="7">
        <f t="shared" si="89"/>
        <v>281001.93</v>
      </c>
      <c r="BI187" s="7">
        <f t="shared" si="89"/>
        <v>123958.69</v>
      </c>
      <c r="BJ187" s="7">
        <f t="shared" si="89"/>
        <v>0</v>
      </c>
      <c r="BK187" s="7">
        <f t="shared" si="89"/>
        <v>0</v>
      </c>
      <c r="BL187" s="7">
        <f t="shared" si="89"/>
        <v>37226.129999999997</v>
      </c>
      <c r="BM187" s="7">
        <f t="shared" si="89"/>
        <v>173031.69</v>
      </c>
      <c r="BN187" s="7">
        <f t="shared" si="89"/>
        <v>572153.18000000005</v>
      </c>
      <c r="BO187" s="7">
        <f t="shared" si="89"/>
        <v>228690.3</v>
      </c>
      <c r="BP187" s="7">
        <f t="shared" si="89"/>
        <v>77245.429999999993</v>
      </c>
      <c r="BQ187" s="7">
        <f t="shared" si="89"/>
        <v>1070822.81</v>
      </c>
      <c r="BR187" s="7">
        <f t="shared" si="89"/>
        <v>816395.08</v>
      </c>
      <c r="BS187" s="7">
        <f t="shared" si="89"/>
        <v>210646.81</v>
      </c>
      <c r="BT187" s="7">
        <f t="shared" si="89"/>
        <v>179388.55</v>
      </c>
      <c r="BU187" s="7">
        <f t="shared" si="89"/>
        <v>189598.05</v>
      </c>
      <c r="BV187" s="7">
        <f t="shared" si="89"/>
        <v>226507.62</v>
      </c>
      <c r="BW187" s="7">
        <f t="shared" si="89"/>
        <v>366963.08</v>
      </c>
      <c r="BX187" s="7">
        <f t="shared" si="89"/>
        <v>32025.07</v>
      </c>
      <c r="BY187" s="7">
        <f t="shared" si="89"/>
        <v>207416.51</v>
      </c>
      <c r="BZ187" s="7">
        <f t="shared" si="89"/>
        <v>109800.24</v>
      </c>
      <c r="CA187" s="7">
        <f t="shared" si="89"/>
        <v>70407</v>
      </c>
      <c r="CB187" s="7">
        <f t="shared" si="89"/>
        <v>0</v>
      </c>
      <c r="CC187" s="7">
        <f t="shared" si="89"/>
        <v>91163.09</v>
      </c>
      <c r="CD187" s="7">
        <f t="shared" si="89"/>
        <v>24079</v>
      </c>
      <c r="CE187" s="7">
        <f t="shared" si="89"/>
        <v>76234.11</v>
      </c>
      <c r="CF187" s="7">
        <f t="shared" si="89"/>
        <v>54177.75</v>
      </c>
      <c r="CG187" s="7">
        <f t="shared" si="89"/>
        <v>96267.839999999997</v>
      </c>
      <c r="CH187" s="7">
        <f t="shared" si="89"/>
        <v>46472.47</v>
      </c>
      <c r="CI187" s="7">
        <f t="shared" si="89"/>
        <v>331278.88</v>
      </c>
      <c r="CJ187" s="7">
        <f t="shared" si="89"/>
        <v>420082.23</v>
      </c>
      <c r="CK187" s="7">
        <f t="shared" si="89"/>
        <v>893352.74</v>
      </c>
      <c r="CL187" s="7">
        <f t="shared" si="89"/>
        <v>225161.63</v>
      </c>
      <c r="CM187" s="7">
        <f t="shared" si="89"/>
        <v>331038.09000000003</v>
      </c>
      <c r="CN187" s="7">
        <f t="shared" si="89"/>
        <v>0</v>
      </c>
      <c r="CO187" s="7">
        <f t="shared" si="89"/>
        <v>0</v>
      </c>
      <c r="CP187" s="7">
        <f t="shared" si="89"/>
        <v>449988.35</v>
      </c>
      <c r="CQ187" s="7">
        <f t="shared" si="89"/>
        <v>370864.76</v>
      </c>
      <c r="CR187" s="7">
        <f t="shared" si="89"/>
        <v>103924.96</v>
      </c>
      <c r="CS187" s="7">
        <f t="shared" si="89"/>
        <v>137491.09</v>
      </c>
      <c r="CT187" s="7">
        <f t="shared" si="89"/>
        <v>54659.33</v>
      </c>
      <c r="CU187" s="7">
        <f t="shared" si="89"/>
        <v>226246.28</v>
      </c>
      <c r="CV187" s="7">
        <f t="shared" si="89"/>
        <v>24079</v>
      </c>
      <c r="CW187" s="7">
        <f t="shared" si="89"/>
        <v>95689.95</v>
      </c>
      <c r="CX187" s="7">
        <f t="shared" si="89"/>
        <v>222201.01</v>
      </c>
      <c r="CY187" s="7">
        <f t="shared" si="89"/>
        <v>24079</v>
      </c>
      <c r="CZ187" s="7">
        <f t="shared" si="89"/>
        <v>328638.84999999998</v>
      </c>
      <c r="DA187" s="7">
        <f t="shared" si="89"/>
        <v>98001.53</v>
      </c>
      <c r="DB187" s="7">
        <f t="shared" si="89"/>
        <v>152082.96</v>
      </c>
      <c r="DC187" s="7">
        <f t="shared" si="89"/>
        <v>92944.94</v>
      </c>
      <c r="DD187" s="7">
        <f t="shared" si="89"/>
        <v>84035.71</v>
      </c>
      <c r="DE187" s="7">
        <f t="shared" si="89"/>
        <v>137394.76999999999</v>
      </c>
      <c r="DF187" s="7">
        <f t="shared" si="89"/>
        <v>0</v>
      </c>
      <c r="DG187" s="7">
        <f t="shared" si="89"/>
        <v>45027.73</v>
      </c>
      <c r="DH187" s="7">
        <f t="shared" si="89"/>
        <v>328384.21000000002</v>
      </c>
      <c r="DI187" s="7">
        <f t="shared" si="89"/>
        <v>446048.85</v>
      </c>
      <c r="DJ187" s="7">
        <f t="shared" si="89"/>
        <v>300505.92</v>
      </c>
      <c r="DK187" s="7">
        <f t="shared" si="89"/>
        <v>230532.35</v>
      </c>
      <c r="DL187" s="7">
        <f t="shared" si="89"/>
        <v>1035681.66</v>
      </c>
      <c r="DM187" s="7">
        <f t="shared" si="89"/>
        <v>113171.3</v>
      </c>
      <c r="DN187" s="7">
        <f t="shared" si="89"/>
        <v>235729.44</v>
      </c>
      <c r="DO187" s="7">
        <f t="shared" si="89"/>
        <v>598418.1</v>
      </c>
      <c r="DP187" s="7">
        <f t="shared" si="89"/>
        <v>96316</v>
      </c>
      <c r="DQ187" s="7">
        <f t="shared" si="89"/>
        <v>427643.04</v>
      </c>
      <c r="DR187" s="7">
        <f t="shared" si="89"/>
        <v>239221.73</v>
      </c>
      <c r="DS187" s="7">
        <f t="shared" si="89"/>
        <v>288899.84000000003</v>
      </c>
      <c r="DT187" s="7">
        <f t="shared" si="89"/>
        <v>84998.87</v>
      </c>
      <c r="DU187" s="7">
        <f t="shared" si="89"/>
        <v>169227.21</v>
      </c>
      <c r="DV187" s="7">
        <f t="shared" si="89"/>
        <v>100168.64</v>
      </c>
      <c r="DW187" s="7">
        <f t="shared" si="89"/>
        <v>144570.32</v>
      </c>
      <c r="DX187" s="7">
        <f t="shared" si="89"/>
        <v>80905.440000000002</v>
      </c>
      <c r="DY187" s="7">
        <f t="shared" si="89"/>
        <v>142836.63</v>
      </c>
      <c r="DZ187" s="7">
        <f t="shared" si="89"/>
        <v>328341.24</v>
      </c>
      <c r="EA187" s="7">
        <f t="shared" si="89"/>
        <v>255526.35</v>
      </c>
      <c r="EB187" s="7">
        <f t="shared" si="89"/>
        <v>257356.35</v>
      </c>
      <c r="EC187" s="7">
        <f t="shared" si="89"/>
        <v>137298.46</v>
      </c>
      <c r="ED187" s="7">
        <f t="shared" si="89"/>
        <v>284075.8</v>
      </c>
      <c r="EE187" s="7">
        <f t="shared" si="89"/>
        <v>92270.73</v>
      </c>
      <c r="EF187" s="7">
        <f t="shared" si="89"/>
        <v>246497.33</v>
      </c>
      <c r="EG187" s="7">
        <f t="shared" si="89"/>
        <v>122080.53</v>
      </c>
      <c r="EH187" s="7">
        <f t="shared" si="89"/>
        <v>119142.89</v>
      </c>
      <c r="EI187" s="7">
        <f t="shared" si="89"/>
        <v>0</v>
      </c>
      <c r="EJ187" s="7">
        <f t="shared" si="89"/>
        <v>0</v>
      </c>
      <c r="EK187" s="7">
        <f t="shared" si="89"/>
        <v>322032.55</v>
      </c>
      <c r="EL187" s="7">
        <f t="shared" si="89"/>
        <v>221237.85</v>
      </c>
      <c r="EM187" s="7">
        <f t="shared" si="89"/>
        <v>182085.4</v>
      </c>
      <c r="EN187" s="7">
        <f t="shared" si="89"/>
        <v>452637.04</v>
      </c>
      <c r="EO187" s="7">
        <f t="shared" si="89"/>
        <v>147074.53</v>
      </c>
      <c r="EP187" s="7">
        <f t="shared" si="89"/>
        <v>206357.03</v>
      </c>
      <c r="EQ187" s="7">
        <f t="shared" si="89"/>
        <v>475897</v>
      </c>
      <c r="ER187" s="7">
        <f t="shared" si="89"/>
        <v>149097.17000000001</v>
      </c>
      <c r="ES187" s="7">
        <f t="shared" si="89"/>
        <v>78497.539999999994</v>
      </c>
      <c r="ET187" s="7">
        <f t="shared" si="89"/>
        <v>95112.05</v>
      </c>
      <c r="EU187" s="7">
        <f t="shared" si="89"/>
        <v>277052.96999999997</v>
      </c>
      <c r="EV187" s="7">
        <f t="shared" si="89"/>
        <v>34962.71</v>
      </c>
      <c r="EW187" s="7">
        <f t="shared" si="89"/>
        <v>394606.65</v>
      </c>
      <c r="EX187" s="7">
        <f t="shared" si="89"/>
        <v>83554.13</v>
      </c>
      <c r="EY187" s="7">
        <f t="shared" si="89"/>
        <v>316157.27</v>
      </c>
      <c r="EZ187" s="7">
        <f t="shared" si="89"/>
        <v>62268.29</v>
      </c>
      <c r="FA187" s="7">
        <f t="shared" si="89"/>
        <v>617916.71</v>
      </c>
      <c r="FB187" s="7">
        <f t="shared" si="89"/>
        <v>138743.20000000001</v>
      </c>
      <c r="FC187" s="7">
        <f t="shared" si="89"/>
        <v>332167.52</v>
      </c>
      <c r="FD187" s="7">
        <f t="shared" si="89"/>
        <v>193595.16</v>
      </c>
      <c r="FE187" s="7">
        <f t="shared" si="89"/>
        <v>38044.82</v>
      </c>
      <c r="FF187" s="7">
        <f t="shared" si="89"/>
        <v>89092.3</v>
      </c>
      <c r="FG187" s="7">
        <f t="shared" si="89"/>
        <v>58174.86</v>
      </c>
      <c r="FH187" s="7">
        <f t="shared" si="89"/>
        <v>33710.6</v>
      </c>
      <c r="FI187" s="7">
        <f t="shared" si="89"/>
        <v>309667.73</v>
      </c>
      <c r="FJ187" s="7">
        <f t="shared" si="89"/>
        <v>366781.19</v>
      </c>
      <c r="FK187" s="7">
        <f t="shared" si="89"/>
        <v>460018</v>
      </c>
      <c r="FL187" s="7">
        <f t="shared" si="89"/>
        <v>0</v>
      </c>
      <c r="FM187" s="7">
        <f t="shared" si="89"/>
        <v>724195.04</v>
      </c>
      <c r="FN187" s="7">
        <f t="shared" si="89"/>
        <v>0</v>
      </c>
      <c r="FO187" s="7">
        <f t="shared" si="89"/>
        <v>203571.29</v>
      </c>
      <c r="FP187" s="7">
        <f t="shared" si="89"/>
        <v>425895.44</v>
      </c>
      <c r="FQ187" s="7">
        <f t="shared" si="89"/>
        <v>474308.14</v>
      </c>
      <c r="FR187" s="7">
        <f t="shared" si="89"/>
        <v>80953.600000000006</v>
      </c>
      <c r="FS187" s="7">
        <f t="shared" si="89"/>
        <v>81049.91</v>
      </c>
      <c r="FT187" s="7">
        <f t="shared" si="89"/>
        <v>27209.27</v>
      </c>
      <c r="FU187" s="7">
        <f t="shared" si="89"/>
        <v>380977.94</v>
      </c>
      <c r="FV187" s="7">
        <f t="shared" si="89"/>
        <v>334072.05</v>
      </c>
      <c r="FW187" s="7">
        <f t="shared" si="89"/>
        <v>71996.210000000006</v>
      </c>
      <c r="FX187" s="7">
        <f t="shared" si="89"/>
        <v>31061.91</v>
      </c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</row>
    <row r="188" spans="1:207" ht="15.5" x14ac:dyDescent="0.35">
      <c r="A188" s="12" t="s">
        <v>930</v>
      </c>
      <c r="B188" s="7" t="s">
        <v>931</v>
      </c>
      <c r="C188" s="7">
        <f t="shared" ref="C188:FX188" si="90">ROUND(IF(C184&gt;=6500,0,IF(C185="Urban",0,MAX(C187,100000))),2)</f>
        <v>0</v>
      </c>
      <c r="D188" s="7">
        <f t="shared" si="90"/>
        <v>0</v>
      </c>
      <c r="E188" s="7">
        <f t="shared" si="90"/>
        <v>0</v>
      </c>
      <c r="F188" s="7">
        <f t="shared" si="90"/>
        <v>0</v>
      </c>
      <c r="G188" s="7">
        <f t="shared" si="90"/>
        <v>335587.05</v>
      </c>
      <c r="H188" s="7">
        <f t="shared" si="90"/>
        <v>199478.76</v>
      </c>
      <c r="I188" s="7">
        <f t="shared" si="90"/>
        <v>0</v>
      </c>
      <c r="J188" s="7">
        <f t="shared" si="90"/>
        <v>375930.25</v>
      </c>
      <c r="K188" s="7">
        <f t="shared" si="90"/>
        <v>121213.69</v>
      </c>
      <c r="L188" s="7">
        <f t="shared" si="90"/>
        <v>0</v>
      </c>
      <c r="M188" s="7">
        <f t="shared" si="90"/>
        <v>0</v>
      </c>
      <c r="N188" s="7">
        <f t="shared" si="90"/>
        <v>0</v>
      </c>
      <c r="O188" s="7">
        <f t="shared" si="90"/>
        <v>0</v>
      </c>
      <c r="P188" s="7">
        <f t="shared" si="90"/>
        <v>151842.17000000001</v>
      </c>
      <c r="Q188" s="7">
        <f t="shared" si="90"/>
        <v>0</v>
      </c>
      <c r="R188" s="7">
        <f t="shared" si="90"/>
        <v>0</v>
      </c>
      <c r="S188" s="7">
        <f t="shared" si="90"/>
        <v>292006.21000000002</v>
      </c>
      <c r="T188" s="7">
        <f t="shared" si="90"/>
        <v>100000</v>
      </c>
      <c r="U188" s="7">
        <f t="shared" si="90"/>
        <v>100000</v>
      </c>
      <c r="V188" s="7">
        <f t="shared" si="90"/>
        <v>123477.11</v>
      </c>
      <c r="W188" s="7">
        <f t="shared" si="90"/>
        <v>100000</v>
      </c>
      <c r="X188" s="7">
        <f t="shared" si="90"/>
        <v>100000</v>
      </c>
      <c r="Y188" s="7">
        <f t="shared" si="90"/>
        <v>432121.73</v>
      </c>
      <c r="Z188" s="7">
        <f t="shared" si="90"/>
        <v>111293.14</v>
      </c>
      <c r="AA188" s="7">
        <f t="shared" si="90"/>
        <v>0</v>
      </c>
      <c r="AB188" s="7">
        <f t="shared" si="90"/>
        <v>0</v>
      </c>
      <c r="AC188" s="7">
        <f t="shared" si="90"/>
        <v>436455.95</v>
      </c>
      <c r="AD188" s="7">
        <f t="shared" si="90"/>
        <v>262212.62</v>
      </c>
      <c r="AE188" s="7">
        <f t="shared" si="90"/>
        <v>100000</v>
      </c>
      <c r="AF188" s="7">
        <f t="shared" si="90"/>
        <v>100000</v>
      </c>
      <c r="AG188" s="7">
        <f t="shared" si="90"/>
        <v>289477.74</v>
      </c>
      <c r="AH188" s="7">
        <f t="shared" si="90"/>
        <v>461209.17</v>
      </c>
      <c r="AI188" s="7">
        <f t="shared" si="90"/>
        <v>184445.14</v>
      </c>
      <c r="AJ188" s="7">
        <f t="shared" si="90"/>
        <v>100000</v>
      </c>
      <c r="AK188" s="7">
        <f t="shared" si="90"/>
        <v>100000</v>
      </c>
      <c r="AL188" s="7">
        <f t="shared" si="90"/>
        <v>138935.82999999999</v>
      </c>
      <c r="AM188" s="7">
        <f t="shared" si="90"/>
        <v>169805.11</v>
      </c>
      <c r="AN188" s="7">
        <f t="shared" si="90"/>
        <v>144714.79</v>
      </c>
      <c r="AO188" s="7">
        <f t="shared" si="90"/>
        <v>801498.29</v>
      </c>
      <c r="AP188" s="7">
        <f t="shared" si="90"/>
        <v>0</v>
      </c>
      <c r="AQ188" s="7">
        <f t="shared" si="90"/>
        <v>120876.58</v>
      </c>
      <c r="AR188" s="7">
        <f t="shared" si="90"/>
        <v>0</v>
      </c>
      <c r="AS188" s="7">
        <f t="shared" si="90"/>
        <v>0</v>
      </c>
      <c r="AT188" s="7">
        <f t="shared" si="90"/>
        <v>429842.45</v>
      </c>
      <c r="AU188" s="7">
        <f t="shared" si="90"/>
        <v>130508.18</v>
      </c>
      <c r="AV188" s="7">
        <f t="shared" si="90"/>
        <v>147074.53</v>
      </c>
      <c r="AW188" s="7">
        <f t="shared" si="90"/>
        <v>123766.06</v>
      </c>
      <c r="AX188" s="7">
        <f t="shared" si="90"/>
        <v>100000</v>
      </c>
      <c r="AY188" s="7">
        <f t="shared" si="90"/>
        <v>195906.74</v>
      </c>
      <c r="AZ188" s="7">
        <f t="shared" si="90"/>
        <v>0</v>
      </c>
      <c r="BA188" s="7">
        <f t="shared" si="90"/>
        <v>0</v>
      </c>
      <c r="BB188" s="7">
        <f t="shared" si="90"/>
        <v>0</v>
      </c>
      <c r="BC188" s="7">
        <f t="shared" si="90"/>
        <v>0</v>
      </c>
      <c r="BD188" s="7">
        <f t="shared" si="90"/>
        <v>0</v>
      </c>
      <c r="BE188" s="7">
        <f t="shared" si="90"/>
        <v>0</v>
      </c>
      <c r="BF188" s="7">
        <f t="shared" si="90"/>
        <v>0</v>
      </c>
      <c r="BG188" s="7">
        <f t="shared" si="90"/>
        <v>443342.55</v>
      </c>
      <c r="BH188" s="7">
        <f t="shared" si="90"/>
        <v>281001.93</v>
      </c>
      <c r="BI188" s="7">
        <f t="shared" si="90"/>
        <v>123958.69</v>
      </c>
      <c r="BJ188" s="7">
        <f t="shared" si="90"/>
        <v>0</v>
      </c>
      <c r="BK188" s="7">
        <f t="shared" si="90"/>
        <v>0</v>
      </c>
      <c r="BL188" s="7">
        <f t="shared" si="90"/>
        <v>100000</v>
      </c>
      <c r="BM188" s="7">
        <f t="shared" si="90"/>
        <v>173031.69</v>
      </c>
      <c r="BN188" s="7">
        <f t="shared" si="90"/>
        <v>572153.18000000005</v>
      </c>
      <c r="BO188" s="7">
        <f t="shared" si="90"/>
        <v>228690.3</v>
      </c>
      <c r="BP188" s="7">
        <f t="shared" si="90"/>
        <v>100000</v>
      </c>
      <c r="BQ188" s="7">
        <f t="shared" si="90"/>
        <v>1070822.81</v>
      </c>
      <c r="BR188" s="7">
        <f t="shared" si="90"/>
        <v>816395.08</v>
      </c>
      <c r="BS188" s="7">
        <f t="shared" si="90"/>
        <v>210646.81</v>
      </c>
      <c r="BT188" s="7">
        <f t="shared" si="90"/>
        <v>179388.55</v>
      </c>
      <c r="BU188" s="7">
        <f t="shared" si="90"/>
        <v>189598.05</v>
      </c>
      <c r="BV188" s="7">
        <f t="shared" si="90"/>
        <v>226507.62</v>
      </c>
      <c r="BW188" s="7">
        <f t="shared" si="90"/>
        <v>366963.08</v>
      </c>
      <c r="BX188" s="7">
        <f t="shared" si="90"/>
        <v>100000</v>
      </c>
      <c r="BY188" s="7">
        <f t="shared" si="90"/>
        <v>207416.51</v>
      </c>
      <c r="BZ188" s="7">
        <f t="shared" si="90"/>
        <v>109800.24</v>
      </c>
      <c r="CA188" s="7">
        <f t="shared" si="90"/>
        <v>100000</v>
      </c>
      <c r="CB188" s="7">
        <f t="shared" si="90"/>
        <v>0</v>
      </c>
      <c r="CC188" s="7">
        <f t="shared" si="90"/>
        <v>100000</v>
      </c>
      <c r="CD188" s="7">
        <f t="shared" si="90"/>
        <v>100000</v>
      </c>
      <c r="CE188" s="7">
        <f t="shared" si="90"/>
        <v>100000</v>
      </c>
      <c r="CF188" s="7">
        <f t="shared" si="90"/>
        <v>100000</v>
      </c>
      <c r="CG188" s="7">
        <f t="shared" si="90"/>
        <v>100000</v>
      </c>
      <c r="CH188" s="7">
        <f t="shared" si="90"/>
        <v>100000</v>
      </c>
      <c r="CI188" s="7">
        <f t="shared" si="90"/>
        <v>331278.88</v>
      </c>
      <c r="CJ188" s="7">
        <f t="shared" si="90"/>
        <v>420082.23</v>
      </c>
      <c r="CK188" s="7">
        <f t="shared" si="90"/>
        <v>893352.74</v>
      </c>
      <c r="CL188" s="7">
        <f t="shared" si="90"/>
        <v>225161.63</v>
      </c>
      <c r="CM188" s="7">
        <f t="shared" si="90"/>
        <v>331038.09000000003</v>
      </c>
      <c r="CN188" s="7">
        <f t="shared" si="90"/>
        <v>0</v>
      </c>
      <c r="CO188" s="7">
        <f t="shared" si="90"/>
        <v>0</v>
      </c>
      <c r="CP188" s="7">
        <f t="shared" si="90"/>
        <v>449988.35</v>
      </c>
      <c r="CQ188" s="7">
        <f t="shared" si="90"/>
        <v>370864.76</v>
      </c>
      <c r="CR188" s="7">
        <f t="shared" si="90"/>
        <v>103924.96</v>
      </c>
      <c r="CS188" s="7">
        <f t="shared" si="90"/>
        <v>137491.09</v>
      </c>
      <c r="CT188" s="7">
        <f t="shared" si="90"/>
        <v>100000</v>
      </c>
      <c r="CU188" s="7">
        <f t="shared" si="90"/>
        <v>226246.28</v>
      </c>
      <c r="CV188" s="7">
        <f t="shared" si="90"/>
        <v>100000</v>
      </c>
      <c r="CW188" s="7">
        <f t="shared" si="90"/>
        <v>100000</v>
      </c>
      <c r="CX188" s="7">
        <f t="shared" si="90"/>
        <v>222201.01</v>
      </c>
      <c r="CY188" s="7">
        <f t="shared" si="90"/>
        <v>100000</v>
      </c>
      <c r="CZ188" s="7">
        <f t="shared" si="90"/>
        <v>328638.84999999998</v>
      </c>
      <c r="DA188" s="7">
        <f t="shared" si="90"/>
        <v>100000</v>
      </c>
      <c r="DB188" s="7">
        <f t="shared" si="90"/>
        <v>152082.96</v>
      </c>
      <c r="DC188" s="7">
        <f t="shared" si="90"/>
        <v>100000</v>
      </c>
      <c r="DD188" s="7">
        <f t="shared" si="90"/>
        <v>100000</v>
      </c>
      <c r="DE188" s="7">
        <f t="shared" si="90"/>
        <v>137394.76999999999</v>
      </c>
      <c r="DF188" s="7">
        <f t="shared" si="90"/>
        <v>0</v>
      </c>
      <c r="DG188" s="7">
        <f t="shared" si="90"/>
        <v>100000</v>
      </c>
      <c r="DH188" s="7">
        <f t="shared" si="90"/>
        <v>328384.21000000002</v>
      </c>
      <c r="DI188" s="7">
        <f t="shared" si="90"/>
        <v>446048.85</v>
      </c>
      <c r="DJ188" s="7">
        <f t="shared" si="90"/>
        <v>300505.92</v>
      </c>
      <c r="DK188" s="7">
        <f t="shared" si="90"/>
        <v>230532.35</v>
      </c>
      <c r="DL188" s="7">
        <f t="shared" si="90"/>
        <v>1035681.66</v>
      </c>
      <c r="DM188" s="7">
        <f t="shared" si="90"/>
        <v>113171.3</v>
      </c>
      <c r="DN188" s="7">
        <f t="shared" si="90"/>
        <v>235729.44</v>
      </c>
      <c r="DO188" s="7">
        <f t="shared" si="90"/>
        <v>598418.1</v>
      </c>
      <c r="DP188" s="7">
        <f t="shared" si="90"/>
        <v>100000</v>
      </c>
      <c r="DQ188" s="7">
        <f t="shared" si="90"/>
        <v>427643.04</v>
      </c>
      <c r="DR188" s="7">
        <f t="shared" si="90"/>
        <v>239221.73</v>
      </c>
      <c r="DS188" s="7">
        <f t="shared" si="90"/>
        <v>288899.84000000003</v>
      </c>
      <c r="DT188" s="7">
        <f t="shared" si="90"/>
        <v>100000</v>
      </c>
      <c r="DU188" s="7">
        <f t="shared" si="90"/>
        <v>169227.21</v>
      </c>
      <c r="DV188" s="7">
        <f t="shared" si="90"/>
        <v>100168.64</v>
      </c>
      <c r="DW188" s="7">
        <f t="shared" si="90"/>
        <v>144570.32</v>
      </c>
      <c r="DX188" s="7">
        <f t="shared" si="90"/>
        <v>100000</v>
      </c>
      <c r="DY188" s="7">
        <f t="shared" si="90"/>
        <v>142836.63</v>
      </c>
      <c r="DZ188" s="7">
        <f t="shared" si="90"/>
        <v>328341.24</v>
      </c>
      <c r="EA188" s="7">
        <f t="shared" si="90"/>
        <v>255526.35</v>
      </c>
      <c r="EB188" s="7">
        <f t="shared" si="90"/>
        <v>257356.35</v>
      </c>
      <c r="EC188" s="7">
        <f t="shared" si="90"/>
        <v>137298.46</v>
      </c>
      <c r="ED188" s="7">
        <f t="shared" si="90"/>
        <v>284075.8</v>
      </c>
      <c r="EE188" s="7">
        <f t="shared" si="90"/>
        <v>100000</v>
      </c>
      <c r="EF188" s="7">
        <f t="shared" si="90"/>
        <v>246497.33</v>
      </c>
      <c r="EG188" s="7">
        <f t="shared" si="90"/>
        <v>122080.53</v>
      </c>
      <c r="EH188" s="7">
        <f t="shared" si="90"/>
        <v>119142.89</v>
      </c>
      <c r="EI188" s="7">
        <f t="shared" si="90"/>
        <v>0</v>
      </c>
      <c r="EJ188" s="7">
        <f t="shared" si="90"/>
        <v>0</v>
      </c>
      <c r="EK188" s="7">
        <f t="shared" si="90"/>
        <v>322032.55</v>
      </c>
      <c r="EL188" s="7">
        <f t="shared" si="90"/>
        <v>221237.85</v>
      </c>
      <c r="EM188" s="7">
        <f t="shared" si="90"/>
        <v>182085.4</v>
      </c>
      <c r="EN188" s="7">
        <f t="shared" si="90"/>
        <v>452637.04</v>
      </c>
      <c r="EO188" s="7">
        <f t="shared" si="90"/>
        <v>147074.53</v>
      </c>
      <c r="EP188" s="7">
        <f t="shared" si="90"/>
        <v>206357.03</v>
      </c>
      <c r="EQ188" s="7">
        <f t="shared" si="90"/>
        <v>475897</v>
      </c>
      <c r="ER188" s="7">
        <f t="shared" si="90"/>
        <v>149097.17000000001</v>
      </c>
      <c r="ES188" s="7">
        <f t="shared" si="90"/>
        <v>100000</v>
      </c>
      <c r="ET188" s="7">
        <f t="shared" si="90"/>
        <v>100000</v>
      </c>
      <c r="EU188" s="7">
        <f t="shared" si="90"/>
        <v>277052.96999999997</v>
      </c>
      <c r="EV188" s="7">
        <f t="shared" si="90"/>
        <v>100000</v>
      </c>
      <c r="EW188" s="7">
        <f t="shared" si="90"/>
        <v>394606.65</v>
      </c>
      <c r="EX188" s="7">
        <f t="shared" si="90"/>
        <v>100000</v>
      </c>
      <c r="EY188" s="7">
        <f t="shared" si="90"/>
        <v>316157.27</v>
      </c>
      <c r="EZ188" s="7">
        <f t="shared" si="90"/>
        <v>100000</v>
      </c>
      <c r="FA188" s="7">
        <f t="shared" si="90"/>
        <v>617916.71</v>
      </c>
      <c r="FB188" s="7">
        <f t="shared" si="90"/>
        <v>138743.20000000001</v>
      </c>
      <c r="FC188" s="7">
        <f t="shared" si="90"/>
        <v>332167.52</v>
      </c>
      <c r="FD188" s="7">
        <f t="shared" si="90"/>
        <v>193595.16</v>
      </c>
      <c r="FE188" s="7">
        <f t="shared" si="90"/>
        <v>100000</v>
      </c>
      <c r="FF188" s="7">
        <f t="shared" si="90"/>
        <v>100000</v>
      </c>
      <c r="FG188" s="7">
        <f t="shared" si="90"/>
        <v>100000</v>
      </c>
      <c r="FH188" s="7">
        <f t="shared" si="90"/>
        <v>100000</v>
      </c>
      <c r="FI188" s="7">
        <f t="shared" si="90"/>
        <v>309667.73</v>
      </c>
      <c r="FJ188" s="7">
        <f t="shared" si="90"/>
        <v>366781.19</v>
      </c>
      <c r="FK188" s="7">
        <f t="shared" si="90"/>
        <v>460018</v>
      </c>
      <c r="FL188" s="7">
        <f t="shared" si="90"/>
        <v>0</v>
      </c>
      <c r="FM188" s="7">
        <f t="shared" si="90"/>
        <v>724195.04</v>
      </c>
      <c r="FN188" s="7">
        <f t="shared" si="90"/>
        <v>0</v>
      </c>
      <c r="FO188" s="7">
        <f t="shared" si="90"/>
        <v>203571.29</v>
      </c>
      <c r="FP188" s="7">
        <f t="shared" si="90"/>
        <v>425895.44</v>
      </c>
      <c r="FQ188" s="7">
        <f t="shared" si="90"/>
        <v>474308.14</v>
      </c>
      <c r="FR188" s="7">
        <f t="shared" si="90"/>
        <v>100000</v>
      </c>
      <c r="FS188" s="7">
        <f t="shared" si="90"/>
        <v>100000</v>
      </c>
      <c r="FT188" s="7">
        <f t="shared" si="90"/>
        <v>100000</v>
      </c>
      <c r="FU188" s="7">
        <f t="shared" si="90"/>
        <v>380977.94</v>
      </c>
      <c r="FV188" s="7">
        <f t="shared" si="90"/>
        <v>334072.05</v>
      </c>
      <c r="FW188" s="7">
        <f t="shared" si="90"/>
        <v>100000</v>
      </c>
      <c r="FX188" s="7">
        <f t="shared" si="90"/>
        <v>100000</v>
      </c>
      <c r="FY188" s="7"/>
      <c r="FZ188" s="7">
        <f>SUM(C188:FX188)</f>
        <v>34866646.040000014</v>
      </c>
      <c r="GA188" s="62">
        <v>34866646.006000005</v>
      </c>
      <c r="GB188" s="7">
        <f>FZ188-GA188</f>
        <v>3.4000009298324585E-2</v>
      </c>
      <c r="GC188" s="7"/>
      <c r="GD188" s="7"/>
      <c r="GE188" s="7"/>
      <c r="GF188" s="7"/>
      <c r="GG188" s="7"/>
      <c r="GH188" s="7"/>
      <c r="GI188" s="7"/>
      <c r="GJ188" s="7"/>
      <c r="GK188" s="7"/>
    </row>
    <row r="189" spans="1:207" ht="15.5" x14ac:dyDescent="0.35">
      <c r="A189" s="12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45"/>
      <c r="GB189" s="7"/>
      <c r="GC189" s="7"/>
      <c r="GD189" s="7"/>
      <c r="GE189" s="7"/>
      <c r="GF189" s="7"/>
      <c r="GG189" s="7"/>
      <c r="GH189" s="7"/>
      <c r="GI189" s="7"/>
      <c r="GJ189" s="7"/>
      <c r="GK189" s="7"/>
    </row>
    <row r="190" spans="1:207" ht="15.5" x14ac:dyDescent="0.35">
      <c r="A190" s="12" t="s">
        <v>684</v>
      </c>
      <c r="B190" s="5" t="s">
        <v>932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</row>
    <row r="191" spans="1:207" ht="15.5" x14ac:dyDescent="0.35">
      <c r="A191" s="12" t="s">
        <v>933</v>
      </c>
      <c r="B191" s="7" t="s">
        <v>934</v>
      </c>
      <c r="C191" s="7">
        <f t="shared" ref="C191:FX191" si="91">IF(C103&lt;=459,1,0)</f>
        <v>0</v>
      </c>
      <c r="D191" s="7">
        <f t="shared" si="91"/>
        <v>0</v>
      </c>
      <c r="E191" s="7">
        <f t="shared" si="91"/>
        <v>0</v>
      </c>
      <c r="F191" s="7">
        <f t="shared" si="91"/>
        <v>0</v>
      </c>
      <c r="G191" s="7">
        <f t="shared" si="91"/>
        <v>0</v>
      </c>
      <c r="H191" s="7">
        <f t="shared" si="91"/>
        <v>0</v>
      </c>
      <c r="I191" s="7">
        <f t="shared" si="91"/>
        <v>0</v>
      </c>
      <c r="J191" s="7">
        <f t="shared" si="91"/>
        <v>0</v>
      </c>
      <c r="K191" s="7">
        <f t="shared" si="91"/>
        <v>1</v>
      </c>
      <c r="L191" s="7">
        <f t="shared" si="91"/>
        <v>0</v>
      </c>
      <c r="M191" s="7">
        <f t="shared" si="91"/>
        <v>0</v>
      </c>
      <c r="N191" s="7">
        <f t="shared" si="91"/>
        <v>0</v>
      </c>
      <c r="O191" s="7">
        <f t="shared" si="91"/>
        <v>0</v>
      </c>
      <c r="P191" s="7">
        <f t="shared" si="91"/>
        <v>1</v>
      </c>
      <c r="Q191" s="7">
        <f t="shared" si="91"/>
        <v>0</v>
      </c>
      <c r="R191" s="7">
        <f t="shared" si="91"/>
        <v>0</v>
      </c>
      <c r="S191" s="7">
        <f t="shared" si="91"/>
        <v>0</v>
      </c>
      <c r="T191" s="7">
        <f t="shared" si="91"/>
        <v>1</v>
      </c>
      <c r="U191" s="7">
        <f t="shared" si="91"/>
        <v>1</v>
      </c>
      <c r="V191" s="7">
        <f t="shared" si="91"/>
        <v>1</v>
      </c>
      <c r="W191" s="7">
        <f t="shared" si="91"/>
        <v>1</v>
      </c>
      <c r="X191" s="7">
        <f t="shared" si="91"/>
        <v>1</v>
      </c>
      <c r="Y191" s="7">
        <f t="shared" si="91"/>
        <v>0</v>
      </c>
      <c r="Z191" s="7">
        <f t="shared" si="91"/>
        <v>1</v>
      </c>
      <c r="AA191" s="7">
        <f t="shared" si="91"/>
        <v>0</v>
      </c>
      <c r="AB191" s="7">
        <f t="shared" si="91"/>
        <v>0</v>
      </c>
      <c r="AC191" s="7">
        <f t="shared" si="91"/>
        <v>0</v>
      </c>
      <c r="AD191" s="7">
        <f t="shared" si="91"/>
        <v>0</v>
      </c>
      <c r="AE191" s="7">
        <f t="shared" si="91"/>
        <v>1</v>
      </c>
      <c r="AF191" s="7">
        <f t="shared" si="91"/>
        <v>1</v>
      </c>
      <c r="AG191" s="7">
        <f t="shared" si="91"/>
        <v>0</v>
      </c>
      <c r="AH191" s="7">
        <f t="shared" si="91"/>
        <v>0</v>
      </c>
      <c r="AI191" s="7">
        <f t="shared" si="91"/>
        <v>1</v>
      </c>
      <c r="AJ191" s="7">
        <f t="shared" si="91"/>
        <v>1</v>
      </c>
      <c r="AK191" s="7">
        <f t="shared" si="91"/>
        <v>1</v>
      </c>
      <c r="AL191" s="7">
        <f t="shared" si="91"/>
        <v>1</v>
      </c>
      <c r="AM191" s="7">
        <f t="shared" si="91"/>
        <v>1</v>
      </c>
      <c r="AN191" s="7">
        <f t="shared" si="91"/>
        <v>1</v>
      </c>
      <c r="AO191" s="7">
        <f t="shared" si="91"/>
        <v>0</v>
      </c>
      <c r="AP191" s="7">
        <f t="shared" si="91"/>
        <v>0</v>
      </c>
      <c r="AQ191" s="7">
        <f t="shared" si="91"/>
        <v>1</v>
      </c>
      <c r="AR191" s="7">
        <f t="shared" si="91"/>
        <v>0</v>
      </c>
      <c r="AS191" s="7">
        <f t="shared" si="91"/>
        <v>0</v>
      </c>
      <c r="AT191" s="7">
        <f t="shared" si="91"/>
        <v>0</v>
      </c>
      <c r="AU191" s="7">
        <f t="shared" si="91"/>
        <v>1</v>
      </c>
      <c r="AV191" s="7">
        <f t="shared" si="91"/>
        <v>1</v>
      </c>
      <c r="AW191" s="7">
        <f t="shared" si="91"/>
        <v>1</v>
      </c>
      <c r="AX191" s="7">
        <f t="shared" si="91"/>
        <v>1</v>
      </c>
      <c r="AY191" s="7">
        <f t="shared" si="91"/>
        <v>1</v>
      </c>
      <c r="AZ191" s="7">
        <f t="shared" si="91"/>
        <v>0</v>
      </c>
      <c r="BA191" s="7">
        <f t="shared" si="91"/>
        <v>0</v>
      </c>
      <c r="BB191" s="7">
        <f t="shared" si="91"/>
        <v>0</v>
      </c>
      <c r="BC191" s="7">
        <f t="shared" si="91"/>
        <v>0</v>
      </c>
      <c r="BD191" s="7">
        <f t="shared" si="91"/>
        <v>0</v>
      </c>
      <c r="BE191" s="7">
        <f t="shared" si="91"/>
        <v>0</v>
      </c>
      <c r="BF191" s="7">
        <f t="shared" si="91"/>
        <v>0</v>
      </c>
      <c r="BG191" s="7">
        <f t="shared" si="91"/>
        <v>0</v>
      </c>
      <c r="BH191" s="7">
        <f t="shared" si="91"/>
        <v>0</v>
      </c>
      <c r="BI191" s="7">
        <f t="shared" si="91"/>
        <v>1</v>
      </c>
      <c r="BJ191" s="7">
        <f t="shared" si="91"/>
        <v>0</v>
      </c>
      <c r="BK191" s="7">
        <f t="shared" si="91"/>
        <v>0</v>
      </c>
      <c r="BL191" s="7">
        <f t="shared" si="91"/>
        <v>1</v>
      </c>
      <c r="BM191" s="7">
        <f t="shared" si="91"/>
        <v>1</v>
      </c>
      <c r="BN191" s="7">
        <f t="shared" si="91"/>
        <v>0</v>
      </c>
      <c r="BO191" s="7">
        <f t="shared" si="91"/>
        <v>0</v>
      </c>
      <c r="BP191" s="7">
        <f t="shared" si="91"/>
        <v>1</v>
      </c>
      <c r="BQ191" s="7">
        <f t="shared" si="91"/>
        <v>0</v>
      </c>
      <c r="BR191" s="7">
        <f t="shared" si="91"/>
        <v>0</v>
      </c>
      <c r="BS191" s="7">
        <f t="shared" si="91"/>
        <v>0</v>
      </c>
      <c r="BT191" s="7">
        <f t="shared" si="91"/>
        <v>1</v>
      </c>
      <c r="BU191" s="7">
        <f t="shared" si="91"/>
        <v>1</v>
      </c>
      <c r="BV191" s="7">
        <f t="shared" si="91"/>
        <v>0</v>
      </c>
      <c r="BW191" s="7">
        <f t="shared" si="91"/>
        <v>0</v>
      </c>
      <c r="BX191" s="7">
        <f t="shared" si="91"/>
        <v>1</v>
      </c>
      <c r="BY191" s="7">
        <f t="shared" si="91"/>
        <v>1</v>
      </c>
      <c r="BZ191" s="7">
        <f t="shared" si="91"/>
        <v>1</v>
      </c>
      <c r="CA191" s="7">
        <f t="shared" si="91"/>
        <v>1</v>
      </c>
      <c r="CB191" s="7">
        <f t="shared" si="91"/>
        <v>0</v>
      </c>
      <c r="CC191" s="7">
        <f t="shared" si="91"/>
        <v>1</v>
      </c>
      <c r="CD191" s="7">
        <f t="shared" si="91"/>
        <v>1</v>
      </c>
      <c r="CE191" s="7">
        <f t="shared" si="91"/>
        <v>1</v>
      </c>
      <c r="CF191" s="7">
        <f t="shared" si="91"/>
        <v>1</v>
      </c>
      <c r="CG191" s="7">
        <f t="shared" si="91"/>
        <v>1</v>
      </c>
      <c r="CH191" s="7">
        <f t="shared" si="91"/>
        <v>1</v>
      </c>
      <c r="CI191" s="7">
        <f t="shared" si="91"/>
        <v>0</v>
      </c>
      <c r="CJ191" s="7">
        <f t="shared" si="91"/>
        <v>0</v>
      </c>
      <c r="CK191" s="7">
        <f t="shared" si="91"/>
        <v>0</v>
      </c>
      <c r="CL191" s="7">
        <f t="shared" si="91"/>
        <v>0</v>
      </c>
      <c r="CM191" s="7">
        <f t="shared" si="91"/>
        <v>0</v>
      </c>
      <c r="CN191" s="7">
        <f t="shared" si="91"/>
        <v>0</v>
      </c>
      <c r="CO191" s="7">
        <f t="shared" si="91"/>
        <v>0</v>
      </c>
      <c r="CP191" s="7">
        <f t="shared" si="91"/>
        <v>0</v>
      </c>
      <c r="CQ191" s="7">
        <f t="shared" si="91"/>
        <v>0</v>
      </c>
      <c r="CR191" s="7">
        <f t="shared" si="91"/>
        <v>1</v>
      </c>
      <c r="CS191" s="7">
        <f t="shared" si="91"/>
        <v>1</v>
      </c>
      <c r="CT191" s="7">
        <f t="shared" si="91"/>
        <v>1</v>
      </c>
      <c r="CU191" s="7">
        <f t="shared" si="91"/>
        <v>0</v>
      </c>
      <c r="CV191" s="7">
        <f t="shared" si="91"/>
        <v>1</v>
      </c>
      <c r="CW191" s="7">
        <f t="shared" si="91"/>
        <v>1</v>
      </c>
      <c r="CX191" s="7">
        <f t="shared" si="91"/>
        <v>0</v>
      </c>
      <c r="CY191" s="7">
        <f t="shared" si="91"/>
        <v>1</v>
      </c>
      <c r="CZ191" s="7">
        <f t="shared" si="91"/>
        <v>0</v>
      </c>
      <c r="DA191" s="7">
        <f t="shared" si="91"/>
        <v>1</v>
      </c>
      <c r="DB191" s="7">
        <f t="shared" si="91"/>
        <v>1</v>
      </c>
      <c r="DC191" s="7">
        <f t="shared" si="91"/>
        <v>1</v>
      </c>
      <c r="DD191" s="7">
        <f t="shared" si="91"/>
        <v>1</v>
      </c>
      <c r="DE191" s="7">
        <f t="shared" si="91"/>
        <v>1</v>
      </c>
      <c r="DF191" s="7">
        <f t="shared" si="91"/>
        <v>0</v>
      </c>
      <c r="DG191" s="7">
        <f t="shared" si="91"/>
        <v>1</v>
      </c>
      <c r="DH191" s="7">
        <f t="shared" si="91"/>
        <v>0</v>
      </c>
      <c r="DI191" s="7">
        <f t="shared" si="91"/>
        <v>0</v>
      </c>
      <c r="DJ191" s="7">
        <f t="shared" si="91"/>
        <v>0</v>
      </c>
      <c r="DK191" s="7">
        <f t="shared" si="91"/>
        <v>0</v>
      </c>
      <c r="DL191" s="7">
        <f t="shared" si="91"/>
        <v>0</v>
      </c>
      <c r="DM191" s="7">
        <f t="shared" si="91"/>
        <v>1</v>
      </c>
      <c r="DN191" s="7">
        <f t="shared" si="91"/>
        <v>0</v>
      </c>
      <c r="DO191" s="7">
        <f t="shared" si="91"/>
        <v>0</v>
      </c>
      <c r="DP191" s="7">
        <f t="shared" si="91"/>
        <v>1</v>
      </c>
      <c r="DQ191" s="7">
        <f t="shared" si="91"/>
        <v>0</v>
      </c>
      <c r="DR191" s="7">
        <f t="shared" si="91"/>
        <v>0</v>
      </c>
      <c r="DS191" s="7">
        <f t="shared" si="91"/>
        <v>0</v>
      </c>
      <c r="DT191" s="7">
        <f t="shared" si="91"/>
        <v>1</v>
      </c>
      <c r="DU191" s="7">
        <f t="shared" si="91"/>
        <v>1</v>
      </c>
      <c r="DV191" s="7">
        <f t="shared" si="91"/>
        <v>1</v>
      </c>
      <c r="DW191" s="7">
        <f t="shared" si="91"/>
        <v>1</v>
      </c>
      <c r="DX191" s="7">
        <f t="shared" si="91"/>
        <v>1</v>
      </c>
      <c r="DY191" s="7">
        <f t="shared" si="91"/>
        <v>1</v>
      </c>
      <c r="DZ191" s="7">
        <f t="shared" si="91"/>
        <v>0</v>
      </c>
      <c r="EA191" s="7">
        <f t="shared" si="91"/>
        <v>0</v>
      </c>
      <c r="EB191" s="7">
        <f t="shared" si="91"/>
        <v>0</v>
      </c>
      <c r="EC191" s="7">
        <f t="shared" si="91"/>
        <v>1</v>
      </c>
      <c r="ED191" s="7">
        <f t="shared" si="91"/>
        <v>0</v>
      </c>
      <c r="EE191" s="7">
        <f t="shared" si="91"/>
        <v>1</v>
      </c>
      <c r="EF191" s="7">
        <f t="shared" si="91"/>
        <v>0</v>
      </c>
      <c r="EG191" s="7">
        <f t="shared" si="91"/>
        <v>1</v>
      </c>
      <c r="EH191" s="7">
        <f t="shared" si="91"/>
        <v>1</v>
      </c>
      <c r="EI191" s="7">
        <f t="shared" si="91"/>
        <v>0</v>
      </c>
      <c r="EJ191" s="7">
        <f t="shared" si="91"/>
        <v>0</v>
      </c>
      <c r="EK191" s="7">
        <f t="shared" si="91"/>
        <v>0</v>
      </c>
      <c r="EL191" s="7">
        <f t="shared" si="91"/>
        <v>0</v>
      </c>
      <c r="EM191" s="7">
        <f t="shared" si="91"/>
        <v>1</v>
      </c>
      <c r="EN191" s="7">
        <f t="shared" si="91"/>
        <v>0</v>
      </c>
      <c r="EO191" s="7">
        <f t="shared" si="91"/>
        <v>1</v>
      </c>
      <c r="EP191" s="7">
        <f t="shared" si="91"/>
        <v>1</v>
      </c>
      <c r="EQ191" s="7">
        <f t="shared" si="91"/>
        <v>0</v>
      </c>
      <c r="ER191" s="7">
        <f t="shared" si="91"/>
        <v>1</v>
      </c>
      <c r="ES191" s="7">
        <f t="shared" si="91"/>
        <v>1</v>
      </c>
      <c r="ET191" s="7">
        <f t="shared" si="91"/>
        <v>1</v>
      </c>
      <c r="EU191" s="7">
        <f t="shared" si="91"/>
        <v>0</v>
      </c>
      <c r="EV191" s="7">
        <f t="shared" si="91"/>
        <v>1</v>
      </c>
      <c r="EW191" s="7">
        <f t="shared" si="91"/>
        <v>0</v>
      </c>
      <c r="EX191" s="7">
        <f t="shared" si="91"/>
        <v>1</v>
      </c>
      <c r="EY191" s="7">
        <f t="shared" si="91"/>
        <v>0</v>
      </c>
      <c r="EZ191" s="7">
        <f t="shared" si="91"/>
        <v>1</v>
      </c>
      <c r="FA191" s="7">
        <f t="shared" si="91"/>
        <v>0</v>
      </c>
      <c r="FB191" s="7">
        <f t="shared" si="91"/>
        <v>1</v>
      </c>
      <c r="FC191" s="7">
        <f t="shared" si="91"/>
        <v>0</v>
      </c>
      <c r="FD191" s="7">
        <f t="shared" si="91"/>
        <v>1</v>
      </c>
      <c r="FE191" s="7">
        <f t="shared" si="91"/>
        <v>1</v>
      </c>
      <c r="FF191" s="7">
        <f t="shared" si="91"/>
        <v>1</v>
      </c>
      <c r="FG191" s="7">
        <f t="shared" si="91"/>
        <v>1</v>
      </c>
      <c r="FH191" s="7">
        <f t="shared" si="91"/>
        <v>1</v>
      </c>
      <c r="FI191" s="7">
        <f t="shared" si="91"/>
        <v>0</v>
      </c>
      <c r="FJ191" s="7">
        <f t="shared" si="91"/>
        <v>0</v>
      </c>
      <c r="FK191" s="7">
        <f t="shared" si="91"/>
        <v>0</v>
      </c>
      <c r="FL191" s="7">
        <f t="shared" si="91"/>
        <v>0</v>
      </c>
      <c r="FM191" s="7">
        <f t="shared" si="91"/>
        <v>0</v>
      </c>
      <c r="FN191" s="7">
        <f t="shared" si="91"/>
        <v>0</v>
      </c>
      <c r="FO191" s="7">
        <f t="shared" si="91"/>
        <v>0</v>
      </c>
      <c r="FP191" s="7">
        <f t="shared" si="91"/>
        <v>0</v>
      </c>
      <c r="FQ191" s="7">
        <f t="shared" si="91"/>
        <v>0</v>
      </c>
      <c r="FR191" s="7">
        <f t="shared" si="91"/>
        <v>1</v>
      </c>
      <c r="FS191" s="7">
        <f t="shared" si="91"/>
        <v>1</v>
      </c>
      <c r="FT191" s="7">
        <f t="shared" si="91"/>
        <v>1</v>
      </c>
      <c r="FU191" s="7">
        <f t="shared" si="91"/>
        <v>0</v>
      </c>
      <c r="FV191" s="7">
        <f t="shared" si="91"/>
        <v>0</v>
      </c>
      <c r="FW191" s="7">
        <f t="shared" si="91"/>
        <v>1</v>
      </c>
      <c r="FX191" s="7">
        <f t="shared" si="91"/>
        <v>1</v>
      </c>
      <c r="FY191" s="7"/>
      <c r="FZ191" s="7"/>
      <c r="GA191" s="58"/>
      <c r="GB191" s="7"/>
      <c r="GC191" s="7"/>
      <c r="GD191" s="7"/>
      <c r="GE191" s="7"/>
      <c r="GF191" s="7"/>
      <c r="GG191" s="7"/>
      <c r="GH191" s="7"/>
      <c r="GI191" s="7"/>
      <c r="GJ191" s="7"/>
      <c r="GK191" s="7"/>
    </row>
    <row r="192" spans="1:207" ht="15.5" x14ac:dyDescent="0.35">
      <c r="A192" s="12" t="s">
        <v>935</v>
      </c>
      <c r="B192" s="7" t="s">
        <v>936</v>
      </c>
      <c r="C192" s="7">
        <f t="shared" ref="C192:FX192" si="92">IF(C139&lt;=C19,1,0)</f>
        <v>0</v>
      </c>
      <c r="D192" s="7">
        <f t="shared" si="92"/>
        <v>0</v>
      </c>
      <c r="E192" s="7">
        <f t="shared" si="92"/>
        <v>0</v>
      </c>
      <c r="F192" s="7">
        <f t="shared" si="92"/>
        <v>0</v>
      </c>
      <c r="G192" s="7">
        <f t="shared" si="92"/>
        <v>1</v>
      </c>
      <c r="H192" s="7">
        <f t="shared" si="92"/>
        <v>1</v>
      </c>
      <c r="I192" s="7">
        <f t="shared" si="92"/>
        <v>0</v>
      </c>
      <c r="J192" s="7">
        <f t="shared" si="92"/>
        <v>0</v>
      </c>
      <c r="K192" s="7">
        <f t="shared" si="92"/>
        <v>0</v>
      </c>
      <c r="L192" s="7">
        <f t="shared" si="92"/>
        <v>0</v>
      </c>
      <c r="M192" s="7">
        <f t="shared" si="92"/>
        <v>0</v>
      </c>
      <c r="N192" s="7">
        <f t="shared" si="92"/>
        <v>1</v>
      </c>
      <c r="O192" s="7">
        <f t="shared" si="92"/>
        <v>1</v>
      </c>
      <c r="P192" s="7">
        <f t="shared" si="92"/>
        <v>0</v>
      </c>
      <c r="Q192" s="7">
        <f t="shared" si="92"/>
        <v>0</v>
      </c>
      <c r="R192" s="7">
        <f t="shared" si="92"/>
        <v>0</v>
      </c>
      <c r="S192" s="7">
        <f t="shared" si="92"/>
        <v>0</v>
      </c>
      <c r="T192" s="7">
        <f t="shared" si="92"/>
        <v>0</v>
      </c>
      <c r="U192" s="7">
        <f t="shared" si="92"/>
        <v>0</v>
      </c>
      <c r="V192" s="7">
        <f t="shared" si="92"/>
        <v>0</v>
      </c>
      <c r="W192" s="7">
        <f t="shared" si="92"/>
        <v>0</v>
      </c>
      <c r="X192" s="7">
        <f t="shared" si="92"/>
        <v>0</v>
      </c>
      <c r="Y192" s="7">
        <f t="shared" si="92"/>
        <v>0</v>
      </c>
      <c r="Z192" s="7">
        <f t="shared" si="92"/>
        <v>1</v>
      </c>
      <c r="AA192" s="7">
        <f t="shared" si="92"/>
        <v>1</v>
      </c>
      <c r="AB192" s="7">
        <f t="shared" si="92"/>
        <v>1</v>
      </c>
      <c r="AC192" s="7">
        <f t="shared" si="92"/>
        <v>1</v>
      </c>
      <c r="AD192" s="7">
        <f t="shared" si="92"/>
        <v>1</v>
      </c>
      <c r="AE192" s="7">
        <f t="shared" si="92"/>
        <v>0</v>
      </c>
      <c r="AF192" s="7">
        <f t="shared" si="92"/>
        <v>0</v>
      </c>
      <c r="AG192" s="7">
        <f t="shared" si="92"/>
        <v>1</v>
      </c>
      <c r="AH192" s="7">
        <f t="shared" si="92"/>
        <v>0</v>
      </c>
      <c r="AI192" s="7">
        <f t="shared" si="92"/>
        <v>0</v>
      </c>
      <c r="AJ192" s="7">
        <f t="shared" si="92"/>
        <v>0</v>
      </c>
      <c r="AK192" s="7">
        <f t="shared" si="92"/>
        <v>0</v>
      </c>
      <c r="AL192" s="7">
        <f t="shared" si="92"/>
        <v>0</v>
      </c>
      <c r="AM192" s="7">
        <f t="shared" si="92"/>
        <v>0</v>
      </c>
      <c r="AN192" s="7">
        <f t="shared" si="92"/>
        <v>0</v>
      </c>
      <c r="AO192" s="7">
        <f t="shared" si="92"/>
        <v>0</v>
      </c>
      <c r="AP192" s="7">
        <f t="shared" si="92"/>
        <v>0</v>
      </c>
      <c r="AQ192" s="7">
        <f t="shared" si="92"/>
        <v>0</v>
      </c>
      <c r="AR192" s="7">
        <f t="shared" si="92"/>
        <v>1</v>
      </c>
      <c r="AS192" s="7">
        <f t="shared" si="92"/>
        <v>1</v>
      </c>
      <c r="AT192" s="7">
        <f t="shared" si="92"/>
        <v>1</v>
      </c>
      <c r="AU192" s="7">
        <f t="shared" si="92"/>
        <v>1</v>
      </c>
      <c r="AV192" s="7">
        <f t="shared" si="92"/>
        <v>0</v>
      </c>
      <c r="AW192" s="7">
        <f t="shared" si="92"/>
        <v>1</v>
      </c>
      <c r="AX192" s="7">
        <f t="shared" si="92"/>
        <v>0</v>
      </c>
      <c r="AY192" s="7">
        <f t="shared" si="92"/>
        <v>0</v>
      </c>
      <c r="AZ192" s="7">
        <f t="shared" si="92"/>
        <v>0</v>
      </c>
      <c r="BA192" s="7">
        <f t="shared" si="92"/>
        <v>0</v>
      </c>
      <c r="BB192" s="7">
        <f t="shared" si="92"/>
        <v>0</v>
      </c>
      <c r="BC192" s="7">
        <f t="shared" si="92"/>
        <v>0</v>
      </c>
      <c r="BD192" s="7">
        <f t="shared" si="92"/>
        <v>1</v>
      </c>
      <c r="BE192" s="7">
        <f t="shared" si="92"/>
        <v>1</v>
      </c>
      <c r="BF192" s="7">
        <f t="shared" si="92"/>
        <v>1</v>
      </c>
      <c r="BG192" s="7">
        <f t="shared" si="92"/>
        <v>0</v>
      </c>
      <c r="BH192" s="7">
        <f t="shared" si="92"/>
        <v>1</v>
      </c>
      <c r="BI192" s="7">
        <f t="shared" si="92"/>
        <v>0</v>
      </c>
      <c r="BJ192" s="7">
        <f t="shared" si="92"/>
        <v>1</v>
      </c>
      <c r="BK192" s="7">
        <f t="shared" si="92"/>
        <v>0</v>
      </c>
      <c r="BL192" s="7">
        <f t="shared" si="92"/>
        <v>0</v>
      </c>
      <c r="BM192" s="7">
        <f t="shared" si="92"/>
        <v>0</v>
      </c>
      <c r="BN192" s="7">
        <f t="shared" si="92"/>
        <v>0</v>
      </c>
      <c r="BO192" s="7">
        <f t="shared" si="92"/>
        <v>0</v>
      </c>
      <c r="BP192" s="7">
        <f t="shared" si="92"/>
        <v>0</v>
      </c>
      <c r="BQ192" s="7">
        <f t="shared" si="92"/>
        <v>0</v>
      </c>
      <c r="BR192" s="7">
        <f t="shared" si="92"/>
        <v>0</v>
      </c>
      <c r="BS192" s="7">
        <f t="shared" si="92"/>
        <v>0</v>
      </c>
      <c r="BT192" s="7">
        <f t="shared" si="92"/>
        <v>1</v>
      </c>
      <c r="BU192" s="7">
        <f t="shared" si="92"/>
        <v>1</v>
      </c>
      <c r="BV192" s="7">
        <f t="shared" si="92"/>
        <v>1</v>
      </c>
      <c r="BW192" s="7">
        <f t="shared" si="92"/>
        <v>1</v>
      </c>
      <c r="BX192" s="7">
        <f t="shared" si="92"/>
        <v>1</v>
      </c>
      <c r="BY192" s="7">
        <f t="shared" si="92"/>
        <v>0</v>
      </c>
      <c r="BZ192" s="7">
        <f t="shared" si="92"/>
        <v>0</v>
      </c>
      <c r="CA192" s="7">
        <f t="shared" si="92"/>
        <v>1</v>
      </c>
      <c r="CB192" s="7">
        <f t="shared" si="92"/>
        <v>1</v>
      </c>
      <c r="CC192" s="7">
        <f t="shared" si="92"/>
        <v>0</v>
      </c>
      <c r="CD192" s="7">
        <f t="shared" si="92"/>
        <v>1</v>
      </c>
      <c r="CE192" s="7">
        <f t="shared" si="92"/>
        <v>1</v>
      </c>
      <c r="CF192" s="7">
        <f t="shared" si="92"/>
        <v>0</v>
      </c>
      <c r="CG192" s="7">
        <f t="shared" si="92"/>
        <v>1</v>
      </c>
      <c r="CH192" s="7">
        <f t="shared" si="92"/>
        <v>0</v>
      </c>
      <c r="CI192" s="7">
        <f t="shared" si="92"/>
        <v>0</v>
      </c>
      <c r="CJ192" s="7">
        <f t="shared" si="92"/>
        <v>0</v>
      </c>
      <c r="CK192" s="7">
        <f t="shared" si="92"/>
        <v>1</v>
      </c>
      <c r="CL192" s="7">
        <f t="shared" si="92"/>
        <v>1</v>
      </c>
      <c r="CM192" s="7">
        <f t="shared" si="92"/>
        <v>0</v>
      </c>
      <c r="CN192" s="7">
        <f t="shared" si="92"/>
        <v>1</v>
      </c>
      <c r="CO192" s="7">
        <f t="shared" si="92"/>
        <v>1</v>
      </c>
      <c r="CP192" s="7">
        <f t="shared" si="92"/>
        <v>0</v>
      </c>
      <c r="CQ192" s="7">
        <f t="shared" si="92"/>
        <v>0</v>
      </c>
      <c r="CR192" s="7">
        <f t="shared" si="92"/>
        <v>1</v>
      </c>
      <c r="CS192" s="7">
        <f t="shared" si="92"/>
        <v>1</v>
      </c>
      <c r="CT192" s="7">
        <f t="shared" si="92"/>
        <v>0</v>
      </c>
      <c r="CU192" s="7">
        <f t="shared" si="92"/>
        <v>1</v>
      </c>
      <c r="CV192" s="7">
        <f t="shared" si="92"/>
        <v>1</v>
      </c>
      <c r="CW192" s="7">
        <f t="shared" si="92"/>
        <v>0</v>
      </c>
      <c r="CX192" s="7">
        <f t="shared" si="92"/>
        <v>0</v>
      </c>
      <c r="CY192" s="7">
        <f t="shared" si="92"/>
        <v>0</v>
      </c>
      <c r="CZ192" s="7">
        <f t="shared" si="92"/>
        <v>0</v>
      </c>
      <c r="DA192" s="7">
        <f t="shared" si="92"/>
        <v>1</v>
      </c>
      <c r="DB192" s="7">
        <f t="shared" si="92"/>
        <v>1</v>
      </c>
      <c r="DC192" s="7">
        <f t="shared" si="92"/>
        <v>1</v>
      </c>
      <c r="DD192" s="7">
        <f t="shared" si="92"/>
        <v>0</v>
      </c>
      <c r="DE192" s="7">
        <f t="shared" si="92"/>
        <v>1</v>
      </c>
      <c r="DF192" s="7">
        <f t="shared" si="92"/>
        <v>0</v>
      </c>
      <c r="DG192" s="7">
        <f t="shared" si="92"/>
        <v>1</v>
      </c>
      <c r="DH192" s="7">
        <f t="shared" si="92"/>
        <v>0</v>
      </c>
      <c r="DI192" s="7">
        <f t="shared" si="92"/>
        <v>0</v>
      </c>
      <c r="DJ192" s="7">
        <f t="shared" si="92"/>
        <v>0</v>
      </c>
      <c r="DK192" s="7">
        <f t="shared" si="92"/>
        <v>1</v>
      </c>
      <c r="DL192" s="7">
        <f t="shared" si="92"/>
        <v>0</v>
      </c>
      <c r="DM192" s="7">
        <f t="shared" si="92"/>
        <v>0</v>
      </c>
      <c r="DN192" s="7">
        <f t="shared" si="92"/>
        <v>0</v>
      </c>
      <c r="DO192" s="7">
        <f t="shared" si="92"/>
        <v>0</v>
      </c>
      <c r="DP192" s="7">
        <f t="shared" si="92"/>
        <v>1</v>
      </c>
      <c r="DQ192" s="7">
        <f t="shared" si="92"/>
        <v>1</v>
      </c>
      <c r="DR192" s="7">
        <f t="shared" si="92"/>
        <v>0</v>
      </c>
      <c r="DS192" s="7">
        <f t="shared" si="92"/>
        <v>0</v>
      </c>
      <c r="DT192" s="7">
        <f t="shared" si="92"/>
        <v>0</v>
      </c>
      <c r="DU192" s="7">
        <f t="shared" si="92"/>
        <v>0</v>
      </c>
      <c r="DV192" s="7">
        <f t="shared" si="92"/>
        <v>1</v>
      </c>
      <c r="DW192" s="7">
        <f t="shared" si="92"/>
        <v>0</v>
      </c>
      <c r="DX192" s="7">
        <f t="shared" si="92"/>
        <v>1</v>
      </c>
      <c r="DY192" s="7">
        <f t="shared" si="92"/>
        <v>1</v>
      </c>
      <c r="DZ192" s="7">
        <f t="shared" si="92"/>
        <v>1</v>
      </c>
      <c r="EA192" s="7">
        <f t="shared" si="92"/>
        <v>1</v>
      </c>
      <c r="EB192" s="7">
        <f t="shared" si="92"/>
        <v>0</v>
      </c>
      <c r="EC192" s="7">
        <f t="shared" si="92"/>
        <v>1</v>
      </c>
      <c r="ED192" s="7">
        <f t="shared" si="92"/>
        <v>1</v>
      </c>
      <c r="EE192" s="7">
        <f t="shared" si="92"/>
        <v>0</v>
      </c>
      <c r="EF192" s="7">
        <f t="shared" si="92"/>
        <v>0</v>
      </c>
      <c r="EG192" s="7">
        <f t="shared" si="92"/>
        <v>0</v>
      </c>
      <c r="EH192" s="7">
        <f t="shared" si="92"/>
        <v>0</v>
      </c>
      <c r="EI192" s="7">
        <f t="shared" si="92"/>
        <v>0</v>
      </c>
      <c r="EJ192" s="7">
        <f t="shared" si="92"/>
        <v>0</v>
      </c>
      <c r="EK192" s="7">
        <f t="shared" si="92"/>
        <v>1</v>
      </c>
      <c r="EL192" s="7">
        <f t="shared" si="92"/>
        <v>0</v>
      </c>
      <c r="EM192" s="7">
        <f t="shared" si="92"/>
        <v>0</v>
      </c>
      <c r="EN192" s="7">
        <f t="shared" si="92"/>
        <v>0</v>
      </c>
      <c r="EO192" s="7">
        <f t="shared" si="92"/>
        <v>0</v>
      </c>
      <c r="EP192" s="7">
        <f t="shared" si="92"/>
        <v>1</v>
      </c>
      <c r="EQ192" s="7">
        <f t="shared" si="92"/>
        <v>1</v>
      </c>
      <c r="ER192" s="7">
        <f t="shared" si="92"/>
        <v>1</v>
      </c>
      <c r="ES192" s="7">
        <f t="shared" si="92"/>
        <v>0</v>
      </c>
      <c r="ET192" s="7">
        <f t="shared" si="92"/>
        <v>0</v>
      </c>
      <c r="EU192" s="7">
        <f t="shared" si="92"/>
        <v>0</v>
      </c>
      <c r="EV192" s="7">
        <f t="shared" si="92"/>
        <v>0</v>
      </c>
      <c r="EW192" s="7">
        <f t="shared" si="92"/>
        <v>1</v>
      </c>
      <c r="EX192" s="7">
        <f t="shared" si="92"/>
        <v>0</v>
      </c>
      <c r="EY192" s="7">
        <f t="shared" si="92"/>
        <v>0</v>
      </c>
      <c r="EZ192" s="7">
        <f t="shared" si="92"/>
        <v>0</v>
      </c>
      <c r="FA192" s="7">
        <f t="shared" si="92"/>
        <v>1</v>
      </c>
      <c r="FB192" s="7">
        <f t="shared" si="92"/>
        <v>0</v>
      </c>
      <c r="FC192" s="7">
        <f t="shared" si="92"/>
        <v>1</v>
      </c>
      <c r="FD192" s="7">
        <f t="shared" si="92"/>
        <v>0</v>
      </c>
      <c r="FE192" s="7">
        <f t="shared" si="92"/>
        <v>0</v>
      </c>
      <c r="FF192" s="7">
        <f t="shared" si="92"/>
        <v>0</v>
      </c>
      <c r="FG192" s="7">
        <f t="shared" si="92"/>
        <v>1</v>
      </c>
      <c r="FH192" s="7">
        <f t="shared" si="92"/>
        <v>1</v>
      </c>
      <c r="FI192" s="7">
        <f t="shared" si="92"/>
        <v>0</v>
      </c>
      <c r="FJ192" s="7">
        <f t="shared" si="92"/>
        <v>1</v>
      </c>
      <c r="FK192" s="7">
        <f t="shared" si="92"/>
        <v>0</v>
      </c>
      <c r="FL192" s="7">
        <f t="shared" si="92"/>
        <v>1</v>
      </c>
      <c r="FM192" s="7">
        <f t="shared" si="92"/>
        <v>1</v>
      </c>
      <c r="FN192" s="7">
        <f t="shared" si="92"/>
        <v>0</v>
      </c>
      <c r="FO192" s="7">
        <f t="shared" si="92"/>
        <v>0</v>
      </c>
      <c r="FP192" s="7">
        <f t="shared" si="92"/>
        <v>0</v>
      </c>
      <c r="FQ192" s="7">
        <f t="shared" si="92"/>
        <v>1</v>
      </c>
      <c r="FR192" s="7">
        <f t="shared" si="92"/>
        <v>1</v>
      </c>
      <c r="FS192" s="7">
        <f t="shared" si="92"/>
        <v>1</v>
      </c>
      <c r="FT192" s="7">
        <f t="shared" si="92"/>
        <v>0</v>
      </c>
      <c r="FU192" s="7">
        <f t="shared" si="92"/>
        <v>0</v>
      </c>
      <c r="FV192" s="7">
        <f t="shared" si="92"/>
        <v>0</v>
      </c>
      <c r="FW192" s="7">
        <f t="shared" si="92"/>
        <v>0</v>
      </c>
      <c r="FX192" s="7">
        <f t="shared" si="92"/>
        <v>1</v>
      </c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</row>
    <row r="193" spans="1:205" ht="15.5" x14ac:dyDescent="0.35">
      <c r="A193" s="12" t="s">
        <v>937</v>
      </c>
      <c r="B193" s="7" t="s">
        <v>938</v>
      </c>
      <c r="C193" s="108">
        <f t="shared" ref="C193:FX193" ca="1" si="93">ROUND(IF((OR(C191=1,C192=1))=TRUE(),0,C124/C113),8)</f>
        <v>10428.87187524</v>
      </c>
      <c r="D193" s="108">
        <f t="shared" ca="1" si="93"/>
        <v>10469.533853999999</v>
      </c>
      <c r="E193" s="108">
        <f t="shared" ca="1" si="93"/>
        <v>10336.8491811</v>
      </c>
      <c r="F193" s="108">
        <f t="shared" ca="1" si="93"/>
        <v>10381.485919999999</v>
      </c>
      <c r="G193" s="108">
        <f t="shared" si="93"/>
        <v>0</v>
      </c>
      <c r="H193" s="108">
        <f t="shared" si="93"/>
        <v>0</v>
      </c>
      <c r="I193" s="108">
        <f t="shared" ca="1" si="93"/>
        <v>10353.88771664</v>
      </c>
      <c r="J193" s="108">
        <f t="shared" ca="1" si="93"/>
        <v>9680.6730394400001</v>
      </c>
      <c r="K193" s="108">
        <f t="shared" si="93"/>
        <v>0</v>
      </c>
      <c r="L193" s="108">
        <f t="shared" ca="1" si="93"/>
        <v>10520.777230080001</v>
      </c>
      <c r="M193" s="108">
        <f t="shared" ca="1" si="93"/>
        <v>10474.11964768</v>
      </c>
      <c r="N193" s="108">
        <f t="shared" si="93"/>
        <v>0</v>
      </c>
      <c r="O193" s="108">
        <f t="shared" si="93"/>
        <v>0</v>
      </c>
      <c r="P193" s="108">
        <f t="shared" si="93"/>
        <v>0</v>
      </c>
      <c r="Q193" s="108">
        <f t="shared" ca="1" si="93"/>
        <v>10618.989355</v>
      </c>
      <c r="R193" s="108">
        <f t="shared" ca="1" si="93"/>
        <v>10352.198030719999</v>
      </c>
      <c r="S193" s="108">
        <f t="shared" ca="1" si="93"/>
        <v>10066.550715519999</v>
      </c>
      <c r="T193" s="108">
        <f t="shared" si="93"/>
        <v>0</v>
      </c>
      <c r="U193" s="108">
        <f t="shared" si="93"/>
        <v>0</v>
      </c>
      <c r="V193" s="108">
        <f t="shared" si="93"/>
        <v>0</v>
      </c>
      <c r="W193" s="108">
        <f t="shared" si="93"/>
        <v>0</v>
      </c>
      <c r="X193" s="108">
        <f t="shared" si="93"/>
        <v>0</v>
      </c>
      <c r="Y193" s="108">
        <f t="shared" ca="1" si="93"/>
        <v>9223.9563241800006</v>
      </c>
      <c r="Z193" s="108">
        <f t="shared" si="93"/>
        <v>0</v>
      </c>
      <c r="AA193" s="108">
        <f t="shared" si="93"/>
        <v>0</v>
      </c>
      <c r="AB193" s="108">
        <f t="shared" si="93"/>
        <v>0</v>
      </c>
      <c r="AC193" s="108">
        <f t="shared" si="93"/>
        <v>0</v>
      </c>
      <c r="AD193" s="108">
        <f t="shared" si="93"/>
        <v>0</v>
      </c>
      <c r="AE193" s="108">
        <f t="shared" si="93"/>
        <v>0</v>
      </c>
      <c r="AF193" s="108">
        <f t="shared" si="93"/>
        <v>0</v>
      </c>
      <c r="AG193" s="108">
        <f t="shared" si="93"/>
        <v>0</v>
      </c>
      <c r="AH193" s="108">
        <f t="shared" ca="1" si="93"/>
        <v>9502.8023058800009</v>
      </c>
      <c r="AI193" s="108">
        <f t="shared" si="93"/>
        <v>0</v>
      </c>
      <c r="AJ193" s="108">
        <f t="shared" si="93"/>
        <v>0</v>
      </c>
      <c r="AK193" s="108">
        <f t="shared" si="93"/>
        <v>0</v>
      </c>
      <c r="AL193" s="108">
        <f t="shared" si="93"/>
        <v>0</v>
      </c>
      <c r="AM193" s="108">
        <f t="shared" si="93"/>
        <v>0</v>
      </c>
      <c r="AN193" s="108">
        <f t="shared" si="93"/>
        <v>0</v>
      </c>
      <c r="AO193" s="108">
        <f t="shared" ca="1" si="93"/>
        <v>10164.872357120001</v>
      </c>
      <c r="AP193" s="108">
        <f t="shared" ca="1" si="93"/>
        <v>10626.855433999999</v>
      </c>
      <c r="AQ193" s="108">
        <f t="shared" si="93"/>
        <v>0</v>
      </c>
      <c r="AR193" s="108">
        <f t="shared" si="93"/>
        <v>0</v>
      </c>
      <c r="AS193" s="108">
        <f t="shared" si="93"/>
        <v>0</v>
      </c>
      <c r="AT193" s="108">
        <f t="shared" si="93"/>
        <v>0</v>
      </c>
      <c r="AU193" s="108">
        <f t="shared" si="93"/>
        <v>0</v>
      </c>
      <c r="AV193" s="108">
        <f t="shared" si="93"/>
        <v>0</v>
      </c>
      <c r="AW193" s="108">
        <f t="shared" si="93"/>
        <v>0</v>
      </c>
      <c r="AX193" s="108">
        <f t="shared" si="93"/>
        <v>0</v>
      </c>
      <c r="AY193" s="108">
        <f t="shared" si="93"/>
        <v>0</v>
      </c>
      <c r="AZ193" s="108">
        <f t="shared" ca="1" si="93"/>
        <v>10306.7451318</v>
      </c>
      <c r="BA193" s="108">
        <f t="shared" ca="1" si="93"/>
        <v>10078.2811688</v>
      </c>
      <c r="BB193" s="108">
        <f t="shared" ca="1" si="93"/>
        <v>10152.9958816</v>
      </c>
      <c r="BC193" s="108">
        <f t="shared" ca="1" si="93"/>
        <v>10319.26653888</v>
      </c>
      <c r="BD193" s="108">
        <f t="shared" si="93"/>
        <v>0</v>
      </c>
      <c r="BE193" s="108">
        <f t="shared" si="93"/>
        <v>0</v>
      </c>
      <c r="BF193" s="108">
        <f t="shared" si="93"/>
        <v>0</v>
      </c>
      <c r="BG193" s="108">
        <f t="shared" ca="1" si="93"/>
        <v>10121.795796320001</v>
      </c>
      <c r="BH193" s="108">
        <f t="shared" si="93"/>
        <v>0</v>
      </c>
      <c r="BI193" s="108">
        <f t="shared" si="93"/>
        <v>0</v>
      </c>
      <c r="BJ193" s="108">
        <f t="shared" si="93"/>
        <v>0</v>
      </c>
      <c r="BK193" s="108">
        <f t="shared" ca="1" si="93"/>
        <v>10343.676589999999</v>
      </c>
      <c r="BL193" s="108">
        <f t="shared" si="93"/>
        <v>0</v>
      </c>
      <c r="BM193" s="108">
        <f t="shared" si="93"/>
        <v>0</v>
      </c>
      <c r="BN193" s="108">
        <f t="shared" ca="1" si="93"/>
        <v>9860.2517117000007</v>
      </c>
      <c r="BO193" s="108">
        <f t="shared" ca="1" si="93"/>
        <v>9718.6153539799998</v>
      </c>
      <c r="BP193" s="108">
        <f t="shared" si="93"/>
        <v>0</v>
      </c>
      <c r="BQ193" s="108">
        <f t="shared" ca="1" si="93"/>
        <v>11057.960022200001</v>
      </c>
      <c r="BR193" s="108">
        <f t="shared" ca="1" si="93"/>
        <v>10256.706439199999</v>
      </c>
      <c r="BS193" s="108">
        <f t="shared" ca="1" si="93"/>
        <v>10274.246491600001</v>
      </c>
      <c r="BT193" s="108">
        <f t="shared" si="93"/>
        <v>0</v>
      </c>
      <c r="BU193" s="108">
        <f t="shared" si="93"/>
        <v>0</v>
      </c>
      <c r="BV193" s="108">
        <f t="shared" si="93"/>
        <v>0</v>
      </c>
      <c r="BW193" s="108">
        <f t="shared" si="93"/>
        <v>0</v>
      </c>
      <c r="BX193" s="108">
        <f t="shared" si="93"/>
        <v>0</v>
      </c>
      <c r="BY193" s="108">
        <f t="shared" si="93"/>
        <v>0</v>
      </c>
      <c r="BZ193" s="108">
        <f t="shared" si="93"/>
        <v>0</v>
      </c>
      <c r="CA193" s="108">
        <f t="shared" si="93"/>
        <v>0</v>
      </c>
      <c r="CB193" s="108">
        <f t="shared" si="93"/>
        <v>0</v>
      </c>
      <c r="CC193" s="108">
        <f t="shared" si="93"/>
        <v>0</v>
      </c>
      <c r="CD193" s="108">
        <f t="shared" si="93"/>
        <v>0</v>
      </c>
      <c r="CE193" s="108">
        <f t="shared" si="93"/>
        <v>0</v>
      </c>
      <c r="CF193" s="108">
        <f t="shared" si="93"/>
        <v>0</v>
      </c>
      <c r="CG193" s="108">
        <f t="shared" si="93"/>
        <v>0</v>
      </c>
      <c r="CH193" s="108">
        <f t="shared" si="93"/>
        <v>0</v>
      </c>
      <c r="CI193" s="108">
        <f t="shared" ca="1" si="93"/>
        <v>9255.9986448799991</v>
      </c>
      <c r="CJ193" s="108">
        <f t="shared" ca="1" si="93"/>
        <v>10068.260392579999</v>
      </c>
      <c r="CK193" s="108">
        <f t="shared" si="93"/>
        <v>0</v>
      </c>
      <c r="CL193" s="108">
        <f t="shared" si="93"/>
        <v>0</v>
      </c>
      <c r="CM193" s="108">
        <f t="shared" ca="1" si="93"/>
        <v>10319.296091</v>
      </c>
      <c r="CN193" s="108">
        <f t="shared" si="93"/>
        <v>0</v>
      </c>
      <c r="CO193" s="108">
        <f t="shared" si="93"/>
        <v>0</v>
      </c>
      <c r="CP193" s="108">
        <f t="shared" ca="1" si="93"/>
        <v>10327.05439168</v>
      </c>
      <c r="CQ193" s="108">
        <f t="shared" ca="1" si="93"/>
        <v>9867.2581716799996</v>
      </c>
      <c r="CR193" s="108">
        <f t="shared" si="93"/>
        <v>0</v>
      </c>
      <c r="CS193" s="108">
        <f t="shared" si="93"/>
        <v>0</v>
      </c>
      <c r="CT193" s="108">
        <f t="shared" si="93"/>
        <v>0</v>
      </c>
      <c r="CU193" s="108">
        <f t="shared" si="93"/>
        <v>0</v>
      </c>
      <c r="CV193" s="108">
        <f t="shared" si="93"/>
        <v>0</v>
      </c>
      <c r="CW193" s="108">
        <f t="shared" si="93"/>
        <v>0</v>
      </c>
      <c r="CX193" s="108">
        <f t="shared" ca="1" si="93"/>
        <v>9738.9811105600002</v>
      </c>
      <c r="CY193" s="108">
        <f t="shared" si="93"/>
        <v>0</v>
      </c>
      <c r="CZ193" s="108">
        <f t="shared" ca="1" si="93"/>
        <v>9896.1062558800004</v>
      </c>
      <c r="DA193" s="108">
        <f t="shared" si="93"/>
        <v>0</v>
      </c>
      <c r="DB193" s="108">
        <f t="shared" si="93"/>
        <v>0</v>
      </c>
      <c r="DC193" s="108">
        <f t="shared" si="93"/>
        <v>0</v>
      </c>
      <c r="DD193" s="108">
        <f t="shared" si="93"/>
        <v>0</v>
      </c>
      <c r="DE193" s="108">
        <f t="shared" si="93"/>
        <v>0</v>
      </c>
      <c r="DF193" s="108">
        <f t="shared" ca="1" si="93"/>
        <v>9829.8417110400005</v>
      </c>
      <c r="DG193" s="108">
        <f t="shared" si="93"/>
        <v>0</v>
      </c>
      <c r="DH193" s="108">
        <f t="shared" ca="1" si="93"/>
        <v>9709.1021788800008</v>
      </c>
      <c r="DI193" s="108">
        <f t="shared" ca="1" si="93"/>
        <v>9818.1269030000003</v>
      </c>
      <c r="DJ193" s="108">
        <f t="shared" ca="1" si="93"/>
        <v>9846.4882464000002</v>
      </c>
      <c r="DK193" s="108">
        <f t="shared" si="93"/>
        <v>0</v>
      </c>
      <c r="DL193" s="108">
        <f t="shared" ca="1" si="93"/>
        <v>10428.27127186</v>
      </c>
      <c r="DM193" s="108">
        <f t="shared" si="93"/>
        <v>0</v>
      </c>
      <c r="DN193" s="108">
        <f t="shared" ca="1" si="93"/>
        <v>10089.94469522</v>
      </c>
      <c r="DO193" s="108">
        <f t="shared" ca="1" si="93"/>
        <v>10170.5185504</v>
      </c>
      <c r="DP193" s="108">
        <f t="shared" si="93"/>
        <v>0</v>
      </c>
      <c r="DQ193" s="108">
        <f t="shared" si="93"/>
        <v>0</v>
      </c>
      <c r="DR193" s="108">
        <f t="shared" ca="1" si="93"/>
        <v>9765.2068787000007</v>
      </c>
      <c r="DS193" s="108">
        <f t="shared" ca="1" si="93"/>
        <v>9657.9196453999994</v>
      </c>
      <c r="DT193" s="108">
        <f t="shared" si="93"/>
        <v>0</v>
      </c>
      <c r="DU193" s="108">
        <f t="shared" si="93"/>
        <v>0</v>
      </c>
      <c r="DV193" s="108">
        <f t="shared" si="93"/>
        <v>0</v>
      </c>
      <c r="DW193" s="108">
        <f t="shared" si="93"/>
        <v>0</v>
      </c>
      <c r="DX193" s="108">
        <f t="shared" si="93"/>
        <v>0</v>
      </c>
      <c r="DY193" s="108">
        <f t="shared" si="93"/>
        <v>0</v>
      </c>
      <c r="DZ193" s="108">
        <f t="shared" si="93"/>
        <v>0</v>
      </c>
      <c r="EA193" s="108">
        <f t="shared" si="93"/>
        <v>0</v>
      </c>
      <c r="EB193" s="108">
        <f t="shared" ca="1" si="93"/>
        <v>9540.5108110000001</v>
      </c>
      <c r="EC193" s="108">
        <f t="shared" si="93"/>
        <v>0</v>
      </c>
      <c r="ED193" s="108">
        <f t="shared" si="93"/>
        <v>0</v>
      </c>
      <c r="EE193" s="108">
        <f t="shared" si="93"/>
        <v>0</v>
      </c>
      <c r="EF193" s="108">
        <f t="shared" ca="1" si="93"/>
        <v>9677.7604172600004</v>
      </c>
      <c r="EG193" s="108">
        <f t="shared" si="93"/>
        <v>0</v>
      </c>
      <c r="EH193" s="108">
        <f t="shared" si="93"/>
        <v>0</v>
      </c>
      <c r="EI193" s="108">
        <f t="shared" ca="1" si="93"/>
        <v>10069.5285262</v>
      </c>
      <c r="EJ193" s="108">
        <f t="shared" ca="1" si="93"/>
        <v>9971.8865833599993</v>
      </c>
      <c r="EK193" s="108">
        <f t="shared" si="93"/>
        <v>0</v>
      </c>
      <c r="EL193" s="108">
        <f t="shared" ca="1" si="93"/>
        <v>9444.8184388999998</v>
      </c>
      <c r="EM193" s="108">
        <f t="shared" si="93"/>
        <v>0</v>
      </c>
      <c r="EN193" s="108">
        <f t="shared" ca="1" si="93"/>
        <v>9589.8367760000001</v>
      </c>
      <c r="EO193" s="108">
        <f t="shared" si="93"/>
        <v>0</v>
      </c>
      <c r="EP193" s="108">
        <f t="shared" si="93"/>
        <v>0</v>
      </c>
      <c r="EQ193" s="108">
        <f t="shared" si="93"/>
        <v>0</v>
      </c>
      <c r="ER193" s="108">
        <f t="shared" si="93"/>
        <v>0</v>
      </c>
      <c r="ES193" s="108">
        <f t="shared" si="93"/>
        <v>0</v>
      </c>
      <c r="ET193" s="108">
        <f t="shared" si="93"/>
        <v>0</v>
      </c>
      <c r="EU193" s="108">
        <f t="shared" ca="1" si="93"/>
        <v>9354.4663087200006</v>
      </c>
      <c r="EV193" s="108">
        <f t="shared" si="93"/>
        <v>0</v>
      </c>
      <c r="EW193" s="108">
        <f t="shared" si="93"/>
        <v>0</v>
      </c>
      <c r="EX193" s="108">
        <f t="shared" si="93"/>
        <v>0</v>
      </c>
      <c r="EY193" s="108">
        <f t="shared" ca="1" si="93"/>
        <v>9537.1827207799997</v>
      </c>
      <c r="EZ193" s="108">
        <f t="shared" si="93"/>
        <v>0</v>
      </c>
      <c r="FA193" s="108">
        <f t="shared" si="93"/>
        <v>0</v>
      </c>
      <c r="FB193" s="108">
        <f t="shared" si="93"/>
        <v>0</v>
      </c>
      <c r="FC193" s="108">
        <f t="shared" si="93"/>
        <v>0</v>
      </c>
      <c r="FD193" s="108">
        <f t="shared" si="93"/>
        <v>0</v>
      </c>
      <c r="FE193" s="108">
        <f t="shared" si="93"/>
        <v>0</v>
      </c>
      <c r="FF193" s="108">
        <f t="shared" si="93"/>
        <v>0</v>
      </c>
      <c r="FG193" s="108">
        <f t="shared" si="93"/>
        <v>0</v>
      </c>
      <c r="FH193" s="108">
        <f t="shared" si="93"/>
        <v>0</v>
      </c>
      <c r="FI193" s="108">
        <f t="shared" ca="1" si="93"/>
        <v>10007.54382368</v>
      </c>
      <c r="FJ193" s="108">
        <f t="shared" si="93"/>
        <v>0</v>
      </c>
      <c r="FK193" s="108">
        <f t="shared" ca="1" si="93"/>
        <v>10096.44181572</v>
      </c>
      <c r="FL193" s="108">
        <f t="shared" si="93"/>
        <v>0</v>
      </c>
      <c r="FM193" s="108">
        <f t="shared" si="93"/>
        <v>0</v>
      </c>
      <c r="FN193" s="108">
        <f t="shared" ca="1" si="93"/>
        <v>10136.411927200001</v>
      </c>
      <c r="FO193" s="108">
        <f t="shared" ca="1" si="93"/>
        <v>9992.7121361600002</v>
      </c>
      <c r="FP193" s="108">
        <f t="shared" ca="1" si="93"/>
        <v>10237.547973639999</v>
      </c>
      <c r="FQ193" s="108">
        <f t="shared" si="93"/>
        <v>0</v>
      </c>
      <c r="FR193" s="108">
        <f t="shared" si="93"/>
        <v>0</v>
      </c>
      <c r="FS193" s="108">
        <f t="shared" si="93"/>
        <v>0</v>
      </c>
      <c r="FT193" s="108">
        <f t="shared" si="93"/>
        <v>0</v>
      </c>
      <c r="FU193" s="108">
        <f t="shared" ca="1" si="93"/>
        <v>10107.7202954</v>
      </c>
      <c r="FV193" s="108">
        <f t="shared" ca="1" si="93"/>
        <v>9755.3529850399991</v>
      </c>
      <c r="FW193" s="108">
        <f t="shared" si="93"/>
        <v>0</v>
      </c>
      <c r="FX193" s="108">
        <f t="shared" si="93"/>
        <v>0</v>
      </c>
      <c r="FY193" s="7"/>
      <c r="FZ193" s="45"/>
      <c r="GA193" s="23"/>
      <c r="GB193" s="7"/>
      <c r="GC193" s="7"/>
      <c r="GD193" s="7"/>
      <c r="GE193" s="7"/>
      <c r="GF193" s="7"/>
      <c r="GG193" s="7"/>
      <c r="GH193" s="7"/>
      <c r="GI193" s="7"/>
      <c r="GJ193" s="7"/>
      <c r="GK193" s="7"/>
    </row>
    <row r="194" spans="1:205" ht="15.5" x14ac:dyDescent="0.35">
      <c r="A194" s="7"/>
      <c r="B194" s="7" t="s">
        <v>939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</row>
    <row r="195" spans="1:205" ht="15.5" x14ac:dyDescent="0.35">
      <c r="A195" s="12" t="s">
        <v>940</v>
      </c>
      <c r="B195" s="7" t="s">
        <v>941</v>
      </c>
      <c r="C195" s="47">
        <f t="shared" ref="C195:FX195" si="94">ROUND(IF((OR(C191=1,C192=1))=TRUE(),0,((1027-459)*0.00020599)+1.1215),4)</f>
        <v>1.2384999999999999</v>
      </c>
      <c r="D195" s="47">
        <f t="shared" si="94"/>
        <v>1.2384999999999999</v>
      </c>
      <c r="E195" s="47">
        <f t="shared" si="94"/>
        <v>1.2384999999999999</v>
      </c>
      <c r="F195" s="47">
        <f t="shared" si="94"/>
        <v>1.2384999999999999</v>
      </c>
      <c r="G195" s="47">
        <f t="shared" si="94"/>
        <v>0</v>
      </c>
      <c r="H195" s="47">
        <f t="shared" si="94"/>
        <v>0</v>
      </c>
      <c r="I195" s="47">
        <f t="shared" si="94"/>
        <v>1.2384999999999999</v>
      </c>
      <c r="J195" s="47">
        <f t="shared" si="94"/>
        <v>1.2384999999999999</v>
      </c>
      <c r="K195" s="47">
        <f t="shared" si="94"/>
        <v>0</v>
      </c>
      <c r="L195" s="47">
        <f t="shared" si="94"/>
        <v>1.2384999999999999</v>
      </c>
      <c r="M195" s="47">
        <f t="shared" si="94"/>
        <v>1.2384999999999999</v>
      </c>
      <c r="N195" s="47">
        <f t="shared" si="94"/>
        <v>0</v>
      </c>
      <c r="O195" s="47">
        <f t="shared" si="94"/>
        <v>0</v>
      </c>
      <c r="P195" s="47">
        <f t="shared" si="94"/>
        <v>0</v>
      </c>
      <c r="Q195" s="47">
        <f t="shared" si="94"/>
        <v>1.2384999999999999</v>
      </c>
      <c r="R195" s="47">
        <f t="shared" si="94"/>
        <v>1.2384999999999999</v>
      </c>
      <c r="S195" s="47">
        <f t="shared" si="94"/>
        <v>1.2384999999999999</v>
      </c>
      <c r="T195" s="47">
        <f t="shared" si="94"/>
        <v>0</v>
      </c>
      <c r="U195" s="47">
        <f t="shared" si="94"/>
        <v>0</v>
      </c>
      <c r="V195" s="47">
        <f t="shared" si="94"/>
        <v>0</v>
      </c>
      <c r="W195" s="47">
        <f t="shared" si="94"/>
        <v>0</v>
      </c>
      <c r="X195" s="47">
        <f t="shared" si="94"/>
        <v>0</v>
      </c>
      <c r="Y195" s="47">
        <f t="shared" si="94"/>
        <v>1.2384999999999999</v>
      </c>
      <c r="Z195" s="47">
        <f t="shared" si="94"/>
        <v>0</v>
      </c>
      <c r="AA195" s="47">
        <f t="shared" si="94"/>
        <v>0</v>
      </c>
      <c r="AB195" s="47">
        <f t="shared" si="94"/>
        <v>0</v>
      </c>
      <c r="AC195" s="47">
        <f t="shared" si="94"/>
        <v>0</v>
      </c>
      <c r="AD195" s="47">
        <f t="shared" si="94"/>
        <v>0</v>
      </c>
      <c r="AE195" s="47">
        <f t="shared" si="94"/>
        <v>0</v>
      </c>
      <c r="AF195" s="47">
        <f t="shared" si="94"/>
        <v>0</v>
      </c>
      <c r="AG195" s="47">
        <f t="shared" si="94"/>
        <v>0</v>
      </c>
      <c r="AH195" s="47">
        <f t="shared" si="94"/>
        <v>1.2384999999999999</v>
      </c>
      <c r="AI195" s="47">
        <f t="shared" si="94"/>
        <v>0</v>
      </c>
      <c r="AJ195" s="47">
        <f t="shared" si="94"/>
        <v>0</v>
      </c>
      <c r="AK195" s="47">
        <f t="shared" si="94"/>
        <v>0</v>
      </c>
      <c r="AL195" s="47">
        <f t="shared" si="94"/>
        <v>0</v>
      </c>
      <c r="AM195" s="47">
        <f t="shared" si="94"/>
        <v>0</v>
      </c>
      <c r="AN195" s="47">
        <f t="shared" si="94"/>
        <v>0</v>
      </c>
      <c r="AO195" s="47">
        <f t="shared" si="94"/>
        <v>1.2384999999999999</v>
      </c>
      <c r="AP195" s="47">
        <f t="shared" si="94"/>
        <v>1.2384999999999999</v>
      </c>
      <c r="AQ195" s="47">
        <f t="shared" si="94"/>
        <v>0</v>
      </c>
      <c r="AR195" s="47">
        <f t="shared" si="94"/>
        <v>0</v>
      </c>
      <c r="AS195" s="47">
        <f t="shared" si="94"/>
        <v>0</v>
      </c>
      <c r="AT195" s="47">
        <f t="shared" si="94"/>
        <v>0</v>
      </c>
      <c r="AU195" s="47">
        <f t="shared" si="94"/>
        <v>0</v>
      </c>
      <c r="AV195" s="47">
        <f t="shared" si="94"/>
        <v>0</v>
      </c>
      <c r="AW195" s="47">
        <f t="shared" si="94"/>
        <v>0</v>
      </c>
      <c r="AX195" s="47">
        <f t="shared" si="94"/>
        <v>0</v>
      </c>
      <c r="AY195" s="47">
        <f t="shared" si="94"/>
        <v>0</v>
      </c>
      <c r="AZ195" s="47">
        <f t="shared" si="94"/>
        <v>1.2384999999999999</v>
      </c>
      <c r="BA195" s="47">
        <f t="shared" si="94"/>
        <v>1.2384999999999999</v>
      </c>
      <c r="BB195" s="47">
        <f t="shared" si="94"/>
        <v>1.2384999999999999</v>
      </c>
      <c r="BC195" s="47">
        <f t="shared" si="94"/>
        <v>1.2384999999999999</v>
      </c>
      <c r="BD195" s="47">
        <f t="shared" si="94"/>
        <v>0</v>
      </c>
      <c r="BE195" s="47">
        <f t="shared" si="94"/>
        <v>0</v>
      </c>
      <c r="BF195" s="47">
        <f t="shared" si="94"/>
        <v>0</v>
      </c>
      <c r="BG195" s="47">
        <f t="shared" si="94"/>
        <v>1.2384999999999999</v>
      </c>
      <c r="BH195" s="47">
        <f t="shared" si="94"/>
        <v>0</v>
      </c>
      <c r="BI195" s="47">
        <f t="shared" si="94"/>
        <v>0</v>
      </c>
      <c r="BJ195" s="47">
        <f t="shared" si="94"/>
        <v>0</v>
      </c>
      <c r="BK195" s="47">
        <f t="shared" si="94"/>
        <v>1.2384999999999999</v>
      </c>
      <c r="BL195" s="47">
        <f t="shared" si="94"/>
        <v>0</v>
      </c>
      <c r="BM195" s="47">
        <f t="shared" si="94"/>
        <v>0</v>
      </c>
      <c r="BN195" s="47">
        <f t="shared" si="94"/>
        <v>1.2384999999999999</v>
      </c>
      <c r="BO195" s="47">
        <f t="shared" si="94"/>
        <v>1.2384999999999999</v>
      </c>
      <c r="BP195" s="47">
        <f t="shared" si="94"/>
        <v>0</v>
      </c>
      <c r="BQ195" s="47">
        <f t="shared" si="94"/>
        <v>1.2384999999999999</v>
      </c>
      <c r="BR195" s="47">
        <f t="shared" si="94"/>
        <v>1.2384999999999999</v>
      </c>
      <c r="BS195" s="47">
        <f t="shared" si="94"/>
        <v>1.2384999999999999</v>
      </c>
      <c r="BT195" s="47">
        <f t="shared" si="94"/>
        <v>0</v>
      </c>
      <c r="BU195" s="47">
        <f t="shared" si="94"/>
        <v>0</v>
      </c>
      <c r="BV195" s="47">
        <f t="shared" si="94"/>
        <v>0</v>
      </c>
      <c r="BW195" s="47">
        <f t="shared" si="94"/>
        <v>0</v>
      </c>
      <c r="BX195" s="47">
        <f t="shared" si="94"/>
        <v>0</v>
      </c>
      <c r="BY195" s="47">
        <f t="shared" si="94"/>
        <v>0</v>
      </c>
      <c r="BZ195" s="47">
        <f t="shared" si="94"/>
        <v>0</v>
      </c>
      <c r="CA195" s="47">
        <f t="shared" si="94"/>
        <v>0</v>
      </c>
      <c r="CB195" s="47">
        <f t="shared" si="94"/>
        <v>0</v>
      </c>
      <c r="CC195" s="47">
        <f t="shared" si="94"/>
        <v>0</v>
      </c>
      <c r="CD195" s="47">
        <f t="shared" si="94"/>
        <v>0</v>
      </c>
      <c r="CE195" s="47">
        <f t="shared" si="94"/>
        <v>0</v>
      </c>
      <c r="CF195" s="47">
        <f t="shared" si="94"/>
        <v>0</v>
      </c>
      <c r="CG195" s="47">
        <f t="shared" si="94"/>
        <v>0</v>
      </c>
      <c r="CH195" s="47">
        <f t="shared" si="94"/>
        <v>0</v>
      </c>
      <c r="CI195" s="47">
        <f t="shared" si="94"/>
        <v>1.2384999999999999</v>
      </c>
      <c r="CJ195" s="47">
        <f t="shared" si="94"/>
        <v>1.2384999999999999</v>
      </c>
      <c r="CK195" s="47">
        <f t="shared" si="94"/>
        <v>0</v>
      </c>
      <c r="CL195" s="47">
        <f t="shared" si="94"/>
        <v>0</v>
      </c>
      <c r="CM195" s="47">
        <f t="shared" si="94"/>
        <v>1.2384999999999999</v>
      </c>
      <c r="CN195" s="47">
        <f t="shared" si="94"/>
        <v>0</v>
      </c>
      <c r="CO195" s="47">
        <f t="shared" si="94"/>
        <v>0</v>
      </c>
      <c r="CP195" s="47">
        <f t="shared" si="94"/>
        <v>1.2384999999999999</v>
      </c>
      <c r="CQ195" s="47">
        <f t="shared" si="94"/>
        <v>1.2384999999999999</v>
      </c>
      <c r="CR195" s="47">
        <f t="shared" si="94"/>
        <v>0</v>
      </c>
      <c r="CS195" s="47">
        <f t="shared" si="94"/>
        <v>0</v>
      </c>
      <c r="CT195" s="47">
        <f t="shared" si="94"/>
        <v>0</v>
      </c>
      <c r="CU195" s="47">
        <f t="shared" si="94"/>
        <v>0</v>
      </c>
      <c r="CV195" s="47">
        <f t="shared" si="94"/>
        <v>0</v>
      </c>
      <c r="CW195" s="47">
        <f t="shared" si="94"/>
        <v>0</v>
      </c>
      <c r="CX195" s="47">
        <f t="shared" si="94"/>
        <v>1.2384999999999999</v>
      </c>
      <c r="CY195" s="47">
        <f t="shared" si="94"/>
        <v>0</v>
      </c>
      <c r="CZ195" s="47">
        <f t="shared" si="94"/>
        <v>1.2384999999999999</v>
      </c>
      <c r="DA195" s="47">
        <f t="shared" si="94"/>
        <v>0</v>
      </c>
      <c r="DB195" s="47">
        <f t="shared" si="94"/>
        <v>0</v>
      </c>
      <c r="DC195" s="47">
        <f t="shared" si="94"/>
        <v>0</v>
      </c>
      <c r="DD195" s="47">
        <f t="shared" si="94"/>
        <v>0</v>
      </c>
      <c r="DE195" s="47">
        <f t="shared" si="94"/>
        <v>0</v>
      </c>
      <c r="DF195" s="47">
        <f t="shared" si="94"/>
        <v>1.2384999999999999</v>
      </c>
      <c r="DG195" s="47">
        <f t="shared" si="94"/>
        <v>0</v>
      </c>
      <c r="DH195" s="47">
        <f t="shared" si="94"/>
        <v>1.2384999999999999</v>
      </c>
      <c r="DI195" s="47">
        <f t="shared" si="94"/>
        <v>1.2384999999999999</v>
      </c>
      <c r="DJ195" s="47">
        <f t="shared" si="94"/>
        <v>1.2384999999999999</v>
      </c>
      <c r="DK195" s="47">
        <f t="shared" si="94"/>
        <v>0</v>
      </c>
      <c r="DL195" s="47">
        <f t="shared" si="94"/>
        <v>1.2384999999999999</v>
      </c>
      <c r="DM195" s="47">
        <f t="shared" si="94"/>
        <v>0</v>
      </c>
      <c r="DN195" s="47">
        <f t="shared" si="94"/>
        <v>1.2384999999999999</v>
      </c>
      <c r="DO195" s="47">
        <f t="shared" si="94"/>
        <v>1.2384999999999999</v>
      </c>
      <c r="DP195" s="47">
        <f t="shared" si="94"/>
        <v>0</v>
      </c>
      <c r="DQ195" s="47">
        <f t="shared" si="94"/>
        <v>0</v>
      </c>
      <c r="DR195" s="47">
        <f t="shared" si="94"/>
        <v>1.2384999999999999</v>
      </c>
      <c r="DS195" s="47">
        <f t="shared" si="94"/>
        <v>1.2384999999999999</v>
      </c>
      <c r="DT195" s="47">
        <f t="shared" si="94"/>
        <v>0</v>
      </c>
      <c r="DU195" s="47">
        <f t="shared" si="94"/>
        <v>0</v>
      </c>
      <c r="DV195" s="47">
        <f t="shared" si="94"/>
        <v>0</v>
      </c>
      <c r="DW195" s="47">
        <f t="shared" si="94"/>
        <v>0</v>
      </c>
      <c r="DX195" s="47">
        <f t="shared" si="94"/>
        <v>0</v>
      </c>
      <c r="DY195" s="47">
        <f t="shared" si="94"/>
        <v>0</v>
      </c>
      <c r="DZ195" s="47">
        <f t="shared" si="94"/>
        <v>0</v>
      </c>
      <c r="EA195" s="47">
        <f t="shared" si="94"/>
        <v>0</v>
      </c>
      <c r="EB195" s="47">
        <f t="shared" si="94"/>
        <v>1.2384999999999999</v>
      </c>
      <c r="EC195" s="47">
        <f t="shared" si="94"/>
        <v>0</v>
      </c>
      <c r="ED195" s="47">
        <f t="shared" si="94"/>
        <v>0</v>
      </c>
      <c r="EE195" s="47">
        <f t="shared" si="94"/>
        <v>0</v>
      </c>
      <c r="EF195" s="47">
        <f t="shared" si="94"/>
        <v>1.2384999999999999</v>
      </c>
      <c r="EG195" s="47">
        <f t="shared" si="94"/>
        <v>0</v>
      </c>
      <c r="EH195" s="47">
        <f t="shared" si="94"/>
        <v>0</v>
      </c>
      <c r="EI195" s="47">
        <f t="shared" si="94"/>
        <v>1.2384999999999999</v>
      </c>
      <c r="EJ195" s="47">
        <f t="shared" si="94"/>
        <v>1.2384999999999999</v>
      </c>
      <c r="EK195" s="47">
        <f t="shared" si="94"/>
        <v>0</v>
      </c>
      <c r="EL195" s="47">
        <f t="shared" si="94"/>
        <v>1.2384999999999999</v>
      </c>
      <c r="EM195" s="47">
        <f t="shared" si="94"/>
        <v>0</v>
      </c>
      <c r="EN195" s="47">
        <f t="shared" si="94"/>
        <v>1.2384999999999999</v>
      </c>
      <c r="EO195" s="47">
        <f t="shared" si="94"/>
        <v>0</v>
      </c>
      <c r="EP195" s="47">
        <f t="shared" si="94"/>
        <v>0</v>
      </c>
      <c r="EQ195" s="47">
        <f t="shared" si="94"/>
        <v>0</v>
      </c>
      <c r="ER195" s="47">
        <f t="shared" si="94"/>
        <v>0</v>
      </c>
      <c r="ES195" s="47">
        <f t="shared" si="94"/>
        <v>0</v>
      </c>
      <c r="ET195" s="47">
        <f t="shared" si="94"/>
        <v>0</v>
      </c>
      <c r="EU195" s="47">
        <f t="shared" si="94"/>
        <v>1.2384999999999999</v>
      </c>
      <c r="EV195" s="47">
        <f t="shared" si="94"/>
        <v>0</v>
      </c>
      <c r="EW195" s="47">
        <f t="shared" si="94"/>
        <v>0</v>
      </c>
      <c r="EX195" s="47">
        <f t="shared" si="94"/>
        <v>0</v>
      </c>
      <c r="EY195" s="47">
        <f t="shared" si="94"/>
        <v>1.2384999999999999</v>
      </c>
      <c r="EZ195" s="47">
        <f t="shared" si="94"/>
        <v>0</v>
      </c>
      <c r="FA195" s="47">
        <f t="shared" si="94"/>
        <v>0</v>
      </c>
      <c r="FB195" s="47">
        <f t="shared" si="94"/>
        <v>0</v>
      </c>
      <c r="FC195" s="47">
        <f t="shared" si="94"/>
        <v>0</v>
      </c>
      <c r="FD195" s="47">
        <f t="shared" si="94"/>
        <v>0</v>
      </c>
      <c r="FE195" s="47">
        <f t="shared" si="94"/>
        <v>0</v>
      </c>
      <c r="FF195" s="47">
        <f t="shared" si="94"/>
        <v>0</v>
      </c>
      <c r="FG195" s="47">
        <f t="shared" si="94"/>
        <v>0</v>
      </c>
      <c r="FH195" s="47">
        <f t="shared" si="94"/>
        <v>0</v>
      </c>
      <c r="FI195" s="47">
        <f t="shared" si="94"/>
        <v>1.2384999999999999</v>
      </c>
      <c r="FJ195" s="47">
        <f t="shared" si="94"/>
        <v>0</v>
      </c>
      <c r="FK195" s="47">
        <f t="shared" si="94"/>
        <v>1.2384999999999999</v>
      </c>
      <c r="FL195" s="47">
        <f t="shared" si="94"/>
        <v>0</v>
      </c>
      <c r="FM195" s="47">
        <f t="shared" si="94"/>
        <v>0</v>
      </c>
      <c r="FN195" s="47">
        <f t="shared" si="94"/>
        <v>1.2384999999999999</v>
      </c>
      <c r="FO195" s="47">
        <f t="shared" si="94"/>
        <v>1.2384999999999999</v>
      </c>
      <c r="FP195" s="47">
        <f t="shared" si="94"/>
        <v>1.2384999999999999</v>
      </c>
      <c r="FQ195" s="47">
        <f t="shared" si="94"/>
        <v>0</v>
      </c>
      <c r="FR195" s="47">
        <f t="shared" si="94"/>
        <v>0</v>
      </c>
      <c r="FS195" s="47">
        <f t="shared" si="94"/>
        <v>0</v>
      </c>
      <c r="FT195" s="47">
        <f t="shared" si="94"/>
        <v>0</v>
      </c>
      <c r="FU195" s="47">
        <f t="shared" si="94"/>
        <v>1.2384999999999999</v>
      </c>
      <c r="FV195" s="47">
        <f t="shared" si="94"/>
        <v>1.2384999999999999</v>
      </c>
      <c r="FW195" s="47">
        <f t="shared" si="94"/>
        <v>0</v>
      </c>
      <c r="FX195" s="47">
        <f t="shared" si="94"/>
        <v>0</v>
      </c>
      <c r="FY195" s="108"/>
      <c r="FZ195" s="45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</row>
    <row r="196" spans="1:205" ht="15.5" x14ac:dyDescent="0.35">
      <c r="A196" s="7"/>
      <c r="B196" s="7" t="s">
        <v>942</v>
      </c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</row>
    <row r="197" spans="1:205" ht="15.5" x14ac:dyDescent="0.35">
      <c r="A197" s="12" t="s">
        <v>943</v>
      </c>
      <c r="B197" s="7" t="s">
        <v>944</v>
      </c>
      <c r="C197" s="45">
        <f t="shared" ref="C197:FX197" ca="1" si="95">ROUND(IF((OR(C191=1,C192=1))=TRUE(),0,C193*C195),8)</f>
        <v>12916.15781748</v>
      </c>
      <c r="D197" s="45">
        <f t="shared" ca="1" si="95"/>
        <v>12966.51767818</v>
      </c>
      <c r="E197" s="45">
        <f t="shared" ca="1" si="95"/>
        <v>12802.18771079</v>
      </c>
      <c r="F197" s="45">
        <f t="shared" ca="1" si="95"/>
        <v>12857.47031192</v>
      </c>
      <c r="G197" s="45">
        <f t="shared" si="95"/>
        <v>0</v>
      </c>
      <c r="H197" s="45">
        <f t="shared" si="95"/>
        <v>0</v>
      </c>
      <c r="I197" s="45">
        <f t="shared" ca="1" si="95"/>
        <v>12823.289937060001</v>
      </c>
      <c r="J197" s="45">
        <f t="shared" ca="1" si="95"/>
        <v>11989.51355935</v>
      </c>
      <c r="K197" s="45">
        <f t="shared" si="95"/>
        <v>0</v>
      </c>
      <c r="L197" s="45">
        <f t="shared" ca="1" si="95"/>
        <v>13029.982599450001</v>
      </c>
      <c r="M197" s="45">
        <f t="shared" ca="1" si="95"/>
        <v>12972.19718365</v>
      </c>
      <c r="N197" s="45">
        <f t="shared" si="95"/>
        <v>0</v>
      </c>
      <c r="O197" s="45">
        <f t="shared" si="95"/>
        <v>0</v>
      </c>
      <c r="P197" s="45">
        <f t="shared" si="95"/>
        <v>0</v>
      </c>
      <c r="Q197" s="45">
        <f t="shared" ca="1" si="95"/>
        <v>13151.618316169999</v>
      </c>
      <c r="R197" s="45">
        <f t="shared" ca="1" si="95"/>
        <v>12821.19726105</v>
      </c>
      <c r="S197" s="45">
        <f t="shared" ca="1" si="95"/>
        <v>12467.42306117</v>
      </c>
      <c r="T197" s="45">
        <f t="shared" si="95"/>
        <v>0</v>
      </c>
      <c r="U197" s="45">
        <f t="shared" si="95"/>
        <v>0</v>
      </c>
      <c r="V197" s="45">
        <f t="shared" si="95"/>
        <v>0</v>
      </c>
      <c r="W197" s="45">
        <f t="shared" si="95"/>
        <v>0</v>
      </c>
      <c r="X197" s="45">
        <f t="shared" si="95"/>
        <v>0</v>
      </c>
      <c r="Y197" s="45">
        <f t="shared" ca="1" si="95"/>
        <v>11423.8699075</v>
      </c>
      <c r="Z197" s="45">
        <f t="shared" si="95"/>
        <v>0</v>
      </c>
      <c r="AA197" s="45">
        <f t="shared" si="95"/>
        <v>0</v>
      </c>
      <c r="AB197" s="45">
        <f t="shared" si="95"/>
        <v>0</v>
      </c>
      <c r="AC197" s="45">
        <f t="shared" si="95"/>
        <v>0</v>
      </c>
      <c r="AD197" s="45">
        <f t="shared" si="95"/>
        <v>0</v>
      </c>
      <c r="AE197" s="45">
        <f t="shared" si="95"/>
        <v>0</v>
      </c>
      <c r="AF197" s="45">
        <f t="shared" si="95"/>
        <v>0</v>
      </c>
      <c r="AG197" s="45">
        <f t="shared" si="95"/>
        <v>0</v>
      </c>
      <c r="AH197" s="45">
        <f t="shared" ca="1" si="95"/>
        <v>11769.22065583</v>
      </c>
      <c r="AI197" s="45">
        <f t="shared" si="95"/>
        <v>0</v>
      </c>
      <c r="AJ197" s="45">
        <f t="shared" si="95"/>
        <v>0</v>
      </c>
      <c r="AK197" s="45">
        <f t="shared" si="95"/>
        <v>0</v>
      </c>
      <c r="AL197" s="45">
        <f t="shared" si="95"/>
        <v>0</v>
      </c>
      <c r="AM197" s="45">
        <f t="shared" si="95"/>
        <v>0</v>
      </c>
      <c r="AN197" s="45">
        <f t="shared" si="95"/>
        <v>0</v>
      </c>
      <c r="AO197" s="45">
        <f t="shared" ca="1" si="95"/>
        <v>12589.194414289999</v>
      </c>
      <c r="AP197" s="45">
        <f t="shared" ca="1" si="95"/>
        <v>13161.360455010001</v>
      </c>
      <c r="AQ197" s="45">
        <f t="shared" si="95"/>
        <v>0</v>
      </c>
      <c r="AR197" s="45">
        <f t="shared" si="95"/>
        <v>0</v>
      </c>
      <c r="AS197" s="45">
        <f t="shared" si="95"/>
        <v>0</v>
      </c>
      <c r="AT197" s="45">
        <f t="shared" si="95"/>
        <v>0</v>
      </c>
      <c r="AU197" s="45">
        <f t="shared" si="95"/>
        <v>0</v>
      </c>
      <c r="AV197" s="45">
        <f t="shared" si="95"/>
        <v>0</v>
      </c>
      <c r="AW197" s="45">
        <f t="shared" si="95"/>
        <v>0</v>
      </c>
      <c r="AX197" s="45">
        <f t="shared" si="95"/>
        <v>0</v>
      </c>
      <c r="AY197" s="45">
        <f t="shared" si="95"/>
        <v>0</v>
      </c>
      <c r="AZ197" s="45">
        <f t="shared" ca="1" si="95"/>
        <v>12764.903845729999</v>
      </c>
      <c r="BA197" s="45">
        <f t="shared" ca="1" si="95"/>
        <v>12481.951227559999</v>
      </c>
      <c r="BB197" s="45">
        <f t="shared" ca="1" si="95"/>
        <v>12574.485399360001</v>
      </c>
      <c r="BC197" s="45">
        <f t="shared" ca="1" si="95"/>
        <v>12780.4116084</v>
      </c>
      <c r="BD197" s="45">
        <f t="shared" si="95"/>
        <v>0</v>
      </c>
      <c r="BE197" s="45">
        <f t="shared" si="95"/>
        <v>0</v>
      </c>
      <c r="BF197" s="45">
        <f t="shared" si="95"/>
        <v>0</v>
      </c>
      <c r="BG197" s="45">
        <f t="shared" ca="1" si="95"/>
        <v>12535.844093739999</v>
      </c>
      <c r="BH197" s="45">
        <f t="shared" si="95"/>
        <v>0</v>
      </c>
      <c r="BI197" s="45">
        <f t="shared" si="95"/>
        <v>0</v>
      </c>
      <c r="BJ197" s="45">
        <f t="shared" si="95"/>
        <v>0</v>
      </c>
      <c r="BK197" s="45">
        <f t="shared" ca="1" si="95"/>
        <v>12810.643456719999</v>
      </c>
      <c r="BL197" s="45">
        <f t="shared" si="95"/>
        <v>0</v>
      </c>
      <c r="BM197" s="45">
        <f t="shared" si="95"/>
        <v>0</v>
      </c>
      <c r="BN197" s="45">
        <f t="shared" ca="1" si="95"/>
        <v>12211.92174494</v>
      </c>
      <c r="BO197" s="45">
        <f t="shared" ca="1" si="95"/>
        <v>12036.5051159</v>
      </c>
      <c r="BP197" s="45">
        <f t="shared" si="95"/>
        <v>0</v>
      </c>
      <c r="BQ197" s="45">
        <f t="shared" ca="1" si="95"/>
        <v>13695.28348749</v>
      </c>
      <c r="BR197" s="45">
        <f t="shared" ca="1" si="95"/>
        <v>12702.93092495</v>
      </c>
      <c r="BS197" s="45">
        <f t="shared" ca="1" si="95"/>
        <v>12724.65427985</v>
      </c>
      <c r="BT197" s="45">
        <f t="shared" si="95"/>
        <v>0</v>
      </c>
      <c r="BU197" s="45">
        <f t="shared" si="95"/>
        <v>0</v>
      </c>
      <c r="BV197" s="45">
        <f t="shared" si="95"/>
        <v>0</v>
      </c>
      <c r="BW197" s="45">
        <f t="shared" si="95"/>
        <v>0</v>
      </c>
      <c r="BX197" s="45">
        <f t="shared" si="95"/>
        <v>0</v>
      </c>
      <c r="BY197" s="45">
        <f t="shared" si="95"/>
        <v>0</v>
      </c>
      <c r="BZ197" s="45">
        <f t="shared" si="95"/>
        <v>0</v>
      </c>
      <c r="CA197" s="45">
        <f t="shared" si="95"/>
        <v>0</v>
      </c>
      <c r="CB197" s="45">
        <f t="shared" si="95"/>
        <v>0</v>
      </c>
      <c r="CC197" s="45">
        <f t="shared" si="95"/>
        <v>0</v>
      </c>
      <c r="CD197" s="45">
        <f t="shared" si="95"/>
        <v>0</v>
      </c>
      <c r="CE197" s="45">
        <f t="shared" si="95"/>
        <v>0</v>
      </c>
      <c r="CF197" s="45">
        <f t="shared" si="95"/>
        <v>0</v>
      </c>
      <c r="CG197" s="45">
        <f t="shared" si="95"/>
        <v>0</v>
      </c>
      <c r="CH197" s="45">
        <f t="shared" si="95"/>
        <v>0</v>
      </c>
      <c r="CI197" s="45">
        <f t="shared" ca="1" si="95"/>
        <v>11463.55432168</v>
      </c>
      <c r="CJ197" s="45">
        <f t="shared" ca="1" si="95"/>
        <v>12469.54049621</v>
      </c>
      <c r="CK197" s="45">
        <f t="shared" si="95"/>
        <v>0</v>
      </c>
      <c r="CL197" s="45">
        <f t="shared" si="95"/>
        <v>0</v>
      </c>
      <c r="CM197" s="45">
        <f t="shared" ca="1" si="95"/>
        <v>12780.4482087</v>
      </c>
      <c r="CN197" s="45">
        <f t="shared" si="95"/>
        <v>0</v>
      </c>
      <c r="CO197" s="45">
        <f t="shared" si="95"/>
        <v>0</v>
      </c>
      <c r="CP197" s="45">
        <f t="shared" ca="1" si="95"/>
        <v>12790.056864100001</v>
      </c>
      <c r="CQ197" s="45">
        <f t="shared" ca="1" si="95"/>
        <v>12220.599245629999</v>
      </c>
      <c r="CR197" s="45">
        <f t="shared" si="95"/>
        <v>0</v>
      </c>
      <c r="CS197" s="45">
        <f t="shared" si="95"/>
        <v>0</v>
      </c>
      <c r="CT197" s="45">
        <f t="shared" si="95"/>
        <v>0</v>
      </c>
      <c r="CU197" s="45">
        <f t="shared" si="95"/>
        <v>0</v>
      </c>
      <c r="CV197" s="45">
        <f t="shared" si="95"/>
        <v>0</v>
      </c>
      <c r="CW197" s="45">
        <f t="shared" si="95"/>
        <v>0</v>
      </c>
      <c r="CX197" s="45">
        <f t="shared" ca="1" si="95"/>
        <v>12061.72810543</v>
      </c>
      <c r="CY197" s="45">
        <f t="shared" si="95"/>
        <v>0</v>
      </c>
      <c r="CZ197" s="45">
        <f t="shared" ca="1" si="95"/>
        <v>12256.32759791</v>
      </c>
      <c r="DA197" s="45">
        <f t="shared" si="95"/>
        <v>0</v>
      </c>
      <c r="DB197" s="45">
        <f t="shared" si="95"/>
        <v>0</v>
      </c>
      <c r="DC197" s="45">
        <f t="shared" si="95"/>
        <v>0</v>
      </c>
      <c r="DD197" s="45">
        <f t="shared" si="95"/>
        <v>0</v>
      </c>
      <c r="DE197" s="45">
        <f t="shared" si="95"/>
        <v>0</v>
      </c>
      <c r="DF197" s="45">
        <f t="shared" ca="1" si="95"/>
        <v>12174.258959119999</v>
      </c>
      <c r="DG197" s="45">
        <f t="shared" si="95"/>
        <v>0</v>
      </c>
      <c r="DH197" s="45">
        <f t="shared" ca="1" si="95"/>
        <v>12024.72304854</v>
      </c>
      <c r="DI197" s="45">
        <f t="shared" ca="1" si="95"/>
        <v>12159.75016937</v>
      </c>
      <c r="DJ197" s="45">
        <f t="shared" ca="1" si="95"/>
        <v>12194.875693170001</v>
      </c>
      <c r="DK197" s="45">
        <f t="shared" si="95"/>
        <v>0</v>
      </c>
      <c r="DL197" s="45">
        <f t="shared" ca="1" si="95"/>
        <v>12915.413970199999</v>
      </c>
      <c r="DM197" s="45">
        <f t="shared" si="95"/>
        <v>0</v>
      </c>
      <c r="DN197" s="45">
        <f t="shared" ca="1" si="95"/>
        <v>12496.396505029999</v>
      </c>
      <c r="DO197" s="45">
        <f t="shared" ca="1" si="95"/>
        <v>12596.18722467</v>
      </c>
      <c r="DP197" s="45">
        <f t="shared" si="95"/>
        <v>0</v>
      </c>
      <c r="DQ197" s="45">
        <f t="shared" si="95"/>
        <v>0</v>
      </c>
      <c r="DR197" s="45">
        <f t="shared" ca="1" si="95"/>
        <v>12094.20871927</v>
      </c>
      <c r="DS197" s="45">
        <f t="shared" ca="1" si="95"/>
        <v>11961.333480830001</v>
      </c>
      <c r="DT197" s="45">
        <f t="shared" si="95"/>
        <v>0</v>
      </c>
      <c r="DU197" s="45">
        <f t="shared" si="95"/>
        <v>0</v>
      </c>
      <c r="DV197" s="45">
        <f t="shared" si="95"/>
        <v>0</v>
      </c>
      <c r="DW197" s="45">
        <f t="shared" si="95"/>
        <v>0</v>
      </c>
      <c r="DX197" s="45">
        <f t="shared" si="95"/>
        <v>0</v>
      </c>
      <c r="DY197" s="45">
        <f t="shared" si="95"/>
        <v>0</v>
      </c>
      <c r="DZ197" s="45">
        <f t="shared" si="95"/>
        <v>0</v>
      </c>
      <c r="EA197" s="45">
        <f t="shared" si="95"/>
        <v>0</v>
      </c>
      <c r="EB197" s="45">
        <f t="shared" ca="1" si="95"/>
        <v>11815.92263942</v>
      </c>
      <c r="EC197" s="45">
        <f t="shared" si="95"/>
        <v>0</v>
      </c>
      <c r="ED197" s="45">
        <f t="shared" si="95"/>
        <v>0</v>
      </c>
      <c r="EE197" s="45">
        <f t="shared" si="95"/>
        <v>0</v>
      </c>
      <c r="EF197" s="45">
        <f t="shared" ca="1" si="95"/>
        <v>11985.906276780001</v>
      </c>
      <c r="EG197" s="45">
        <f t="shared" si="95"/>
        <v>0</v>
      </c>
      <c r="EH197" s="45">
        <f t="shared" si="95"/>
        <v>0</v>
      </c>
      <c r="EI197" s="45">
        <f t="shared" ca="1" si="95"/>
        <v>12471.1110797</v>
      </c>
      <c r="EJ197" s="45">
        <f t="shared" ca="1" si="95"/>
        <v>12350.18153349</v>
      </c>
      <c r="EK197" s="45">
        <f t="shared" si="95"/>
        <v>0</v>
      </c>
      <c r="EL197" s="45">
        <f t="shared" ca="1" si="95"/>
        <v>11697.407636579999</v>
      </c>
      <c r="EM197" s="45">
        <f t="shared" si="95"/>
        <v>0</v>
      </c>
      <c r="EN197" s="45">
        <f t="shared" ca="1" si="95"/>
        <v>11877.012847079999</v>
      </c>
      <c r="EO197" s="45">
        <f t="shared" si="95"/>
        <v>0</v>
      </c>
      <c r="EP197" s="45">
        <f t="shared" si="95"/>
        <v>0</v>
      </c>
      <c r="EQ197" s="45">
        <f t="shared" si="95"/>
        <v>0</v>
      </c>
      <c r="ER197" s="45">
        <f t="shared" si="95"/>
        <v>0</v>
      </c>
      <c r="ES197" s="45">
        <f t="shared" si="95"/>
        <v>0</v>
      </c>
      <c r="ET197" s="45">
        <f t="shared" si="95"/>
        <v>0</v>
      </c>
      <c r="EU197" s="45">
        <f t="shared" ca="1" si="95"/>
        <v>11585.506523350001</v>
      </c>
      <c r="EV197" s="45">
        <f t="shared" si="95"/>
        <v>0</v>
      </c>
      <c r="EW197" s="45">
        <f t="shared" si="95"/>
        <v>0</v>
      </c>
      <c r="EX197" s="45">
        <f t="shared" si="95"/>
        <v>0</v>
      </c>
      <c r="EY197" s="45">
        <f t="shared" ca="1" si="95"/>
        <v>11811.80079969</v>
      </c>
      <c r="EZ197" s="45">
        <f t="shared" si="95"/>
        <v>0</v>
      </c>
      <c r="FA197" s="45">
        <f t="shared" si="95"/>
        <v>0</v>
      </c>
      <c r="FB197" s="45">
        <f t="shared" si="95"/>
        <v>0</v>
      </c>
      <c r="FC197" s="45">
        <f t="shared" si="95"/>
        <v>0</v>
      </c>
      <c r="FD197" s="45">
        <f t="shared" si="95"/>
        <v>0</v>
      </c>
      <c r="FE197" s="45">
        <f t="shared" si="95"/>
        <v>0</v>
      </c>
      <c r="FF197" s="45">
        <f t="shared" si="95"/>
        <v>0</v>
      </c>
      <c r="FG197" s="45">
        <f t="shared" si="95"/>
        <v>0</v>
      </c>
      <c r="FH197" s="45">
        <f t="shared" si="95"/>
        <v>0</v>
      </c>
      <c r="FI197" s="45">
        <f t="shared" ca="1" si="95"/>
        <v>12394.34302563</v>
      </c>
      <c r="FJ197" s="45">
        <f t="shared" si="95"/>
        <v>0</v>
      </c>
      <c r="FK197" s="45">
        <f t="shared" ca="1" si="95"/>
        <v>12504.443188769999</v>
      </c>
      <c r="FL197" s="45">
        <f t="shared" si="95"/>
        <v>0</v>
      </c>
      <c r="FM197" s="45">
        <f t="shared" si="95"/>
        <v>0</v>
      </c>
      <c r="FN197" s="45">
        <f t="shared" ca="1" si="95"/>
        <v>12553.94617184</v>
      </c>
      <c r="FO197" s="45">
        <f t="shared" ca="1" si="95"/>
        <v>12375.97398063</v>
      </c>
      <c r="FP197" s="45">
        <f t="shared" ca="1" si="95"/>
        <v>12679.20316535</v>
      </c>
      <c r="FQ197" s="45">
        <f t="shared" si="95"/>
        <v>0</v>
      </c>
      <c r="FR197" s="45">
        <f t="shared" si="95"/>
        <v>0</v>
      </c>
      <c r="FS197" s="45">
        <f t="shared" si="95"/>
        <v>0</v>
      </c>
      <c r="FT197" s="45">
        <f t="shared" si="95"/>
        <v>0</v>
      </c>
      <c r="FU197" s="45">
        <f t="shared" ca="1" si="95"/>
        <v>12518.411585850001</v>
      </c>
      <c r="FV197" s="45">
        <f t="shared" ca="1" si="95"/>
        <v>12082.00467197</v>
      </c>
      <c r="FW197" s="45">
        <f t="shared" si="95"/>
        <v>0</v>
      </c>
      <c r="FX197" s="45">
        <f t="shared" si="95"/>
        <v>0</v>
      </c>
      <c r="FY197" s="47"/>
      <c r="FZ197" s="45"/>
      <c r="GA197" s="7"/>
      <c r="GB197" s="45"/>
      <c r="GC197" s="45"/>
      <c r="GD197" s="45"/>
      <c r="GE197" s="7"/>
      <c r="GF197" s="45"/>
      <c r="GG197" s="45"/>
      <c r="GH197" s="45"/>
      <c r="GI197" s="45"/>
      <c r="GJ197" s="45"/>
      <c r="GK197" s="45"/>
    </row>
    <row r="198" spans="1:205" ht="15.5" x14ac:dyDescent="0.35">
      <c r="A198" s="7"/>
      <c r="B198" s="7" t="s">
        <v>945</v>
      </c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>
        <f ca="1">R197*459</f>
        <v>5884929.5428219503</v>
      </c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</row>
    <row r="199" spans="1:205" ht="15.5" x14ac:dyDescent="0.35">
      <c r="A199" s="12" t="s">
        <v>946</v>
      </c>
      <c r="B199" s="7" t="s">
        <v>947</v>
      </c>
      <c r="C199" s="7">
        <f t="shared" ref="C199:FX199" ca="1" si="96">ROUND(IF((OR(C191=1,C192=1))=TRUE(),0,(C197*459)+(C137*(C43*C197))),2)</f>
        <v>13356288.810000001</v>
      </c>
      <c r="D199" s="7">
        <f t="shared" ca="1" si="96"/>
        <v>35815596.469999999</v>
      </c>
      <c r="E199" s="7">
        <f t="shared" ca="1" si="96"/>
        <v>13110925.27</v>
      </c>
      <c r="F199" s="7">
        <f t="shared" ca="1" si="96"/>
        <v>25264003.43</v>
      </c>
      <c r="G199" s="7">
        <f t="shared" si="96"/>
        <v>0</v>
      </c>
      <c r="H199" s="7">
        <f t="shared" si="96"/>
        <v>0</v>
      </c>
      <c r="I199" s="7">
        <f t="shared" ca="1" si="96"/>
        <v>15715711.220000001</v>
      </c>
      <c r="J199" s="7">
        <f t="shared" ca="1" si="96"/>
        <v>7775679.1200000001</v>
      </c>
      <c r="K199" s="7">
        <f t="shared" si="96"/>
        <v>0</v>
      </c>
      <c r="L199" s="7">
        <f t="shared" ca="1" si="96"/>
        <v>8089586.5199999996</v>
      </c>
      <c r="M199" s="7">
        <f t="shared" ca="1" si="96"/>
        <v>7090447.3099999996</v>
      </c>
      <c r="N199" s="7">
        <f t="shared" si="96"/>
        <v>0</v>
      </c>
      <c r="O199" s="7">
        <f t="shared" si="96"/>
        <v>0</v>
      </c>
      <c r="P199" s="7">
        <f t="shared" si="96"/>
        <v>0</v>
      </c>
      <c r="Q199" s="7">
        <f t="shared" ca="1" si="96"/>
        <v>55825621.18</v>
      </c>
      <c r="R199" s="7">
        <f t="shared" ca="1" si="96"/>
        <v>11953407.35</v>
      </c>
      <c r="S199" s="7">
        <f t="shared" ca="1" si="96"/>
        <v>7126777.9800000004</v>
      </c>
      <c r="T199" s="7">
        <f t="shared" si="96"/>
        <v>0</v>
      </c>
      <c r="U199" s="7">
        <f t="shared" si="96"/>
        <v>0</v>
      </c>
      <c r="V199" s="7">
        <f t="shared" si="96"/>
        <v>0</v>
      </c>
      <c r="W199" s="7">
        <f t="shared" si="96"/>
        <v>0</v>
      </c>
      <c r="X199" s="7">
        <f t="shared" si="96"/>
        <v>0</v>
      </c>
      <c r="Y199" s="7">
        <f t="shared" ca="1" si="96"/>
        <v>6251415.79</v>
      </c>
      <c r="Z199" s="7">
        <f t="shared" si="96"/>
        <v>0</v>
      </c>
      <c r="AA199" s="7">
        <f t="shared" si="96"/>
        <v>0</v>
      </c>
      <c r="AB199" s="7">
        <f t="shared" si="96"/>
        <v>0</v>
      </c>
      <c r="AC199" s="7">
        <f t="shared" si="96"/>
        <v>0</v>
      </c>
      <c r="AD199" s="7">
        <f t="shared" si="96"/>
        <v>0</v>
      </c>
      <c r="AE199" s="7">
        <f t="shared" si="96"/>
        <v>0</v>
      </c>
      <c r="AF199" s="7">
        <f t="shared" si="96"/>
        <v>0</v>
      </c>
      <c r="AG199" s="7">
        <f t="shared" si="96"/>
        <v>0</v>
      </c>
      <c r="AH199" s="7">
        <f t="shared" ca="1" si="96"/>
        <v>6283492.75</v>
      </c>
      <c r="AI199" s="7">
        <f t="shared" si="96"/>
        <v>0</v>
      </c>
      <c r="AJ199" s="7">
        <f t="shared" si="96"/>
        <v>0</v>
      </c>
      <c r="AK199" s="7">
        <f t="shared" si="96"/>
        <v>0</v>
      </c>
      <c r="AL199" s="7">
        <f t="shared" si="96"/>
        <v>0</v>
      </c>
      <c r="AM199" s="7">
        <f t="shared" si="96"/>
        <v>0</v>
      </c>
      <c r="AN199" s="7">
        <f t="shared" si="96"/>
        <v>0</v>
      </c>
      <c r="AO199" s="7">
        <f t="shared" ca="1" si="96"/>
        <v>9544774.7100000009</v>
      </c>
      <c r="AP199" s="7">
        <f t="shared" ca="1" si="96"/>
        <v>89555424.310000002</v>
      </c>
      <c r="AQ199" s="7">
        <f t="shared" si="96"/>
        <v>0</v>
      </c>
      <c r="AR199" s="7">
        <f t="shared" si="96"/>
        <v>0</v>
      </c>
      <c r="AS199" s="7">
        <f t="shared" si="96"/>
        <v>0</v>
      </c>
      <c r="AT199" s="7">
        <f t="shared" si="96"/>
        <v>0</v>
      </c>
      <c r="AU199" s="7">
        <f t="shared" si="96"/>
        <v>0</v>
      </c>
      <c r="AV199" s="7">
        <f t="shared" si="96"/>
        <v>0</v>
      </c>
      <c r="AW199" s="7">
        <f t="shared" si="96"/>
        <v>0</v>
      </c>
      <c r="AX199" s="7">
        <f t="shared" si="96"/>
        <v>0</v>
      </c>
      <c r="AY199" s="7">
        <f t="shared" si="96"/>
        <v>0</v>
      </c>
      <c r="AZ199" s="7">
        <f t="shared" ca="1" si="96"/>
        <v>18288788.34</v>
      </c>
      <c r="BA199" s="7">
        <f t="shared" ca="1" si="96"/>
        <v>12313394.960000001</v>
      </c>
      <c r="BB199" s="7">
        <f t="shared" ca="1" si="96"/>
        <v>11301343.9</v>
      </c>
      <c r="BC199" s="7">
        <f t="shared" ca="1" si="96"/>
        <v>27695407.559999999</v>
      </c>
      <c r="BD199" s="7">
        <f t="shared" si="96"/>
        <v>0</v>
      </c>
      <c r="BE199" s="7">
        <f t="shared" si="96"/>
        <v>0</v>
      </c>
      <c r="BF199" s="7">
        <f t="shared" si="96"/>
        <v>0</v>
      </c>
      <c r="BG199" s="7">
        <f t="shared" ca="1" si="96"/>
        <v>6583273.7400000002</v>
      </c>
      <c r="BH199" s="7">
        <f t="shared" si="96"/>
        <v>0</v>
      </c>
      <c r="BI199" s="7">
        <f t="shared" si="96"/>
        <v>0</v>
      </c>
      <c r="BJ199" s="7">
        <f t="shared" si="96"/>
        <v>0</v>
      </c>
      <c r="BK199" s="7">
        <f t="shared" ca="1" si="96"/>
        <v>27641320.420000002</v>
      </c>
      <c r="BL199" s="7">
        <f t="shared" si="96"/>
        <v>0</v>
      </c>
      <c r="BM199" s="7">
        <f t="shared" si="96"/>
        <v>0</v>
      </c>
      <c r="BN199" s="7">
        <f t="shared" ca="1" si="96"/>
        <v>8254330.9900000002</v>
      </c>
      <c r="BO199" s="7">
        <f t="shared" ca="1" si="96"/>
        <v>6511412.25</v>
      </c>
      <c r="BP199" s="7">
        <f t="shared" si="96"/>
        <v>0</v>
      </c>
      <c r="BQ199" s="7">
        <f t="shared" ca="1" si="96"/>
        <v>11099260.33</v>
      </c>
      <c r="BR199" s="7">
        <f t="shared" ca="1" si="96"/>
        <v>9232236.1400000006</v>
      </c>
      <c r="BS199" s="7">
        <f t="shared" ca="1" si="96"/>
        <v>7019886.3700000001</v>
      </c>
      <c r="BT199" s="7">
        <f t="shared" si="96"/>
        <v>0</v>
      </c>
      <c r="BU199" s="7">
        <f t="shared" si="96"/>
        <v>0</v>
      </c>
      <c r="BV199" s="7">
        <f t="shared" si="96"/>
        <v>0</v>
      </c>
      <c r="BW199" s="7">
        <f t="shared" si="96"/>
        <v>0</v>
      </c>
      <c r="BX199" s="7">
        <f t="shared" si="96"/>
        <v>0</v>
      </c>
      <c r="BY199" s="7">
        <f t="shared" si="96"/>
        <v>0</v>
      </c>
      <c r="BZ199" s="7">
        <f t="shared" si="96"/>
        <v>0</v>
      </c>
      <c r="CA199" s="7">
        <f t="shared" si="96"/>
        <v>0</v>
      </c>
      <c r="CB199" s="7">
        <f t="shared" si="96"/>
        <v>0</v>
      </c>
      <c r="CC199" s="7">
        <f t="shared" si="96"/>
        <v>0</v>
      </c>
      <c r="CD199" s="7">
        <f t="shared" si="96"/>
        <v>0</v>
      </c>
      <c r="CE199" s="7">
        <f t="shared" si="96"/>
        <v>0</v>
      </c>
      <c r="CF199" s="7">
        <f t="shared" si="96"/>
        <v>0</v>
      </c>
      <c r="CG199" s="7">
        <f t="shared" si="96"/>
        <v>0</v>
      </c>
      <c r="CH199" s="7">
        <f t="shared" si="96"/>
        <v>0</v>
      </c>
      <c r="CI199" s="7">
        <f t="shared" ca="1" si="96"/>
        <v>5854391.3399999999</v>
      </c>
      <c r="CJ199" s="7">
        <f t="shared" ca="1" si="96"/>
        <v>6488899.4800000004</v>
      </c>
      <c r="CK199" s="7">
        <f t="shared" si="96"/>
        <v>0</v>
      </c>
      <c r="CL199" s="7">
        <f t="shared" si="96"/>
        <v>0</v>
      </c>
      <c r="CM199" s="7">
        <f t="shared" ca="1" si="96"/>
        <v>6406378.5899999999</v>
      </c>
      <c r="CN199" s="7">
        <f t="shared" si="96"/>
        <v>0</v>
      </c>
      <c r="CO199" s="7">
        <f t="shared" si="96"/>
        <v>0</v>
      </c>
      <c r="CP199" s="7">
        <f t="shared" ca="1" si="96"/>
        <v>6525384.6900000004</v>
      </c>
      <c r="CQ199" s="7">
        <f t="shared" ca="1" si="96"/>
        <v>6451303.2199999997</v>
      </c>
      <c r="CR199" s="7">
        <f t="shared" si="96"/>
        <v>0</v>
      </c>
      <c r="CS199" s="7">
        <f t="shared" si="96"/>
        <v>0</v>
      </c>
      <c r="CT199" s="7">
        <f t="shared" si="96"/>
        <v>0</v>
      </c>
      <c r="CU199" s="7">
        <f t="shared" si="96"/>
        <v>0</v>
      </c>
      <c r="CV199" s="7">
        <f t="shared" si="96"/>
        <v>0</v>
      </c>
      <c r="CW199" s="7">
        <f t="shared" si="96"/>
        <v>0</v>
      </c>
      <c r="CX199" s="7">
        <f t="shared" ca="1" si="96"/>
        <v>5870973.7800000003</v>
      </c>
      <c r="CY199" s="7">
        <f t="shared" si="96"/>
        <v>0</v>
      </c>
      <c r="CZ199" s="7">
        <f t="shared" ca="1" si="96"/>
        <v>7101267.1799999997</v>
      </c>
      <c r="DA199" s="7">
        <f t="shared" si="96"/>
        <v>0</v>
      </c>
      <c r="DB199" s="7">
        <f t="shared" si="96"/>
        <v>0</v>
      </c>
      <c r="DC199" s="7">
        <f t="shared" si="96"/>
        <v>0</v>
      </c>
      <c r="DD199" s="7">
        <f t="shared" si="96"/>
        <v>0</v>
      </c>
      <c r="DE199" s="7">
        <f t="shared" si="96"/>
        <v>0</v>
      </c>
      <c r="DF199" s="7">
        <f t="shared" ca="1" si="96"/>
        <v>22714537.579999998</v>
      </c>
      <c r="DG199" s="7">
        <f t="shared" si="96"/>
        <v>0</v>
      </c>
      <c r="DH199" s="7">
        <f t="shared" ca="1" si="96"/>
        <v>6929559.2999999998</v>
      </c>
      <c r="DI199" s="7">
        <f t="shared" ca="1" si="96"/>
        <v>7870325.3399999999</v>
      </c>
      <c r="DJ199" s="7">
        <f t="shared" ca="1" si="96"/>
        <v>6092950.1299999999</v>
      </c>
      <c r="DK199" s="7">
        <f t="shared" si="96"/>
        <v>0</v>
      </c>
      <c r="DL199" s="7">
        <f t="shared" ca="1" si="96"/>
        <v>10867700.92</v>
      </c>
      <c r="DM199" s="7">
        <f t="shared" si="96"/>
        <v>0</v>
      </c>
      <c r="DN199" s="7">
        <f t="shared" ca="1" si="96"/>
        <v>7011978.0099999998</v>
      </c>
      <c r="DO199" s="7">
        <f t="shared" ca="1" si="96"/>
        <v>8823175.6899999995</v>
      </c>
      <c r="DP199" s="7">
        <f t="shared" si="96"/>
        <v>0</v>
      </c>
      <c r="DQ199" s="7">
        <f t="shared" si="96"/>
        <v>0</v>
      </c>
      <c r="DR199" s="7">
        <f t="shared" ca="1" si="96"/>
        <v>6976568.4900000002</v>
      </c>
      <c r="DS199" s="7">
        <f t="shared" ca="1" si="96"/>
        <v>6141761.9800000004</v>
      </c>
      <c r="DT199" s="7">
        <f t="shared" si="96"/>
        <v>0</v>
      </c>
      <c r="DU199" s="7">
        <f t="shared" si="96"/>
        <v>0</v>
      </c>
      <c r="DV199" s="7">
        <f t="shared" si="96"/>
        <v>0</v>
      </c>
      <c r="DW199" s="7">
        <f t="shared" si="96"/>
        <v>0</v>
      </c>
      <c r="DX199" s="7">
        <f t="shared" si="96"/>
        <v>0</v>
      </c>
      <c r="DY199" s="7">
        <f t="shared" si="96"/>
        <v>0</v>
      </c>
      <c r="DZ199" s="7">
        <f t="shared" si="96"/>
        <v>0</v>
      </c>
      <c r="EA199" s="7">
        <f t="shared" si="96"/>
        <v>0</v>
      </c>
      <c r="EB199" s="7">
        <f t="shared" ca="1" si="96"/>
        <v>5869866.79</v>
      </c>
      <c r="EC199" s="7">
        <f t="shared" si="96"/>
        <v>0</v>
      </c>
      <c r="ED199" s="7">
        <f t="shared" si="96"/>
        <v>0</v>
      </c>
      <c r="EE199" s="7">
        <f t="shared" si="96"/>
        <v>0</v>
      </c>
      <c r="EF199" s="7">
        <f t="shared" ca="1" si="96"/>
        <v>6886909.9699999997</v>
      </c>
      <c r="EG199" s="7">
        <f t="shared" si="96"/>
        <v>0</v>
      </c>
      <c r="EH199" s="7">
        <f t="shared" si="96"/>
        <v>0</v>
      </c>
      <c r="EI199" s="7">
        <f t="shared" ca="1" si="96"/>
        <v>21814068.43</v>
      </c>
      <c r="EJ199" s="7">
        <f t="shared" ca="1" si="96"/>
        <v>13425635.34</v>
      </c>
      <c r="EK199" s="7">
        <f t="shared" si="96"/>
        <v>0</v>
      </c>
      <c r="EL199" s="7">
        <f t="shared" ca="1" si="96"/>
        <v>5672166.54</v>
      </c>
      <c r="EM199" s="7">
        <f t="shared" si="96"/>
        <v>0</v>
      </c>
      <c r="EN199" s="7">
        <f t="shared" ca="1" si="96"/>
        <v>6420713.1500000004</v>
      </c>
      <c r="EO199" s="7">
        <f t="shared" si="96"/>
        <v>0</v>
      </c>
      <c r="EP199" s="7">
        <f t="shared" si="96"/>
        <v>0</v>
      </c>
      <c r="EQ199" s="7">
        <f t="shared" si="96"/>
        <v>0</v>
      </c>
      <c r="ER199" s="7">
        <f t="shared" si="96"/>
        <v>0</v>
      </c>
      <c r="ES199" s="7">
        <f t="shared" si="96"/>
        <v>0</v>
      </c>
      <c r="ET199" s="7">
        <f t="shared" si="96"/>
        <v>0</v>
      </c>
      <c r="EU199" s="7">
        <f t="shared" ca="1" si="96"/>
        <v>6058478.4400000004</v>
      </c>
      <c r="EV199" s="7">
        <f t="shared" si="96"/>
        <v>0</v>
      </c>
      <c r="EW199" s="7">
        <f t="shared" si="96"/>
        <v>0</v>
      </c>
      <c r="EX199" s="7">
        <f t="shared" si="96"/>
        <v>0</v>
      </c>
      <c r="EY199" s="7">
        <f t="shared" ca="1" si="96"/>
        <v>6027845.4299999997</v>
      </c>
      <c r="EZ199" s="7">
        <f t="shared" si="96"/>
        <v>0</v>
      </c>
      <c r="FA199" s="7">
        <f t="shared" si="96"/>
        <v>0</v>
      </c>
      <c r="FB199" s="7">
        <f t="shared" si="96"/>
        <v>0</v>
      </c>
      <c r="FC199" s="7">
        <f t="shared" si="96"/>
        <v>0</v>
      </c>
      <c r="FD199" s="7">
        <f t="shared" si="96"/>
        <v>0</v>
      </c>
      <c r="FE199" s="7">
        <f t="shared" si="96"/>
        <v>0</v>
      </c>
      <c r="FF199" s="7">
        <f t="shared" si="96"/>
        <v>0</v>
      </c>
      <c r="FG199" s="7">
        <f t="shared" si="96"/>
        <v>0</v>
      </c>
      <c r="FH199" s="7">
        <f t="shared" si="96"/>
        <v>0</v>
      </c>
      <c r="FI199" s="7">
        <f t="shared" ca="1" si="96"/>
        <v>7224662.5499999998</v>
      </c>
      <c r="FJ199" s="7">
        <f t="shared" si="96"/>
        <v>0</v>
      </c>
      <c r="FK199" s="7">
        <f t="shared" ca="1" si="96"/>
        <v>7801722.1799999997</v>
      </c>
      <c r="FL199" s="7">
        <f t="shared" si="96"/>
        <v>0</v>
      </c>
      <c r="FM199" s="7">
        <f t="shared" si="96"/>
        <v>0</v>
      </c>
      <c r="FN199" s="7">
        <f t="shared" ca="1" si="96"/>
        <v>29691990.899999999</v>
      </c>
      <c r="FO199" s="7">
        <f t="shared" ca="1" si="96"/>
        <v>6539563.6600000001</v>
      </c>
      <c r="FP199" s="7">
        <f t="shared" ca="1" si="96"/>
        <v>7863438.9400000004</v>
      </c>
      <c r="FQ199" s="7">
        <f t="shared" si="96"/>
        <v>0</v>
      </c>
      <c r="FR199" s="7">
        <f t="shared" si="96"/>
        <v>0</v>
      </c>
      <c r="FS199" s="7">
        <f t="shared" si="96"/>
        <v>0</v>
      </c>
      <c r="FT199" s="7">
        <f t="shared" si="96"/>
        <v>0</v>
      </c>
      <c r="FU199" s="7">
        <f t="shared" ca="1" si="96"/>
        <v>6474973.1399999997</v>
      </c>
      <c r="FV199" s="7">
        <f t="shared" ca="1" si="96"/>
        <v>6175160.9199999999</v>
      </c>
      <c r="FW199" s="7">
        <f t="shared" si="96"/>
        <v>0</v>
      </c>
      <c r="FX199" s="7">
        <f t="shared" si="96"/>
        <v>0</v>
      </c>
      <c r="FY199" s="45"/>
      <c r="FZ199" s="58"/>
      <c r="GA199" s="7"/>
      <c r="GB199" s="45"/>
      <c r="GC199" s="45"/>
      <c r="GD199" s="45"/>
      <c r="GE199" s="7"/>
      <c r="GF199" s="45"/>
      <c r="GG199" s="45"/>
      <c r="GH199" s="45"/>
      <c r="GI199" s="45"/>
      <c r="GJ199" s="45"/>
      <c r="GK199" s="45"/>
    </row>
    <row r="200" spans="1:205" ht="15.5" x14ac:dyDescent="0.35">
      <c r="A200" s="12" t="s">
        <v>948</v>
      </c>
      <c r="B200" s="7" t="s">
        <v>949</v>
      </c>
      <c r="C200" s="23">
        <f t="shared" ref="C200:FX200" si="97">IF((OR(C191=1,C192=1))=TRUE(),0,C96)</f>
        <v>6384.5</v>
      </c>
      <c r="D200" s="23">
        <f t="shared" si="97"/>
        <v>38102.400000000001</v>
      </c>
      <c r="E200" s="23">
        <f t="shared" si="97"/>
        <v>5738</v>
      </c>
      <c r="F200" s="23">
        <f t="shared" si="97"/>
        <v>22398.6</v>
      </c>
      <c r="G200" s="23">
        <f t="shared" si="97"/>
        <v>0</v>
      </c>
      <c r="H200" s="23">
        <f t="shared" si="97"/>
        <v>0</v>
      </c>
      <c r="I200" s="23">
        <f t="shared" si="97"/>
        <v>8056</v>
      </c>
      <c r="J200" s="23">
        <f t="shared" si="97"/>
        <v>2066.8000000000002</v>
      </c>
      <c r="K200" s="23">
        <f t="shared" si="97"/>
        <v>0</v>
      </c>
      <c r="L200" s="23">
        <f t="shared" si="97"/>
        <v>2133.1</v>
      </c>
      <c r="M200" s="23">
        <f t="shared" si="97"/>
        <v>936.7</v>
      </c>
      <c r="N200" s="23">
        <f t="shared" si="97"/>
        <v>0</v>
      </c>
      <c r="O200" s="23">
        <f t="shared" si="97"/>
        <v>0</v>
      </c>
      <c r="P200" s="23">
        <f t="shared" si="97"/>
        <v>0</v>
      </c>
      <c r="Q200" s="23">
        <f t="shared" si="97"/>
        <v>39320.800000000003</v>
      </c>
      <c r="R200" s="23">
        <f t="shared" si="97"/>
        <v>481.8</v>
      </c>
      <c r="S200" s="23">
        <f t="shared" si="97"/>
        <v>1591.4</v>
      </c>
      <c r="T200" s="23">
        <f t="shared" si="97"/>
        <v>0</v>
      </c>
      <c r="U200" s="23">
        <f t="shared" si="97"/>
        <v>0</v>
      </c>
      <c r="V200" s="23">
        <f t="shared" si="97"/>
        <v>0</v>
      </c>
      <c r="W200" s="23">
        <f t="shared" si="97"/>
        <v>0</v>
      </c>
      <c r="X200" s="23">
        <f t="shared" si="97"/>
        <v>0</v>
      </c>
      <c r="Y200" s="23">
        <f t="shared" si="97"/>
        <v>423.8</v>
      </c>
      <c r="Z200" s="23">
        <f t="shared" si="97"/>
        <v>0</v>
      </c>
      <c r="AA200" s="23">
        <f t="shared" si="97"/>
        <v>0</v>
      </c>
      <c r="AB200" s="23">
        <f t="shared" si="97"/>
        <v>0</v>
      </c>
      <c r="AC200" s="23">
        <f t="shared" si="97"/>
        <v>0</v>
      </c>
      <c r="AD200" s="23">
        <f t="shared" si="97"/>
        <v>0</v>
      </c>
      <c r="AE200" s="23">
        <f t="shared" si="97"/>
        <v>0</v>
      </c>
      <c r="AF200" s="23">
        <f t="shared" si="97"/>
        <v>0</v>
      </c>
      <c r="AG200" s="23">
        <f t="shared" si="97"/>
        <v>0</v>
      </c>
      <c r="AH200" s="23">
        <f t="shared" si="97"/>
        <v>957.7</v>
      </c>
      <c r="AI200" s="23">
        <f t="shared" si="97"/>
        <v>0</v>
      </c>
      <c r="AJ200" s="23">
        <f t="shared" si="97"/>
        <v>0</v>
      </c>
      <c r="AK200" s="23">
        <f t="shared" si="97"/>
        <v>0</v>
      </c>
      <c r="AL200" s="23">
        <f t="shared" si="97"/>
        <v>0</v>
      </c>
      <c r="AM200" s="23">
        <f t="shared" si="97"/>
        <v>0</v>
      </c>
      <c r="AN200" s="23">
        <f t="shared" si="97"/>
        <v>0</v>
      </c>
      <c r="AO200" s="23">
        <f t="shared" si="97"/>
        <v>4036</v>
      </c>
      <c r="AP200" s="23">
        <f t="shared" si="97"/>
        <v>83959.6</v>
      </c>
      <c r="AQ200" s="23">
        <f t="shared" si="97"/>
        <v>0</v>
      </c>
      <c r="AR200" s="23">
        <f t="shared" si="97"/>
        <v>0</v>
      </c>
      <c r="AS200" s="23">
        <f t="shared" si="97"/>
        <v>0</v>
      </c>
      <c r="AT200" s="23">
        <f t="shared" si="97"/>
        <v>0</v>
      </c>
      <c r="AU200" s="23">
        <f t="shared" si="97"/>
        <v>0</v>
      </c>
      <c r="AV200" s="23">
        <f t="shared" si="97"/>
        <v>0</v>
      </c>
      <c r="AW200" s="23">
        <f t="shared" si="97"/>
        <v>0</v>
      </c>
      <c r="AX200" s="23">
        <f t="shared" si="97"/>
        <v>0</v>
      </c>
      <c r="AY200" s="23">
        <f t="shared" si="97"/>
        <v>0</v>
      </c>
      <c r="AZ200" s="23">
        <f t="shared" si="97"/>
        <v>12123.4</v>
      </c>
      <c r="BA200" s="23">
        <f t="shared" si="97"/>
        <v>8895.7999999999993</v>
      </c>
      <c r="BB200" s="23">
        <f t="shared" si="97"/>
        <v>7554.3</v>
      </c>
      <c r="BC200" s="23">
        <f t="shared" si="97"/>
        <v>24177.4</v>
      </c>
      <c r="BD200" s="23">
        <f t="shared" si="97"/>
        <v>0</v>
      </c>
      <c r="BE200" s="23">
        <f t="shared" si="97"/>
        <v>0</v>
      </c>
      <c r="BF200" s="23">
        <f t="shared" si="97"/>
        <v>0</v>
      </c>
      <c r="BG200" s="23">
        <f t="shared" si="97"/>
        <v>920.6</v>
      </c>
      <c r="BH200" s="23">
        <f t="shared" si="97"/>
        <v>0</v>
      </c>
      <c r="BI200" s="23">
        <f t="shared" si="97"/>
        <v>0</v>
      </c>
      <c r="BJ200" s="23">
        <f t="shared" si="97"/>
        <v>0</v>
      </c>
      <c r="BK200" s="23">
        <f t="shared" si="97"/>
        <v>21864.7</v>
      </c>
      <c r="BL200" s="23">
        <f t="shared" si="97"/>
        <v>0</v>
      </c>
      <c r="BM200" s="23">
        <f t="shared" si="97"/>
        <v>0</v>
      </c>
      <c r="BN200" s="23">
        <f t="shared" si="97"/>
        <v>3100.1</v>
      </c>
      <c r="BO200" s="23">
        <f t="shared" si="97"/>
        <v>1254.3</v>
      </c>
      <c r="BP200" s="23">
        <f t="shared" si="97"/>
        <v>0</v>
      </c>
      <c r="BQ200" s="23">
        <f t="shared" si="97"/>
        <v>5884.7</v>
      </c>
      <c r="BR200" s="23">
        <f t="shared" si="97"/>
        <v>4488.3999999999996</v>
      </c>
      <c r="BS200" s="23">
        <f t="shared" si="97"/>
        <v>1158.0999999999999</v>
      </c>
      <c r="BT200" s="23">
        <f t="shared" si="97"/>
        <v>0</v>
      </c>
      <c r="BU200" s="23">
        <f t="shared" si="97"/>
        <v>0</v>
      </c>
      <c r="BV200" s="23">
        <f t="shared" si="97"/>
        <v>0</v>
      </c>
      <c r="BW200" s="23">
        <f t="shared" si="97"/>
        <v>0</v>
      </c>
      <c r="BX200" s="23">
        <f t="shared" si="97"/>
        <v>0</v>
      </c>
      <c r="BY200" s="23">
        <f t="shared" si="97"/>
        <v>0</v>
      </c>
      <c r="BZ200" s="23">
        <f t="shared" si="97"/>
        <v>0</v>
      </c>
      <c r="CA200" s="23">
        <f t="shared" si="97"/>
        <v>0</v>
      </c>
      <c r="CB200" s="23">
        <f t="shared" si="97"/>
        <v>0</v>
      </c>
      <c r="CC200" s="23">
        <f t="shared" si="97"/>
        <v>0</v>
      </c>
      <c r="CD200" s="23">
        <f t="shared" si="97"/>
        <v>0</v>
      </c>
      <c r="CE200" s="23">
        <f t="shared" si="97"/>
        <v>0</v>
      </c>
      <c r="CF200" s="23">
        <f t="shared" si="97"/>
        <v>0</v>
      </c>
      <c r="CG200" s="23">
        <f t="shared" si="97"/>
        <v>0</v>
      </c>
      <c r="CH200" s="23">
        <f t="shared" si="97"/>
        <v>0</v>
      </c>
      <c r="CI200" s="23">
        <f t="shared" si="97"/>
        <v>687.9</v>
      </c>
      <c r="CJ200" s="23">
        <f t="shared" si="97"/>
        <v>872.3</v>
      </c>
      <c r="CK200" s="23">
        <f t="shared" si="97"/>
        <v>0</v>
      </c>
      <c r="CL200" s="23">
        <f t="shared" si="97"/>
        <v>0</v>
      </c>
      <c r="CM200" s="23">
        <f t="shared" si="97"/>
        <v>685.4</v>
      </c>
      <c r="CN200" s="23">
        <f t="shared" si="97"/>
        <v>0</v>
      </c>
      <c r="CO200" s="23">
        <f t="shared" si="97"/>
        <v>0</v>
      </c>
      <c r="CP200" s="23">
        <f t="shared" si="97"/>
        <v>929.4</v>
      </c>
      <c r="CQ200" s="23">
        <f t="shared" si="97"/>
        <v>770.1</v>
      </c>
      <c r="CR200" s="23">
        <f t="shared" si="97"/>
        <v>0</v>
      </c>
      <c r="CS200" s="23">
        <f t="shared" si="97"/>
        <v>0</v>
      </c>
      <c r="CT200" s="23">
        <f t="shared" si="97"/>
        <v>0</v>
      </c>
      <c r="CU200" s="23">
        <f t="shared" si="97"/>
        <v>0</v>
      </c>
      <c r="CV200" s="23">
        <f t="shared" si="97"/>
        <v>0</v>
      </c>
      <c r="CW200" s="23">
        <f t="shared" si="97"/>
        <v>0</v>
      </c>
      <c r="CX200" s="23">
        <f t="shared" si="97"/>
        <v>461.4</v>
      </c>
      <c r="CY200" s="23">
        <f t="shared" si="97"/>
        <v>0</v>
      </c>
      <c r="CZ200" s="23">
        <f t="shared" si="97"/>
        <v>1806.8</v>
      </c>
      <c r="DA200" s="23">
        <f t="shared" si="97"/>
        <v>0</v>
      </c>
      <c r="DB200" s="23">
        <f t="shared" si="97"/>
        <v>0</v>
      </c>
      <c r="DC200" s="23">
        <f t="shared" si="97"/>
        <v>0</v>
      </c>
      <c r="DD200" s="23">
        <f t="shared" si="97"/>
        <v>0</v>
      </c>
      <c r="DE200" s="23">
        <f t="shared" si="97"/>
        <v>0</v>
      </c>
      <c r="DF200" s="23">
        <f t="shared" si="97"/>
        <v>20790.099999999999</v>
      </c>
      <c r="DG200" s="23">
        <f t="shared" si="97"/>
        <v>0</v>
      </c>
      <c r="DH200" s="23">
        <f t="shared" si="97"/>
        <v>1805.4</v>
      </c>
      <c r="DI200" s="23">
        <f t="shared" si="97"/>
        <v>2448.3000000000002</v>
      </c>
      <c r="DJ200" s="23">
        <f t="shared" si="97"/>
        <v>623</v>
      </c>
      <c r="DK200" s="23">
        <f t="shared" si="97"/>
        <v>0</v>
      </c>
      <c r="DL200" s="23">
        <f t="shared" si="97"/>
        <v>5694</v>
      </c>
      <c r="DM200" s="23">
        <f t="shared" si="97"/>
        <v>0</v>
      </c>
      <c r="DN200" s="23">
        <f t="shared" si="97"/>
        <v>1294.5</v>
      </c>
      <c r="DO200" s="23">
        <f t="shared" si="97"/>
        <v>3290</v>
      </c>
      <c r="DP200" s="23">
        <f t="shared" si="97"/>
        <v>0</v>
      </c>
      <c r="DQ200" s="23">
        <f t="shared" si="97"/>
        <v>0</v>
      </c>
      <c r="DR200" s="23">
        <f t="shared" si="97"/>
        <v>1315.2</v>
      </c>
      <c r="DS200" s="23">
        <f t="shared" si="97"/>
        <v>599.9</v>
      </c>
      <c r="DT200" s="23">
        <f t="shared" si="97"/>
        <v>0</v>
      </c>
      <c r="DU200" s="23">
        <f t="shared" si="97"/>
        <v>0</v>
      </c>
      <c r="DV200" s="23">
        <f t="shared" si="97"/>
        <v>0</v>
      </c>
      <c r="DW200" s="23">
        <f t="shared" si="97"/>
        <v>0</v>
      </c>
      <c r="DX200" s="23">
        <f t="shared" si="97"/>
        <v>0</v>
      </c>
      <c r="DY200" s="23">
        <f t="shared" si="97"/>
        <v>0</v>
      </c>
      <c r="DZ200" s="23">
        <f t="shared" si="97"/>
        <v>0</v>
      </c>
      <c r="EA200" s="23">
        <f t="shared" si="97"/>
        <v>0</v>
      </c>
      <c r="EB200" s="23">
        <f t="shared" si="97"/>
        <v>534.4</v>
      </c>
      <c r="EC200" s="23">
        <f t="shared" si="97"/>
        <v>0</v>
      </c>
      <c r="ED200" s="23">
        <f t="shared" si="97"/>
        <v>0</v>
      </c>
      <c r="EE200" s="23">
        <f t="shared" si="97"/>
        <v>0</v>
      </c>
      <c r="EF200" s="23">
        <f t="shared" si="97"/>
        <v>1353.2</v>
      </c>
      <c r="EG200" s="23">
        <f t="shared" si="97"/>
        <v>0</v>
      </c>
      <c r="EH200" s="23">
        <f t="shared" si="97"/>
        <v>0</v>
      </c>
      <c r="EI200" s="23">
        <f t="shared" si="97"/>
        <v>13865.8</v>
      </c>
      <c r="EJ200" s="23">
        <f t="shared" si="97"/>
        <v>9949.7999999999993</v>
      </c>
      <c r="EK200" s="23">
        <f t="shared" si="97"/>
        <v>0</v>
      </c>
      <c r="EL200" s="23">
        <f t="shared" si="97"/>
        <v>459.4</v>
      </c>
      <c r="EM200" s="23">
        <f t="shared" si="97"/>
        <v>0</v>
      </c>
      <c r="EN200" s="23">
        <f t="shared" si="97"/>
        <v>896.9</v>
      </c>
      <c r="EO200" s="23">
        <f t="shared" si="97"/>
        <v>0</v>
      </c>
      <c r="EP200" s="23">
        <f t="shared" si="97"/>
        <v>0</v>
      </c>
      <c r="EQ200" s="23">
        <f t="shared" si="97"/>
        <v>0</v>
      </c>
      <c r="ER200" s="23">
        <f t="shared" si="97"/>
        <v>0</v>
      </c>
      <c r="ES200" s="23">
        <f t="shared" si="97"/>
        <v>0</v>
      </c>
      <c r="ET200" s="23">
        <f t="shared" si="97"/>
        <v>0</v>
      </c>
      <c r="EU200" s="23">
        <f t="shared" si="97"/>
        <v>575.29999999999995</v>
      </c>
      <c r="EV200" s="23">
        <f t="shared" si="97"/>
        <v>0</v>
      </c>
      <c r="EW200" s="23">
        <f t="shared" si="97"/>
        <v>0</v>
      </c>
      <c r="EX200" s="23">
        <f t="shared" si="97"/>
        <v>0</v>
      </c>
      <c r="EY200" s="23">
        <f t="shared" si="97"/>
        <v>206.5</v>
      </c>
      <c r="EZ200" s="23">
        <f t="shared" si="97"/>
        <v>0</v>
      </c>
      <c r="FA200" s="23">
        <f t="shared" si="97"/>
        <v>0</v>
      </c>
      <c r="FB200" s="23">
        <f t="shared" si="97"/>
        <v>0</v>
      </c>
      <c r="FC200" s="23">
        <f t="shared" si="97"/>
        <v>0</v>
      </c>
      <c r="FD200" s="23">
        <f t="shared" si="97"/>
        <v>0</v>
      </c>
      <c r="FE200" s="23">
        <f t="shared" si="97"/>
        <v>0</v>
      </c>
      <c r="FF200" s="23">
        <f t="shared" si="97"/>
        <v>0</v>
      </c>
      <c r="FG200" s="23">
        <f t="shared" si="97"/>
        <v>0</v>
      </c>
      <c r="FH200" s="23">
        <f t="shared" si="97"/>
        <v>0</v>
      </c>
      <c r="FI200" s="23">
        <f t="shared" si="97"/>
        <v>1702.5</v>
      </c>
      <c r="FJ200" s="23">
        <f t="shared" si="97"/>
        <v>0</v>
      </c>
      <c r="FK200" s="23">
        <f t="shared" si="97"/>
        <v>2529.1</v>
      </c>
      <c r="FL200" s="23">
        <f t="shared" si="97"/>
        <v>0</v>
      </c>
      <c r="FM200" s="23">
        <f t="shared" si="97"/>
        <v>0</v>
      </c>
      <c r="FN200" s="23">
        <f t="shared" si="97"/>
        <v>22422.3</v>
      </c>
      <c r="FO200" s="23">
        <f t="shared" si="97"/>
        <v>1117.2</v>
      </c>
      <c r="FP200" s="23">
        <f t="shared" si="97"/>
        <v>2341.5</v>
      </c>
      <c r="FQ200" s="23">
        <f t="shared" si="97"/>
        <v>0</v>
      </c>
      <c r="FR200" s="23">
        <f t="shared" si="97"/>
        <v>0</v>
      </c>
      <c r="FS200" s="23">
        <f t="shared" si="97"/>
        <v>0</v>
      </c>
      <c r="FT200" s="23">
        <f t="shared" si="97"/>
        <v>0</v>
      </c>
      <c r="FU200" s="23">
        <f t="shared" si="97"/>
        <v>791.1</v>
      </c>
      <c r="FV200" s="23">
        <f t="shared" si="97"/>
        <v>692.7</v>
      </c>
      <c r="FW200" s="23">
        <f t="shared" si="97"/>
        <v>0</v>
      </c>
      <c r="FX200" s="23">
        <f t="shared" si="97"/>
        <v>0</v>
      </c>
      <c r="FY200" s="7"/>
      <c r="FZ200" s="23"/>
      <c r="GA200" s="7"/>
      <c r="GB200" s="45"/>
      <c r="GC200" s="45"/>
      <c r="GD200" s="45"/>
      <c r="GE200" s="7"/>
      <c r="GF200" s="45"/>
      <c r="GG200" s="45"/>
      <c r="GH200" s="45"/>
      <c r="GI200" s="45"/>
      <c r="GJ200" s="45"/>
      <c r="GK200" s="45"/>
    </row>
    <row r="201" spans="1:205" ht="15.5" x14ac:dyDescent="0.35">
      <c r="A201" s="12" t="s">
        <v>950</v>
      </c>
      <c r="B201" s="7" t="s">
        <v>951</v>
      </c>
      <c r="C201" s="7">
        <f t="shared" ref="C201:FX201" ca="1" si="98">ROUND(IF((OR(C191=1,C192=1))=TRUE(),0,(C199/459*C200)),2)</f>
        <v>185780448.59999999</v>
      </c>
      <c r="D201" s="7">
        <f t="shared" ca="1" si="98"/>
        <v>2973115866.9699998</v>
      </c>
      <c r="E201" s="7">
        <f t="shared" ca="1" si="98"/>
        <v>163900847.93000001</v>
      </c>
      <c r="F201" s="7">
        <f t="shared" ca="1" si="98"/>
        <v>1232850342.54</v>
      </c>
      <c r="G201" s="7">
        <f t="shared" si="98"/>
        <v>0</v>
      </c>
      <c r="H201" s="7">
        <f t="shared" si="98"/>
        <v>0</v>
      </c>
      <c r="I201" s="7">
        <f t="shared" ca="1" si="98"/>
        <v>275829563.37</v>
      </c>
      <c r="J201" s="7">
        <f t="shared" ca="1" si="98"/>
        <v>35012578.659999996</v>
      </c>
      <c r="K201" s="7">
        <f t="shared" si="98"/>
        <v>0</v>
      </c>
      <c r="L201" s="7">
        <f t="shared" ca="1" si="98"/>
        <v>37594546.850000001</v>
      </c>
      <c r="M201" s="7">
        <f t="shared" ca="1" si="98"/>
        <v>14469764.699999999</v>
      </c>
      <c r="N201" s="7">
        <f t="shared" si="98"/>
        <v>0</v>
      </c>
      <c r="O201" s="7">
        <f t="shared" si="98"/>
        <v>0</v>
      </c>
      <c r="P201" s="7">
        <f t="shared" si="98"/>
        <v>0</v>
      </c>
      <c r="Q201" s="7">
        <f t="shared" ca="1" si="98"/>
        <v>4782370556.1999998</v>
      </c>
      <c r="R201" s="7">
        <f t="shared" ca="1" si="98"/>
        <v>12547171.380000001</v>
      </c>
      <c r="S201" s="7">
        <f t="shared" ca="1" si="98"/>
        <v>24709269.010000002</v>
      </c>
      <c r="T201" s="7">
        <f t="shared" si="98"/>
        <v>0</v>
      </c>
      <c r="U201" s="7">
        <f t="shared" si="98"/>
        <v>0</v>
      </c>
      <c r="V201" s="7">
        <f t="shared" si="98"/>
        <v>0</v>
      </c>
      <c r="W201" s="7">
        <f t="shared" si="98"/>
        <v>0</v>
      </c>
      <c r="X201" s="7">
        <f t="shared" si="98"/>
        <v>0</v>
      </c>
      <c r="Y201" s="7">
        <f t="shared" ca="1" si="98"/>
        <v>5772004.3799999999</v>
      </c>
      <c r="Z201" s="7">
        <f t="shared" si="98"/>
        <v>0</v>
      </c>
      <c r="AA201" s="7">
        <f t="shared" si="98"/>
        <v>0</v>
      </c>
      <c r="AB201" s="7">
        <f t="shared" si="98"/>
        <v>0</v>
      </c>
      <c r="AC201" s="7">
        <f t="shared" si="98"/>
        <v>0</v>
      </c>
      <c r="AD201" s="7">
        <f t="shared" si="98"/>
        <v>0</v>
      </c>
      <c r="AE201" s="7">
        <f t="shared" si="98"/>
        <v>0</v>
      </c>
      <c r="AF201" s="7">
        <f t="shared" si="98"/>
        <v>0</v>
      </c>
      <c r="AG201" s="7">
        <f t="shared" si="98"/>
        <v>0</v>
      </c>
      <c r="AH201" s="7">
        <f t="shared" ca="1" si="98"/>
        <v>13110459.710000001</v>
      </c>
      <c r="AI201" s="7">
        <f t="shared" si="98"/>
        <v>0</v>
      </c>
      <c r="AJ201" s="7">
        <f t="shared" si="98"/>
        <v>0</v>
      </c>
      <c r="AK201" s="7">
        <f t="shared" si="98"/>
        <v>0</v>
      </c>
      <c r="AL201" s="7">
        <f t="shared" si="98"/>
        <v>0</v>
      </c>
      <c r="AM201" s="7">
        <f t="shared" si="98"/>
        <v>0</v>
      </c>
      <c r="AN201" s="7">
        <f t="shared" si="98"/>
        <v>0</v>
      </c>
      <c r="AO201" s="7">
        <f t="shared" ca="1" si="98"/>
        <v>83927474.359999999</v>
      </c>
      <c r="AP201" s="7">
        <f t="shared" ca="1" si="98"/>
        <v>16381345540.08</v>
      </c>
      <c r="AQ201" s="7">
        <f t="shared" si="98"/>
        <v>0</v>
      </c>
      <c r="AR201" s="7">
        <f t="shared" si="98"/>
        <v>0</v>
      </c>
      <c r="AS201" s="7">
        <f t="shared" si="98"/>
        <v>0</v>
      </c>
      <c r="AT201" s="7">
        <f t="shared" si="98"/>
        <v>0</v>
      </c>
      <c r="AU201" s="7">
        <f t="shared" si="98"/>
        <v>0</v>
      </c>
      <c r="AV201" s="7">
        <f t="shared" si="98"/>
        <v>0</v>
      </c>
      <c r="AW201" s="7">
        <f t="shared" si="98"/>
        <v>0</v>
      </c>
      <c r="AX201" s="7">
        <f t="shared" si="98"/>
        <v>0</v>
      </c>
      <c r="AY201" s="7">
        <f t="shared" si="98"/>
        <v>0</v>
      </c>
      <c r="AZ201" s="7">
        <f t="shared" ca="1" si="98"/>
        <v>483055112.32999998</v>
      </c>
      <c r="BA201" s="7">
        <f t="shared" ca="1" si="98"/>
        <v>238643788.41999999</v>
      </c>
      <c r="BB201" s="7">
        <f t="shared" ca="1" si="98"/>
        <v>185999438.40000001</v>
      </c>
      <c r="BC201" s="7">
        <f t="shared" ca="1" si="98"/>
        <v>1458829949.3299999</v>
      </c>
      <c r="BD201" s="7">
        <f t="shared" si="98"/>
        <v>0</v>
      </c>
      <c r="BE201" s="7">
        <f t="shared" si="98"/>
        <v>0</v>
      </c>
      <c r="BF201" s="7">
        <f t="shared" si="98"/>
        <v>0</v>
      </c>
      <c r="BG201" s="7">
        <f t="shared" ca="1" si="98"/>
        <v>13203838.359999999</v>
      </c>
      <c r="BH201" s="7">
        <f t="shared" si="98"/>
        <v>0</v>
      </c>
      <c r="BI201" s="7">
        <f t="shared" si="98"/>
        <v>0</v>
      </c>
      <c r="BJ201" s="7">
        <f t="shared" si="98"/>
        <v>0</v>
      </c>
      <c r="BK201" s="7">
        <f t="shared" ca="1" si="98"/>
        <v>1316708450.0799999</v>
      </c>
      <c r="BL201" s="7">
        <f t="shared" si="98"/>
        <v>0</v>
      </c>
      <c r="BM201" s="7">
        <f t="shared" si="98"/>
        <v>0</v>
      </c>
      <c r="BN201" s="7">
        <f t="shared" ca="1" si="98"/>
        <v>55750003.270000003</v>
      </c>
      <c r="BO201" s="7">
        <f t="shared" ca="1" si="98"/>
        <v>17793604.329999998</v>
      </c>
      <c r="BP201" s="7">
        <f t="shared" si="98"/>
        <v>0</v>
      </c>
      <c r="BQ201" s="7">
        <f t="shared" ca="1" si="98"/>
        <v>142300255.47999999</v>
      </c>
      <c r="BR201" s="7">
        <f t="shared" ca="1" si="98"/>
        <v>90278798.890000001</v>
      </c>
      <c r="BS201" s="7">
        <f t="shared" ca="1" si="98"/>
        <v>17711830.949999999</v>
      </c>
      <c r="BT201" s="7">
        <f t="shared" si="98"/>
        <v>0</v>
      </c>
      <c r="BU201" s="7">
        <f t="shared" si="98"/>
        <v>0</v>
      </c>
      <c r="BV201" s="7">
        <f t="shared" si="98"/>
        <v>0</v>
      </c>
      <c r="BW201" s="7">
        <f t="shared" si="98"/>
        <v>0</v>
      </c>
      <c r="BX201" s="7">
        <f t="shared" si="98"/>
        <v>0</v>
      </c>
      <c r="BY201" s="7">
        <f t="shared" si="98"/>
        <v>0</v>
      </c>
      <c r="BZ201" s="7">
        <f t="shared" si="98"/>
        <v>0</v>
      </c>
      <c r="CA201" s="7">
        <f t="shared" si="98"/>
        <v>0</v>
      </c>
      <c r="CB201" s="7">
        <f t="shared" si="98"/>
        <v>0</v>
      </c>
      <c r="CC201" s="7">
        <f t="shared" si="98"/>
        <v>0</v>
      </c>
      <c r="CD201" s="7">
        <f t="shared" si="98"/>
        <v>0</v>
      </c>
      <c r="CE201" s="7">
        <f t="shared" si="98"/>
        <v>0</v>
      </c>
      <c r="CF201" s="7">
        <f t="shared" si="98"/>
        <v>0</v>
      </c>
      <c r="CG201" s="7">
        <f t="shared" si="98"/>
        <v>0</v>
      </c>
      <c r="CH201" s="7">
        <f t="shared" si="98"/>
        <v>0</v>
      </c>
      <c r="CI201" s="7">
        <f t="shared" ca="1" si="98"/>
        <v>8773934.2100000009</v>
      </c>
      <c r="CJ201" s="7">
        <f t="shared" ca="1" si="98"/>
        <v>12331736.42</v>
      </c>
      <c r="CK201" s="7">
        <f t="shared" si="98"/>
        <v>0</v>
      </c>
      <c r="CL201" s="7">
        <f t="shared" si="98"/>
        <v>0</v>
      </c>
      <c r="CM201" s="7">
        <f t="shared" ca="1" si="98"/>
        <v>9566300.4000000004</v>
      </c>
      <c r="CN201" s="7">
        <f t="shared" si="98"/>
        <v>0</v>
      </c>
      <c r="CO201" s="7">
        <f t="shared" si="98"/>
        <v>0</v>
      </c>
      <c r="CP201" s="7">
        <f t="shared" ca="1" si="98"/>
        <v>13212837.76</v>
      </c>
      <c r="CQ201" s="7">
        <f t="shared" ca="1" si="98"/>
        <v>10823853.18</v>
      </c>
      <c r="CR201" s="7">
        <f t="shared" si="98"/>
        <v>0</v>
      </c>
      <c r="CS201" s="7">
        <f t="shared" si="98"/>
        <v>0</v>
      </c>
      <c r="CT201" s="7">
        <f t="shared" si="98"/>
        <v>0</v>
      </c>
      <c r="CU201" s="7">
        <f t="shared" si="98"/>
        <v>0</v>
      </c>
      <c r="CV201" s="7">
        <f t="shared" si="98"/>
        <v>0</v>
      </c>
      <c r="CW201" s="7">
        <f t="shared" si="98"/>
        <v>0</v>
      </c>
      <c r="CX201" s="7">
        <f t="shared" ca="1" si="98"/>
        <v>5901671.6799999997</v>
      </c>
      <c r="CY201" s="7">
        <f t="shared" si="98"/>
        <v>0</v>
      </c>
      <c r="CZ201" s="7">
        <f t="shared" ca="1" si="98"/>
        <v>27953310.550000001</v>
      </c>
      <c r="DA201" s="7">
        <f t="shared" si="98"/>
        <v>0</v>
      </c>
      <c r="DB201" s="7">
        <f t="shared" si="98"/>
        <v>0</v>
      </c>
      <c r="DC201" s="7">
        <f t="shared" si="98"/>
        <v>0</v>
      </c>
      <c r="DD201" s="7">
        <f t="shared" si="98"/>
        <v>0</v>
      </c>
      <c r="DE201" s="7">
        <f t="shared" si="98"/>
        <v>0</v>
      </c>
      <c r="DF201" s="7">
        <f t="shared" ca="1" si="98"/>
        <v>1028839886.15</v>
      </c>
      <c r="DG201" s="7">
        <f t="shared" si="98"/>
        <v>0</v>
      </c>
      <c r="DH201" s="7">
        <f t="shared" ca="1" si="98"/>
        <v>27256266.579999998</v>
      </c>
      <c r="DI201" s="7">
        <f t="shared" ca="1" si="98"/>
        <v>41980212.479999997</v>
      </c>
      <c r="DJ201" s="7">
        <f t="shared" ca="1" si="98"/>
        <v>8269951.9199999999</v>
      </c>
      <c r="DK201" s="7">
        <f t="shared" si="98"/>
        <v>0</v>
      </c>
      <c r="DL201" s="7">
        <f t="shared" ca="1" si="98"/>
        <v>134816315.99000001</v>
      </c>
      <c r="DM201" s="7">
        <f t="shared" si="98"/>
        <v>0</v>
      </c>
      <c r="DN201" s="7">
        <f t="shared" ca="1" si="98"/>
        <v>19775611.190000001</v>
      </c>
      <c r="DO201" s="7">
        <f t="shared" ca="1" si="98"/>
        <v>63242370.409999996</v>
      </c>
      <c r="DP201" s="7">
        <f t="shared" si="98"/>
        <v>0</v>
      </c>
      <c r="DQ201" s="7">
        <f t="shared" si="98"/>
        <v>0</v>
      </c>
      <c r="DR201" s="7">
        <f t="shared" ca="1" si="98"/>
        <v>19990376.640000001</v>
      </c>
      <c r="DS201" s="7">
        <f t="shared" ca="1" si="98"/>
        <v>8027108.96</v>
      </c>
      <c r="DT201" s="7">
        <f t="shared" si="98"/>
        <v>0</v>
      </c>
      <c r="DU201" s="7">
        <f t="shared" si="98"/>
        <v>0</v>
      </c>
      <c r="DV201" s="7">
        <f t="shared" si="98"/>
        <v>0</v>
      </c>
      <c r="DW201" s="7">
        <f t="shared" si="98"/>
        <v>0</v>
      </c>
      <c r="DX201" s="7">
        <f t="shared" si="98"/>
        <v>0</v>
      </c>
      <c r="DY201" s="7">
        <f t="shared" si="98"/>
        <v>0</v>
      </c>
      <c r="DZ201" s="7">
        <f t="shared" si="98"/>
        <v>0</v>
      </c>
      <c r="EA201" s="7">
        <f t="shared" si="98"/>
        <v>0</v>
      </c>
      <c r="EB201" s="7">
        <f t="shared" ca="1" si="98"/>
        <v>6834110.7000000002</v>
      </c>
      <c r="EC201" s="7">
        <f t="shared" si="98"/>
        <v>0</v>
      </c>
      <c r="ED201" s="7">
        <f t="shared" si="98"/>
        <v>0</v>
      </c>
      <c r="EE201" s="7">
        <f t="shared" si="98"/>
        <v>0</v>
      </c>
      <c r="EF201" s="7">
        <f t="shared" ca="1" si="98"/>
        <v>20303630.870000001</v>
      </c>
      <c r="EG201" s="7">
        <f t="shared" si="98"/>
        <v>0</v>
      </c>
      <c r="EH201" s="7">
        <f t="shared" si="98"/>
        <v>0</v>
      </c>
      <c r="EI201" s="7">
        <f t="shared" ca="1" si="98"/>
        <v>658974967.39999998</v>
      </c>
      <c r="EJ201" s="7">
        <f t="shared" ca="1" si="98"/>
        <v>291029164.5</v>
      </c>
      <c r="EK201" s="7">
        <f t="shared" si="98"/>
        <v>0</v>
      </c>
      <c r="EL201" s="7">
        <f t="shared" ca="1" si="98"/>
        <v>5677109.5999999996</v>
      </c>
      <c r="EM201" s="7">
        <f t="shared" si="98"/>
        <v>0</v>
      </c>
      <c r="EN201" s="7">
        <f t="shared" ca="1" si="98"/>
        <v>12546269.33</v>
      </c>
      <c r="EO201" s="7">
        <f t="shared" si="98"/>
        <v>0</v>
      </c>
      <c r="EP201" s="7">
        <f t="shared" si="98"/>
        <v>0</v>
      </c>
      <c r="EQ201" s="7">
        <f t="shared" si="98"/>
        <v>0</v>
      </c>
      <c r="ER201" s="7">
        <f t="shared" si="98"/>
        <v>0</v>
      </c>
      <c r="ES201" s="7">
        <f t="shared" si="98"/>
        <v>0</v>
      </c>
      <c r="ET201" s="7">
        <f t="shared" si="98"/>
        <v>0</v>
      </c>
      <c r="EU201" s="7">
        <f t="shared" ca="1" si="98"/>
        <v>7593556.96</v>
      </c>
      <c r="EV201" s="7">
        <f t="shared" si="98"/>
        <v>0</v>
      </c>
      <c r="EW201" s="7">
        <f t="shared" si="98"/>
        <v>0</v>
      </c>
      <c r="EX201" s="7">
        <f t="shared" si="98"/>
        <v>0</v>
      </c>
      <c r="EY201" s="7">
        <f t="shared" ca="1" si="98"/>
        <v>2711873.82</v>
      </c>
      <c r="EZ201" s="7">
        <f t="shared" si="98"/>
        <v>0</v>
      </c>
      <c r="FA201" s="7">
        <f t="shared" si="98"/>
        <v>0</v>
      </c>
      <c r="FB201" s="7">
        <f t="shared" si="98"/>
        <v>0</v>
      </c>
      <c r="FC201" s="7">
        <f t="shared" si="98"/>
        <v>0</v>
      </c>
      <c r="FD201" s="7">
        <f t="shared" si="98"/>
        <v>0</v>
      </c>
      <c r="FE201" s="7">
        <f t="shared" si="98"/>
        <v>0</v>
      </c>
      <c r="FF201" s="7">
        <f t="shared" si="98"/>
        <v>0</v>
      </c>
      <c r="FG201" s="7">
        <f t="shared" si="98"/>
        <v>0</v>
      </c>
      <c r="FH201" s="7">
        <f t="shared" si="98"/>
        <v>0</v>
      </c>
      <c r="FI201" s="7">
        <f t="shared" ca="1" si="98"/>
        <v>26797359.460000001</v>
      </c>
      <c r="FJ201" s="7">
        <f t="shared" si="98"/>
        <v>0</v>
      </c>
      <c r="FK201" s="7">
        <f t="shared" ca="1" si="98"/>
        <v>42987659.18</v>
      </c>
      <c r="FL201" s="7">
        <f t="shared" si="98"/>
        <v>0</v>
      </c>
      <c r="FM201" s="7">
        <f t="shared" si="98"/>
        <v>0</v>
      </c>
      <c r="FN201" s="7">
        <f t="shared" ca="1" si="98"/>
        <v>1450463458.73</v>
      </c>
      <c r="FO201" s="7">
        <f t="shared" ca="1" si="98"/>
        <v>15917212.460000001</v>
      </c>
      <c r="FP201" s="7">
        <f t="shared" ca="1" si="98"/>
        <v>40113817.600000001</v>
      </c>
      <c r="FQ201" s="7">
        <f t="shared" si="98"/>
        <v>0</v>
      </c>
      <c r="FR201" s="7">
        <f t="shared" si="98"/>
        <v>0</v>
      </c>
      <c r="FS201" s="7">
        <f t="shared" si="98"/>
        <v>0</v>
      </c>
      <c r="FT201" s="7">
        <f t="shared" si="98"/>
        <v>0</v>
      </c>
      <c r="FU201" s="7">
        <f t="shared" ca="1" si="98"/>
        <v>11159806.65</v>
      </c>
      <c r="FV201" s="7">
        <f t="shared" ca="1" si="98"/>
        <v>9319246.1199999992</v>
      </c>
      <c r="FW201" s="7">
        <f t="shared" si="98"/>
        <v>0</v>
      </c>
      <c r="FX201" s="7">
        <f t="shared" si="98"/>
        <v>0</v>
      </c>
      <c r="FY201" s="7"/>
      <c r="FZ201" s="7">
        <f ca="1">SUM(C201:FX201)</f>
        <v>34285802492.48</v>
      </c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</row>
    <row r="202" spans="1:205" ht="15.5" x14ac:dyDescent="0.35">
      <c r="A202" s="7"/>
      <c r="B202" s="7" t="s">
        <v>952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23"/>
      <c r="FZ202" s="7"/>
      <c r="GA202" s="7"/>
      <c r="GB202" s="58"/>
      <c r="GC202" s="58"/>
      <c r="GD202" s="58"/>
      <c r="GE202" s="7"/>
      <c r="GF202" s="58"/>
      <c r="GG202" s="58"/>
      <c r="GH202" s="58"/>
      <c r="GI202" s="58"/>
      <c r="GJ202" s="7"/>
      <c r="GK202" s="7"/>
    </row>
    <row r="203" spans="1:205" ht="15.5" x14ac:dyDescent="0.35">
      <c r="A203" s="12" t="s">
        <v>684</v>
      </c>
      <c r="B203" s="7" t="s">
        <v>684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</row>
    <row r="204" spans="1:205" ht="15.5" x14ac:dyDescent="0.35">
      <c r="A204" s="12" t="s">
        <v>684</v>
      </c>
      <c r="B204" s="5" t="s">
        <v>953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23"/>
      <c r="GC204" s="23"/>
      <c r="GD204" s="23"/>
      <c r="GE204" s="7"/>
      <c r="GF204" s="7"/>
      <c r="GG204" s="7"/>
      <c r="GH204" s="7"/>
      <c r="GI204" s="7"/>
      <c r="GJ204" s="7"/>
      <c r="GK204" s="7"/>
    </row>
    <row r="205" spans="1:205" ht="15.5" x14ac:dyDescent="0.35">
      <c r="A205" s="12" t="s">
        <v>954</v>
      </c>
      <c r="B205" s="7" t="s">
        <v>955</v>
      </c>
      <c r="C205" s="7">
        <f ca="1">IFERROR(__xludf.DUMMYFUNCTION("+C53"),78280270.66)</f>
        <v>78280270.659999996</v>
      </c>
      <c r="D205" s="7">
        <f ca="1">IFERROR(__xludf.DUMMYFUNCTION("+D53"),441513334.78)</f>
        <v>441513334.77999997</v>
      </c>
      <c r="E205" s="7">
        <f ca="1">IFERROR(__xludf.DUMMYFUNCTION("+E53"),72811077.91)</f>
        <v>72811077.909999996</v>
      </c>
      <c r="F205" s="7">
        <f ca="1">IFERROR(__xludf.DUMMYFUNCTION("+F53"),263130617.96)</f>
        <v>263130617.96000001</v>
      </c>
      <c r="G205" s="7">
        <f ca="1">IFERROR(__xludf.DUMMYFUNCTION("+G53"),18268979.88)</f>
        <v>18268979.879999999</v>
      </c>
      <c r="H205" s="7">
        <f ca="1">IFERROR(__xludf.DUMMYFUNCTION("+H53"),13280033.19)</f>
        <v>13280033.189999999</v>
      </c>
      <c r="I205" s="7">
        <f ca="1">IFERROR(__xludf.DUMMYFUNCTION("+I53"),99149017.74)</f>
        <v>99149017.739999995</v>
      </c>
      <c r="J205" s="7">
        <f ca="1">IFERROR(__xludf.DUMMYFUNCTION("+J53"),24020317.79)</f>
        <v>24020317.789999999</v>
      </c>
      <c r="K205" s="7">
        <f ca="1">IFERROR(__xludf.DUMMYFUNCTION("+K53"),4376133.27)</f>
        <v>4376133.2699999996</v>
      </c>
      <c r="L205" s="7">
        <f ca="1">IFERROR(__xludf.DUMMYFUNCTION("+L53"),26180456.03)</f>
        <v>26180456.030000001</v>
      </c>
      <c r="M205" s="7">
        <f ca="1">IFERROR(__xludf.DUMMYFUNCTION("+M53"),13493657.89)</f>
        <v>13493657.890000001</v>
      </c>
      <c r="N205" s="7">
        <f ca="1">IFERROR(__xludf.DUMMYFUNCTION("+N53"),581402832.08)</f>
        <v>581402832.08000004</v>
      </c>
      <c r="O205" s="7">
        <f ca="1">IFERROR(__xludf.DUMMYFUNCTION("+O53"),143543356.31)</f>
        <v>143543356.31</v>
      </c>
      <c r="P205" s="7">
        <f ca="1">IFERROR(__xludf.DUMMYFUNCTION("+P53"),5486815.51)</f>
        <v>5486815.5099999998</v>
      </c>
      <c r="Q205" s="7">
        <f ca="1">IFERROR(__xludf.DUMMYFUNCTION("+Q53"),468203554.43)</f>
        <v>468203554.43000001</v>
      </c>
      <c r="R205" s="7">
        <f ca="1">IFERROR(__xludf.DUMMYFUNCTION("+R53"),67965527.08)</f>
        <v>67965527.079999998</v>
      </c>
      <c r="S205" s="7">
        <f ca="1">IFERROR(__xludf.DUMMYFUNCTION("+S53"),18924881.17)</f>
        <v>18924881.170000002</v>
      </c>
      <c r="T205" s="7">
        <f ca="1">IFERROR(__xludf.DUMMYFUNCTION("+T53"),3280571.47)</f>
        <v>3280571.47</v>
      </c>
      <c r="U205" s="7">
        <f ca="1">IFERROR(__xludf.DUMMYFUNCTION("+U53"),1310359.06)</f>
        <v>1310359.06</v>
      </c>
      <c r="V205" s="7">
        <f ca="1">IFERROR(__xludf.DUMMYFUNCTION("+V53"),4233931.06)</f>
        <v>4233931.0599999996</v>
      </c>
      <c r="W205" s="7">
        <f ca="1">IFERROR(__xludf.DUMMYFUNCTION("+W53"),3688375.04)</f>
        <v>3688375.04</v>
      </c>
      <c r="X205" s="7">
        <f ca="1">IFERROR(__xludf.DUMMYFUNCTION("+X53"),1219109.24)</f>
        <v>1219109.24</v>
      </c>
      <c r="Y205" s="7">
        <f ca="1">IFERROR(__xludf.DUMMYFUNCTION("+Y53"),11502733.69)</f>
        <v>11502733.689999999</v>
      </c>
      <c r="Z205" s="7">
        <f ca="1">IFERROR(__xludf.DUMMYFUNCTION("+Z53"),3811891.54)</f>
        <v>3811891.54</v>
      </c>
      <c r="AA205" s="7">
        <f ca="1">IFERROR(__xludf.DUMMYFUNCTION("+AA53"),344043292.08)</f>
        <v>344043292.07999998</v>
      </c>
      <c r="AB205" s="7">
        <f ca="1">IFERROR(__xludf.DUMMYFUNCTION("+AB53"),307281236.79)</f>
        <v>307281236.79000002</v>
      </c>
      <c r="AC205" s="7">
        <f ca="1">IFERROR(__xludf.DUMMYFUNCTION("+AC53"),11287823.91)</f>
        <v>11287823.91</v>
      </c>
      <c r="AD205" s="7">
        <f ca="1">IFERROR(__xludf.DUMMYFUNCTION("+AD53"),15912790.71)</f>
        <v>15912790.710000001</v>
      </c>
      <c r="AE205" s="7">
        <f ca="1">IFERROR(__xludf.DUMMYFUNCTION("+AE53"),2102521.44)</f>
        <v>2102521.44</v>
      </c>
      <c r="AF205" s="7">
        <f ca="1">IFERROR(__xludf.DUMMYFUNCTION("+AF53"),3417701.57)</f>
        <v>3417701.57</v>
      </c>
      <c r="AG205" s="7">
        <f ca="1">IFERROR(__xludf.DUMMYFUNCTION("+AG53"),7967358)</f>
        <v>7967358</v>
      </c>
      <c r="AH205" s="7">
        <f ca="1">IFERROR(__xludf.DUMMYFUNCTION("+AH53"),11672985.89)</f>
        <v>11672985.890000001</v>
      </c>
      <c r="AI205" s="7">
        <f ca="1">IFERROR(__xludf.DUMMYFUNCTION("+AI53"),5504284.83)</f>
        <v>5504284.8300000001</v>
      </c>
      <c r="AJ205" s="7">
        <f ca="1">IFERROR(__xludf.DUMMYFUNCTION("+AJ53"),3421162.94)</f>
        <v>3421162.94</v>
      </c>
      <c r="AK205" s="7">
        <f ca="1">IFERROR(__xludf.DUMMYFUNCTION("+AK53"),3437264.26)</f>
        <v>3437264.26</v>
      </c>
      <c r="AL205" s="7">
        <f ca="1">IFERROR(__xludf.DUMMYFUNCTION("+AL53"),4531542.67)</f>
        <v>4531542.67</v>
      </c>
      <c r="AM205" s="7">
        <f ca="1">IFERROR(__xludf.DUMMYFUNCTION("+AM53"),5326794.29)</f>
        <v>5326794.29</v>
      </c>
      <c r="AN205" s="7">
        <f ca="1">IFERROR(__xludf.DUMMYFUNCTION("+AN53"),4853828.37)</f>
        <v>4853828.37</v>
      </c>
      <c r="AO205" s="7">
        <f ca="1">IFERROR(__xludf.DUMMYFUNCTION("+AO53"),49181610.97)</f>
        <v>49181610.969999999</v>
      </c>
      <c r="AP205" s="7">
        <f ca="1">IFERROR(__xludf.DUMMYFUNCTION("+AP53"),984476347.71)</f>
        <v>984476347.71000004</v>
      </c>
      <c r="AQ205" s="7">
        <f ca="1">IFERROR(__xludf.DUMMYFUNCTION("+AQ53"),4254035.19)</f>
        <v>4254035.1900000004</v>
      </c>
      <c r="AR205" s="7">
        <f ca="1">IFERROR(__xludf.DUMMYFUNCTION("+AR53"),688335848.29)</f>
        <v>688335848.28999996</v>
      </c>
      <c r="AS205" s="7">
        <f ca="1">IFERROR(__xludf.DUMMYFUNCTION("+AS53"),78787121.94)</f>
        <v>78787121.939999998</v>
      </c>
      <c r="AT205" s="7">
        <f ca="1">IFERROR(__xludf.DUMMYFUNCTION("+AT53"),29995630.32)</f>
        <v>29995630.32</v>
      </c>
      <c r="AU205" s="7">
        <f ca="1">IFERROR(__xludf.DUMMYFUNCTION("+AU53"),4940563.06)</f>
        <v>4940563.0599999996</v>
      </c>
      <c r="AV205" s="7">
        <f ca="1">IFERROR(__xludf.DUMMYFUNCTION("+AV53"),5000518.68)</f>
        <v>5000518.68</v>
      </c>
      <c r="AW205" s="7">
        <f ca="1">IFERROR(__xludf.DUMMYFUNCTION("+AW53"),4415981.21)</f>
        <v>4415981.21</v>
      </c>
      <c r="AX205" s="7">
        <f ca="1">IFERROR(__xludf.DUMMYFUNCTION("+AX53"),1697596.48)</f>
        <v>1697596.48</v>
      </c>
      <c r="AY205" s="7">
        <f ca="1">IFERROR(__xludf.DUMMYFUNCTION("+AY53"),6058557.23)</f>
        <v>6058557.2300000004</v>
      </c>
      <c r="AZ205" s="7">
        <f ca="1">IFERROR(__xludf.DUMMYFUNCTION("+AZ53"),142156367.77)</f>
        <v>142156367.77000001</v>
      </c>
      <c r="BA205" s="7">
        <f ca="1">IFERROR(__xludf.DUMMYFUNCTION("+BA53"),99155079.23)</f>
        <v>99155079.230000004</v>
      </c>
      <c r="BB205" s="7">
        <f ca="1">IFERROR(__xludf.DUMMYFUNCTION("+BB53"),82432730.72)</f>
        <v>82432730.719999999</v>
      </c>
      <c r="BC205" s="7">
        <f ca="1">IFERROR(__xludf.DUMMYFUNCTION("+BC53"),290262662.54)</f>
        <v>290262662.54000002</v>
      </c>
      <c r="BD205" s="7">
        <f ca="1">IFERROR(__xludf.DUMMYFUNCTION("+BD53"),39221665.8)</f>
        <v>39221665.799999997</v>
      </c>
      <c r="BE205" s="7">
        <f ca="1">IFERROR(__xludf.DUMMYFUNCTION("+BE53"),14653499.36)</f>
        <v>14653499.359999999</v>
      </c>
      <c r="BF205" s="7">
        <f ca="1">IFERROR(__xludf.DUMMYFUNCTION("+BF53"),276304553.99)</f>
        <v>276304553.99000001</v>
      </c>
      <c r="BG205" s="7">
        <f ca="1">IFERROR(__xludf.DUMMYFUNCTION("+BG53"),11571564.07)</f>
        <v>11571564.07</v>
      </c>
      <c r="BH205" s="7">
        <f ca="1">IFERROR(__xludf.DUMMYFUNCTION("+BH53"),7661196.27)</f>
        <v>7661196.2699999996</v>
      </c>
      <c r="BI205" s="7">
        <f ca="1">IFERROR(__xludf.DUMMYFUNCTION("+BI53"),4534185.93)</f>
        <v>4534185.93</v>
      </c>
      <c r="BJ205" s="7">
        <f ca="1">IFERROR(__xludf.DUMMYFUNCTION("+BJ53"),67995494.64)</f>
        <v>67995494.640000001</v>
      </c>
      <c r="BK205" s="7">
        <f ca="1">IFERROR(__xludf.DUMMYFUNCTION("+BK53"),337189436.94)</f>
        <v>337189436.94</v>
      </c>
      <c r="BL205" s="7">
        <f ca="1">IFERROR(__xludf.DUMMYFUNCTION("+BL53"),2201677.97)</f>
        <v>2201677.9700000002</v>
      </c>
      <c r="BM205" s="7">
        <f ca="1">IFERROR(__xludf.DUMMYFUNCTION("+BM53"),5933143.35)</f>
        <v>5933143.3499999996</v>
      </c>
      <c r="BN205" s="7">
        <f ca="1">IFERROR(__xludf.DUMMYFUNCTION("+BN53"),35417030.71)</f>
        <v>35417030.710000001</v>
      </c>
      <c r="BO205" s="7">
        <f ca="1">IFERROR(__xludf.DUMMYFUNCTION("+BO53"),14738253.41)</f>
        <v>14738253.41</v>
      </c>
      <c r="BP205" s="7">
        <f ca="1">IFERROR(__xludf.DUMMYFUNCTION("+BP53"),3427045.16)</f>
        <v>3427045.16</v>
      </c>
      <c r="BQ205" s="7">
        <f ca="1">IFERROR(__xludf.DUMMYFUNCTION("+BQ53"),72689800.59)</f>
        <v>72689800.590000004</v>
      </c>
      <c r="BR205" s="7">
        <f ca="1">IFERROR(__xludf.DUMMYFUNCTION("+BR53"),49902027.48)</f>
        <v>49902027.479999997</v>
      </c>
      <c r="BS205" s="7">
        <f ca="1">IFERROR(__xludf.DUMMYFUNCTION("+BS53"),14128786.94)</f>
        <v>14128786.939999999</v>
      </c>
      <c r="BT205" s="7">
        <f ca="1">IFERROR(__xludf.DUMMYFUNCTION("+BT53"),5768967.64)</f>
        <v>5768967.6399999997</v>
      </c>
      <c r="BU205" s="7">
        <f ca="1">IFERROR(__xludf.DUMMYFUNCTION("+BU53"),6049478.08)</f>
        <v>6049478.0800000001</v>
      </c>
      <c r="BV205" s="7">
        <f ca="1">IFERROR(__xludf.DUMMYFUNCTION("+BV53"),14351929.45)</f>
        <v>14351929.449999999</v>
      </c>
      <c r="BW205" s="7">
        <f ca="1">IFERROR(__xludf.DUMMYFUNCTION("+BW53"),22872366.5)</f>
        <v>22872366.5</v>
      </c>
      <c r="BX205" s="7">
        <f ca="1">IFERROR(__xludf.DUMMYFUNCTION("+BX53"),1793810.78)</f>
        <v>1793810.78</v>
      </c>
      <c r="BY205" s="7">
        <f ca="1">IFERROR(__xludf.DUMMYFUNCTION("+BY53"),5897243.55)</f>
        <v>5897243.5499999998</v>
      </c>
      <c r="BZ205" s="7">
        <f ca="1">IFERROR(__xludf.DUMMYFUNCTION("+BZ53"),3670222.23)</f>
        <v>3670222.23</v>
      </c>
      <c r="CA205" s="7">
        <f ca="1">IFERROR(__xludf.DUMMYFUNCTION("+CA53"),3155462.16)</f>
        <v>3155462.16</v>
      </c>
      <c r="CB205" s="7">
        <f ca="1">IFERROR(__xludf.DUMMYFUNCTION("+CB53"),825753541.16)</f>
        <v>825753541.15999997</v>
      </c>
      <c r="CC205" s="7">
        <f ca="1">IFERROR(__xludf.DUMMYFUNCTION("+CC53"),3503040.55)</f>
        <v>3503040.55</v>
      </c>
      <c r="CD205" s="7">
        <f ca="1">IFERROR(__xludf.DUMMYFUNCTION("+CD53"),3475014.13)</f>
        <v>3475014.13</v>
      </c>
      <c r="CE205" s="7">
        <f ca="1">IFERROR(__xludf.DUMMYFUNCTION("+CE53"),3031667.9)</f>
        <v>3031667.9</v>
      </c>
      <c r="CF205" s="7">
        <f ca="1">IFERROR(__xludf.DUMMYFUNCTION("+CF53"),2337551.13)</f>
        <v>2337551.13</v>
      </c>
      <c r="CG205" s="7">
        <f ca="1">IFERROR(__xludf.DUMMYFUNCTION("+CG53"),3663065.84)</f>
        <v>3663065.84</v>
      </c>
      <c r="CH205" s="7">
        <f ca="1">IFERROR(__xludf.DUMMYFUNCTION("+CH53"),2312645.78)</f>
        <v>2312645.7799999998</v>
      </c>
      <c r="CI205" s="7">
        <f ca="1">IFERROR(__xludf.DUMMYFUNCTION("+CI53"),8594395.47)</f>
        <v>8594395.4700000007</v>
      </c>
      <c r="CJ205" s="7">
        <f ca="1">IFERROR(__xludf.DUMMYFUNCTION("+CJ53"),11370701.36)</f>
        <v>11370701.359999999</v>
      </c>
      <c r="CK205" s="7">
        <f ca="1">IFERROR(__xludf.DUMMYFUNCTION("+CK53"),64493594.61)</f>
        <v>64493594.609999999</v>
      </c>
      <c r="CL205" s="7">
        <f ca="1">IFERROR(__xludf.DUMMYFUNCTION("+CL53"),15439886.31)</f>
        <v>15439886.310000001</v>
      </c>
      <c r="CM205" s="7">
        <f ca="1">IFERROR(__xludf.DUMMYFUNCTION("+CM53"),9715933.37)</f>
        <v>9715933.3699999992</v>
      </c>
      <c r="CN205" s="7">
        <f ca="1">IFERROR(__xludf.DUMMYFUNCTION("+CN53"),351056724.09)</f>
        <v>351056724.08999997</v>
      </c>
      <c r="CO205" s="7">
        <f ca="1">IFERROR(__xludf.DUMMYFUNCTION("+CO53"),156849964.21)</f>
        <v>156849964.21000001</v>
      </c>
      <c r="CP205" s="7">
        <f ca="1">IFERROR(__xludf.DUMMYFUNCTION("+CP53"),12350467.81)</f>
        <v>12350467.810000001</v>
      </c>
      <c r="CQ205" s="7">
        <f ca="1">IFERROR(__xludf.DUMMYFUNCTION("+CQ53"),10314109.21)</f>
        <v>10314109.210000001</v>
      </c>
      <c r="CR205" s="7">
        <f ca="1">IFERROR(__xludf.DUMMYFUNCTION("+CR53"),4056706.95)</f>
        <v>4056706.95</v>
      </c>
      <c r="CS205" s="7">
        <f ca="1">IFERROR(__xludf.DUMMYFUNCTION("+CS53"),4594320.78)</f>
        <v>4594320.78</v>
      </c>
      <c r="CT205" s="7">
        <f ca="1">IFERROR(__xludf.DUMMYFUNCTION("+CT53"),2341807.96)</f>
        <v>2341807.96</v>
      </c>
      <c r="CU205" s="7">
        <f ca="1">IFERROR(__xludf.DUMMYFUNCTION("+CU53"),4687694.54)</f>
        <v>4687694.54</v>
      </c>
      <c r="CV205" s="7">
        <f ca="1">IFERROR(__xludf.DUMMYFUNCTION("+CV53"),1148275.01)</f>
        <v>1148275.01</v>
      </c>
      <c r="CW205" s="7">
        <f ca="1">IFERROR(__xludf.DUMMYFUNCTION("+CW53"),3787358.23)</f>
        <v>3787358.23</v>
      </c>
      <c r="CX205" s="7">
        <f ca="1">IFERROR(__xludf.DUMMYFUNCTION("+CX53"),6036047.88)</f>
        <v>6036047.8799999999</v>
      </c>
      <c r="CY205" s="7">
        <f ca="1">IFERROR(__xludf.DUMMYFUNCTION("+CY53"),1239684.9)</f>
        <v>1239684.8999999999</v>
      </c>
      <c r="CZ205" s="7">
        <f ca="1">IFERROR(__xludf.DUMMYFUNCTION("+CZ53"),21057356.12)</f>
        <v>21057356.120000001</v>
      </c>
      <c r="DA205" s="7">
        <f ca="1">IFERROR(__xludf.DUMMYFUNCTION("+DA53"),3612368.75)</f>
        <v>3612368.75</v>
      </c>
      <c r="DB205" s="7">
        <f ca="1">IFERROR(__xludf.DUMMYFUNCTION("+DB53"),4839800.64)</f>
        <v>4839800.6399999997</v>
      </c>
      <c r="DC205" s="7">
        <f ca="1">IFERROR(__xludf.DUMMYFUNCTION("+DC53"),3462885.21)</f>
        <v>3462885.21</v>
      </c>
      <c r="DD205" s="7">
        <f ca="1">IFERROR(__xludf.DUMMYFUNCTION("+DD53"),3271844.17)</f>
        <v>3271844.17</v>
      </c>
      <c r="DE205" s="7">
        <f ca="1">IFERROR(__xludf.DUMMYFUNCTION("+DE53"),4618149.77)</f>
        <v>4618149.7699999996</v>
      </c>
      <c r="DF205" s="7">
        <f ca="1">IFERROR(__xludf.DUMMYFUNCTION("+DF53"),227288961.69)</f>
        <v>227288961.69</v>
      </c>
      <c r="DG205" s="7">
        <f ca="1">IFERROR(__xludf.DUMMYFUNCTION("+DG53"),2423573.89)</f>
        <v>2423573.89</v>
      </c>
      <c r="DH205" s="7">
        <f ca="1">IFERROR(__xludf.DUMMYFUNCTION("+DH53"),20886839.41)</f>
        <v>20886839.41</v>
      </c>
      <c r="DI205" s="7">
        <f ca="1">IFERROR(__xludf.DUMMYFUNCTION("+DI53"),27709961.46)</f>
        <v>27709961.460000001</v>
      </c>
      <c r="DJ205" s="7">
        <f ca="1">IFERROR(__xludf.DUMMYFUNCTION("+DJ53"),8149616.66)</f>
        <v>8149616.6600000001</v>
      </c>
      <c r="DK205" s="7">
        <f ca="1">IFERROR(__xludf.DUMMYFUNCTION("+DK53"),6532518.4)</f>
        <v>6532518.4000000004</v>
      </c>
      <c r="DL205" s="7">
        <f ca="1">IFERROR(__xludf.DUMMYFUNCTION("+DL53"),66129697.74)</f>
        <v>66129697.740000002</v>
      </c>
      <c r="DM205" s="7">
        <f ca="1">IFERROR(__xludf.DUMMYFUNCTION("+DM53"),4324956.21)</f>
        <v>4324956.21</v>
      </c>
      <c r="DN205" s="7">
        <f ca="1">IFERROR(__xludf.DUMMYFUNCTION("+DN53"),16054629.26)</f>
        <v>16054629.26</v>
      </c>
      <c r="DO205" s="7">
        <f ca="1">IFERROR(__xludf.DUMMYFUNCTION("+DO53"),37791858.01)</f>
        <v>37791858.009999998</v>
      </c>
      <c r="DP205" s="7">
        <f ca="1">IFERROR(__xludf.DUMMYFUNCTION("+DP53"),3823507.1)</f>
        <v>3823507.1</v>
      </c>
      <c r="DQ205" s="7">
        <f ca="1">IFERROR(__xludf.DUMMYFUNCTION("+DQ53"),10302616.72)</f>
        <v>10302616.720000001</v>
      </c>
      <c r="DR205" s="7">
        <f ca="1">IFERROR(__xludf.DUMMYFUNCTION("+DR53"),16267957.55)</f>
        <v>16267957.550000001</v>
      </c>
      <c r="DS205" s="7">
        <f ca="1">IFERROR(__xludf.DUMMYFUNCTION("+DS53"),8493099.74)</f>
        <v>8493099.7400000002</v>
      </c>
      <c r="DT205" s="7">
        <f ca="1">IFERROR(__xludf.DUMMYFUNCTION("+DT53"),3605217.69)</f>
        <v>3605217.69</v>
      </c>
      <c r="DU205" s="7">
        <f ca="1">IFERROR(__xludf.DUMMYFUNCTION("+DU53"),5250957.58)</f>
        <v>5250957.58</v>
      </c>
      <c r="DV205" s="7">
        <f ca="1">IFERROR(__xludf.DUMMYFUNCTION("+DV53"),3878489.81)</f>
        <v>3878489.81</v>
      </c>
      <c r="DW205" s="7">
        <f ca="1">IFERROR(__xludf.DUMMYFUNCTION("+DW53"),4751412.07)</f>
        <v>4751412.07</v>
      </c>
      <c r="DX205" s="7">
        <f ca="1">IFERROR(__xludf.DUMMYFUNCTION("+DX53"),3671409.73)</f>
        <v>3671409.73</v>
      </c>
      <c r="DY205" s="7">
        <f ca="1">IFERROR(__xludf.DUMMYFUNCTION("+DY53"),5085104.34)</f>
        <v>5085104.34</v>
      </c>
      <c r="DZ205" s="7">
        <f ca="1">IFERROR(__xludf.DUMMYFUNCTION("+DZ53"),9347377.23)</f>
        <v>9347377.2300000004</v>
      </c>
      <c r="EA205" s="7">
        <f ca="1">IFERROR(__xludf.DUMMYFUNCTION("+EA53"),7100248.33)</f>
        <v>7100248.3300000001</v>
      </c>
      <c r="EB205" s="7">
        <f ca="1">IFERROR(__xludf.DUMMYFUNCTION("+EB53"),7337063.96)</f>
        <v>7337063.96</v>
      </c>
      <c r="EC205" s="7">
        <f ca="1">IFERROR(__xludf.DUMMYFUNCTION("+EC53"),4337598.04)</f>
        <v>4337598.04</v>
      </c>
      <c r="ED205" s="7">
        <f ca="1">IFERROR(__xludf.DUMMYFUNCTION("+ED53"),23147062.68)</f>
        <v>23147062.68</v>
      </c>
      <c r="EE205" s="7">
        <f ca="1">IFERROR(__xludf.DUMMYFUNCTION("+EE53"),3588701.8)</f>
        <v>3588701.8</v>
      </c>
      <c r="EF205" s="7">
        <f ca="1">IFERROR(__xludf.DUMMYFUNCTION("+EF53"),16640420.61)</f>
        <v>16640420.609999999</v>
      </c>
      <c r="EG205" s="7">
        <f ca="1">IFERROR(__xludf.DUMMYFUNCTION("+EG53"),4049993.17)</f>
        <v>4049993.17</v>
      </c>
      <c r="EH205" s="7">
        <f ca="1">IFERROR(__xludf.DUMMYFUNCTION("+EH53"),4055923.04)</f>
        <v>4055923.04</v>
      </c>
      <c r="EI205" s="7">
        <f ca="1">IFERROR(__xludf.DUMMYFUNCTION("+EI53"),164608124.29)</f>
        <v>164608124.28999999</v>
      </c>
      <c r="EJ205" s="7">
        <f ca="1">IFERROR(__xludf.DUMMYFUNCTION("+EJ53"),110814645.64)</f>
        <v>110814645.64</v>
      </c>
      <c r="EK205" s="7">
        <f ca="1">IFERROR(__xludf.DUMMYFUNCTION("+EK53"),8358286.37)</f>
        <v>8358286.3700000001</v>
      </c>
      <c r="EL205" s="7">
        <f ca="1">IFERROR(__xludf.DUMMYFUNCTION("+EL53"),5973275.95)</f>
        <v>5973275.9500000002</v>
      </c>
      <c r="EM205" s="7">
        <f ca="1">IFERROR(__xludf.DUMMYFUNCTION("+EM53"),5539638.62)</f>
        <v>5539638.6200000001</v>
      </c>
      <c r="EN205" s="7">
        <f ca="1">IFERROR(__xludf.DUMMYFUNCTION("+EN53"),11951057.87)</f>
        <v>11951057.869999999</v>
      </c>
      <c r="EO205" s="7">
        <f ca="1">IFERROR(__xludf.DUMMYFUNCTION("+EO53"),4720810.3)</f>
        <v>4720810.3</v>
      </c>
      <c r="EP205" s="7">
        <f ca="1">IFERROR(__xludf.DUMMYFUNCTION("+EP53"),6002523.32)</f>
        <v>6002523.3200000003</v>
      </c>
      <c r="EQ205" s="7">
        <f ca="1">IFERROR(__xludf.DUMMYFUNCTION("+EQ53"),30565460.55)</f>
        <v>30565460.550000001</v>
      </c>
      <c r="ER205" s="7">
        <f ca="1">IFERROR(__xludf.DUMMYFUNCTION("+ER53"),5084806.14)</f>
        <v>5084806.1399999997</v>
      </c>
      <c r="ES205" s="7">
        <f ca="1">IFERROR(__xludf.DUMMYFUNCTION("+ES53"),3508977.85)</f>
        <v>3508977.85</v>
      </c>
      <c r="ET205" s="7">
        <f ca="1">IFERROR(__xludf.DUMMYFUNCTION("+ET53"),4095070.51)</f>
        <v>4095070.51</v>
      </c>
      <c r="EU205" s="7">
        <f ca="1">IFERROR(__xludf.DUMMYFUNCTION("+EU53"),7749917.62)</f>
        <v>7749917.6200000001</v>
      </c>
      <c r="EV205" s="7">
        <f ca="1">IFERROR(__xludf.DUMMYFUNCTION("+EV53"),1928227.33)</f>
        <v>1928227.33</v>
      </c>
      <c r="EW205" s="7">
        <f ca="1">IFERROR(__xludf.DUMMYFUNCTION("+EW53"),13218618.97)</f>
        <v>13218618.970000001</v>
      </c>
      <c r="EX205" s="7">
        <f ca="1">IFERROR(__xludf.DUMMYFUNCTION("+EX53"),3623072.51)</f>
        <v>3623072.51</v>
      </c>
      <c r="EY205" s="7">
        <f ca="1">IFERROR(__xludf.DUMMYFUNCTION("+EY53"),8997897.12)</f>
        <v>8997897.1199999992</v>
      </c>
      <c r="EZ205" s="7">
        <f ca="1">IFERROR(__xludf.DUMMYFUNCTION("+EZ53"),2751725.07)</f>
        <v>2751725.07</v>
      </c>
      <c r="FA205" s="7">
        <f ca="1">IFERROR(__xludf.DUMMYFUNCTION("+FA53"),42110223.62)</f>
        <v>42110223.619999997</v>
      </c>
      <c r="FB205" s="7">
        <f ca="1">IFERROR(__xludf.DUMMYFUNCTION("+FB53"),4735112.44)</f>
        <v>4735112.4400000004</v>
      </c>
      <c r="FC205" s="7">
        <f ca="1">IFERROR(__xludf.DUMMYFUNCTION("+FC53"),22078486.78)</f>
        <v>22078486.780000001</v>
      </c>
      <c r="FD205" s="7">
        <f ca="1">IFERROR(__xludf.DUMMYFUNCTION("+FD53"),5671783.54)</f>
        <v>5671783.54</v>
      </c>
      <c r="FE205" s="7">
        <f ca="1">IFERROR(__xludf.DUMMYFUNCTION("+FE53"),2003245.54)</f>
        <v>2003245.54</v>
      </c>
      <c r="FF205" s="7">
        <f ca="1">IFERROR(__xludf.DUMMYFUNCTION("+FF53"),3739006.87)</f>
        <v>3739006.87</v>
      </c>
      <c r="FG205" s="7">
        <f ca="1">IFERROR(__xludf.DUMMYFUNCTION("+FG53"),2791667.9)</f>
        <v>2791667.9</v>
      </c>
      <c r="FH205" s="7">
        <f ca="1">IFERROR(__xludf.DUMMYFUNCTION("+FH53"),1687641.15)</f>
        <v>1687641.15</v>
      </c>
      <c r="FI205" s="7">
        <f ca="1">IFERROR(__xludf.DUMMYFUNCTION("+FI53"),20073193.17)</f>
        <v>20073193.170000002</v>
      </c>
      <c r="FJ205" s="7">
        <f ca="1">IFERROR(__xludf.DUMMYFUNCTION("+FJ53"),22454241.26)</f>
        <v>22454241.260000002</v>
      </c>
      <c r="FK205" s="7">
        <f ca="1">IFERROR(__xludf.DUMMYFUNCTION("+FK53"),29197638.19)</f>
        <v>29197638.190000001</v>
      </c>
      <c r="FL205" s="7">
        <f ca="1">IFERROR(__xludf.DUMMYFUNCTION("+FL53"),89506028.04)</f>
        <v>89506028.040000007</v>
      </c>
      <c r="FM205" s="7">
        <f ca="1">IFERROR(__xludf.DUMMYFUNCTION("+FM53"),42621303.26)</f>
        <v>42621303.259999998</v>
      </c>
      <c r="FN205" s="7">
        <f ca="1">IFERROR(__xludf.DUMMYFUNCTION("+FN53"),254076077.58)</f>
        <v>254076077.58000001</v>
      </c>
      <c r="FO205" s="7">
        <f ca="1">IFERROR(__xludf.DUMMYFUNCTION("+FO53"),12923250.27)</f>
        <v>12923250.27</v>
      </c>
      <c r="FP205" s="7">
        <f ca="1">IFERROR(__xludf.DUMMYFUNCTION("+FP53"),26423778.79)</f>
        <v>26423778.789999999</v>
      </c>
      <c r="FQ205" s="7">
        <f ca="1">IFERROR(__xludf.DUMMYFUNCTION("+FQ53"),11931842.02)</f>
        <v>11931842.02</v>
      </c>
      <c r="FR205" s="7">
        <f ca="1">IFERROR(__xludf.DUMMYFUNCTION("+FR53"),3384089.51)</f>
        <v>3384089.51</v>
      </c>
      <c r="FS205" s="7">
        <f ca="1">IFERROR(__xludf.DUMMYFUNCTION("+FS53"),3457705.04)</f>
        <v>3457705.04</v>
      </c>
      <c r="FT205" s="7">
        <f ca="1">IFERROR(__xludf.DUMMYFUNCTION("+FT53"),1530952.34)</f>
        <v>1530952.34</v>
      </c>
      <c r="FU205" s="7">
        <f ca="1">IFERROR(__xludf.DUMMYFUNCTION("+FU53"),10796310.34)</f>
        <v>10796310.34</v>
      </c>
      <c r="FV205" s="7">
        <f ca="1">IFERROR(__xludf.DUMMYFUNCTION("+FV53"),9901858.91)</f>
        <v>9901858.9100000001</v>
      </c>
      <c r="FW205" s="7">
        <f ca="1">IFERROR(__xludf.DUMMYFUNCTION("+FW53"),3307351.27)</f>
        <v>3307351.27</v>
      </c>
      <c r="FX205" s="7">
        <f ca="1">IFERROR(__xludf.DUMMYFUNCTION("+FX53"),1506941.06)</f>
        <v>1506941.06</v>
      </c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</row>
    <row r="206" spans="1:205" ht="15.5" x14ac:dyDescent="0.35">
      <c r="A206" s="12" t="s">
        <v>956</v>
      </c>
      <c r="B206" s="7" t="s">
        <v>957</v>
      </c>
      <c r="C206" s="65">
        <f t="shared" ref="C206:FX206" si="99">C67</f>
        <v>2.3E-2</v>
      </c>
      <c r="D206" s="65">
        <f t="shared" si="99"/>
        <v>2.3E-2</v>
      </c>
      <c r="E206" s="65">
        <f t="shared" si="99"/>
        <v>2.3E-2</v>
      </c>
      <c r="F206" s="65">
        <f t="shared" si="99"/>
        <v>2.3E-2</v>
      </c>
      <c r="G206" s="65">
        <f t="shared" si="99"/>
        <v>2.3E-2</v>
      </c>
      <c r="H206" s="65">
        <f t="shared" si="99"/>
        <v>2.3E-2</v>
      </c>
      <c r="I206" s="65">
        <f t="shared" si="99"/>
        <v>2.3E-2</v>
      </c>
      <c r="J206" s="65">
        <f t="shared" si="99"/>
        <v>2.3E-2</v>
      </c>
      <c r="K206" s="65">
        <f t="shared" si="99"/>
        <v>2.3E-2</v>
      </c>
      <c r="L206" s="65">
        <f t="shared" si="99"/>
        <v>2.3E-2</v>
      </c>
      <c r="M206" s="65">
        <f t="shared" si="99"/>
        <v>2.3E-2</v>
      </c>
      <c r="N206" s="65">
        <f t="shared" si="99"/>
        <v>2.3E-2</v>
      </c>
      <c r="O206" s="65">
        <f t="shared" si="99"/>
        <v>2.3E-2</v>
      </c>
      <c r="P206" s="65">
        <f t="shared" si="99"/>
        <v>2.3E-2</v>
      </c>
      <c r="Q206" s="65">
        <f t="shared" si="99"/>
        <v>2.3E-2</v>
      </c>
      <c r="R206" s="65">
        <f t="shared" si="99"/>
        <v>2.3E-2</v>
      </c>
      <c r="S206" s="65">
        <f t="shared" si="99"/>
        <v>2.3E-2</v>
      </c>
      <c r="T206" s="65">
        <f t="shared" si="99"/>
        <v>2.3E-2</v>
      </c>
      <c r="U206" s="65">
        <f t="shared" si="99"/>
        <v>2.3E-2</v>
      </c>
      <c r="V206" s="65">
        <f t="shared" si="99"/>
        <v>2.3E-2</v>
      </c>
      <c r="W206" s="65">
        <f t="shared" si="99"/>
        <v>2.3E-2</v>
      </c>
      <c r="X206" s="65">
        <f t="shared" si="99"/>
        <v>2.3E-2</v>
      </c>
      <c r="Y206" s="65">
        <f t="shared" si="99"/>
        <v>2.3E-2</v>
      </c>
      <c r="Z206" s="65">
        <f t="shared" si="99"/>
        <v>2.3E-2</v>
      </c>
      <c r="AA206" s="65">
        <f t="shared" si="99"/>
        <v>2.3E-2</v>
      </c>
      <c r="AB206" s="65">
        <f t="shared" si="99"/>
        <v>2.3E-2</v>
      </c>
      <c r="AC206" s="65">
        <f t="shared" si="99"/>
        <v>2.3E-2</v>
      </c>
      <c r="AD206" s="65">
        <f t="shared" si="99"/>
        <v>2.3E-2</v>
      </c>
      <c r="AE206" s="65">
        <f t="shared" si="99"/>
        <v>2.3E-2</v>
      </c>
      <c r="AF206" s="65">
        <f t="shared" si="99"/>
        <v>2.3E-2</v>
      </c>
      <c r="AG206" s="65">
        <f t="shared" si="99"/>
        <v>2.3E-2</v>
      </c>
      <c r="AH206" s="65">
        <f t="shared" si="99"/>
        <v>2.3E-2</v>
      </c>
      <c r="AI206" s="65">
        <f t="shared" si="99"/>
        <v>2.3E-2</v>
      </c>
      <c r="AJ206" s="65">
        <f t="shared" si="99"/>
        <v>2.3E-2</v>
      </c>
      <c r="AK206" s="65">
        <f t="shared" si="99"/>
        <v>2.3E-2</v>
      </c>
      <c r="AL206" s="65">
        <f t="shared" si="99"/>
        <v>2.3E-2</v>
      </c>
      <c r="AM206" s="65">
        <f t="shared" si="99"/>
        <v>2.3E-2</v>
      </c>
      <c r="AN206" s="65">
        <f t="shared" si="99"/>
        <v>2.3E-2</v>
      </c>
      <c r="AO206" s="65">
        <f t="shared" si="99"/>
        <v>2.3E-2</v>
      </c>
      <c r="AP206" s="65">
        <f t="shared" si="99"/>
        <v>2.3E-2</v>
      </c>
      <c r="AQ206" s="65">
        <f t="shared" si="99"/>
        <v>2.3E-2</v>
      </c>
      <c r="AR206" s="65">
        <f t="shared" si="99"/>
        <v>2.3E-2</v>
      </c>
      <c r="AS206" s="65">
        <f t="shared" si="99"/>
        <v>2.3E-2</v>
      </c>
      <c r="AT206" s="65">
        <f t="shared" si="99"/>
        <v>2.3E-2</v>
      </c>
      <c r="AU206" s="65">
        <f t="shared" si="99"/>
        <v>2.3E-2</v>
      </c>
      <c r="AV206" s="65">
        <f t="shared" si="99"/>
        <v>2.3E-2</v>
      </c>
      <c r="AW206" s="65">
        <f t="shared" si="99"/>
        <v>2.3E-2</v>
      </c>
      <c r="AX206" s="65">
        <f t="shared" si="99"/>
        <v>2.3E-2</v>
      </c>
      <c r="AY206" s="65">
        <f t="shared" si="99"/>
        <v>2.3E-2</v>
      </c>
      <c r="AZ206" s="109">
        <f t="shared" si="99"/>
        <v>2.3E-2</v>
      </c>
      <c r="BA206" s="65">
        <f t="shared" si="99"/>
        <v>2.3E-2</v>
      </c>
      <c r="BB206" s="65">
        <f t="shared" si="99"/>
        <v>2.3E-2</v>
      </c>
      <c r="BC206" s="65">
        <f t="shared" si="99"/>
        <v>2.3E-2</v>
      </c>
      <c r="BD206" s="65">
        <f t="shared" si="99"/>
        <v>2.3E-2</v>
      </c>
      <c r="BE206" s="65">
        <f t="shared" si="99"/>
        <v>2.3E-2</v>
      </c>
      <c r="BF206" s="65">
        <f t="shared" si="99"/>
        <v>2.3E-2</v>
      </c>
      <c r="BG206" s="65">
        <f t="shared" si="99"/>
        <v>2.3E-2</v>
      </c>
      <c r="BH206" s="65">
        <f t="shared" si="99"/>
        <v>2.3E-2</v>
      </c>
      <c r="BI206" s="65">
        <f t="shared" si="99"/>
        <v>2.3E-2</v>
      </c>
      <c r="BJ206" s="65">
        <f t="shared" si="99"/>
        <v>2.3E-2</v>
      </c>
      <c r="BK206" s="65">
        <f t="shared" si="99"/>
        <v>2.3E-2</v>
      </c>
      <c r="BL206" s="65">
        <f t="shared" si="99"/>
        <v>2.3E-2</v>
      </c>
      <c r="BM206" s="65">
        <f t="shared" si="99"/>
        <v>2.3E-2</v>
      </c>
      <c r="BN206" s="65">
        <f t="shared" si="99"/>
        <v>2.3E-2</v>
      </c>
      <c r="BO206" s="65">
        <f t="shared" si="99"/>
        <v>2.3E-2</v>
      </c>
      <c r="BP206" s="65">
        <f t="shared" si="99"/>
        <v>2.3E-2</v>
      </c>
      <c r="BQ206" s="65">
        <f t="shared" si="99"/>
        <v>2.3E-2</v>
      </c>
      <c r="BR206" s="65">
        <f t="shared" si="99"/>
        <v>2.3E-2</v>
      </c>
      <c r="BS206" s="65">
        <f t="shared" si="99"/>
        <v>2.3E-2</v>
      </c>
      <c r="BT206" s="65">
        <f t="shared" si="99"/>
        <v>2.3E-2</v>
      </c>
      <c r="BU206" s="65">
        <f t="shared" si="99"/>
        <v>2.3E-2</v>
      </c>
      <c r="BV206" s="65">
        <f t="shared" si="99"/>
        <v>2.3E-2</v>
      </c>
      <c r="BW206" s="65">
        <f t="shared" si="99"/>
        <v>2.3E-2</v>
      </c>
      <c r="BX206" s="65">
        <f t="shared" si="99"/>
        <v>2.3E-2</v>
      </c>
      <c r="BY206" s="65">
        <f t="shared" si="99"/>
        <v>2.3E-2</v>
      </c>
      <c r="BZ206" s="65">
        <f t="shared" si="99"/>
        <v>2.3E-2</v>
      </c>
      <c r="CA206" s="65">
        <f t="shared" si="99"/>
        <v>2.3E-2</v>
      </c>
      <c r="CB206" s="65">
        <f t="shared" si="99"/>
        <v>2.3E-2</v>
      </c>
      <c r="CC206" s="65">
        <f t="shared" si="99"/>
        <v>2.3E-2</v>
      </c>
      <c r="CD206" s="65">
        <f t="shared" si="99"/>
        <v>2.3E-2</v>
      </c>
      <c r="CE206" s="65">
        <f t="shared" si="99"/>
        <v>2.3E-2</v>
      </c>
      <c r="CF206" s="65">
        <f t="shared" si="99"/>
        <v>2.3E-2</v>
      </c>
      <c r="CG206" s="65">
        <f t="shared" si="99"/>
        <v>2.3E-2</v>
      </c>
      <c r="CH206" s="65">
        <f t="shared" si="99"/>
        <v>2.3E-2</v>
      </c>
      <c r="CI206" s="65">
        <f t="shared" si="99"/>
        <v>2.3E-2</v>
      </c>
      <c r="CJ206" s="65">
        <f t="shared" si="99"/>
        <v>2.3E-2</v>
      </c>
      <c r="CK206" s="65">
        <f t="shared" si="99"/>
        <v>2.3E-2</v>
      </c>
      <c r="CL206" s="65">
        <f t="shared" si="99"/>
        <v>2.3E-2</v>
      </c>
      <c r="CM206" s="65">
        <f t="shared" si="99"/>
        <v>2.3E-2</v>
      </c>
      <c r="CN206" s="65">
        <f t="shared" si="99"/>
        <v>2.3E-2</v>
      </c>
      <c r="CO206" s="65">
        <f t="shared" si="99"/>
        <v>2.3E-2</v>
      </c>
      <c r="CP206" s="65">
        <f t="shared" si="99"/>
        <v>2.3E-2</v>
      </c>
      <c r="CQ206" s="65">
        <f t="shared" si="99"/>
        <v>2.3E-2</v>
      </c>
      <c r="CR206" s="65">
        <f t="shared" si="99"/>
        <v>2.3E-2</v>
      </c>
      <c r="CS206" s="65">
        <f t="shared" si="99"/>
        <v>2.3E-2</v>
      </c>
      <c r="CT206" s="65">
        <f t="shared" si="99"/>
        <v>2.3E-2</v>
      </c>
      <c r="CU206" s="65">
        <f t="shared" si="99"/>
        <v>2.3E-2</v>
      </c>
      <c r="CV206" s="65">
        <f t="shared" si="99"/>
        <v>2.3E-2</v>
      </c>
      <c r="CW206" s="65">
        <f t="shared" si="99"/>
        <v>2.3E-2</v>
      </c>
      <c r="CX206" s="65">
        <f t="shared" si="99"/>
        <v>2.3E-2</v>
      </c>
      <c r="CY206" s="65">
        <f t="shared" si="99"/>
        <v>2.3E-2</v>
      </c>
      <c r="CZ206" s="65">
        <f t="shared" si="99"/>
        <v>2.3E-2</v>
      </c>
      <c r="DA206" s="65">
        <f t="shared" si="99"/>
        <v>2.3E-2</v>
      </c>
      <c r="DB206" s="65">
        <f t="shared" si="99"/>
        <v>2.3E-2</v>
      </c>
      <c r="DC206" s="65">
        <f t="shared" si="99"/>
        <v>2.3E-2</v>
      </c>
      <c r="DD206" s="65">
        <f t="shared" si="99"/>
        <v>2.3E-2</v>
      </c>
      <c r="DE206" s="65">
        <f t="shared" si="99"/>
        <v>2.3E-2</v>
      </c>
      <c r="DF206" s="65">
        <f t="shared" si="99"/>
        <v>2.3E-2</v>
      </c>
      <c r="DG206" s="65">
        <f t="shared" si="99"/>
        <v>2.3E-2</v>
      </c>
      <c r="DH206" s="65">
        <f t="shared" si="99"/>
        <v>2.3E-2</v>
      </c>
      <c r="DI206" s="65">
        <f t="shared" si="99"/>
        <v>2.3E-2</v>
      </c>
      <c r="DJ206" s="65">
        <f t="shared" si="99"/>
        <v>2.3E-2</v>
      </c>
      <c r="DK206" s="65">
        <f t="shared" si="99"/>
        <v>2.3E-2</v>
      </c>
      <c r="DL206" s="65">
        <f t="shared" si="99"/>
        <v>2.3E-2</v>
      </c>
      <c r="DM206" s="65">
        <f t="shared" si="99"/>
        <v>2.3E-2</v>
      </c>
      <c r="DN206" s="65">
        <f t="shared" si="99"/>
        <v>2.3E-2</v>
      </c>
      <c r="DO206" s="65">
        <f t="shared" si="99"/>
        <v>2.3E-2</v>
      </c>
      <c r="DP206" s="65">
        <f t="shared" si="99"/>
        <v>2.3E-2</v>
      </c>
      <c r="DQ206" s="65">
        <f t="shared" si="99"/>
        <v>2.3E-2</v>
      </c>
      <c r="DR206" s="65">
        <f t="shared" si="99"/>
        <v>2.3E-2</v>
      </c>
      <c r="DS206" s="65">
        <f t="shared" si="99"/>
        <v>2.3E-2</v>
      </c>
      <c r="DT206" s="65">
        <f t="shared" si="99"/>
        <v>2.3E-2</v>
      </c>
      <c r="DU206" s="65">
        <f t="shared" si="99"/>
        <v>2.3E-2</v>
      </c>
      <c r="DV206" s="65">
        <f t="shared" si="99"/>
        <v>2.3E-2</v>
      </c>
      <c r="DW206" s="65">
        <f t="shared" si="99"/>
        <v>2.3E-2</v>
      </c>
      <c r="DX206" s="65">
        <f t="shared" si="99"/>
        <v>2.3E-2</v>
      </c>
      <c r="DY206" s="65">
        <f t="shared" si="99"/>
        <v>2.3E-2</v>
      </c>
      <c r="DZ206" s="65">
        <f t="shared" si="99"/>
        <v>2.3E-2</v>
      </c>
      <c r="EA206" s="65">
        <f t="shared" si="99"/>
        <v>2.3E-2</v>
      </c>
      <c r="EB206" s="65">
        <f t="shared" si="99"/>
        <v>2.3E-2</v>
      </c>
      <c r="EC206" s="65">
        <f t="shared" si="99"/>
        <v>2.3E-2</v>
      </c>
      <c r="ED206" s="65">
        <f t="shared" si="99"/>
        <v>2.3E-2</v>
      </c>
      <c r="EE206" s="65">
        <f t="shared" si="99"/>
        <v>2.3E-2</v>
      </c>
      <c r="EF206" s="65">
        <f t="shared" si="99"/>
        <v>2.3E-2</v>
      </c>
      <c r="EG206" s="65">
        <f t="shared" si="99"/>
        <v>2.3E-2</v>
      </c>
      <c r="EH206" s="65">
        <f t="shared" si="99"/>
        <v>2.3E-2</v>
      </c>
      <c r="EI206" s="65">
        <f t="shared" si="99"/>
        <v>2.3E-2</v>
      </c>
      <c r="EJ206" s="65">
        <f t="shared" si="99"/>
        <v>2.3E-2</v>
      </c>
      <c r="EK206" s="65">
        <f t="shared" si="99"/>
        <v>2.3E-2</v>
      </c>
      <c r="EL206" s="65">
        <f t="shared" si="99"/>
        <v>2.3E-2</v>
      </c>
      <c r="EM206" s="65">
        <f t="shared" si="99"/>
        <v>2.3E-2</v>
      </c>
      <c r="EN206" s="65">
        <f t="shared" si="99"/>
        <v>2.3E-2</v>
      </c>
      <c r="EO206" s="65">
        <f t="shared" si="99"/>
        <v>2.3E-2</v>
      </c>
      <c r="EP206" s="65">
        <f t="shared" si="99"/>
        <v>2.3E-2</v>
      </c>
      <c r="EQ206" s="31">
        <f t="shared" si="99"/>
        <v>2.3E-2</v>
      </c>
      <c r="ER206" s="65">
        <f t="shared" si="99"/>
        <v>2.3E-2</v>
      </c>
      <c r="ES206" s="65">
        <f t="shared" si="99"/>
        <v>2.3E-2</v>
      </c>
      <c r="ET206" s="65">
        <f t="shared" si="99"/>
        <v>2.3E-2</v>
      </c>
      <c r="EU206" s="65">
        <f t="shared" si="99"/>
        <v>2.3E-2</v>
      </c>
      <c r="EV206" s="65">
        <f t="shared" si="99"/>
        <v>2.3E-2</v>
      </c>
      <c r="EW206" s="65">
        <f t="shared" si="99"/>
        <v>2.3E-2</v>
      </c>
      <c r="EX206" s="65">
        <f t="shared" si="99"/>
        <v>2.3E-2</v>
      </c>
      <c r="EY206" s="65">
        <f t="shared" si="99"/>
        <v>2.3E-2</v>
      </c>
      <c r="EZ206" s="65">
        <f t="shared" si="99"/>
        <v>2.3E-2</v>
      </c>
      <c r="FA206" s="65">
        <f t="shared" si="99"/>
        <v>2.3E-2</v>
      </c>
      <c r="FB206" s="65">
        <f t="shared" si="99"/>
        <v>2.3E-2</v>
      </c>
      <c r="FC206" s="65">
        <f t="shared" si="99"/>
        <v>2.3E-2</v>
      </c>
      <c r="FD206" s="65">
        <f t="shared" si="99"/>
        <v>2.3E-2</v>
      </c>
      <c r="FE206" s="65">
        <f t="shared" si="99"/>
        <v>2.3E-2</v>
      </c>
      <c r="FF206" s="65">
        <f t="shared" si="99"/>
        <v>2.3E-2</v>
      </c>
      <c r="FG206" s="65">
        <f t="shared" si="99"/>
        <v>2.3E-2</v>
      </c>
      <c r="FH206" s="65">
        <f t="shared" si="99"/>
        <v>2.3E-2</v>
      </c>
      <c r="FI206" s="65">
        <f t="shared" si="99"/>
        <v>2.3E-2</v>
      </c>
      <c r="FJ206" s="65">
        <f t="shared" si="99"/>
        <v>2.3E-2</v>
      </c>
      <c r="FK206" s="65">
        <f t="shared" si="99"/>
        <v>2.3E-2</v>
      </c>
      <c r="FL206" s="65">
        <f t="shared" si="99"/>
        <v>2.3E-2</v>
      </c>
      <c r="FM206" s="65">
        <f t="shared" si="99"/>
        <v>2.3E-2</v>
      </c>
      <c r="FN206" s="65">
        <f t="shared" si="99"/>
        <v>2.3E-2</v>
      </c>
      <c r="FO206" s="65">
        <f t="shared" si="99"/>
        <v>2.3E-2</v>
      </c>
      <c r="FP206" s="65">
        <f t="shared" si="99"/>
        <v>2.3E-2</v>
      </c>
      <c r="FQ206" s="65">
        <f t="shared" si="99"/>
        <v>2.3E-2</v>
      </c>
      <c r="FR206" s="65">
        <f t="shared" si="99"/>
        <v>2.3E-2</v>
      </c>
      <c r="FS206" s="65">
        <f t="shared" si="99"/>
        <v>2.3E-2</v>
      </c>
      <c r="FT206" s="65">
        <f t="shared" si="99"/>
        <v>2.3E-2</v>
      </c>
      <c r="FU206" s="65">
        <f t="shared" si="99"/>
        <v>2.3E-2</v>
      </c>
      <c r="FV206" s="65">
        <f t="shared" si="99"/>
        <v>2.3E-2</v>
      </c>
      <c r="FW206" s="65">
        <f t="shared" si="99"/>
        <v>2.3E-2</v>
      </c>
      <c r="FX206" s="65">
        <f t="shared" si="99"/>
        <v>2.3E-2</v>
      </c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</row>
    <row r="207" spans="1:205" ht="15.5" x14ac:dyDescent="0.35">
      <c r="A207" s="12" t="s">
        <v>958</v>
      </c>
      <c r="B207" s="7" t="s">
        <v>959</v>
      </c>
      <c r="C207" s="31">
        <f t="shared" ref="C207:FX207" si="100">ROUND((C103-C23)/C23,4)</f>
        <v>-2.3999999999999998E-3</v>
      </c>
      <c r="D207" s="31">
        <f t="shared" si="100"/>
        <v>-1.2500000000000001E-2</v>
      </c>
      <c r="E207" s="31">
        <f t="shared" si="100"/>
        <v>-4.6899999999999997E-2</v>
      </c>
      <c r="F207" s="31">
        <f t="shared" si="100"/>
        <v>3.7199999999999997E-2</v>
      </c>
      <c r="G207" s="31">
        <f t="shared" si="100"/>
        <v>0.18990000000000001</v>
      </c>
      <c r="H207" s="31">
        <f t="shared" si="100"/>
        <v>-1.38E-2</v>
      </c>
      <c r="I207" s="31">
        <f t="shared" si="100"/>
        <v>-3.0700000000000002E-2</v>
      </c>
      <c r="J207" s="31">
        <f t="shared" si="100"/>
        <v>-1.6500000000000001E-2</v>
      </c>
      <c r="K207" s="31">
        <f t="shared" si="100"/>
        <v>-6.7799999999999999E-2</v>
      </c>
      <c r="L207" s="31">
        <f t="shared" si="100"/>
        <v>-1.66E-2</v>
      </c>
      <c r="M207" s="31">
        <f t="shared" si="100"/>
        <v>-5.7599999999999998E-2</v>
      </c>
      <c r="N207" s="31">
        <f t="shared" si="100"/>
        <v>-5.1999999999999998E-3</v>
      </c>
      <c r="O207" s="31">
        <f t="shared" si="100"/>
        <v>-2.1000000000000001E-2</v>
      </c>
      <c r="P207" s="31">
        <f t="shared" si="100"/>
        <v>-9.1399999999999995E-2</v>
      </c>
      <c r="Q207" s="31">
        <f t="shared" si="100"/>
        <v>4.2999999999999997E-2</v>
      </c>
      <c r="R207" s="31">
        <f t="shared" si="100"/>
        <v>0.16900000000000001</v>
      </c>
      <c r="S207" s="31">
        <f t="shared" si="100"/>
        <v>-5.9999999999999995E-4</v>
      </c>
      <c r="T207" s="31">
        <f t="shared" si="100"/>
        <v>-1.04E-2</v>
      </c>
      <c r="U207" s="31">
        <f t="shared" si="100"/>
        <v>7.3499999999999996E-2</v>
      </c>
      <c r="V207" s="31">
        <f t="shared" si="100"/>
        <v>-1.61E-2</v>
      </c>
      <c r="W207" s="31">
        <f t="shared" si="100"/>
        <v>-0.71419999999999995</v>
      </c>
      <c r="X207" s="31">
        <f t="shared" si="100"/>
        <v>0</v>
      </c>
      <c r="Y207" s="31">
        <f t="shared" si="100"/>
        <v>-5.4199999999999998E-2</v>
      </c>
      <c r="Z207" s="31">
        <f t="shared" si="100"/>
        <v>2.5999999999999999E-3</v>
      </c>
      <c r="AA207" s="31">
        <f t="shared" si="100"/>
        <v>-1.8E-3</v>
      </c>
      <c r="AB207" s="31">
        <f t="shared" si="100"/>
        <v>-6.7999999999999996E-3</v>
      </c>
      <c r="AC207" s="31">
        <f t="shared" si="100"/>
        <v>-2.81E-2</v>
      </c>
      <c r="AD207" s="31">
        <f t="shared" si="100"/>
        <v>2.1299999999999999E-2</v>
      </c>
      <c r="AE207" s="31">
        <f t="shared" si="100"/>
        <v>3.1899999999999998E-2</v>
      </c>
      <c r="AF207" s="31">
        <f t="shared" si="100"/>
        <v>-2.6200000000000001E-2</v>
      </c>
      <c r="AG207" s="31">
        <f t="shared" si="100"/>
        <v>-1.83E-2</v>
      </c>
      <c r="AH207" s="31">
        <f t="shared" si="100"/>
        <v>-2.0299999999999999E-2</v>
      </c>
      <c r="AI207" s="31">
        <f t="shared" si="100"/>
        <v>-4.2500000000000003E-2</v>
      </c>
      <c r="AJ207" s="31">
        <f t="shared" si="100"/>
        <v>9.3399999999999997E-2</v>
      </c>
      <c r="AK207" s="31">
        <f t="shared" si="100"/>
        <v>-2.76E-2</v>
      </c>
      <c r="AL207" s="31">
        <f t="shared" si="100"/>
        <v>2.3E-2</v>
      </c>
      <c r="AM207" s="31">
        <f t="shared" si="100"/>
        <v>-5.16E-2</v>
      </c>
      <c r="AN207" s="31">
        <f t="shared" si="100"/>
        <v>-4.3900000000000002E-2</v>
      </c>
      <c r="AO207" s="31">
        <f t="shared" si="100"/>
        <v>1.2200000000000001E-2</v>
      </c>
      <c r="AP207" s="31">
        <f t="shared" si="100"/>
        <v>1.0800000000000001E-2</v>
      </c>
      <c r="AQ207" s="31">
        <f t="shared" si="100"/>
        <v>5.5500000000000001E-2</v>
      </c>
      <c r="AR207" s="31">
        <f t="shared" si="100"/>
        <v>-1.3299999999999999E-2</v>
      </c>
      <c r="AS207" s="31">
        <f t="shared" si="100"/>
        <v>-1.77E-2</v>
      </c>
      <c r="AT207" s="31">
        <f t="shared" si="100"/>
        <v>-0.1087</v>
      </c>
      <c r="AU207" s="31">
        <f t="shared" si="100"/>
        <v>-0.1129</v>
      </c>
      <c r="AV207" s="31">
        <f t="shared" si="100"/>
        <v>-6.7999999999999996E-3</v>
      </c>
      <c r="AW207" s="31">
        <f t="shared" si="100"/>
        <v>4.7000000000000002E-3</v>
      </c>
      <c r="AX207" s="31">
        <f t="shared" si="100"/>
        <v>0.22170000000000001</v>
      </c>
      <c r="AY207" s="31">
        <f t="shared" si="100"/>
        <v>-4.1200000000000001E-2</v>
      </c>
      <c r="AZ207" s="109">
        <f t="shared" si="100"/>
        <v>-1.29E-2</v>
      </c>
      <c r="BA207" s="31">
        <f t="shared" si="100"/>
        <v>-3.8999999999999998E-3</v>
      </c>
      <c r="BB207" s="31">
        <f t="shared" si="100"/>
        <v>-6.9999999999999999E-4</v>
      </c>
      <c r="BC207" s="31">
        <f t="shared" si="100"/>
        <v>-4.3700000000000003E-2</v>
      </c>
      <c r="BD207" s="31">
        <f t="shared" si="100"/>
        <v>6.9999999999999999E-4</v>
      </c>
      <c r="BE207" s="31">
        <f t="shared" si="100"/>
        <v>-4.8000000000000001E-2</v>
      </c>
      <c r="BF207" s="31">
        <f t="shared" si="100"/>
        <v>-2E-3</v>
      </c>
      <c r="BG207" s="31">
        <f t="shared" si="100"/>
        <v>2.3199999999999998E-2</v>
      </c>
      <c r="BH207" s="31">
        <f t="shared" si="100"/>
        <v>-1.15E-2</v>
      </c>
      <c r="BI207" s="31">
        <f t="shared" si="100"/>
        <v>1.1999999999999999E-3</v>
      </c>
      <c r="BJ207" s="31">
        <f t="shared" si="100"/>
        <v>1.8E-3</v>
      </c>
      <c r="BK207" s="31">
        <f t="shared" si="100"/>
        <v>0.13469999999999999</v>
      </c>
      <c r="BL207" s="31">
        <f t="shared" si="100"/>
        <v>-0.2006</v>
      </c>
      <c r="BM207" s="31">
        <f t="shared" si="100"/>
        <v>-0.14449999999999999</v>
      </c>
      <c r="BN207" s="31">
        <f t="shared" si="100"/>
        <v>-1.78E-2</v>
      </c>
      <c r="BO207" s="31">
        <f t="shared" si="100"/>
        <v>-2.3199999999999998E-2</v>
      </c>
      <c r="BP207" s="31">
        <f t="shared" si="100"/>
        <v>-5.4199999999999998E-2</v>
      </c>
      <c r="BQ207" s="31">
        <f t="shared" si="100"/>
        <v>-1.4E-2</v>
      </c>
      <c r="BR207" s="31">
        <f t="shared" si="100"/>
        <v>-2.5000000000000001E-3</v>
      </c>
      <c r="BS207" s="31">
        <f t="shared" si="100"/>
        <v>3.7600000000000001E-2</v>
      </c>
      <c r="BT207" s="31">
        <f t="shared" si="100"/>
        <v>-3.6499999999999998E-2</v>
      </c>
      <c r="BU207" s="31">
        <f t="shared" si="100"/>
        <v>-5.5899999999999998E-2</v>
      </c>
      <c r="BV207" s="31">
        <f t="shared" si="100"/>
        <v>1.03E-2</v>
      </c>
      <c r="BW207" s="31">
        <f t="shared" si="100"/>
        <v>1.23E-2</v>
      </c>
      <c r="BX207" s="31">
        <f t="shared" si="100"/>
        <v>-3.9E-2</v>
      </c>
      <c r="BY207" s="31">
        <f t="shared" si="100"/>
        <v>-6.2300000000000001E-2</v>
      </c>
      <c r="BZ207" s="31">
        <f t="shared" si="100"/>
        <v>0.1193</v>
      </c>
      <c r="CA207" s="31">
        <f t="shared" si="100"/>
        <v>-2.92E-2</v>
      </c>
      <c r="CB207" s="31">
        <f t="shared" si="100"/>
        <v>-1.66E-2</v>
      </c>
      <c r="CC207" s="31">
        <f t="shared" si="100"/>
        <v>6.8999999999999999E-3</v>
      </c>
      <c r="CD207" s="31">
        <f t="shared" si="100"/>
        <v>-0.76339999999999997</v>
      </c>
      <c r="CE207" s="31">
        <f t="shared" si="100"/>
        <v>4.2799999999999998E-2</v>
      </c>
      <c r="CF207" s="31">
        <f t="shared" si="100"/>
        <v>-2.0899999999999998E-2</v>
      </c>
      <c r="CG207" s="31">
        <f t="shared" si="100"/>
        <v>-7.9000000000000008E-3</v>
      </c>
      <c r="CH207" s="31">
        <f t="shared" si="100"/>
        <v>-3.6900000000000002E-2</v>
      </c>
      <c r="CI207" s="31">
        <f t="shared" si="100"/>
        <v>-1.38E-2</v>
      </c>
      <c r="CJ207" s="31">
        <f t="shared" si="100"/>
        <v>-2.7199999999999998E-2</v>
      </c>
      <c r="CK207" s="31">
        <f t="shared" si="100"/>
        <v>-0.1348</v>
      </c>
      <c r="CL207" s="31">
        <f t="shared" si="100"/>
        <v>-3.39E-2</v>
      </c>
      <c r="CM207" s="31">
        <f t="shared" si="100"/>
        <v>-6.1800000000000001E-2</v>
      </c>
      <c r="CN207" s="31">
        <f t="shared" si="100"/>
        <v>-3.2099999999999997E-2</v>
      </c>
      <c r="CO207" s="31">
        <f t="shared" si="100"/>
        <v>-0.01</v>
      </c>
      <c r="CP207" s="31">
        <f t="shared" si="100"/>
        <v>-3.8399999999999997E-2</v>
      </c>
      <c r="CQ207" s="31">
        <f t="shared" si="100"/>
        <v>-3.8E-3</v>
      </c>
      <c r="CR207" s="31">
        <f t="shared" si="100"/>
        <v>-7.46E-2</v>
      </c>
      <c r="CS207" s="31">
        <f t="shared" si="100"/>
        <v>-5.3400000000000003E-2</v>
      </c>
      <c r="CT207" s="31">
        <f t="shared" si="100"/>
        <v>9.3399999999999997E-2</v>
      </c>
      <c r="CU207" s="31">
        <f t="shared" si="100"/>
        <v>0.156</v>
      </c>
      <c r="CV207" s="31">
        <f t="shared" si="100"/>
        <v>0</v>
      </c>
      <c r="CW207" s="31">
        <f t="shared" si="100"/>
        <v>-3.5400000000000001E-2</v>
      </c>
      <c r="CX207" s="31">
        <f t="shared" si="100"/>
        <v>-2.3999999999999998E-3</v>
      </c>
      <c r="CY207" s="31">
        <f t="shared" si="100"/>
        <v>0</v>
      </c>
      <c r="CZ207" s="31">
        <f t="shared" si="100"/>
        <v>-1.9800000000000002E-2</v>
      </c>
      <c r="DA207" s="31">
        <f t="shared" si="100"/>
        <v>2.01E-2</v>
      </c>
      <c r="DB207" s="31">
        <f t="shared" si="100"/>
        <v>-1.47E-2</v>
      </c>
      <c r="DC207" s="31">
        <f t="shared" si="100"/>
        <v>5.4600000000000003E-2</v>
      </c>
      <c r="DD207" s="31">
        <f t="shared" si="100"/>
        <v>0.1186</v>
      </c>
      <c r="DE207" s="31">
        <f t="shared" si="100"/>
        <v>-4.2299999999999997E-2</v>
      </c>
      <c r="DF207" s="31">
        <f t="shared" si="100"/>
        <v>-1.0999999999999999E-2</v>
      </c>
      <c r="DG207" s="31">
        <f t="shared" si="100"/>
        <v>-0.10100000000000001</v>
      </c>
      <c r="DH207" s="31">
        <f t="shared" si="100"/>
        <v>-2.9700000000000001E-2</v>
      </c>
      <c r="DI207" s="31">
        <f t="shared" si="100"/>
        <v>-1.3899999999999999E-2</v>
      </c>
      <c r="DJ207" s="31">
        <f t="shared" si="100"/>
        <v>-2.4199999999999999E-2</v>
      </c>
      <c r="DK207" s="31">
        <f t="shared" si="100"/>
        <v>-4.2599999999999999E-2</v>
      </c>
      <c r="DL207" s="31">
        <f t="shared" si="100"/>
        <v>-5.7000000000000002E-3</v>
      </c>
      <c r="DM207" s="31">
        <f t="shared" si="100"/>
        <v>9.4999999999999998E-3</v>
      </c>
      <c r="DN207" s="31">
        <f t="shared" si="100"/>
        <v>-1.8200000000000001E-2</v>
      </c>
      <c r="DO207" s="31">
        <f t="shared" si="100"/>
        <v>1.29E-2</v>
      </c>
      <c r="DP207" s="31">
        <f t="shared" si="100"/>
        <v>8.6E-3</v>
      </c>
      <c r="DQ207" s="31">
        <f t="shared" si="100"/>
        <v>6.4699999999999994E-2</v>
      </c>
      <c r="DR207" s="31">
        <f t="shared" si="100"/>
        <v>-2.1100000000000001E-2</v>
      </c>
      <c r="DS207" s="31">
        <f t="shared" si="100"/>
        <v>-6.1199999999999997E-2</v>
      </c>
      <c r="DT207" s="31">
        <f t="shared" si="100"/>
        <v>8.6E-3</v>
      </c>
      <c r="DU207" s="31">
        <f t="shared" si="100"/>
        <v>-2.6599999999999999E-2</v>
      </c>
      <c r="DV207" s="31">
        <f t="shared" si="100"/>
        <v>-2.8000000000000001E-2</v>
      </c>
      <c r="DW207" s="31">
        <f t="shared" si="100"/>
        <v>-2.4400000000000002E-2</v>
      </c>
      <c r="DX207" s="31">
        <f t="shared" si="100"/>
        <v>2.3099999999999999E-2</v>
      </c>
      <c r="DY207" s="31">
        <f t="shared" si="100"/>
        <v>-2.8500000000000001E-2</v>
      </c>
      <c r="DZ207" s="31">
        <f t="shared" si="100"/>
        <v>-4.8300000000000003E-2</v>
      </c>
      <c r="EA207" s="31">
        <f t="shared" si="100"/>
        <v>-1.2999999999999999E-3</v>
      </c>
      <c r="EB207" s="31">
        <f t="shared" si="100"/>
        <v>-6.0999999999999999E-2</v>
      </c>
      <c r="EC207" s="31">
        <f t="shared" si="100"/>
        <v>-4.0399999999999998E-2</v>
      </c>
      <c r="ED207" s="31">
        <f t="shared" si="100"/>
        <v>-4.0000000000000002E-4</v>
      </c>
      <c r="EE207" s="31">
        <f t="shared" si="100"/>
        <v>7.4000000000000003E-3</v>
      </c>
      <c r="EF207" s="31">
        <f t="shared" si="100"/>
        <v>-3.5200000000000002E-2</v>
      </c>
      <c r="EG207" s="31">
        <f t="shared" si="100"/>
        <v>1.44E-2</v>
      </c>
      <c r="EH207" s="31">
        <f t="shared" si="100"/>
        <v>-2.3999999999999998E-3</v>
      </c>
      <c r="EI207" s="31">
        <f t="shared" si="100"/>
        <v>-2.0400000000000001E-2</v>
      </c>
      <c r="EJ207" s="31">
        <f t="shared" si="100"/>
        <v>-9.4000000000000004E-3</v>
      </c>
      <c r="EK207" s="31">
        <f t="shared" si="100"/>
        <v>-2.07E-2</v>
      </c>
      <c r="EL207" s="31">
        <f t="shared" si="100"/>
        <v>-3.1800000000000002E-2</v>
      </c>
      <c r="EM207" s="31">
        <f t="shared" si="100"/>
        <v>-1.77E-2</v>
      </c>
      <c r="EN207" s="31">
        <f t="shared" si="100"/>
        <v>-4.07E-2</v>
      </c>
      <c r="EO207" s="31">
        <f t="shared" si="100"/>
        <v>-2.8000000000000001E-2</v>
      </c>
      <c r="EP207" s="31">
        <f t="shared" si="100"/>
        <v>2.1000000000000001E-2</v>
      </c>
      <c r="EQ207" s="31">
        <f t="shared" si="100"/>
        <v>-1.6E-2</v>
      </c>
      <c r="ER207" s="31">
        <f t="shared" si="100"/>
        <v>-2.0299999999999999E-2</v>
      </c>
      <c r="ES207" s="31">
        <f t="shared" si="100"/>
        <v>-0.1014</v>
      </c>
      <c r="ET207" s="31">
        <f t="shared" si="100"/>
        <v>3.2899999999999999E-2</v>
      </c>
      <c r="EU207" s="31">
        <f t="shared" si="100"/>
        <v>1.1999999999999999E-3</v>
      </c>
      <c r="EV207" s="31">
        <f t="shared" si="100"/>
        <v>-7.8700000000000006E-2</v>
      </c>
      <c r="EW207" s="31">
        <f t="shared" si="100"/>
        <v>-2.3400000000000001E-2</v>
      </c>
      <c r="EX207" s="31">
        <f t="shared" si="100"/>
        <v>2.4799999999999999E-2</v>
      </c>
      <c r="EY207" s="31">
        <f t="shared" si="100"/>
        <v>-0.1573</v>
      </c>
      <c r="EZ207" s="31">
        <f t="shared" si="100"/>
        <v>6.1999999999999998E-3</v>
      </c>
      <c r="FA207" s="31">
        <f t="shared" si="100"/>
        <v>-1.6799999999999999E-2</v>
      </c>
      <c r="FB207" s="31">
        <f t="shared" si="100"/>
        <v>-2.5000000000000001E-2</v>
      </c>
      <c r="FC207" s="31">
        <f t="shared" si="100"/>
        <v>-7.0300000000000001E-2</v>
      </c>
      <c r="FD207" s="31">
        <f t="shared" si="100"/>
        <v>-8.0999999999999996E-3</v>
      </c>
      <c r="FE207" s="31">
        <f t="shared" si="100"/>
        <v>-5.28E-2</v>
      </c>
      <c r="FF207" s="31">
        <f t="shared" si="100"/>
        <v>-5.3199999999999997E-2</v>
      </c>
      <c r="FG207" s="31">
        <f t="shared" si="100"/>
        <v>-4.7300000000000002E-2</v>
      </c>
      <c r="FH207" s="31">
        <f t="shared" si="100"/>
        <v>4.3E-3</v>
      </c>
      <c r="FI207" s="31">
        <f t="shared" si="100"/>
        <v>-2.1000000000000001E-2</v>
      </c>
      <c r="FJ207" s="31">
        <f t="shared" si="100"/>
        <v>-8.0999999999999996E-3</v>
      </c>
      <c r="FK207" s="31">
        <f t="shared" si="100"/>
        <v>-1.7299999999999999E-2</v>
      </c>
      <c r="FL207" s="31">
        <f t="shared" si="100"/>
        <v>2.9499999999999998E-2</v>
      </c>
      <c r="FM207" s="31">
        <f t="shared" si="100"/>
        <v>2.46E-2</v>
      </c>
      <c r="FN207" s="31">
        <f t="shared" si="100"/>
        <v>2.35E-2</v>
      </c>
      <c r="FO207" s="31">
        <f t="shared" si="100"/>
        <v>2.76E-2</v>
      </c>
      <c r="FP207" s="31">
        <f t="shared" si="100"/>
        <v>2.7E-2</v>
      </c>
      <c r="FQ207" s="31">
        <f t="shared" si="100"/>
        <v>-2E-3</v>
      </c>
      <c r="FR207" s="31">
        <f t="shared" si="100"/>
        <v>-7.7000000000000002E-3</v>
      </c>
      <c r="FS207" s="31">
        <f t="shared" si="100"/>
        <v>-6.4500000000000002E-2</v>
      </c>
      <c r="FT207" s="31">
        <f t="shared" si="100"/>
        <v>-4.24E-2</v>
      </c>
      <c r="FU207" s="31">
        <f t="shared" si="100"/>
        <v>-2.7799999999999998E-2</v>
      </c>
      <c r="FV207" s="31">
        <f t="shared" si="100"/>
        <v>-0.1152</v>
      </c>
      <c r="FW207" s="31">
        <f t="shared" si="100"/>
        <v>-6.0900000000000003E-2</v>
      </c>
      <c r="FX207" s="31">
        <f t="shared" si="100"/>
        <v>0.12759999999999999</v>
      </c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</row>
    <row r="208" spans="1:205" ht="15.5" x14ac:dyDescent="0.35">
      <c r="A208" s="7"/>
      <c r="B208" s="7" t="s">
        <v>960</v>
      </c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81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65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</row>
    <row r="209" spans="1:193" ht="15.5" x14ac:dyDescent="0.35">
      <c r="A209" s="12" t="s">
        <v>961</v>
      </c>
      <c r="B209" s="7" t="s">
        <v>962</v>
      </c>
      <c r="C209" s="7">
        <f t="shared" ref="C209:FX209" ca="1" si="101">ROUND((C205)*(1+C206+C207),2)</f>
        <v>79892844.239999995</v>
      </c>
      <c r="D209" s="7">
        <f t="shared" ca="1" si="101"/>
        <v>446149224.80000001</v>
      </c>
      <c r="E209" s="7">
        <f t="shared" ca="1" si="101"/>
        <v>71070893.150000006</v>
      </c>
      <c r="F209" s="7">
        <f t="shared" ca="1" si="101"/>
        <v>278971081.16000003</v>
      </c>
      <c r="G209" s="7">
        <f t="shared" ca="1" si="101"/>
        <v>22158445.699999999</v>
      </c>
      <c r="H209" s="7">
        <f t="shared" ca="1" si="101"/>
        <v>13402209.5</v>
      </c>
      <c r="I209" s="7">
        <f t="shared" ca="1" si="101"/>
        <v>98385570.299999997</v>
      </c>
      <c r="J209" s="7">
        <f t="shared" ca="1" si="101"/>
        <v>24176449.859999999</v>
      </c>
      <c r="K209" s="7">
        <f t="shared" ca="1" si="101"/>
        <v>4180082.5</v>
      </c>
      <c r="L209" s="7">
        <f t="shared" ca="1" si="101"/>
        <v>26348010.949999999</v>
      </c>
      <c r="M209" s="7">
        <f t="shared" ca="1" si="101"/>
        <v>13026777.33</v>
      </c>
      <c r="N209" s="7">
        <f t="shared" ca="1" si="101"/>
        <v>591751802.49000001</v>
      </c>
      <c r="O209" s="7">
        <f t="shared" ca="1" si="101"/>
        <v>143830443.02000001</v>
      </c>
      <c r="P209" s="7">
        <f t="shared" ca="1" si="101"/>
        <v>5111517.33</v>
      </c>
      <c r="Q209" s="7">
        <f t="shared" ca="1" si="101"/>
        <v>499104989.01999998</v>
      </c>
      <c r="R209" s="7">
        <f t="shared" ca="1" si="101"/>
        <v>81014908.280000001</v>
      </c>
      <c r="S209" s="7">
        <f t="shared" ca="1" si="101"/>
        <v>19348798.510000002</v>
      </c>
      <c r="T209" s="7">
        <f t="shared" ca="1" si="101"/>
        <v>3321906.67</v>
      </c>
      <c r="U209" s="7">
        <f t="shared" ca="1" si="101"/>
        <v>1436808.71</v>
      </c>
      <c r="V209" s="7">
        <f t="shared" ca="1" si="101"/>
        <v>4263145.18</v>
      </c>
      <c r="W209" s="7">
        <f t="shared" ca="1" si="101"/>
        <v>1138970.21</v>
      </c>
      <c r="X209" s="7">
        <f t="shared" ca="1" si="101"/>
        <v>1247148.75</v>
      </c>
      <c r="Y209" s="7">
        <f t="shared" ca="1" si="101"/>
        <v>11143848.4</v>
      </c>
      <c r="Z209" s="7">
        <f t="shared" ca="1" si="101"/>
        <v>3909475.96</v>
      </c>
      <c r="AA209" s="7">
        <f t="shared" ca="1" si="101"/>
        <v>351337009.87</v>
      </c>
      <c r="AB209" s="7">
        <f t="shared" ca="1" si="101"/>
        <v>312259192.82999998</v>
      </c>
      <c r="AC209" s="7">
        <f t="shared" ca="1" si="101"/>
        <v>11230256.01</v>
      </c>
      <c r="AD209" s="7">
        <f t="shared" ca="1" si="101"/>
        <v>16617727.34</v>
      </c>
      <c r="AE209" s="7">
        <f t="shared" ca="1" si="101"/>
        <v>2217949.87</v>
      </c>
      <c r="AF209" s="7">
        <f t="shared" ca="1" si="101"/>
        <v>3406764.92</v>
      </c>
      <c r="AG209" s="7">
        <f t="shared" ca="1" si="101"/>
        <v>8004804.5800000001</v>
      </c>
      <c r="AH209" s="7">
        <f t="shared" ca="1" si="101"/>
        <v>11704502.949999999</v>
      </c>
      <c r="AI209" s="7">
        <f t="shared" ca="1" si="101"/>
        <v>5396951.2800000003</v>
      </c>
      <c r="AJ209" s="7">
        <f t="shared" ca="1" si="101"/>
        <v>3819386.31</v>
      </c>
      <c r="AK209" s="7">
        <f t="shared" ca="1" si="101"/>
        <v>3421452.84</v>
      </c>
      <c r="AL209" s="7">
        <f t="shared" ca="1" si="101"/>
        <v>4739993.63</v>
      </c>
      <c r="AM209" s="7">
        <f t="shared" ca="1" si="101"/>
        <v>5174447.97</v>
      </c>
      <c r="AN209" s="7">
        <f t="shared" ca="1" si="101"/>
        <v>4752383.3600000003</v>
      </c>
      <c r="AO209" s="7">
        <f t="shared" ca="1" si="101"/>
        <v>50912803.68</v>
      </c>
      <c r="AP209" s="7">
        <f t="shared" ca="1" si="101"/>
        <v>1017751648.26</v>
      </c>
      <c r="AQ209" s="7">
        <f t="shared" ca="1" si="101"/>
        <v>4587976.95</v>
      </c>
      <c r="AR209" s="7">
        <f t="shared" ca="1" si="101"/>
        <v>695012706.01999998</v>
      </c>
      <c r="AS209" s="7">
        <f t="shared" ca="1" si="101"/>
        <v>79204693.689999998</v>
      </c>
      <c r="AT209" s="7">
        <f t="shared" ca="1" si="101"/>
        <v>27425004.800000001</v>
      </c>
      <c r="AU209" s="7">
        <f t="shared" ca="1" si="101"/>
        <v>4496406.4400000004</v>
      </c>
      <c r="AV209" s="7">
        <f t="shared" ca="1" si="101"/>
        <v>5081527.08</v>
      </c>
      <c r="AW209" s="7">
        <f t="shared" ca="1" si="101"/>
        <v>4538303.8899999997</v>
      </c>
      <c r="AX209" s="7">
        <f t="shared" ca="1" si="101"/>
        <v>2112998.34</v>
      </c>
      <c r="AY209" s="7">
        <f t="shared" ca="1" si="101"/>
        <v>5948291.4900000002</v>
      </c>
      <c r="AZ209" s="7">
        <f t="shared" ca="1" si="101"/>
        <v>143592147.08000001</v>
      </c>
      <c r="BA209" s="7">
        <f t="shared" ca="1" si="101"/>
        <v>101048941.23999999</v>
      </c>
      <c r="BB209" s="7">
        <f t="shared" ca="1" si="101"/>
        <v>84270980.620000005</v>
      </c>
      <c r="BC209" s="7">
        <f t="shared" ca="1" si="101"/>
        <v>284254225.43000001</v>
      </c>
      <c r="BD209" s="7">
        <f t="shared" ca="1" si="101"/>
        <v>40151219.280000001</v>
      </c>
      <c r="BE209" s="7">
        <f t="shared" ca="1" si="101"/>
        <v>14287161.880000001</v>
      </c>
      <c r="BF209" s="7">
        <f t="shared" ca="1" si="101"/>
        <v>282106949.62</v>
      </c>
      <c r="BG209" s="7">
        <f t="shared" ca="1" si="101"/>
        <v>12106170.33</v>
      </c>
      <c r="BH209" s="7">
        <f t="shared" ca="1" si="101"/>
        <v>7749300.0300000003</v>
      </c>
      <c r="BI209" s="7">
        <f t="shared" ca="1" si="101"/>
        <v>4643913.2300000004</v>
      </c>
      <c r="BJ209" s="7">
        <f t="shared" ca="1" si="101"/>
        <v>69681782.909999996</v>
      </c>
      <c r="BK209" s="7">
        <f t="shared" ca="1" si="101"/>
        <v>390364211.14999998</v>
      </c>
      <c r="BL209" s="7">
        <f t="shared" ca="1" si="101"/>
        <v>1810659.96</v>
      </c>
      <c r="BM209" s="7">
        <f t="shared" ca="1" si="101"/>
        <v>5212266.43</v>
      </c>
      <c r="BN209" s="7">
        <f t="shared" ca="1" si="101"/>
        <v>35601199.270000003</v>
      </c>
      <c r="BO209" s="7">
        <f t="shared" ca="1" si="101"/>
        <v>14735305.76</v>
      </c>
      <c r="BP209" s="7">
        <f t="shared" ca="1" si="101"/>
        <v>3320121.35</v>
      </c>
      <c r="BQ209" s="7">
        <f t="shared" ca="1" si="101"/>
        <v>73344008.799999997</v>
      </c>
      <c r="BR209" s="7">
        <f t="shared" ca="1" si="101"/>
        <v>50925019.039999999</v>
      </c>
      <c r="BS209" s="7">
        <f t="shared" ca="1" si="101"/>
        <v>14984991.43</v>
      </c>
      <c r="BT209" s="7">
        <f t="shared" ca="1" si="101"/>
        <v>5691086.5800000001</v>
      </c>
      <c r="BU209" s="7">
        <f t="shared" ca="1" si="101"/>
        <v>5850450.25</v>
      </c>
      <c r="BV209" s="7">
        <f t="shared" ca="1" si="101"/>
        <v>14829848.699999999</v>
      </c>
      <c r="BW209" s="7">
        <f t="shared" ca="1" si="101"/>
        <v>23679761.039999999</v>
      </c>
      <c r="BX209" s="7">
        <f t="shared" ca="1" si="101"/>
        <v>1765109.81</v>
      </c>
      <c r="BY209" s="7">
        <f t="shared" ca="1" si="101"/>
        <v>5665481.8799999999</v>
      </c>
      <c r="BZ209" s="7">
        <f t="shared" ca="1" si="101"/>
        <v>4192494.85</v>
      </c>
      <c r="CA209" s="7">
        <f t="shared" ca="1" si="101"/>
        <v>3135898.29</v>
      </c>
      <c r="CB209" s="7">
        <f t="shared" ca="1" si="101"/>
        <v>831038363.82000005</v>
      </c>
      <c r="CC209" s="7">
        <f t="shared" ca="1" si="101"/>
        <v>3607781.46</v>
      </c>
      <c r="CD209" s="7">
        <f t="shared" ca="1" si="101"/>
        <v>902113.67</v>
      </c>
      <c r="CE209" s="7">
        <f t="shared" ca="1" si="101"/>
        <v>3231151.65</v>
      </c>
      <c r="CF209" s="7">
        <f t="shared" ca="1" si="101"/>
        <v>2342459.9900000002</v>
      </c>
      <c r="CG209" s="7">
        <f t="shared" ca="1" si="101"/>
        <v>3718378.13</v>
      </c>
      <c r="CH209" s="7">
        <f t="shared" ca="1" si="101"/>
        <v>2280500</v>
      </c>
      <c r="CI209" s="7">
        <f t="shared" ca="1" si="101"/>
        <v>8673463.9100000001</v>
      </c>
      <c r="CJ209" s="7">
        <f t="shared" ca="1" si="101"/>
        <v>11322944.41</v>
      </c>
      <c r="CK209" s="7">
        <f t="shared" ca="1" si="101"/>
        <v>57283210.729999997</v>
      </c>
      <c r="CL209" s="7">
        <f t="shared" ca="1" si="101"/>
        <v>15271591.550000001</v>
      </c>
      <c r="CM209" s="7">
        <f t="shared" ca="1" si="101"/>
        <v>9338955.1600000001</v>
      </c>
      <c r="CN209" s="7">
        <f t="shared" ca="1" si="101"/>
        <v>347862107.89999998</v>
      </c>
      <c r="CO209" s="7">
        <f t="shared" ca="1" si="101"/>
        <v>158889013.74000001</v>
      </c>
      <c r="CP209" s="7">
        <f t="shared" ca="1" si="101"/>
        <v>12160270.609999999</v>
      </c>
      <c r="CQ209" s="7">
        <f t="shared" ca="1" si="101"/>
        <v>10512140.109999999</v>
      </c>
      <c r="CR209" s="7">
        <f t="shared" ca="1" si="101"/>
        <v>3847380.87</v>
      </c>
      <c r="CS209" s="7">
        <f t="shared" ca="1" si="101"/>
        <v>4454653.43</v>
      </c>
      <c r="CT209" s="7">
        <f t="shared" ca="1" si="101"/>
        <v>2614394.41</v>
      </c>
      <c r="CU209" s="7">
        <f t="shared" ca="1" si="101"/>
        <v>5526791.8600000003</v>
      </c>
      <c r="CV209" s="7">
        <f t="shared" ca="1" si="101"/>
        <v>1174685.3400000001</v>
      </c>
      <c r="CW209" s="7">
        <f t="shared" ca="1" si="101"/>
        <v>3740394.99</v>
      </c>
      <c r="CX209" s="7">
        <f t="shared" ca="1" si="101"/>
        <v>6160390.4699999997</v>
      </c>
      <c r="CY209" s="7">
        <f t="shared" ca="1" si="101"/>
        <v>1268197.6499999999</v>
      </c>
      <c r="CZ209" s="7">
        <f t="shared" ca="1" si="101"/>
        <v>21124739.66</v>
      </c>
      <c r="DA209" s="7">
        <f t="shared" ca="1" si="101"/>
        <v>3768061.84</v>
      </c>
      <c r="DB209" s="7">
        <f t="shared" ca="1" si="101"/>
        <v>4879970.99</v>
      </c>
      <c r="DC209" s="7">
        <f t="shared" ca="1" si="101"/>
        <v>3731605.1</v>
      </c>
      <c r="DD209" s="7">
        <f t="shared" ca="1" si="101"/>
        <v>3735137.3</v>
      </c>
      <c r="DE209" s="7">
        <f t="shared" ca="1" si="101"/>
        <v>4529019.4800000004</v>
      </c>
      <c r="DF209" s="7">
        <f t="shared" ca="1" si="101"/>
        <v>230016429.22999999</v>
      </c>
      <c r="DG209" s="7">
        <f t="shared" ca="1" si="101"/>
        <v>2234535.13</v>
      </c>
      <c r="DH209" s="7">
        <f t="shared" ca="1" si="101"/>
        <v>20746897.59</v>
      </c>
      <c r="DI209" s="7">
        <f t="shared" ca="1" si="101"/>
        <v>27962122.109999999</v>
      </c>
      <c r="DJ209" s="7">
        <f t="shared" ca="1" si="101"/>
        <v>8139837.1200000001</v>
      </c>
      <c r="DK209" s="7">
        <f t="shared" ca="1" si="101"/>
        <v>6404481.04</v>
      </c>
      <c r="DL209" s="7">
        <f t="shared" ca="1" si="101"/>
        <v>67273741.510000005</v>
      </c>
      <c r="DM209" s="7">
        <f t="shared" ca="1" si="101"/>
        <v>4465517.29</v>
      </c>
      <c r="DN209" s="7">
        <f t="shared" ca="1" si="101"/>
        <v>16131691.48</v>
      </c>
      <c r="DO209" s="7">
        <f t="shared" ca="1" si="101"/>
        <v>39148585.710000001</v>
      </c>
      <c r="DP209" s="7">
        <f t="shared" ca="1" si="101"/>
        <v>3944329.92</v>
      </c>
      <c r="DQ209" s="7">
        <f t="shared" ca="1" si="101"/>
        <v>11206156.210000001</v>
      </c>
      <c r="DR209" s="7">
        <f t="shared" ca="1" si="101"/>
        <v>16298866.67</v>
      </c>
      <c r="DS209" s="7">
        <f t="shared" ca="1" si="101"/>
        <v>8168663.3300000001</v>
      </c>
      <c r="DT209" s="7">
        <f t="shared" ca="1" si="101"/>
        <v>3719142.57</v>
      </c>
      <c r="DU209" s="7">
        <f t="shared" ca="1" si="101"/>
        <v>5232054.13</v>
      </c>
      <c r="DV209" s="7">
        <f t="shared" ca="1" si="101"/>
        <v>3859097.36</v>
      </c>
      <c r="DW209" s="7">
        <f t="shared" ca="1" si="101"/>
        <v>4744760.09</v>
      </c>
      <c r="DX209" s="7">
        <f t="shared" ca="1" si="101"/>
        <v>3840661.72</v>
      </c>
      <c r="DY209" s="7">
        <f t="shared" ca="1" si="101"/>
        <v>5057136.2699999996</v>
      </c>
      <c r="DZ209" s="7">
        <f t="shared" ca="1" si="101"/>
        <v>9110888.5899999999</v>
      </c>
      <c r="EA209" s="7">
        <f t="shared" ca="1" si="101"/>
        <v>7254323.7199999997</v>
      </c>
      <c r="EB209" s="7">
        <f t="shared" ca="1" si="101"/>
        <v>7058255.5300000003</v>
      </c>
      <c r="EC209" s="7">
        <f t="shared" ca="1" si="101"/>
        <v>4262123.83</v>
      </c>
      <c r="ED209" s="7">
        <f t="shared" ca="1" si="101"/>
        <v>23670186.300000001</v>
      </c>
      <c r="EE209" s="7">
        <f t="shared" ca="1" si="101"/>
        <v>3697798.33</v>
      </c>
      <c r="EF209" s="7">
        <f t="shared" ca="1" si="101"/>
        <v>16437407.48</v>
      </c>
      <c r="EG209" s="7">
        <f t="shared" ca="1" si="101"/>
        <v>4201462.91</v>
      </c>
      <c r="EH209" s="7">
        <f t="shared" ca="1" si="101"/>
        <v>4139475.05</v>
      </c>
      <c r="EI209" s="7">
        <f t="shared" ca="1" si="101"/>
        <v>165036105.41</v>
      </c>
      <c r="EJ209" s="7">
        <f t="shared" ca="1" si="101"/>
        <v>112321724.81999999</v>
      </c>
      <c r="EK209" s="7">
        <f t="shared" ca="1" si="101"/>
        <v>8377510.4299999997</v>
      </c>
      <c r="EL209" s="7">
        <f t="shared" ca="1" si="101"/>
        <v>5920711.1200000001</v>
      </c>
      <c r="EM209" s="7">
        <f t="shared" ca="1" si="101"/>
        <v>5568998.7000000002</v>
      </c>
      <c r="EN209" s="7">
        <f t="shared" ca="1" si="101"/>
        <v>11739524.15</v>
      </c>
      <c r="EO209" s="7">
        <f t="shared" ca="1" si="101"/>
        <v>4697206.25</v>
      </c>
      <c r="EP209" s="7">
        <f t="shared" ca="1" si="101"/>
        <v>6266634.3499999996</v>
      </c>
      <c r="EQ209" s="7">
        <f t="shared" ca="1" si="101"/>
        <v>30779418.77</v>
      </c>
      <c r="ER209" s="7">
        <f t="shared" ca="1" si="101"/>
        <v>5098535.12</v>
      </c>
      <c r="ES209" s="7">
        <f t="shared" ca="1" si="101"/>
        <v>3233873.99</v>
      </c>
      <c r="ET209" s="7">
        <f t="shared" ca="1" si="101"/>
        <v>4323984.95</v>
      </c>
      <c r="EU209" s="7">
        <f t="shared" ca="1" si="101"/>
        <v>7937465.6299999999</v>
      </c>
      <c r="EV209" s="7">
        <f t="shared" ca="1" si="101"/>
        <v>1820825.07</v>
      </c>
      <c r="EW209" s="7">
        <f t="shared" ca="1" si="101"/>
        <v>13213331.52</v>
      </c>
      <c r="EX209" s="7">
        <f t="shared" ca="1" si="101"/>
        <v>3796255.38</v>
      </c>
      <c r="EY209" s="7">
        <f t="shared" ca="1" si="101"/>
        <v>7789479.54</v>
      </c>
      <c r="EZ209" s="7">
        <f t="shared" ca="1" si="101"/>
        <v>2832075.44</v>
      </c>
      <c r="FA209" s="7">
        <f t="shared" ca="1" si="101"/>
        <v>42371307.009999998</v>
      </c>
      <c r="FB209" s="7">
        <f t="shared" ca="1" si="101"/>
        <v>4725642.22</v>
      </c>
      <c r="FC209" s="7">
        <f t="shared" ca="1" si="101"/>
        <v>21034174.359999999</v>
      </c>
      <c r="FD209" s="7">
        <f t="shared" ca="1" si="101"/>
        <v>5756293.1100000003</v>
      </c>
      <c r="FE209" s="7">
        <f t="shared" ca="1" si="101"/>
        <v>1943548.82</v>
      </c>
      <c r="FF209" s="7">
        <f t="shared" ca="1" si="101"/>
        <v>3626088.86</v>
      </c>
      <c r="FG209" s="7">
        <f t="shared" ca="1" si="101"/>
        <v>2723830.37</v>
      </c>
      <c r="FH209" s="7">
        <f t="shared" ca="1" si="101"/>
        <v>1733713.75</v>
      </c>
      <c r="FI209" s="7">
        <f t="shared" ca="1" si="101"/>
        <v>20113339.559999999</v>
      </c>
      <c r="FJ209" s="7">
        <f t="shared" ca="1" si="101"/>
        <v>22788809.449999999</v>
      </c>
      <c r="FK209" s="7">
        <f t="shared" ca="1" si="101"/>
        <v>29364064.73</v>
      </c>
      <c r="FL209" s="7">
        <f t="shared" ca="1" si="101"/>
        <v>94205094.510000005</v>
      </c>
      <c r="FM209" s="7">
        <f t="shared" ca="1" si="101"/>
        <v>44650077.299999997</v>
      </c>
      <c r="FN209" s="7">
        <f t="shared" ca="1" si="101"/>
        <v>265890615.19</v>
      </c>
      <c r="FO209" s="7">
        <f t="shared" ca="1" si="101"/>
        <v>13577166.73</v>
      </c>
      <c r="FP209" s="7">
        <f t="shared" ca="1" si="101"/>
        <v>27744967.73</v>
      </c>
      <c r="FQ209" s="7">
        <f t="shared" ca="1" si="101"/>
        <v>12182410.699999999</v>
      </c>
      <c r="FR209" s="7">
        <f t="shared" ca="1" si="101"/>
        <v>3435866.08</v>
      </c>
      <c r="FS209" s="7">
        <f t="shared" ca="1" si="101"/>
        <v>3314210.28</v>
      </c>
      <c r="FT209" s="7">
        <f t="shared" ca="1" si="101"/>
        <v>1501251.86</v>
      </c>
      <c r="FU209" s="7">
        <f t="shared" ca="1" si="101"/>
        <v>10744488.050000001</v>
      </c>
      <c r="FV209" s="7">
        <f t="shared" ca="1" si="101"/>
        <v>8988907.5199999996</v>
      </c>
      <c r="FW209" s="7">
        <f t="shared" ca="1" si="101"/>
        <v>3182002.66</v>
      </c>
      <c r="FX209" s="7">
        <f t="shared" ca="1" si="101"/>
        <v>1733886.38</v>
      </c>
      <c r="FY209" s="31"/>
      <c r="FZ209" s="7">
        <f ca="1">SUM(C209:FX209)</f>
        <v>9950043158.9799995</v>
      </c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</row>
    <row r="210" spans="1:193" ht="15.5" x14ac:dyDescent="0.35">
      <c r="A210" s="7"/>
      <c r="B210" s="7" t="s">
        <v>963</v>
      </c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65"/>
      <c r="GC210" s="65"/>
      <c r="GD210" s="65"/>
      <c r="GE210" s="7"/>
      <c r="GF210" s="7"/>
      <c r="GG210" s="7"/>
      <c r="GH210" s="7"/>
      <c r="GI210" s="7"/>
      <c r="GJ210" s="7"/>
      <c r="GK210" s="7"/>
    </row>
    <row r="211" spans="1:193" ht="15.5" x14ac:dyDescent="0.3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</row>
    <row r="212" spans="1:193" ht="15.5" x14ac:dyDescent="0.35">
      <c r="A212" s="7"/>
      <c r="B212" s="5" t="s">
        <v>964</v>
      </c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</row>
    <row r="213" spans="1:193" ht="15.5" x14ac:dyDescent="0.35">
      <c r="A213" s="12" t="s">
        <v>965</v>
      </c>
      <c r="B213" s="7" t="s">
        <v>966</v>
      </c>
      <c r="C213" s="7">
        <f t="shared" ref="C213:FX213" si="102">ROUND(C40,2)</f>
        <v>11028.65</v>
      </c>
      <c r="D213" s="7">
        <f t="shared" si="102"/>
        <v>11028.65</v>
      </c>
      <c r="E213" s="7">
        <f t="shared" si="102"/>
        <v>11028.65</v>
      </c>
      <c r="F213" s="7">
        <f t="shared" si="102"/>
        <v>11028.65</v>
      </c>
      <c r="G213" s="7">
        <f t="shared" si="102"/>
        <v>11028.65</v>
      </c>
      <c r="H213" s="7">
        <f t="shared" si="102"/>
        <v>11028.65</v>
      </c>
      <c r="I213" s="7">
        <f t="shared" si="102"/>
        <v>11028.65</v>
      </c>
      <c r="J213" s="7">
        <f t="shared" si="102"/>
        <v>11028.65</v>
      </c>
      <c r="K213" s="7">
        <f t="shared" si="102"/>
        <v>11028.65</v>
      </c>
      <c r="L213" s="7">
        <f t="shared" si="102"/>
        <v>11028.65</v>
      </c>
      <c r="M213" s="7">
        <f t="shared" si="102"/>
        <v>11028.65</v>
      </c>
      <c r="N213" s="7">
        <f t="shared" si="102"/>
        <v>11028.65</v>
      </c>
      <c r="O213" s="7">
        <f t="shared" si="102"/>
        <v>11028.65</v>
      </c>
      <c r="P213" s="7">
        <f t="shared" si="102"/>
        <v>11028.65</v>
      </c>
      <c r="Q213" s="7">
        <f t="shared" si="102"/>
        <v>11028.65</v>
      </c>
      <c r="R213" s="7">
        <f t="shared" si="102"/>
        <v>11028.65</v>
      </c>
      <c r="S213" s="7">
        <f t="shared" si="102"/>
        <v>11028.65</v>
      </c>
      <c r="T213" s="7">
        <f t="shared" si="102"/>
        <v>11028.65</v>
      </c>
      <c r="U213" s="7">
        <f t="shared" si="102"/>
        <v>11028.65</v>
      </c>
      <c r="V213" s="7">
        <f t="shared" si="102"/>
        <v>11028.65</v>
      </c>
      <c r="W213" s="7">
        <f t="shared" si="102"/>
        <v>11028.65</v>
      </c>
      <c r="X213" s="7">
        <f t="shared" si="102"/>
        <v>11028.65</v>
      </c>
      <c r="Y213" s="7">
        <f t="shared" si="102"/>
        <v>11028.65</v>
      </c>
      <c r="Z213" s="7">
        <f t="shared" si="102"/>
        <v>11028.65</v>
      </c>
      <c r="AA213" s="7">
        <f t="shared" si="102"/>
        <v>11028.65</v>
      </c>
      <c r="AB213" s="7">
        <f t="shared" si="102"/>
        <v>11028.65</v>
      </c>
      <c r="AC213" s="7">
        <f t="shared" si="102"/>
        <v>11028.65</v>
      </c>
      <c r="AD213" s="7">
        <f t="shared" si="102"/>
        <v>11028.65</v>
      </c>
      <c r="AE213" s="7">
        <f t="shared" si="102"/>
        <v>11028.65</v>
      </c>
      <c r="AF213" s="7">
        <f t="shared" si="102"/>
        <v>11028.65</v>
      </c>
      <c r="AG213" s="7">
        <f t="shared" si="102"/>
        <v>11028.65</v>
      </c>
      <c r="AH213" s="7">
        <f t="shared" si="102"/>
        <v>11028.65</v>
      </c>
      <c r="AI213" s="7">
        <f t="shared" si="102"/>
        <v>11028.65</v>
      </c>
      <c r="AJ213" s="7">
        <f t="shared" si="102"/>
        <v>11028.65</v>
      </c>
      <c r="AK213" s="7">
        <f t="shared" si="102"/>
        <v>11028.65</v>
      </c>
      <c r="AL213" s="7">
        <f t="shared" si="102"/>
        <v>11028.65</v>
      </c>
      <c r="AM213" s="7">
        <f t="shared" si="102"/>
        <v>11028.65</v>
      </c>
      <c r="AN213" s="7">
        <f t="shared" si="102"/>
        <v>11028.65</v>
      </c>
      <c r="AO213" s="7">
        <f t="shared" si="102"/>
        <v>11028.65</v>
      </c>
      <c r="AP213" s="7">
        <f t="shared" si="102"/>
        <v>11028.65</v>
      </c>
      <c r="AQ213" s="7">
        <f t="shared" si="102"/>
        <v>11028.65</v>
      </c>
      <c r="AR213" s="7">
        <f t="shared" si="102"/>
        <v>11028.65</v>
      </c>
      <c r="AS213" s="7">
        <f t="shared" si="102"/>
        <v>11028.65</v>
      </c>
      <c r="AT213" s="7">
        <f t="shared" si="102"/>
        <v>11028.65</v>
      </c>
      <c r="AU213" s="7">
        <f t="shared" si="102"/>
        <v>11028.65</v>
      </c>
      <c r="AV213" s="7">
        <f t="shared" si="102"/>
        <v>11028.65</v>
      </c>
      <c r="AW213" s="7">
        <f t="shared" si="102"/>
        <v>11028.65</v>
      </c>
      <c r="AX213" s="7">
        <f t="shared" si="102"/>
        <v>11028.65</v>
      </c>
      <c r="AY213" s="7">
        <f t="shared" si="102"/>
        <v>11028.65</v>
      </c>
      <c r="AZ213" s="7">
        <f t="shared" si="102"/>
        <v>11028.65</v>
      </c>
      <c r="BA213" s="7">
        <f t="shared" si="102"/>
        <v>11028.65</v>
      </c>
      <c r="BB213" s="7">
        <f t="shared" si="102"/>
        <v>11028.65</v>
      </c>
      <c r="BC213" s="7">
        <f t="shared" si="102"/>
        <v>11028.65</v>
      </c>
      <c r="BD213" s="7">
        <f t="shared" si="102"/>
        <v>11028.65</v>
      </c>
      <c r="BE213" s="7">
        <f t="shared" si="102"/>
        <v>11028.65</v>
      </c>
      <c r="BF213" s="7">
        <f t="shared" si="102"/>
        <v>11028.65</v>
      </c>
      <c r="BG213" s="7">
        <f t="shared" si="102"/>
        <v>11028.65</v>
      </c>
      <c r="BH213" s="7">
        <f t="shared" si="102"/>
        <v>11028.65</v>
      </c>
      <c r="BI213" s="7">
        <f t="shared" si="102"/>
        <v>11028.65</v>
      </c>
      <c r="BJ213" s="7">
        <f t="shared" si="102"/>
        <v>11028.65</v>
      </c>
      <c r="BK213" s="7">
        <f t="shared" si="102"/>
        <v>11028.65</v>
      </c>
      <c r="BL213" s="7">
        <f t="shared" si="102"/>
        <v>11028.65</v>
      </c>
      <c r="BM213" s="7">
        <f t="shared" si="102"/>
        <v>11028.65</v>
      </c>
      <c r="BN213" s="7">
        <f t="shared" si="102"/>
        <v>11028.65</v>
      </c>
      <c r="BO213" s="7">
        <f t="shared" si="102"/>
        <v>11028.65</v>
      </c>
      <c r="BP213" s="7">
        <f t="shared" si="102"/>
        <v>11028.65</v>
      </c>
      <c r="BQ213" s="7">
        <f t="shared" si="102"/>
        <v>11028.65</v>
      </c>
      <c r="BR213" s="7">
        <f t="shared" si="102"/>
        <v>11028.65</v>
      </c>
      <c r="BS213" s="7">
        <f t="shared" si="102"/>
        <v>11028.65</v>
      </c>
      <c r="BT213" s="7">
        <f t="shared" si="102"/>
        <v>11028.65</v>
      </c>
      <c r="BU213" s="7">
        <f t="shared" si="102"/>
        <v>11028.65</v>
      </c>
      <c r="BV213" s="7">
        <f t="shared" si="102"/>
        <v>11028.65</v>
      </c>
      <c r="BW213" s="7">
        <f t="shared" si="102"/>
        <v>11028.65</v>
      </c>
      <c r="BX213" s="7">
        <f t="shared" si="102"/>
        <v>11028.65</v>
      </c>
      <c r="BY213" s="7">
        <f t="shared" si="102"/>
        <v>11028.65</v>
      </c>
      <c r="BZ213" s="7">
        <f t="shared" si="102"/>
        <v>11028.65</v>
      </c>
      <c r="CA213" s="7">
        <f t="shared" si="102"/>
        <v>11028.65</v>
      </c>
      <c r="CB213" s="7">
        <f t="shared" si="102"/>
        <v>11028.65</v>
      </c>
      <c r="CC213" s="7">
        <f t="shared" si="102"/>
        <v>11028.65</v>
      </c>
      <c r="CD213" s="7">
        <f t="shared" si="102"/>
        <v>11028.65</v>
      </c>
      <c r="CE213" s="7">
        <f t="shared" si="102"/>
        <v>11028.65</v>
      </c>
      <c r="CF213" s="7">
        <f t="shared" si="102"/>
        <v>11028.65</v>
      </c>
      <c r="CG213" s="7">
        <f t="shared" si="102"/>
        <v>11028.65</v>
      </c>
      <c r="CH213" s="7">
        <f t="shared" si="102"/>
        <v>11028.65</v>
      </c>
      <c r="CI213" s="7">
        <f t="shared" si="102"/>
        <v>11028.65</v>
      </c>
      <c r="CJ213" s="7">
        <f t="shared" si="102"/>
        <v>11028.65</v>
      </c>
      <c r="CK213" s="7">
        <f t="shared" si="102"/>
        <v>11028.65</v>
      </c>
      <c r="CL213" s="7">
        <f t="shared" si="102"/>
        <v>11028.65</v>
      </c>
      <c r="CM213" s="7">
        <f t="shared" si="102"/>
        <v>11028.65</v>
      </c>
      <c r="CN213" s="7">
        <f t="shared" si="102"/>
        <v>11028.65</v>
      </c>
      <c r="CO213" s="7">
        <f t="shared" si="102"/>
        <v>11028.65</v>
      </c>
      <c r="CP213" s="7">
        <f t="shared" si="102"/>
        <v>11028.65</v>
      </c>
      <c r="CQ213" s="7">
        <f t="shared" si="102"/>
        <v>11028.65</v>
      </c>
      <c r="CR213" s="7">
        <f t="shared" si="102"/>
        <v>11028.65</v>
      </c>
      <c r="CS213" s="7">
        <f t="shared" si="102"/>
        <v>11028.65</v>
      </c>
      <c r="CT213" s="7">
        <f t="shared" si="102"/>
        <v>11028.65</v>
      </c>
      <c r="CU213" s="7">
        <f t="shared" si="102"/>
        <v>11028.65</v>
      </c>
      <c r="CV213" s="7">
        <f t="shared" si="102"/>
        <v>11028.65</v>
      </c>
      <c r="CW213" s="7">
        <f t="shared" si="102"/>
        <v>11028.65</v>
      </c>
      <c r="CX213" s="7">
        <f t="shared" si="102"/>
        <v>11028.65</v>
      </c>
      <c r="CY213" s="7">
        <f t="shared" si="102"/>
        <v>11028.65</v>
      </c>
      <c r="CZ213" s="7">
        <f t="shared" si="102"/>
        <v>11028.65</v>
      </c>
      <c r="DA213" s="7">
        <f t="shared" si="102"/>
        <v>11028.65</v>
      </c>
      <c r="DB213" s="7">
        <f t="shared" si="102"/>
        <v>11028.65</v>
      </c>
      <c r="DC213" s="7">
        <f t="shared" si="102"/>
        <v>11028.65</v>
      </c>
      <c r="DD213" s="7">
        <f t="shared" si="102"/>
        <v>11028.65</v>
      </c>
      <c r="DE213" s="7">
        <f t="shared" si="102"/>
        <v>11028.65</v>
      </c>
      <c r="DF213" s="7">
        <f t="shared" si="102"/>
        <v>11028.65</v>
      </c>
      <c r="DG213" s="7">
        <f t="shared" si="102"/>
        <v>11028.65</v>
      </c>
      <c r="DH213" s="7">
        <f t="shared" si="102"/>
        <v>11028.65</v>
      </c>
      <c r="DI213" s="7">
        <f t="shared" si="102"/>
        <v>11028.65</v>
      </c>
      <c r="DJ213" s="7">
        <f t="shared" si="102"/>
        <v>11028.65</v>
      </c>
      <c r="DK213" s="7">
        <f t="shared" si="102"/>
        <v>11028.65</v>
      </c>
      <c r="DL213" s="7">
        <f t="shared" si="102"/>
        <v>11028.65</v>
      </c>
      <c r="DM213" s="7">
        <f t="shared" si="102"/>
        <v>11028.65</v>
      </c>
      <c r="DN213" s="7">
        <f t="shared" si="102"/>
        <v>11028.65</v>
      </c>
      <c r="DO213" s="7">
        <f t="shared" si="102"/>
        <v>11028.65</v>
      </c>
      <c r="DP213" s="7">
        <f t="shared" si="102"/>
        <v>11028.65</v>
      </c>
      <c r="DQ213" s="7">
        <f t="shared" si="102"/>
        <v>11028.65</v>
      </c>
      <c r="DR213" s="7">
        <f t="shared" si="102"/>
        <v>11028.65</v>
      </c>
      <c r="DS213" s="7">
        <f t="shared" si="102"/>
        <v>11028.65</v>
      </c>
      <c r="DT213" s="7">
        <f t="shared" si="102"/>
        <v>11028.65</v>
      </c>
      <c r="DU213" s="7">
        <f t="shared" si="102"/>
        <v>11028.65</v>
      </c>
      <c r="DV213" s="7">
        <f t="shared" si="102"/>
        <v>11028.65</v>
      </c>
      <c r="DW213" s="7">
        <f t="shared" si="102"/>
        <v>11028.65</v>
      </c>
      <c r="DX213" s="7">
        <f t="shared" si="102"/>
        <v>11028.65</v>
      </c>
      <c r="DY213" s="7">
        <f t="shared" si="102"/>
        <v>11028.65</v>
      </c>
      <c r="DZ213" s="7">
        <f t="shared" si="102"/>
        <v>11028.65</v>
      </c>
      <c r="EA213" s="7">
        <f t="shared" si="102"/>
        <v>11028.65</v>
      </c>
      <c r="EB213" s="7">
        <f t="shared" si="102"/>
        <v>11028.65</v>
      </c>
      <c r="EC213" s="7">
        <f t="shared" si="102"/>
        <v>11028.65</v>
      </c>
      <c r="ED213" s="7">
        <f t="shared" si="102"/>
        <v>11028.65</v>
      </c>
      <c r="EE213" s="7">
        <f t="shared" si="102"/>
        <v>11028.65</v>
      </c>
      <c r="EF213" s="7">
        <f t="shared" si="102"/>
        <v>11028.65</v>
      </c>
      <c r="EG213" s="7">
        <f t="shared" si="102"/>
        <v>11028.65</v>
      </c>
      <c r="EH213" s="7">
        <f t="shared" si="102"/>
        <v>11028.65</v>
      </c>
      <c r="EI213" s="7">
        <f t="shared" si="102"/>
        <v>11028.65</v>
      </c>
      <c r="EJ213" s="7">
        <f t="shared" si="102"/>
        <v>11028.65</v>
      </c>
      <c r="EK213" s="7">
        <f t="shared" si="102"/>
        <v>11028.65</v>
      </c>
      <c r="EL213" s="7">
        <f t="shared" si="102"/>
        <v>11028.65</v>
      </c>
      <c r="EM213" s="7">
        <f t="shared" si="102"/>
        <v>11028.65</v>
      </c>
      <c r="EN213" s="7">
        <f t="shared" si="102"/>
        <v>11028.65</v>
      </c>
      <c r="EO213" s="7">
        <f t="shared" si="102"/>
        <v>11028.65</v>
      </c>
      <c r="EP213" s="7">
        <f t="shared" si="102"/>
        <v>11028.65</v>
      </c>
      <c r="EQ213" s="7">
        <f t="shared" si="102"/>
        <v>11028.65</v>
      </c>
      <c r="ER213" s="7">
        <f t="shared" si="102"/>
        <v>11028.65</v>
      </c>
      <c r="ES213" s="7">
        <f t="shared" si="102"/>
        <v>11028.65</v>
      </c>
      <c r="ET213" s="7">
        <f t="shared" si="102"/>
        <v>11028.65</v>
      </c>
      <c r="EU213" s="7">
        <f t="shared" si="102"/>
        <v>11028.65</v>
      </c>
      <c r="EV213" s="7">
        <f t="shared" si="102"/>
        <v>11028.65</v>
      </c>
      <c r="EW213" s="7">
        <f t="shared" si="102"/>
        <v>11028.65</v>
      </c>
      <c r="EX213" s="7">
        <f t="shared" si="102"/>
        <v>11028.65</v>
      </c>
      <c r="EY213" s="7">
        <f t="shared" si="102"/>
        <v>11028.65</v>
      </c>
      <c r="EZ213" s="7">
        <f t="shared" si="102"/>
        <v>11028.65</v>
      </c>
      <c r="FA213" s="7">
        <f t="shared" si="102"/>
        <v>11028.65</v>
      </c>
      <c r="FB213" s="7">
        <f t="shared" si="102"/>
        <v>11028.65</v>
      </c>
      <c r="FC213" s="7">
        <f t="shared" si="102"/>
        <v>11028.65</v>
      </c>
      <c r="FD213" s="7">
        <f t="shared" si="102"/>
        <v>11028.65</v>
      </c>
      <c r="FE213" s="7">
        <f t="shared" si="102"/>
        <v>11028.65</v>
      </c>
      <c r="FF213" s="7">
        <f t="shared" si="102"/>
        <v>11028.65</v>
      </c>
      <c r="FG213" s="7">
        <f t="shared" si="102"/>
        <v>11028.65</v>
      </c>
      <c r="FH213" s="7">
        <f t="shared" si="102"/>
        <v>11028.65</v>
      </c>
      <c r="FI213" s="7">
        <f t="shared" si="102"/>
        <v>11028.65</v>
      </c>
      <c r="FJ213" s="7">
        <f t="shared" si="102"/>
        <v>11028.65</v>
      </c>
      <c r="FK213" s="7">
        <f t="shared" si="102"/>
        <v>11028.65</v>
      </c>
      <c r="FL213" s="7">
        <f t="shared" si="102"/>
        <v>11028.65</v>
      </c>
      <c r="FM213" s="7">
        <f t="shared" si="102"/>
        <v>11028.65</v>
      </c>
      <c r="FN213" s="7">
        <f t="shared" si="102"/>
        <v>11028.65</v>
      </c>
      <c r="FO213" s="7">
        <f t="shared" si="102"/>
        <v>11028.65</v>
      </c>
      <c r="FP213" s="7">
        <f t="shared" si="102"/>
        <v>11028.65</v>
      </c>
      <c r="FQ213" s="7">
        <f t="shared" si="102"/>
        <v>11028.65</v>
      </c>
      <c r="FR213" s="7">
        <f t="shared" si="102"/>
        <v>11028.65</v>
      </c>
      <c r="FS213" s="7">
        <f t="shared" si="102"/>
        <v>11028.65</v>
      </c>
      <c r="FT213" s="7">
        <f t="shared" si="102"/>
        <v>11028.65</v>
      </c>
      <c r="FU213" s="7">
        <f t="shared" si="102"/>
        <v>11028.65</v>
      </c>
      <c r="FV213" s="7">
        <f t="shared" si="102"/>
        <v>11028.65</v>
      </c>
      <c r="FW213" s="7">
        <f t="shared" si="102"/>
        <v>11028.65</v>
      </c>
      <c r="FX213" s="7">
        <f t="shared" si="102"/>
        <v>11028.65</v>
      </c>
      <c r="FY213" s="7"/>
      <c r="FZ213" s="7">
        <f t="shared" ref="FZ213:FZ219" si="103">SUM(C213:FX213)</f>
        <v>1963099.6999999939</v>
      </c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</row>
    <row r="214" spans="1:193" ht="15.5" x14ac:dyDescent="0.35">
      <c r="A214" s="12" t="s">
        <v>967</v>
      </c>
      <c r="B214" s="7" t="s">
        <v>968</v>
      </c>
      <c r="C214" s="23">
        <f t="shared" ref="C214:FX214" si="104">ROUND(C96,1)</f>
        <v>6384.5</v>
      </c>
      <c r="D214" s="23">
        <f t="shared" si="104"/>
        <v>38102.400000000001</v>
      </c>
      <c r="E214" s="23">
        <f t="shared" si="104"/>
        <v>5738</v>
      </c>
      <c r="F214" s="23">
        <f t="shared" si="104"/>
        <v>22398.6</v>
      </c>
      <c r="G214" s="23">
        <f t="shared" si="104"/>
        <v>1844</v>
      </c>
      <c r="H214" s="23">
        <f t="shared" si="104"/>
        <v>1095.7</v>
      </c>
      <c r="I214" s="23">
        <f t="shared" si="104"/>
        <v>8056</v>
      </c>
      <c r="J214" s="23">
        <f t="shared" si="104"/>
        <v>2066.8000000000002</v>
      </c>
      <c r="K214" s="23">
        <f t="shared" si="104"/>
        <v>251.7</v>
      </c>
      <c r="L214" s="23">
        <f t="shared" si="104"/>
        <v>2133.1</v>
      </c>
      <c r="M214" s="23">
        <f t="shared" si="104"/>
        <v>936.7</v>
      </c>
      <c r="N214" s="23">
        <f t="shared" si="104"/>
        <v>50452.1</v>
      </c>
      <c r="O214" s="23">
        <f t="shared" si="104"/>
        <v>12808.4</v>
      </c>
      <c r="P214" s="23">
        <f t="shared" si="104"/>
        <v>315.3</v>
      </c>
      <c r="Q214" s="23">
        <f t="shared" si="104"/>
        <v>39320.800000000003</v>
      </c>
      <c r="R214" s="23">
        <f t="shared" si="104"/>
        <v>481.8</v>
      </c>
      <c r="S214" s="23">
        <f t="shared" si="104"/>
        <v>1591.4</v>
      </c>
      <c r="T214" s="23">
        <f t="shared" si="104"/>
        <v>161.1</v>
      </c>
      <c r="U214" s="23">
        <f t="shared" si="104"/>
        <v>55.5</v>
      </c>
      <c r="V214" s="23">
        <f t="shared" si="104"/>
        <v>256.39999999999998</v>
      </c>
      <c r="W214" s="23">
        <f t="shared" si="104"/>
        <v>58.7</v>
      </c>
      <c r="X214" s="23">
        <f t="shared" si="104"/>
        <v>50</v>
      </c>
      <c r="Y214" s="23">
        <f t="shared" si="104"/>
        <v>423.8</v>
      </c>
      <c r="Z214" s="23">
        <f t="shared" si="104"/>
        <v>231.1</v>
      </c>
      <c r="AA214" s="23">
        <f t="shared" si="104"/>
        <v>30551.4</v>
      </c>
      <c r="AB214" s="23">
        <f t="shared" si="104"/>
        <v>26947.7</v>
      </c>
      <c r="AC214" s="23">
        <f t="shared" si="104"/>
        <v>906.3</v>
      </c>
      <c r="AD214" s="23">
        <f t="shared" si="104"/>
        <v>1435.1</v>
      </c>
      <c r="AE214" s="23">
        <f t="shared" si="104"/>
        <v>97</v>
      </c>
      <c r="AF214" s="23">
        <f t="shared" si="104"/>
        <v>167.5</v>
      </c>
      <c r="AG214" s="23">
        <f t="shared" si="104"/>
        <v>601.1</v>
      </c>
      <c r="AH214" s="23">
        <f t="shared" si="104"/>
        <v>957.7</v>
      </c>
      <c r="AI214" s="23">
        <f t="shared" si="104"/>
        <v>383</v>
      </c>
      <c r="AJ214" s="23">
        <f t="shared" si="104"/>
        <v>181.5</v>
      </c>
      <c r="AK214" s="23">
        <f t="shared" si="104"/>
        <v>165.7</v>
      </c>
      <c r="AL214" s="23">
        <f t="shared" si="104"/>
        <v>288.5</v>
      </c>
      <c r="AM214" s="23">
        <f t="shared" si="104"/>
        <v>352.6</v>
      </c>
      <c r="AN214" s="23">
        <f t="shared" si="104"/>
        <v>299.5</v>
      </c>
      <c r="AO214" s="23">
        <f t="shared" si="104"/>
        <v>4036</v>
      </c>
      <c r="AP214" s="23">
        <f t="shared" si="104"/>
        <v>83959.6</v>
      </c>
      <c r="AQ214" s="23">
        <f t="shared" si="104"/>
        <v>251</v>
      </c>
      <c r="AR214" s="23">
        <f t="shared" si="104"/>
        <v>60695.1</v>
      </c>
      <c r="AS214" s="23">
        <f t="shared" si="104"/>
        <v>6483</v>
      </c>
      <c r="AT214" s="23">
        <f t="shared" si="104"/>
        <v>2360.1999999999998</v>
      </c>
      <c r="AU214" s="23">
        <f t="shared" si="104"/>
        <v>271</v>
      </c>
      <c r="AV214" s="23">
        <f t="shared" si="104"/>
        <v>305.39999999999998</v>
      </c>
      <c r="AW214" s="23">
        <f t="shared" si="104"/>
        <v>255</v>
      </c>
      <c r="AX214" s="23">
        <f t="shared" si="104"/>
        <v>81</v>
      </c>
      <c r="AY214" s="23">
        <f t="shared" si="104"/>
        <v>406.8</v>
      </c>
      <c r="AZ214" s="23">
        <f t="shared" si="104"/>
        <v>12123.4</v>
      </c>
      <c r="BA214" s="23">
        <f t="shared" si="104"/>
        <v>8895.7999999999993</v>
      </c>
      <c r="BB214" s="23">
        <f t="shared" si="104"/>
        <v>7554.3</v>
      </c>
      <c r="BC214" s="23">
        <f t="shared" si="104"/>
        <v>24177.4</v>
      </c>
      <c r="BD214" s="23">
        <f t="shared" si="104"/>
        <v>3633.5</v>
      </c>
      <c r="BE214" s="23">
        <f t="shared" si="104"/>
        <v>1198.7</v>
      </c>
      <c r="BF214" s="23">
        <f t="shared" si="104"/>
        <v>24386.3</v>
      </c>
      <c r="BG214" s="23">
        <f t="shared" si="104"/>
        <v>920.6</v>
      </c>
      <c r="BH214" s="23">
        <f t="shared" si="104"/>
        <v>543.5</v>
      </c>
      <c r="BI214" s="23">
        <f t="shared" si="104"/>
        <v>257.39999999999998</v>
      </c>
      <c r="BJ214" s="23">
        <f t="shared" si="104"/>
        <v>6297.4</v>
      </c>
      <c r="BK214" s="23">
        <f t="shared" si="104"/>
        <v>21864.7</v>
      </c>
      <c r="BL214" s="23">
        <f t="shared" si="104"/>
        <v>74.3</v>
      </c>
      <c r="BM214" s="23">
        <f t="shared" si="104"/>
        <v>340.8</v>
      </c>
      <c r="BN214" s="23">
        <f t="shared" si="104"/>
        <v>3100.1</v>
      </c>
      <c r="BO214" s="23">
        <f t="shared" si="104"/>
        <v>1254.3</v>
      </c>
      <c r="BP214" s="23">
        <f t="shared" si="104"/>
        <v>160.4</v>
      </c>
      <c r="BQ214" s="23">
        <f t="shared" si="104"/>
        <v>5884.7</v>
      </c>
      <c r="BR214" s="23">
        <f t="shared" si="104"/>
        <v>4488.3999999999996</v>
      </c>
      <c r="BS214" s="23">
        <f t="shared" si="104"/>
        <v>1158.0999999999999</v>
      </c>
      <c r="BT214" s="23">
        <f t="shared" si="104"/>
        <v>372.5</v>
      </c>
      <c r="BU214" s="23">
        <f t="shared" si="104"/>
        <v>393.7</v>
      </c>
      <c r="BV214" s="23">
        <f t="shared" si="104"/>
        <v>1245.3</v>
      </c>
      <c r="BW214" s="23">
        <f t="shared" si="104"/>
        <v>2017.5</v>
      </c>
      <c r="BX214" s="23">
        <f t="shared" si="104"/>
        <v>66.5</v>
      </c>
      <c r="BY214" s="23">
        <f t="shared" si="104"/>
        <v>430.7</v>
      </c>
      <c r="BZ214" s="23">
        <f t="shared" si="104"/>
        <v>228</v>
      </c>
      <c r="CA214" s="23">
        <f t="shared" si="104"/>
        <v>146.19999999999999</v>
      </c>
      <c r="CB214" s="23">
        <f t="shared" si="104"/>
        <v>72575.399999999994</v>
      </c>
      <c r="CC214" s="23">
        <f t="shared" si="104"/>
        <v>189.3</v>
      </c>
      <c r="CD214" s="23">
        <f t="shared" si="104"/>
        <v>50</v>
      </c>
      <c r="CE214" s="23">
        <f t="shared" si="104"/>
        <v>158.30000000000001</v>
      </c>
      <c r="CF214" s="23">
        <f t="shared" si="104"/>
        <v>112.5</v>
      </c>
      <c r="CG214" s="23">
        <f t="shared" si="104"/>
        <v>199.9</v>
      </c>
      <c r="CH214" s="23">
        <f t="shared" si="104"/>
        <v>96.5</v>
      </c>
      <c r="CI214" s="23">
        <f t="shared" si="104"/>
        <v>687.9</v>
      </c>
      <c r="CJ214" s="23">
        <f t="shared" si="104"/>
        <v>872.3</v>
      </c>
      <c r="CK214" s="23">
        <f t="shared" si="104"/>
        <v>4888</v>
      </c>
      <c r="CL214" s="23">
        <f t="shared" si="104"/>
        <v>1228.4000000000001</v>
      </c>
      <c r="CM214" s="23">
        <f t="shared" si="104"/>
        <v>685.4</v>
      </c>
      <c r="CN214" s="23">
        <f t="shared" si="104"/>
        <v>30616.799999999999</v>
      </c>
      <c r="CO214" s="23">
        <f t="shared" si="104"/>
        <v>14324.2</v>
      </c>
      <c r="CP214" s="23">
        <f t="shared" si="104"/>
        <v>929.4</v>
      </c>
      <c r="CQ214" s="23">
        <f t="shared" si="104"/>
        <v>770.1</v>
      </c>
      <c r="CR214" s="23">
        <f t="shared" si="104"/>
        <v>215.8</v>
      </c>
      <c r="CS214" s="23">
        <f t="shared" si="104"/>
        <v>285.5</v>
      </c>
      <c r="CT214" s="23">
        <f t="shared" si="104"/>
        <v>113.5</v>
      </c>
      <c r="CU214" s="23">
        <f t="shared" si="104"/>
        <v>71.8</v>
      </c>
      <c r="CV214" s="23">
        <f t="shared" si="104"/>
        <v>50</v>
      </c>
      <c r="CW214" s="23">
        <f t="shared" si="104"/>
        <v>198.7</v>
      </c>
      <c r="CX214" s="23">
        <f t="shared" si="104"/>
        <v>461.4</v>
      </c>
      <c r="CY214" s="23">
        <f t="shared" si="104"/>
        <v>50</v>
      </c>
      <c r="CZ214" s="23">
        <f t="shared" si="104"/>
        <v>1806.8</v>
      </c>
      <c r="DA214" s="23">
        <f t="shared" si="104"/>
        <v>203.5</v>
      </c>
      <c r="DB214" s="23">
        <f t="shared" si="104"/>
        <v>315.8</v>
      </c>
      <c r="DC214" s="23">
        <f t="shared" si="104"/>
        <v>193</v>
      </c>
      <c r="DD214" s="23">
        <f t="shared" si="104"/>
        <v>174.5</v>
      </c>
      <c r="DE214" s="23">
        <f t="shared" si="104"/>
        <v>285.3</v>
      </c>
      <c r="DF214" s="23">
        <f t="shared" si="104"/>
        <v>20790.099999999999</v>
      </c>
      <c r="DG214" s="23">
        <f t="shared" si="104"/>
        <v>93.5</v>
      </c>
      <c r="DH214" s="23">
        <f t="shared" si="104"/>
        <v>1805.4</v>
      </c>
      <c r="DI214" s="23">
        <f t="shared" si="104"/>
        <v>2448.3000000000002</v>
      </c>
      <c r="DJ214" s="23">
        <f t="shared" si="104"/>
        <v>623</v>
      </c>
      <c r="DK214" s="23">
        <f t="shared" si="104"/>
        <v>477.7</v>
      </c>
      <c r="DL214" s="23">
        <f t="shared" si="104"/>
        <v>5694</v>
      </c>
      <c r="DM214" s="23">
        <f t="shared" si="104"/>
        <v>235</v>
      </c>
      <c r="DN214" s="23">
        <f t="shared" si="104"/>
        <v>1294.5</v>
      </c>
      <c r="DO214" s="23">
        <f t="shared" si="104"/>
        <v>3290</v>
      </c>
      <c r="DP214" s="23">
        <f t="shared" si="104"/>
        <v>200</v>
      </c>
      <c r="DQ214" s="23">
        <f t="shared" si="104"/>
        <v>887</v>
      </c>
      <c r="DR214" s="23">
        <f t="shared" si="104"/>
        <v>1315.2</v>
      </c>
      <c r="DS214" s="23">
        <f t="shared" si="104"/>
        <v>599.9</v>
      </c>
      <c r="DT214" s="23">
        <f t="shared" si="104"/>
        <v>176.5</v>
      </c>
      <c r="DU214" s="23">
        <f t="shared" si="104"/>
        <v>351.4</v>
      </c>
      <c r="DV214" s="23">
        <f t="shared" si="104"/>
        <v>208</v>
      </c>
      <c r="DW214" s="23">
        <f t="shared" si="104"/>
        <v>300.2</v>
      </c>
      <c r="DX214" s="23">
        <f t="shared" si="104"/>
        <v>168</v>
      </c>
      <c r="DY214" s="23">
        <f t="shared" si="104"/>
        <v>296.60000000000002</v>
      </c>
      <c r="DZ214" s="23">
        <f t="shared" si="104"/>
        <v>680.8</v>
      </c>
      <c r="EA214" s="23">
        <f t="shared" si="104"/>
        <v>530.6</v>
      </c>
      <c r="EB214" s="23">
        <f t="shared" si="104"/>
        <v>534.4</v>
      </c>
      <c r="EC214" s="23">
        <f t="shared" si="104"/>
        <v>285.10000000000002</v>
      </c>
      <c r="ED214" s="23">
        <f t="shared" si="104"/>
        <v>1561.8</v>
      </c>
      <c r="EE214" s="23">
        <f t="shared" si="104"/>
        <v>191.6</v>
      </c>
      <c r="EF214" s="23">
        <f t="shared" si="104"/>
        <v>1353.2</v>
      </c>
      <c r="EG214" s="23">
        <f t="shared" si="104"/>
        <v>253.5</v>
      </c>
      <c r="EH214" s="23">
        <f t="shared" si="104"/>
        <v>247.4</v>
      </c>
      <c r="EI214" s="23">
        <f t="shared" si="104"/>
        <v>13865.8</v>
      </c>
      <c r="EJ214" s="23">
        <f t="shared" si="104"/>
        <v>9949.7999999999993</v>
      </c>
      <c r="EK214" s="23">
        <f t="shared" si="104"/>
        <v>668.7</v>
      </c>
      <c r="EL214" s="23">
        <f t="shared" si="104"/>
        <v>459.4</v>
      </c>
      <c r="EM214" s="23">
        <f t="shared" si="104"/>
        <v>378.1</v>
      </c>
      <c r="EN214" s="23">
        <f t="shared" si="104"/>
        <v>896.9</v>
      </c>
      <c r="EO214" s="23">
        <f t="shared" si="104"/>
        <v>305.39999999999998</v>
      </c>
      <c r="EP214" s="23">
        <f t="shared" si="104"/>
        <v>428.5</v>
      </c>
      <c r="EQ214" s="23">
        <f t="shared" si="104"/>
        <v>2614.4</v>
      </c>
      <c r="ER214" s="23">
        <f t="shared" si="104"/>
        <v>307.60000000000002</v>
      </c>
      <c r="ES214" s="23">
        <f t="shared" si="104"/>
        <v>163</v>
      </c>
      <c r="ET214" s="23">
        <f t="shared" si="104"/>
        <v>197.5</v>
      </c>
      <c r="EU214" s="23">
        <f t="shared" si="104"/>
        <v>575.29999999999995</v>
      </c>
      <c r="EV214" s="23">
        <f t="shared" si="104"/>
        <v>72.599999999999994</v>
      </c>
      <c r="EW214" s="23">
        <f t="shared" si="104"/>
        <v>819.4</v>
      </c>
      <c r="EX214" s="23">
        <f t="shared" si="104"/>
        <v>173.5</v>
      </c>
      <c r="EY214" s="23">
        <f t="shared" si="104"/>
        <v>206.5</v>
      </c>
      <c r="EZ214" s="23">
        <f t="shared" si="104"/>
        <v>129.30000000000001</v>
      </c>
      <c r="FA214" s="23">
        <f t="shared" si="104"/>
        <v>3385.2</v>
      </c>
      <c r="FB214" s="23">
        <f t="shared" si="104"/>
        <v>288.10000000000002</v>
      </c>
      <c r="FC214" s="23">
        <f t="shared" si="104"/>
        <v>1822.2</v>
      </c>
      <c r="FD214" s="23">
        <f t="shared" si="104"/>
        <v>402</v>
      </c>
      <c r="FE214" s="23">
        <f t="shared" si="104"/>
        <v>79</v>
      </c>
      <c r="FF214" s="23">
        <f t="shared" si="104"/>
        <v>185</v>
      </c>
      <c r="FG214" s="23">
        <f t="shared" si="104"/>
        <v>120.8</v>
      </c>
      <c r="FH214" s="23">
        <f t="shared" si="104"/>
        <v>70</v>
      </c>
      <c r="FI214" s="23">
        <f t="shared" si="104"/>
        <v>1702.5</v>
      </c>
      <c r="FJ214" s="23">
        <f t="shared" si="104"/>
        <v>2016.5</v>
      </c>
      <c r="FK214" s="23">
        <f t="shared" si="104"/>
        <v>2529.1</v>
      </c>
      <c r="FL214" s="23">
        <f t="shared" si="104"/>
        <v>8538.5</v>
      </c>
      <c r="FM214" s="23">
        <f t="shared" si="104"/>
        <v>3981.5</v>
      </c>
      <c r="FN214" s="23">
        <f t="shared" si="104"/>
        <v>22422.3</v>
      </c>
      <c r="FO214" s="23">
        <f t="shared" si="104"/>
        <v>1117.2</v>
      </c>
      <c r="FP214" s="23">
        <f t="shared" si="104"/>
        <v>2341.5</v>
      </c>
      <c r="FQ214" s="23">
        <f t="shared" si="104"/>
        <v>984.9</v>
      </c>
      <c r="FR214" s="23">
        <f t="shared" si="104"/>
        <v>168.1</v>
      </c>
      <c r="FS214" s="23">
        <f t="shared" si="104"/>
        <v>168.3</v>
      </c>
      <c r="FT214" s="23">
        <f t="shared" si="104"/>
        <v>56.5</v>
      </c>
      <c r="FU214" s="23">
        <f t="shared" si="104"/>
        <v>791.1</v>
      </c>
      <c r="FV214" s="23">
        <f t="shared" si="104"/>
        <v>692.7</v>
      </c>
      <c r="FW214" s="23">
        <f t="shared" si="104"/>
        <v>147.5</v>
      </c>
      <c r="FX214" s="23">
        <f t="shared" si="104"/>
        <v>64.5</v>
      </c>
      <c r="FY214" s="7"/>
      <c r="FZ214" s="7">
        <f t="shared" si="103"/>
        <v>816856.50000000047</v>
      </c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</row>
    <row r="215" spans="1:193" ht="15.5" x14ac:dyDescent="0.35">
      <c r="A215" s="12" t="s">
        <v>969</v>
      </c>
      <c r="B215" s="7" t="s">
        <v>970</v>
      </c>
      <c r="C215" s="23">
        <f t="shared" ref="C215:FX215" si="105">C41</f>
        <v>10480</v>
      </c>
      <c r="D215" s="23">
        <f t="shared" si="105"/>
        <v>10480</v>
      </c>
      <c r="E215" s="23">
        <f t="shared" si="105"/>
        <v>10480</v>
      </c>
      <c r="F215" s="23">
        <f t="shared" si="105"/>
        <v>10480</v>
      </c>
      <c r="G215" s="23">
        <f t="shared" si="105"/>
        <v>10480</v>
      </c>
      <c r="H215" s="23">
        <f t="shared" si="105"/>
        <v>10480</v>
      </c>
      <c r="I215" s="23">
        <f t="shared" si="105"/>
        <v>10480</v>
      </c>
      <c r="J215" s="23">
        <f t="shared" si="105"/>
        <v>10480</v>
      </c>
      <c r="K215" s="23">
        <f t="shared" si="105"/>
        <v>10480</v>
      </c>
      <c r="L215" s="23">
        <f t="shared" si="105"/>
        <v>10480</v>
      </c>
      <c r="M215" s="23">
        <f t="shared" si="105"/>
        <v>10480</v>
      </c>
      <c r="N215" s="23">
        <f t="shared" si="105"/>
        <v>10480</v>
      </c>
      <c r="O215" s="23">
        <f t="shared" si="105"/>
        <v>10480</v>
      </c>
      <c r="P215" s="23">
        <f t="shared" si="105"/>
        <v>10480</v>
      </c>
      <c r="Q215" s="23">
        <f t="shared" si="105"/>
        <v>10480</v>
      </c>
      <c r="R215" s="23">
        <f t="shared" si="105"/>
        <v>10480</v>
      </c>
      <c r="S215" s="23">
        <f t="shared" si="105"/>
        <v>10480</v>
      </c>
      <c r="T215" s="23">
        <f t="shared" si="105"/>
        <v>10480</v>
      </c>
      <c r="U215" s="23">
        <f t="shared" si="105"/>
        <v>10480</v>
      </c>
      <c r="V215" s="23">
        <f t="shared" si="105"/>
        <v>10480</v>
      </c>
      <c r="W215" s="23">
        <f t="shared" si="105"/>
        <v>10480</v>
      </c>
      <c r="X215" s="23">
        <f t="shared" si="105"/>
        <v>10480</v>
      </c>
      <c r="Y215" s="23">
        <f t="shared" si="105"/>
        <v>10480</v>
      </c>
      <c r="Z215" s="23">
        <f t="shared" si="105"/>
        <v>10480</v>
      </c>
      <c r="AA215" s="23">
        <f t="shared" si="105"/>
        <v>10480</v>
      </c>
      <c r="AB215" s="23">
        <f t="shared" si="105"/>
        <v>10480</v>
      </c>
      <c r="AC215" s="23">
        <f t="shared" si="105"/>
        <v>10480</v>
      </c>
      <c r="AD215" s="23">
        <f t="shared" si="105"/>
        <v>10480</v>
      </c>
      <c r="AE215" s="23">
        <f t="shared" si="105"/>
        <v>10480</v>
      </c>
      <c r="AF215" s="23">
        <f t="shared" si="105"/>
        <v>10480</v>
      </c>
      <c r="AG215" s="23">
        <f t="shared" si="105"/>
        <v>10480</v>
      </c>
      <c r="AH215" s="23">
        <f t="shared" si="105"/>
        <v>10480</v>
      </c>
      <c r="AI215" s="23">
        <f t="shared" si="105"/>
        <v>10480</v>
      </c>
      <c r="AJ215" s="23">
        <f t="shared" si="105"/>
        <v>10480</v>
      </c>
      <c r="AK215" s="23">
        <f t="shared" si="105"/>
        <v>10480</v>
      </c>
      <c r="AL215" s="23">
        <f t="shared" si="105"/>
        <v>10480</v>
      </c>
      <c r="AM215" s="23">
        <f t="shared" si="105"/>
        <v>10480</v>
      </c>
      <c r="AN215" s="23">
        <f t="shared" si="105"/>
        <v>10480</v>
      </c>
      <c r="AO215" s="23">
        <f t="shared" si="105"/>
        <v>10480</v>
      </c>
      <c r="AP215" s="23">
        <f t="shared" si="105"/>
        <v>10480</v>
      </c>
      <c r="AQ215" s="23">
        <f t="shared" si="105"/>
        <v>10480</v>
      </c>
      <c r="AR215" s="23">
        <f t="shared" si="105"/>
        <v>10480</v>
      </c>
      <c r="AS215" s="23">
        <f t="shared" si="105"/>
        <v>10480</v>
      </c>
      <c r="AT215" s="23">
        <f t="shared" si="105"/>
        <v>10480</v>
      </c>
      <c r="AU215" s="23">
        <f t="shared" si="105"/>
        <v>10480</v>
      </c>
      <c r="AV215" s="23">
        <f t="shared" si="105"/>
        <v>10480</v>
      </c>
      <c r="AW215" s="23">
        <f t="shared" si="105"/>
        <v>10480</v>
      </c>
      <c r="AX215" s="23">
        <f t="shared" si="105"/>
        <v>10480</v>
      </c>
      <c r="AY215" s="23">
        <f t="shared" si="105"/>
        <v>10480</v>
      </c>
      <c r="AZ215" s="23">
        <f t="shared" si="105"/>
        <v>10480</v>
      </c>
      <c r="BA215" s="23">
        <f t="shared" si="105"/>
        <v>10480</v>
      </c>
      <c r="BB215" s="23">
        <f t="shared" si="105"/>
        <v>10480</v>
      </c>
      <c r="BC215" s="23">
        <f t="shared" si="105"/>
        <v>10480</v>
      </c>
      <c r="BD215" s="23">
        <f t="shared" si="105"/>
        <v>10480</v>
      </c>
      <c r="BE215" s="23">
        <f t="shared" si="105"/>
        <v>10480</v>
      </c>
      <c r="BF215" s="23">
        <f t="shared" si="105"/>
        <v>10480</v>
      </c>
      <c r="BG215" s="23">
        <f t="shared" si="105"/>
        <v>10480</v>
      </c>
      <c r="BH215" s="23">
        <f t="shared" si="105"/>
        <v>10480</v>
      </c>
      <c r="BI215" s="23">
        <f t="shared" si="105"/>
        <v>10480</v>
      </c>
      <c r="BJ215" s="23">
        <f t="shared" si="105"/>
        <v>10480</v>
      </c>
      <c r="BK215" s="23">
        <f t="shared" si="105"/>
        <v>10480</v>
      </c>
      <c r="BL215" s="23">
        <f t="shared" si="105"/>
        <v>10480</v>
      </c>
      <c r="BM215" s="23">
        <f t="shared" si="105"/>
        <v>10480</v>
      </c>
      <c r="BN215" s="23">
        <f t="shared" si="105"/>
        <v>10480</v>
      </c>
      <c r="BO215" s="23">
        <f t="shared" si="105"/>
        <v>10480</v>
      </c>
      <c r="BP215" s="23">
        <f t="shared" si="105"/>
        <v>10480</v>
      </c>
      <c r="BQ215" s="23">
        <f t="shared" si="105"/>
        <v>10480</v>
      </c>
      <c r="BR215" s="23">
        <f t="shared" si="105"/>
        <v>10480</v>
      </c>
      <c r="BS215" s="23">
        <f t="shared" si="105"/>
        <v>10480</v>
      </c>
      <c r="BT215" s="23">
        <f t="shared" si="105"/>
        <v>10480</v>
      </c>
      <c r="BU215" s="23">
        <f t="shared" si="105"/>
        <v>10480</v>
      </c>
      <c r="BV215" s="23">
        <f t="shared" si="105"/>
        <v>10480</v>
      </c>
      <c r="BW215" s="23">
        <f t="shared" si="105"/>
        <v>10480</v>
      </c>
      <c r="BX215" s="23">
        <f t="shared" si="105"/>
        <v>10480</v>
      </c>
      <c r="BY215" s="23">
        <f t="shared" si="105"/>
        <v>10480</v>
      </c>
      <c r="BZ215" s="23">
        <f t="shared" si="105"/>
        <v>10480</v>
      </c>
      <c r="CA215" s="23">
        <f t="shared" si="105"/>
        <v>10480</v>
      </c>
      <c r="CB215" s="23">
        <f t="shared" si="105"/>
        <v>10480</v>
      </c>
      <c r="CC215" s="23">
        <f t="shared" si="105"/>
        <v>10480</v>
      </c>
      <c r="CD215" s="23">
        <f t="shared" si="105"/>
        <v>10480</v>
      </c>
      <c r="CE215" s="23">
        <f t="shared" si="105"/>
        <v>10480</v>
      </c>
      <c r="CF215" s="23">
        <f t="shared" si="105"/>
        <v>10480</v>
      </c>
      <c r="CG215" s="23">
        <f t="shared" si="105"/>
        <v>10480</v>
      </c>
      <c r="CH215" s="23">
        <f t="shared" si="105"/>
        <v>10480</v>
      </c>
      <c r="CI215" s="23">
        <f t="shared" si="105"/>
        <v>10480</v>
      </c>
      <c r="CJ215" s="23">
        <f t="shared" si="105"/>
        <v>10480</v>
      </c>
      <c r="CK215" s="23">
        <f t="shared" si="105"/>
        <v>10480</v>
      </c>
      <c r="CL215" s="23">
        <f t="shared" si="105"/>
        <v>10480</v>
      </c>
      <c r="CM215" s="23">
        <f t="shared" si="105"/>
        <v>10480</v>
      </c>
      <c r="CN215" s="23">
        <f t="shared" si="105"/>
        <v>10480</v>
      </c>
      <c r="CO215" s="23">
        <f t="shared" si="105"/>
        <v>10480</v>
      </c>
      <c r="CP215" s="23">
        <f t="shared" si="105"/>
        <v>10480</v>
      </c>
      <c r="CQ215" s="23">
        <f t="shared" si="105"/>
        <v>10480</v>
      </c>
      <c r="CR215" s="23">
        <f t="shared" si="105"/>
        <v>10480</v>
      </c>
      <c r="CS215" s="23">
        <f t="shared" si="105"/>
        <v>10480</v>
      </c>
      <c r="CT215" s="23">
        <f t="shared" si="105"/>
        <v>10480</v>
      </c>
      <c r="CU215" s="23">
        <f t="shared" si="105"/>
        <v>10480</v>
      </c>
      <c r="CV215" s="23">
        <f t="shared" si="105"/>
        <v>10480</v>
      </c>
      <c r="CW215" s="23">
        <f t="shared" si="105"/>
        <v>10480</v>
      </c>
      <c r="CX215" s="23">
        <f t="shared" si="105"/>
        <v>10480</v>
      </c>
      <c r="CY215" s="23">
        <f t="shared" si="105"/>
        <v>10480</v>
      </c>
      <c r="CZ215" s="23">
        <f t="shared" si="105"/>
        <v>10480</v>
      </c>
      <c r="DA215" s="23">
        <f t="shared" si="105"/>
        <v>10480</v>
      </c>
      <c r="DB215" s="23">
        <f t="shared" si="105"/>
        <v>10480</v>
      </c>
      <c r="DC215" s="23">
        <f t="shared" si="105"/>
        <v>10480</v>
      </c>
      <c r="DD215" s="23">
        <f t="shared" si="105"/>
        <v>10480</v>
      </c>
      <c r="DE215" s="23">
        <f t="shared" si="105"/>
        <v>10480</v>
      </c>
      <c r="DF215" s="23">
        <f t="shared" si="105"/>
        <v>10480</v>
      </c>
      <c r="DG215" s="23">
        <f t="shared" si="105"/>
        <v>10480</v>
      </c>
      <c r="DH215" s="23">
        <f t="shared" si="105"/>
        <v>10480</v>
      </c>
      <c r="DI215" s="23">
        <f t="shared" si="105"/>
        <v>10480</v>
      </c>
      <c r="DJ215" s="23">
        <f t="shared" si="105"/>
        <v>10480</v>
      </c>
      <c r="DK215" s="23">
        <f t="shared" si="105"/>
        <v>10480</v>
      </c>
      <c r="DL215" s="23">
        <f t="shared" si="105"/>
        <v>10480</v>
      </c>
      <c r="DM215" s="23">
        <f t="shared" si="105"/>
        <v>10480</v>
      </c>
      <c r="DN215" s="23">
        <f t="shared" si="105"/>
        <v>10480</v>
      </c>
      <c r="DO215" s="23">
        <f t="shared" si="105"/>
        <v>10480</v>
      </c>
      <c r="DP215" s="23">
        <f t="shared" si="105"/>
        <v>10480</v>
      </c>
      <c r="DQ215" s="23">
        <f t="shared" si="105"/>
        <v>10480</v>
      </c>
      <c r="DR215" s="23">
        <f t="shared" si="105"/>
        <v>10480</v>
      </c>
      <c r="DS215" s="23">
        <f t="shared" si="105"/>
        <v>10480</v>
      </c>
      <c r="DT215" s="23">
        <f t="shared" si="105"/>
        <v>10480</v>
      </c>
      <c r="DU215" s="23">
        <f t="shared" si="105"/>
        <v>10480</v>
      </c>
      <c r="DV215" s="23">
        <f t="shared" si="105"/>
        <v>10480</v>
      </c>
      <c r="DW215" s="23">
        <f t="shared" si="105"/>
        <v>10480</v>
      </c>
      <c r="DX215" s="23">
        <f t="shared" si="105"/>
        <v>10480</v>
      </c>
      <c r="DY215" s="23">
        <f t="shared" si="105"/>
        <v>10480</v>
      </c>
      <c r="DZ215" s="23">
        <f t="shared" si="105"/>
        <v>10480</v>
      </c>
      <c r="EA215" s="23">
        <f t="shared" si="105"/>
        <v>10480</v>
      </c>
      <c r="EB215" s="23">
        <f t="shared" si="105"/>
        <v>10480</v>
      </c>
      <c r="EC215" s="23">
        <f t="shared" si="105"/>
        <v>10480</v>
      </c>
      <c r="ED215" s="23">
        <f t="shared" si="105"/>
        <v>10480</v>
      </c>
      <c r="EE215" s="23">
        <f t="shared" si="105"/>
        <v>10480</v>
      </c>
      <c r="EF215" s="23">
        <f t="shared" si="105"/>
        <v>10480</v>
      </c>
      <c r="EG215" s="23">
        <f t="shared" si="105"/>
        <v>10480</v>
      </c>
      <c r="EH215" s="23">
        <f t="shared" si="105"/>
        <v>10480</v>
      </c>
      <c r="EI215" s="23">
        <f t="shared" si="105"/>
        <v>10480</v>
      </c>
      <c r="EJ215" s="23">
        <f t="shared" si="105"/>
        <v>10480</v>
      </c>
      <c r="EK215" s="23">
        <f t="shared" si="105"/>
        <v>10480</v>
      </c>
      <c r="EL215" s="23">
        <f t="shared" si="105"/>
        <v>10480</v>
      </c>
      <c r="EM215" s="23">
        <f t="shared" si="105"/>
        <v>10480</v>
      </c>
      <c r="EN215" s="23">
        <f t="shared" si="105"/>
        <v>10480</v>
      </c>
      <c r="EO215" s="23">
        <f t="shared" si="105"/>
        <v>10480</v>
      </c>
      <c r="EP215" s="23">
        <f t="shared" si="105"/>
        <v>10480</v>
      </c>
      <c r="EQ215" s="23">
        <f t="shared" si="105"/>
        <v>10480</v>
      </c>
      <c r="ER215" s="23">
        <f t="shared" si="105"/>
        <v>10480</v>
      </c>
      <c r="ES215" s="23">
        <f t="shared" si="105"/>
        <v>10480</v>
      </c>
      <c r="ET215" s="23">
        <f t="shared" si="105"/>
        <v>10480</v>
      </c>
      <c r="EU215" s="23">
        <f t="shared" si="105"/>
        <v>10480</v>
      </c>
      <c r="EV215" s="23">
        <f t="shared" si="105"/>
        <v>10480</v>
      </c>
      <c r="EW215" s="23">
        <f t="shared" si="105"/>
        <v>10480</v>
      </c>
      <c r="EX215" s="23">
        <f t="shared" si="105"/>
        <v>10480</v>
      </c>
      <c r="EY215" s="23">
        <f t="shared" si="105"/>
        <v>10480</v>
      </c>
      <c r="EZ215" s="23">
        <f t="shared" si="105"/>
        <v>10480</v>
      </c>
      <c r="FA215" s="23">
        <f t="shared" si="105"/>
        <v>10480</v>
      </c>
      <c r="FB215" s="23">
        <f t="shared" si="105"/>
        <v>10480</v>
      </c>
      <c r="FC215" s="23">
        <f t="shared" si="105"/>
        <v>10480</v>
      </c>
      <c r="FD215" s="23">
        <f t="shared" si="105"/>
        <v>10480</v>
      </c>
      <c r="FE215" s="23">
        <f t="shared" si="105"/>
        <v>10480</v>
      </c>
      <c r="FF215" s="23">
        <f t="shared" si="105"/>
        <v>10480</v>
      </c>
      <c r="FG215" s="23">
        <f t="shared" si="105"/>
        <v>10480</v>
      </c>
      <c r="FH215" s="23">
        <f t="shared" si="105"/>
        <v>10480</v>
      </c>
      <c r="FI215" s="23">
        <f t="shared" si="105"/>
        <v>10480</v>
      </c>
      <c r="FJ215" s="23">
        <f t="shared" si="105"/>
        <v>10480</v>
      </c>
      <c r="FK215" s="23">
        <f t="shared" si="105"/>
        <v>10480</v>
      </c>
      <c r="FL215" s="23">
        <f t="shared" si="105"/>
        <v>10480</v>
      </c>
      <c r="FM215" s="23">
        <f t="shared" si="105"/>
        <v>10480</v>
      </c>
      <c r="FN215" s="23">
        <f t="shared" si="105"/>
        <v>10480</v>
      </c>
      <c r="FO215" s="23">
        <f t="shared" si="105"/>
        <v>10480</v>
      </c>
      <c r="FP215" s="23">
        <f t="shared" si="105"/>
        <v>10480</v>
      </c>
      <c r="FQ215" s="23">
        <f t="shared" si="105"/>
        <v>10480</v>
      </c>
      <c r="FR215" s="23">
        <f t="shared" si="105"/>
        <v>10480</v>
      </c>
      <c r="FS215" s="23">
        <f t="shared" si="105"/>
        <v>10480</v>
      </c>
      <c r="FT215" s="23">
        <f t="shared" si="105"/>
        <v>10480</v>
      </c>
      <c r="FU215" s="23">
        <f t="shared" si="105"/>
        <v>10480</v>
      </c>
      <c r="FV215" s="23">
        <f t="shared" si="105"/>
        <v>10480</v>
      </c>
      <c r="FW215" s="23">
        <f t="shared" si="105"/>
        <v>10480</v>
      </c>
      <c r="FX215" s="23">
        <f t="shared" si="105"/>
        <v>10480</v>
      </c>
      <c r="FY215" s="7"/>
      <c r="FZ215" s="7">
        <f t="shared" si="103"/>
        <v>1865440</v>
      </c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</row>
    <row r="216" spans="1:193" ht="15.5" x14ac:dyDescent="0.35">
      <c r="A216" s="12" t="s">
        <v>971</v>
      </c>
      <c r="B216" s="7" t="s">
        <v>972</v>
      </c>
      <c r="C216" s="50">
        <v>7104</v>
      </c>
      <c r="D216" s="50">
        <v>7104</v>
      </c>
      <c r="E216" s="50">
        <v>7104</v>
      </c>
      <c r="F216" s="50">
        <v>7104</v>
      </c>
      <c r="G216" s="50">
        <v>7104</v>
      </c>
      <c r="H216" s="50">
        <v>7104</v>
      </c>
      <c r="I216" s="50">
        <v>7104</v>
      </c>
      <c r="J216" s="50">
        <v>7104</v>
      </c>
      <c r="K216" s="50">
        <v>7104</v>
      </c>
      <c r="L216" s="50">
        <v>7104</v>
      </c>
      <c r="M216" s="50">
        <v>7104</v>
      </c>
      <c r="N216" s="50">
        <v>7104</v>
      </c>
      <c r="O216" s="50">
        <v>7104</v>
      </c>
      <c r="P216" s="50">
        <v>7104</v>
      </c>
      <c r="Q216" s="50">
        <v>7104</v>
      </c>
      <c r="R216" s="50">
        <v>7104</v>
      </c>
      <c r="S216" s="50">
        <v>7104</v>
      </c>
      <c r="T216" s="50">
        <v>7104</v>
      </c>
      <c r="U216" s="50">
        <v>7104</v>
      </c>
      <c r="V216" s="50">
        <v>7104</v>
      </c>
      <c r="W216" s="50">
        <v>7104</v>
      </c>
      <c r="X216" s="50">
        <v>7104</v>
      </c>
      <c r="Y216" s="50">
        <v>7104</v>
      </c>
      <c r="Z216" s="50">
        <v>7104</v>
      </c>
      <c r="AA216" s="50">
        <v>7104</v>
      </c>
      <c r="AB216" s="50">
        <v>7104</v>
      </c>
      <c r="AC216" s="50">
        <v>7104</v>
      </c>
      <c r="AD216" s="50">
        <v>7104</v>
      </c>
      <c r="AE216" s="50">
        <v>7104</v>
      </c>
      <c r="AF216" s="50">
        <v>7104</v>
      </c>
      <c r="AG216" s="50">
        <v>7104</v>
      </c>
      <c r="AH216" s="50">
        <v>7104</v>
      </c>
      <c r="AI216" s="50">
        <v>7104</v>
      </c>
      <c r="AJ216" s="50">
        <v>7104</v>
      </c>
      <c r="AK216" s="50">
        <v>7104</v>
      </c>
      <c r="AL216" s="50">
        <v>7104</v>
      </c>
      <c r="AM216" s="50">
        <v>7104</v>
      </c>
      <c r="AN216" s="50">
        <v>7104</v>
      </c>
      <c r="AO216" s="50">
        <v>7104</v>
      </c>
      <c r="AP216" s="50">
        <v>7104</v>
      </c>
      <c r="AQ216" s="50">
        <v>7104</v>
      </c>
      <c r="AR216" s="50">
        <v>7104</v>
      </c>
      <c r="AS216" s="50">
        <v>7104</v>
      </c>
      <c r="AT216" s="50">
        <v>7104</v>
      </c>
      <c r="AU216" s="50">
        <v>7104</v>
      </c>
      <c r="AV216" s="50">
        <v>7104</v>
      </c>
      <c r="AW216" s="50">
        <v>7104</v>
      </c>
      <c r="AX216" s="50">
        <v>7104</v>
      </c>
      <c r="AY216" s="50">
        <v>7104</v>
      </c>
      <c r="AZ216" s="50">
        <v>7104</v>
      </c>
      <c r="BA216" s="50">
        <v>7104</v>
      </c>
      <c r="BB216" s="50">
        <v>7104</v>
      </c>
      <c r="BC216" s="50">
        <v>7104</v>
      </c>
      <c r="BD216" s="50">
        <v>7104</v>
      </c>
      <c r="BE216" s="50">
        <v>7104</v>
      </c>
      <c r="BF216" s="50">
        <v>7104</v>
      </c>
      <c r="BG216" s="50">
        <v>7104</v>
      </c>
      <c r="BH216" s="50">
        <v>7104</v>
      </c>
      <c r="BI216" s="50">
        <v>7104</v>
      </c>
      <c r="BJ216" s="50">
        <v>7104</v>
      </c>
      <c r="BK216" s="50">
        <v>7104</v>
      </c>
      <c r="BL216" s="50">
        <v>7104</v>
      </c>
      <c r="BM216" s="50">
        <v>7104</v>
      </c>
      <c r="BN216" s="50">
        <v>7104</v>
      </c>
      <c r="BO216" s="50">
        <v>7104</v>
      </c>
      <c r="BP216" s="50">
        <v>7104</v>
      </c>
      <c r="BQ216" s="50">
        <v>7104</v>
      </c>
      <c r="BR216" s="50">
        <v>7104</v>
      </c>
      <c r="BS216" s="50">
        <v>7104</v>
      </c>
      <c r="BT216" s="50">
        <v>7104</v>
      </c>
      <c r="BU216" s="50">
        <v>7104</v>
      </c>
      <c r="BV216" s="50">
        <v>7104</v>
      </c>
      <c r="BW216" s="50">
        <v>7104</v>
      </c>
      <c r="BX216" s="50">
        <v>7104</v>
      </c>
      <c r="BY216" s="50">
        <v>7104</v>
      </c>
      <c r="BZ216" s="50">
        <v>7104</v>
      </c>
      <c r="CA216" s="50">
        <v>7104</v>
      </c>
      <c r="CB216" s="50">
        <v>7104</v>
      </c>
      <c r="CC216" s="50">
        <v>7104</v>
      </c>
      <c r="CD216" s="50">
        <v>7104</v>
      </c>
      <c r="CE216" s="50">
        <v>7104</v>
      </c>
      <c r="CF216" s="50">
        <v>7104</v>
      </c>
      <c r="CG216" s="50">
        <v>7104</v>
      </c>
      <c r="CH216" s="50">
        <v>7104</v>
      </c>
      <c r="CI216" s="50">
        <v>7104</v>
      </c>
      <c r="CJ216" s="50">
        <v>7104</v>
      </c>
      <c r="CK216" s="50">
        <v>7104</v>
      </c>
      <c r="CL216" s="50">
        <v>7104</v>
      </c>
      <c r="CM216" s="50">
        <v>7104</v>
      </c>
      <c r="CN216" s="50">
        <v>7104</v>
      </c>
      <c r="CO216" s="50">
        <v>7104</v>
      </c>
      <c r="CP216" s="50">
        <v>7104</v>
      </c>
      <c r="CQ216" s="50">
        <v>7104</v>
      </c>
      <c r="CR216" s="50">
        <v>7104</v>
      </c>
      <c r="CS216" s="50">
        <v>7104</v>
      </c>
      <c r="CT216" s="50">
        <v>7104</v>
      </c>
      <c r="CU216" s="50">
        <v>7104</v>
      </c>
      <c r="CV216" s="50">
        <v>7104</v>
      </c>
      <c r="CW216" s="50">
        <v>7104</v>
      </c>
      <c r="CX216" s="50">
        <v>7104</v>
      </c>
      <c r="CY216" s="50">
        <v>7104</v>
      </c>
      <c r="CZ216" s="50">
        <v>7104</v>
      </c>
      <c r="DA216" s="50">
        <v>7104</v>
      </c>
      <c r="DB216" s="50">
        <v>7104</v>
      </c>
      <c r="DC216" s="50">
        <v>7104</v>
      </c>
      <c r="DD216" s="50">
        <v>7104</v>
      </c>
      <c r="DE216" s="50">
        <v>7104</v>
      </c>
      <c r="DF216" s="50">
        <v>7104</v>
      </c>
      <c r="DG216" s="50">
        <v>7104</v>
      </c>
      <c r="DH216" s="50">
        <v>7104</v>
      </c>
      <c r="DI216" s="50">
        <v>7104</v>
      </c>
      <c r="DJ216" s="50">
        <v>7104</v>
      </c>
      <c r="DK216" s="50">
        <v>7104</v>
      </c>
      <c r="DL216" s="50">
        <v>7104</v>
      </c>
      <c r="DM216" s="50">
        <v>7104</v>
      </c>
      <c r="DN216" s="50">
        <v>7104</v>
      </c>
      <c r="DO216" s="50">
        <v>7104</v>
      </c>
      <c r="DP216" s="50">
        <v>7104</v>
      </c>
      <c r="DQ216" s="50">
        <v>7104</v>
      </c>
      <c r="DR216" s="50">
        <v>7104</v>
      </c>
      <c r="DS216" s="50">
        <v>7104</v>
      </c>
      <c r="DT216" s="50">
        <v>7104</v>
      </c>
      <c r="DU216" s="50">
        <v>7104</v>
      </c>
      <c r="DV216" s="50">
        <v>7104</v>
      </c>
      <c r="DW216" s="50">
        <v>7104</v>
      </c>
      <c r="DX216" s="50">
        <v>7104</v>
      </c>
      <c r="DY216" s="50">
        <v>7104</v>
      </c>
      <c r="DZ216" s="50">
        <v>7104</v>
      </c>
      <c r="EA216" s="50">
        <v>7104</v>
      </c>
      <c r="EB216" s="50">
        <v>7104</v>
      </c>
      <c r="EC216" s="50">
        <v>7104</v>
      </c>
      <c r="ED216" s="50">
        <v>7104</v>
      </c>
      <c r="EE216" s="50">
        <v>7104</v>
      </c>
      <c r="EF216" s="50">
        <v>7104</v>
      </c>
      <c r="EG216" s="50">
        <v>7104</v>
      </c>
      <c r="EH216" s="50">
        <v>7104</v>
      </c>
      <c r="EI216" s="50">
        <v>7104</v>
      </c>
      <c r="EJ216" s="50">
        <v>7104</v>
      </c>
      <c r="EK216" s="50">
        <v>7104</v>
      </c>
      <c r="EL216" s="50">
        <v>7104</v>
      </c>
      <c r="EM216" s="50">
        <v>7104</v>
      </c>
      <c r="EN216" s="50">
        <v>7104</v>
      </c>
      <c r="EO216" s="50">
        <v>7104</v>
      </c>
      <c r="EP216" s="50">
        <v>7104</v>
      </c>
      <c r="EQ216" s="50">
        <v>7104</v>
      </c>
      <c r="ER216" s="50">
        <v>7104</v>
      </c>
      <c r="ES216" s="50">
        <v>7104</v>
      </c>
      <c r="ET216" s="50">
        <v>7104</v>
      </c>
      <c r="EU216" s="50">
        <v>7104</v>
      </c>
      <c r="EV216" s="50">
        <v>7104</v>
      </c>
      <c r="EW216" s="50">
        <v>7104</v>
      </c>
      <c r="EX216" s="50">
        <v>7104</v>
      </c>
      <c r="EY216" s="50">
        <v>7104</v>
      </c>
      <c r="EZ216" s="50">
        <v>7104</v>
      </c>
      <c r="FA216" s="50">
        <v>7104</v>
      </c>
      <c r="FB216" s="50">
        <v>7104</v>
      </c>
      <c r="FC216" s="50">
        <v>7104</v>
      </c>
      <c r="FD216" s="50">
        <v>7104</v>
      </c>
      <c r="FE216" s="50">
        <v>7104</v>
      </c>
      <c r="FF216" s="50">
        <v>7104</v>
      </c>
      <c r="FG216" s="50">
        <v>7104</v>
      </c>
      <c r="FH216" s="50">
        <v>7104</v>
      </c>
      <c r="FI216" s="50">
        <v>7104</v>
      </c>
      <c r="FJ216" s="50">
        <v>7104</v>
      </c>
      <c r="FK216" s="50">
        <v>7104</v>
      </c>
      <c r="FL216" s="50">
        <v>7104</v>
      </c>
      <c r="FM216" s="50">
        <v>7104</v>
      </c>
      <c r="FN216" s="50">
        <v>7104</v>
      </c>
      <c r="FO216" s="50">
        <v>7104</v>
      </c>
      <c r="FP216" s="50">
        <v>7104</v>
      </c>
      <c r="FQ216" s="50">
        <v>7104</v>
      </c>
      <c r="FR216" s="50">
        <v>7104</v>
      </c>
      <c r="FS216" s="50">
        <v>7104</v>
      </c>
      <c r="FT216" s="50">
        <v>7104</v>
      </c>
      <c r="FU216" s="50">
        <v>7104</v>
      </c>
      <c r="FV216" s="50">
        <v>7104</v>
      </c>
      <c r="FW216" s="50">
        <v>7104</v>
      </c>
      <c r="FX216" s="50">
        <v>7104</v>
      </c>
      <c r="FY216" s="7"/>
      <c r="FZ216" s="7">
        <f t="shared" si="103"/>
        <v>1264512</v>
      </c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</row>
    <row r="217" spans="1:193" ht="15.5" x14ac:dyDescent="0.35">
      <c r="A217" s="12" t="s">
        <v>973</v>
      </c>
      <c r="B217" s="7" t="s">
        <v>974</v>
      </c>
      <c r="C217" s="23">
        <f t="shared" ref="C217:FX217" si="106">ROUND(C101+C102+C97+C100+C14,1)</f>
        <v>152</v>
      </c>
      <c r="D217" s="23">
        <f t="shared" si="106"/>
        <v>561.5</v>
      </c>
      <c r="E217" s="23">
        <f t="shared" si="106"/>
        <v>0</v>
      </c>
      <c r="F217" s="23">
        <f t="shared" si="106"/>
        <v>2034</v>
      </c>
      <c r="G217" s="23">
        <f t="shared" si="106"/>
        <v>0</v>
      </c>
      <c r="H217" s="23">
        <f t="shared" si="106"/>
        <v>0</v>
      </c>
      <c r="I217" s="23">
        <f t="shared" si="106"/>
        <v>6</v>
      </c>
      <c r="J217" s="23">
        <f t="shared" si="106"/>
        <v>0</v>
      </c>
      <c r="K217" s="23">
        <f t="shared" si="106"/>
        <v>0</v>
      </c>
      <c r="L217" s="23">
        <f t="shared" si="106"/>
        <v>0</v>
      </c>
      <c r="M217" s="23">
        <f t="shared" si="106"/>
        <v>0</v>
      </c>
      <c r="N217" s="23">
        <f t="shared" si="106"/>
        <v>35.5</v>
      </c>
      <c r="O217" s="23">
        <f t="shared" si="106"/>
        <v>8</v>
      </c>
      <c r="P217" s="23">
        <f t="shared" si="106"/>
        <v>0</v>
      </c>
      <c r="Q217" s="23">
        <f t="shared" si="106"/>
        <v>8.5</v>
      </c>
      <c r="R217" s="23">
        <f t="shared" si="106"/>
        <v>6618</v>
      </c>
      <c r="S217" s="23">
        <f t="shared" si="106"/>
        <v>14</v>
      </c>
      <c r="T217" s="23">
        <f t="shared" si="106"/>
        <v>0</v>
      </c>
      <c r="U217" s="23">
        <f t="shared" si="106"/>
        <v>0</v>
      </c>
      <c r="V217" s="23">
        <f t="shared" si="106"/>
        <v>0</v>
      </c>
      <c r="W217" s="23">
        <f t="shared" si="106"/>
        <v>0</v>
      </c>
      <c r="X217" s="23">
        <f t="shared" si="106"/>
        <v>0</v>
      </c>
      <c r="Y217" s="23">
        <f t="shared" si="106"/>
        <v>473.5</v>
      </c>
      <c r="Z217" s="23">
        <f t="shared" si="106"/>
        <v>0</v>
      </c>
      <c r="AA217" s="23">
        <f t="shared" si="106"/>
        <v>385</v>
      </c>
      <c r="AB217" s="23">
        <f t="shared" si="106"/>
        <v>226</v>
      </c>
      <c r="AC217" s="23">
        <f t="shared" si="106"/>
        <v>0</v>
      </c>
      <c r="AD217" s="23">
        <f t="shared" si="106"/>
        <v>0</v>
      </c>
      <c r="AE217" s="23">
        <f t="shared" si="106"/>
        <v>0</v>
      </c>
      <c r="AF217" s="23">
        <f t="shared" si="106"/>
        <v>0</v>
      </c>
      <c r="AG217" s="23">
        <f t="shared" si="106"/>
        <v>0</v>
      </c>
      <c r="AH217" s="23">
        <f t="shared" si="106"/>
        <v>0</v>
      </c>
      <c r="AI217" s="23">
        <f t="shared" si="106"/>
        <v>0</v>
      </c>
      <c r="AJ217" s="23">
        <f t="shared" si="106"/>
        <v>0</v>
      </c>
      <c r="AK217" s="23">
        <f t="shared" si="106"/>
        <v>0</v>
      </c>
      <c r="AL217" s="23">
        <f t="shared" si="106"/>
        <v>0</v>
      </c>
      <c r="AM217" s="23">
        <f t="shared" si="106"/>
        <v>0</v>
      </c>
      <c r="AN217" s="23">
        <f t="shared" si="106"/>
        <v>0</v>
      </c>
      <c r="AO217" s="23">
        <f t="shared" si="106"/>
        <v>370.5</v>
      </c>
      <c r="AP217" s="23">
        <f t="shared" si="106"/>
        <v>610</v>
      </c>
      <c r="AQ217" s="23">
        <f t="shared" si="106"/>
        <v>0.5</v>
      </c>
      <c r="AR217" s="23">
        <f t="shared" si="106"/>
        <v>1313</v>
      </c>
      <c r="AS217" s="23">
        <f t="shared" si="106"/>
        <v>1</v>
      </c>
      <c r="AT217" s="23">
        <f t="shared" si="106"/>
        <v>1</v>
      </c>
      <c r="AU217" s="23">
        <f t="shared" si="106"/>
        <v>0</v>
      </c>
      <c r="AV217" s="23">
        <f t="shared" si="106"/>
        <v>0</v>
      </c>
      <c r="AW217" s="23">
        <f t="shared" si="106"/>
        <v>0</v>
      </c>
      <c r="AX217" s="23">
        <f t="shared" si="106"/>
        <v>0</v>
      </c>
      <c r="AY217" s="23">
        <f t="shared" si="106"/>
        <v>0</v>
      </c>
      <c r="AZ217" s="23">
        <f t="shared" si="106"/>
        <v>98</v>
      </c>
      <c r="BA217" s="23">
        <f t="shared" si="106"/>
        <v>240</v>
      </c>
      <c r="BB217" s="23">
        <f t="shared" si="106"/>
        <v>1</v>
      </c>
      <c r="BC217" s="23">
        <f t="shared" si="106"/>
        <v>496.5</v>
      </c>
      <c r="BD217" s="23">
        <f t="shared" si="106"/>
        <v>0</v>
      </c>
      <c r="BE217" s="23">
        <f t="shared" si="106"/>
        <v>0</v>
      </c>
      <c r="BF217" s="23">
        <f t="shared" si="106"/>
        <v>1196.5</v>
      </c>
      <c r="BG217" s="23">
        <f t="shared" si="106"/>
        <v>0</v>
      </c>
      <c r="BH217" s="23">
        <f t="shared" si="106"/>
        <v>28</v>
      </c>
      <c r="BI217" s="23">
        <f t="shared" si="106"/>
        <v>0</v>
      </c>
      <c r="BJ217" s="23">
        <f t="shared" si="106"/>
        <v>2</v>
      </c>
      <c r="BK217" s="23">
        <f t="shared" si="106"/>
        <v>13201.5</v>
      </c>
      <c r="BL217" s="23">
        <f t="shared" si="106"/>
        <v>2</v>
      </c>
      <c r="BM217" s="23">
        <f t="shared" si="106"/>
        <v>0</v>
      </c>
      <c r="BN217" s="23">
        <f t="shared" si="106"/>
        <v>15</v>
      </c>
      <c r="BO217" s="23">
        <f t="shared" si="106"/>
        <v>0</v>
      </c>
      <c r="BP217" s="23">
        <f t="shared" si="106"/>
        <v>0</v>
      </c>
      <c r="BQ217" s="23">
        <f t="shared" si="106"/>
        <v>1</v>
      </c>
      <c r="BR217" s="23">
        <f t="shared" si="106"/>
        <v>0</v>
      </c>
      <c r="BS217" s="23">
        <f t="shared" si="106"/>
        <v>0</v>
      </c>
      <c r="BT217" s="23">
        <f t="shared" si="106"/>
        <v>0</v>
      </c>
      <c r="BU217" s="23">
        <f t="shared" si="106"/>
        <v>0</v>
      </c>
      <c r="BV217" s="23">
        <f t="shared" si="106"/>
        <v>0</v>
      </c>
      <c r="BW217" s="23">
        <f t="shared" si="106"/>
        <v>0</v>
      </c>
      <c r="BX217" s="23">
        <f t="shared" si="106"/>
        <v>0</v>
      </c>
      <c r="BY217" s="23">
        <f t="shared" si="106"/>
        <v>3</v>
      </c>
      <c r="BZ217" s="23">
        <f t="shared" si="106"/>
        <v>0</v>
      </c>
      <c r="CA217" s="23">
        <f t="shared" si="106"/>
        <v>0</v>
      </c>
      <c r="CB217" s="23">
        <f t="shared" si="106"/>
        <v>834</v>
      </c>
      <c r="CC217" s="23">
        <f t="shared" si="106"/>
        <v>0</v>
      </c>
      <c r="CD217" s="23">
        <f t="shared" si="106"/>
        <v>0</v>
      </c>
      <c r="CE217" s="23">
        <f t="shared" si="106"/>
        <v>0</v>
      </c>
      <c r="CF217" s="23">
        <f t="shared" si="106"/>
        <v>0</v>
      </c>
      <c r="CG217" s="23">
        <f t="shared" si="106"/>
        <v>0</v>
      </c>
      <c r="CH217" s="23">
        <f t="shared" si="106"/>
        <v>0</v>
      </c>
      <c r="CI217" s="23">
        <f t="shared" si="106"/>
        <v>0</v>
      </c>
      <c r="CJ217" s="23">
        <f t="shared" si="106"/>
        <v>1</v>
      </c>
      <c r="CK217" s="23">
        <f t="shared" si="106"/>
        <v>23.5</v>
      </c>
      <c r="CL217" s="23">
        <f t="shared" si="106"/>
        <v>5.5</v>
      </c>
      <c r="CM217" s="23">
        <f t="shared" si="106"/>
        <v>2</v>
      </c>
      <c r="CN217" s="23">
        <f t="shared" si="106"/>
        <v>692.5</v>
      </c>
      <c r="CO217" s="23">
        <f t="shared" si="106"/>
        <v>3</v>
      </c>
      <c r="CP217" s="23">
        <f t="shared" si="106"/>
        <v>2</v>
      </c>
      <c r="CQ217" s="23">
        <f t="shared" si="106"/>
        <v>0</v>
      </c>
      <c r="CR217" s="23">
        <f t="shared" si="106"/>
        <v>0</v>
      </c>
      <c r="CS217" s="23">
        <f t="shared" si="106"/>
        <v>0</v>
      </c>
      <c r="CT217" s="23">
        <f t="shared" si="106"/>
        <v>0</v>
      </c>
      <c r="CU217" s="23">
        <f t="shared" si="106"/>
        <v>396</v>
      </c>
      <c r="CV217" s="23">
        <f t="shared" si="106"/>
        <v>0</v>
      </c>
      <c r="CW217" s="23">
        <f t="shared" si="106"/>
        <v>0</v>
      </c>
      <c r="CX217" s="23">
        <f t="shared" si="106"/>
        <v>0</v>
      </c>
      <c r="CY217" s="23">
        <f t="shared" si="106"/>
        <v>0</v>
      </c>
      <c r="CZ217" s="23">
        <f t="shared" si="106"/>
        <v>0</v>
      </c>
      <c r="DA217" s="23">
        <f t="shared" si="106"/>
        <v>0</v>
      </c>
      <c r="DB217" s="23">
        <f t="shared" si="106"/>
        <v>0</v>
      </c>
      <c r="DC217" s="23">
        <f t="shared" si="106"/>
        <v>0</v>
      </c>
      <c r="DD217" s="23">
        <f t="shared" si="106"/>
        <v>0</v>
      </c>
      <c r="DE217" s="23">
        <f t="shared" si="106"/>
        <v>0</v>
      </c>
      <c r="DF217" s="23">
        <f t="shared" si="106"/>
        <v>30</v>
      </c>
      <c r="DG217" s="23">
        <f t="shared" si="106"/>
        <v>0</v>
      </c>
      <c r="DH217" s="23">
        <f t="shared" si="106"/>
        <v>0</v>
      </c>
      <c r="DI217" s="23">
        <f t="shared" si="106"/>
        <v>4</v>
      </c>
      <c r="DJ217" s="23">
        <f t="shared" si="106"/>
        <v>1</v>
      </c>
      <c r="DK217" s="23">
        <f t="shared" si="106"/>
        <v>1</v>
      </c>
      <c r="DL217" s="23">
        <f t="shared" si="106"/>
        <v>0</v>
      </c>
      <c r="DM217" s="23">
        <f t="shared" si="106"/>
        <v>0</v>
      </c>
      <c r="DN217" s="23">
        <f t="shared" si="106"/>
        <v>0.5</v>
      </c>
      <c r="DO217" s="23">
        <f t="shared" si="106"/>
        <v>1</v>
      </c>
      <c r="DP217" s="23">
        <f t="shared" si="106"/>
        <v>0</v>
      </c>
      <c r="DQ217" s="23">
        <f t="shared" si="106"/>
        <v>0</v>
      </c>
      <c r="DR217" s="23">
        <f t="shared" si="106"/>
        <v>0</v>
      </c>
      <c r="DS217" s="23">
        <f t="shared" si="106"/>
        <v>0</v>
      </c>
      <c r="DT217" s="23">
        <f t="shared" si="106"/>
        <v>0</v>
      </c>
      <c r="DU217" s="23">
        <f t="shared" si="106"/>
        <v>0</v>
      </c>
      <c r="DV217" s="23">
        <f t="shared" si="106"/>
        <v>0</v>
      </c>
      <c r="DW217" s="23">
        <f t="shared" si="106"/>
        <v>0</v>
      </c>
      <c r="DX217" s="23">
        <f t="shared" si="106"/>
        <v>0</v>
      </c>
      <c r="DY217" s="23">
        <f t="shared" si="106"/>
        <v>0</v>
      </c>
      <c r="DZ217" s="23">
        <f t="shared" si="106"/>
        <v>0</v>
      </c>
      <c r="EA217" s="23">
        <f t="shared" si="106"/>
        <v>0</v>
      </c>
      <c r="EB217" s="23">
        <f t="shared" si="106"/>
        <v>0</v>
      </c>
      <c r="EC217" s="23">
        <f t="shared" si="106"/>
        <v>0</v>
      </c>
      <c r="ED217" s="23">
        <f t="shared" si="106"/>
        <v>0</v>
      </c>
      <c r="EE217" s="23">
        <f t="shared" si="106"/>
        <v>0</v>
      </c>
      <c r="EF217" s="23">
        <f t="shared" si="106"/>
        <v>0</v>
      </c>
      <c r="EG217" s="23">
        <f t="shared" si="106"/>
        <v>0</v>
      </c>
      <c r="EH217" s="23">
        <f t="shared" si="106"/>
        <v>0</v>
      </c>
      <c r="EI217" s="23">
        <f t="shared" si="106"/>
        <v>1</v>
      </c>
      <c r="EJ217" s="23">
        <f t="shared" si="106"/>
        <v>210.5</v>
      </c>
      <c r="EK217" s="23">
        <f t="shared" si="106"/>
        <v>0</v>
      </c>
      <c r="EL217" s="23">
        <f t="shared" si="106"/>
        <v>0</v>
      </c>
      <c r="EM217" s="23">
        <f t="shared" si="106"/>
        <v>0</v>
      </c>
      <c r="EN217" s="23">
        <f t="shared" si="106"/>
        <v>43</v>
      </c>
      <c r="EO217" s="23">
        <f t="shared" si="106"/>
        <v>0</v>
      </c>
      <c r="EP217" s="23">
        <f t="shared" si="106"/>
        <v>0</v>
      </c>
      <c r="EQ217" s="23">
        <f t="shared" si="106"/>
        <v>0</v>
      </c>
      <c r="ER217" s="23">
        <f t="shared" si="106"/>
        <v>0</v>
      </c>
      <c r="ES217" s="23">
        <f t="shared" si="106"/>
        <v>0</v>
      </c>
      <c r="ET217" s="23">
        <f t="shared" si="106"/>
        <v>0</v>
      </c>
      <c r="EU217" s="23">
        <f t="shared" si="106"/>
        <v>0</v>
      </c>
      <c r="EV217" s="23">
        <f t="shared" si="106"/>
        <v>0</v>
      </c>
      <c r="EW217" s="23">
        <f t="shared" si="106"/>
        <v>0</v>
      </c>
      <c r="EX217" s="23">
        <f t="shared" si="106"/>
        <v>0</v>
      </c>
      <c r="EY217" s="23">
        <f t="shared" si="106"/>
        <v>450</v>
      </c>
      <c r="EZ217" s="23">
        <f t="shared" si="106"/>
        <v>0</v>
      </c>
      <c r="FA217" s="23">
        <f t="shared" si="106"/>
        <v>0</v>
      </c>
      <c r="FB217" s="23">
        <f t="shared" si="106"/>
        <v>0</v>
      </c>
      <c r="FC217" s="23">
        <f t="shared" si="106"/>
        <v>0</v>
      </c>
      <c r="FD217" s="23">
        <f t="shared" si="106"/>
        <v>0</v>
      </c>
      <c r="FE217" s="23">
        <f t="shared" si="106"/>
        <v>0</v>
      </c>
      <c r="FF217" s="23">
        <f t="shared" si="106"/>
        <v>0</v>
      </c>
      <c r="FG217" s="23">
        <f t="shared" si="106"/>
        <v>0</v>
      </c>
      <c r="FH217" s="23">
        <f t="shared" si="106"/>
        <v>0</v>
      </c>
      <c r="FI217" s="23">
        <f t="shared" si="106"/>
        <v>0</v>
      </c>
      <c r="FJ217" s="23">
        <f t="shared" si="106"/>
        <v>0</v>
      </c>
      <c r="FK217" s="23">
        <f t="shared" si="106"/>
        <v>0</v>
      </c>
      <c r="FL217" s="23">
        <f t="shared" si="106"/>
        <v>0</v>
      </c>
      <c r="FM217" s="23">
        <f t="shared" si="106"/>
        <v>0</v>
      </c>
      <c r="FN217" s="23">
        <f t="shared" si="106"/>
        <v>267.5</v>
      </c>
      <c r="FO217" s="23">
        <f t="shared" si="106"/>
        <v>2</v>
      </c>
      <c r="FP217" s="23">
        <f t="shared" si="106"/>
        <v>0</v>
      </c>
      <c r="FQ217" s="23">
        <f t="shared" si="106"/>
        <v>0</v>
      </c>
      <c r="FR217" s="23">
        <f t="shared" si="106"/>
        <v>0</v>
      </c>
      <c r="FS217" s="23">
        <f t="shared" si="106"/>
        <v>0</v>
      </c>
      <c r="FT217" s="23">
        <f t="shared" si="106"/>
        <v>0</v>
      </c>
      <c r="FU217" s="23">
        <f t="shared" si="106"/>
        <v>0</v>
      </c>
      <c r="FV217" s="23">
        <f t="shared" si="106"/>
        <v>0</v>
      </c>
      <c r="FW217" s="23">
        <f t="shared" si="106"/>
        <v>0</v>
      </c>
      <c r="FX217" s="23">
        <f t="shared" si="106"/>
        <v>0</v>
      </c>
      <c r="FY217" s="23"/>
      <c r="FZ217" s="7">
        <f t="shared" si="103"/>
        <v>31073.5</v>
      </c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</row>
    <row r="218" spans="1:193" ht="15.5" x14ac:dyDescent="0.35">
      <c r="A218" s="12" t="s">
        <v>975</v>
      </c>
      <c r="B218" s="7" t="s">
        <v>976</v>
      </c>
      <c r="C218" s="23">
        <f t="shared" ref="C218:FX218" si="107">C15+C35</f>
        <v>4</v>
      </c>
      <c r="D218" s="23">
        <f t="shared" si="107"/>
        <v>81</v>
      </c>
      <c r="E218" s="23">
        <f t="shared" si="107"/>
        <v>11</v>
      </c>
      <c r="F218" s="23">
        <f t="shared" si="107"/>
        <v>11</v>
      </c>
      <c r="G218" s="23">
        <f t="shared" si="107"/>
        <v>1</v>
      </c>
      <c r="H218" s="23">
        <f t="shared" si="107"/>
        <v>1</v>
      </c>
      <c r="I218" s="23">
        <f t="shared" si="107"/>
        <v>9</v>
      </c>
      <c r="J218" s="23">
        <f t="shared" si="107"/>
        <v>0</v>
      </c>
      <c r="K218" s="23">
        <f t="shared" si="107"/>
        <v>0</v>
      </c>
      <c r="L218" s="23">
        <f t="shared" si="107"/>
        <v>23</v>
      </c>
      <c r="M218" s="23">
        <f t="shared" si="107"/>
        <v>14</v>
      </c>
      <c r="N218" s="23">
        <f t="shared" si="107"/>
        <v>159.5</v>
      </c>
      <c r="O218" s="23">
        <f t="shared" si="107"/>
        <v>98</v>
      </c>
      <c r="P218" s="23">
        <f t="shared" si="107"/>
        <v>0</v>
      </c>
      <c r="Q218" s="23">
        <f t="shared" si="107"/>
        <v>209</v>
      </c>
      <c r="R218" s="23">
        <f t="shared" si="107"/>
        <v>1</v>
      </c>
      <c r="S218" s="23">
        <f t="shared" si="107"/>
        <v>0</v>
      </c>
      <c r="T218" s="23">
        <f t="shared" si="107"/>
        <v>0</v>
      </c>
      <c r="U218" s="23">
        <f t="shared" si="107"/>
        <v>0</v>
      </c>
      <c r="V218" s="23">
        <f t="shared" si="107"/>
        <v>0</v>
      </c>
      <c r="W218" s="23">
        <f t="shared" si="107"/>
        <v>1</v>
      </c>
      <c r="X218" s="23">
        <f t="shared" si="107"/>
        <v>0</v>
      </c>
      <c r="Y218" s="23">
        <f t="shared" si="107"/>
        <v>0</v>
      </c>
      <c r="Z218" s="23">
        <f t="shared" si="107"/>
        <v>0</v>
      </c>
      <c r="AA218" s="23">
        <f t="shared" si="107"/>
        <v>37</v>
      </c>
      <c r="AB218" s="23">
        <f t="shared" si="107"/>
        <v>46.5</v>
      </c>
      <c r="AC218" s="23">
        <f t="shared" si="107"/>
        <v>0</v>
      </c>
      <c r="AD218" s="23">
        <f t="shared" si="107"/>
        <v>6.5</v>
      </c>
      <c r="AE218" s="23">
        <f t="shared" si="107"/>
        <v>0</v>
      </c>
      <c r="AF218" s="23">
        <f t="shared" si="107"/>
        <v>0</v>
      </c>
      <c r="AG218" s="23">
        <f t="shared" si="107"/>
        <v>0</v>
      </c>
      <c r="AH218" s="23">
        <f t="shared" si="107"/>
        <v>0</v>
      </c>
      <c r="AI218" s="23">
        <f t="shared" si="107"/>
        <v>0</v>
      </c>
      <c r="AJ218" s="23">
        <f t="shared" si="107"/>
        <v>0</v>
      </c>
      <c r="AK218" s="23">
        <f t="shared" si="107"/>
        <v>0</v>
      </c>
      <c r="AL218" s="23">
        <f t="shared" si="107"/>
        <v>0</v>
      </c>
      <c r="AM218" s="23">
        <f t="shared" si="107"/>
        <v>0</v>
      </c>
      <c r="AN218" s="23">
        <f t="shared" si="107"/>
        <v>1</v>
      </c>
      <c r="AO218" s="23">
        <f t="shared" si="107"/>
        <v>0</v>
      </c>
      <c r="AP218" s="23">
        <f t="shared" si="107"/>
        <v>191</v>
      </c>
      <c r="AQ218" s="23">
        <f t="shared" si="107"/>
        <v>0</v>
      </c>
      <c r="AR218" s="23">
        <f t="shared" si="107"/>
        <v>155</v>
      </c>
      <c r="AS218" s="23">
        <f t="shared" si="107"/>
        <v>16</v>
      </c>
      <c r="AT218" s="23">
        <f t="shared" si="107"/>
        <v>3</v>
      </c>
      <c r="AU218" s="23">
        <f t="shared" si="107"/>
        <v>0</v>
      </c>
      <c r="AV218" s="23">
        <f t="shared" si="107"/>
        <v>0</v>
      </c>
      <c r="AW218" s="23">
        <f t="shared" si="107"/>
        <v>2</v>
      </c>
      <c r="AX218" s="23">
        <f t="shared" si="107"/>
        <v>0</v>
      </c>
      <c r="AY218" s="23">
        <f t="shared" si="107"/>
        <v>0</v>
      </c>
      <c r="AZ218" s="23">
        <f t="shared" si="107"/>
        <v>1</v>
      </c>
      <c r="BA218" s="23">
        <f t="shared" si="107"/>
        <v>0.5</v>
      </c>
      <c r="BB218" s="23">
        <f t="shared" si="107"/>
        <v>9</v>
      </c>
      <c r="BC218" s="23">
        <f t="shared" si="107"/>
        <v>30</v>
      </c>
      <c r="BD218" s="23">
        <f t="shared" si="107"/>
        <v>4</v>
      </c>
      <c r="BE218" s="23">
        <f t="shared" si="107"/>
        <v>0</v>
      </c>
      <c r="BF218" s="23">
        <f t="shared" si="107"/>
        <v>31.5</v>
      </c>
      <c r="BG218" s="23">
        <f t="shared" si="107"/>
        <v>0</v>
      </c>
      <c r="BH218" s="23">
        <f t="shared" si="107"/>
        <v>12</v>
      </c>
      <c r="BI218" s="23">
        <f t="shared" si="107"/>
        <v>0</v>
      </c>
      <c r="BJ218" s="23">
        <f t="shared" si="107"/>
        <v>15.5</v>
      </c>
      <c r="BK218" s="23">
        <f t="shared" si="107"/>
        <v>83</v>
      </c>
      <c r="BL218" s="23">
        <f t="shared" si="107"/>
        <v>2.5</v>
      </c>
      <c r="BM218" s="23">
        <f t="shared" si="107"/>
        <v>18.5</v>
      </c>
      <c r="BN218" s="23">
        <f t="shared" si="107"/>
        <v>33.5</v>
      </c>
      <c r="BO218" s="23">
        <f t="shared" si="107"/>
        <v>3</v>
      </c>
      <c r="BP218" s="23">
        <f t="shared" si="107"/>
        <v>0</v>
      </c>
      <c r="BQ218" s="23">
        <f t="shared" si="107"/>
        <v>2</v>
      </c>
      <c r="BR218" s="23">
        <f t="shared" si="107"/>
        <v>0</v>
      </c>
      <c r="BS218" s="23">
        <f t="shared" si="107"/>
        <v>0</v>
      </c>
      <c r="BT218" s="23">
        <f t="shared" si="107"/>
        <v>0</v>
      </c>
      <c r="BU218" s="23">
        <f t="shared" si="107"/>
        <v>0</v>
      </c>
      <c r="BV218" s="23">
        <f t="shared" si="107"/>
        <v>0</v>
      </c>
      <c r="BW218" s="23">
        <f t="shared" si="107"/>
        <v>0</v>
      </c>
      <c r="BX218" s="23">
        <f t="shared" si="107"/>
        <v>0</v>
      </c>
      <c r="BY218" s="23">
        <f t="shared" si="107"/>
        <v>0</v>
      </c>
      <c r="BZ218" s="23">
        <f t="shared" si="107"/>
        <v>0</v>
      </c>
      <c r="CA218" s="23">
        <f t="shared" si="107"/>
        <v>0</v>
      </c>
      <c r="CB218" s="23">
        <f t="shared" si="107"/>
        <v>235</v>
      </c>
      <c r="CC218" s="23">
        <f t="shared" si="107"/>
        <v>0</v>
      </c>
      <c r="CD218" s="23">
        <f t="shared" si="107"/>
        <v>0</v>
      </c>
      <c r="CE218" s="23">
        <f t="shared" si="107"/>
        <v>0</v>
      </c>
      <c r="CF218" s="23">
        <f t="shared" si="107"/>
        <v>0</v>
      </c>
      <c r="CG218" s="23">
        <f t="shared" si="107"/>
        <v>0</v>
      </c>
      <c r="CH218" s="23">
        <f t="shared" si="107"/>
        <v>0</v>
      </c>
      <c r="CI218" s="23">
        <f t="shared" si="107"/>
        <v>0</v>
      </c>
      <c r="CJ218" s="23">
        <f t="shared" si="107"/>
        <v>0</v>
      </c>
      <c r="CK218" s="23">
        <f t="shared" si="107"/>
        <v>0</v>
      </c>
      <c r="CL218" s="23">
        <f t="shared" si="107"/>
        <v>4</v>
      </c>
      <c r="CM218" s="23">
        <f t="shared" si="107"/>
        <v>0</v>
      </c>
      <c r="CN218" s="23">
        <f t="shared" si="107"/>
        <v>232</v>
      </c>
      <c r="CO218" s="23">
        <f t="shared" si="107"/>
        <v>69.5</v>
      </c>
      <c r="CP218" s="23">
        <f t="shared" si="107"/>
        <v>3</v>
      </c>
      <c r="CQ218" s="23">
        <f t="shared" si="107"/>
        <v>0</v>
      </c>
      <c r="CR218" s="23">
        <f t="shared" si="107"/>
        <v>0</v>
      </c>
      <c r="CS218" s="23">
        <f t="shared" si="107"/>
        <v>0</v>
      </c>
      <c r="CT218" s="23">
        <f t="shared" si="107"/>
        <v>0</v>
      </c>
      <c r="CU218" s="23">
        <f t="shared" si="107"/>
        <v>2</v>
      </c>
      <c r="CV218" s="23">
        <f t="shared" si="107"/>
        <v>0</v>
      </c>
      <c r="CW218" s="23">
        <f t="shared" si="107"/>
        <v>0</v>
      </c>
      <c r="CX218" s="23">
        <f t="shared" si="107"/>
        <v>0</v>
      </c>
      <c r="CY218" s="23">
        <f t="shared" si="107"/>
        <v>0</v>
      </c>
      <c r="CZ218" s="23">
        <f t="shared" si="107"/>
        <v>0</v>
      </c>
      <c r="DA218" s="23">
        <f t="shared" si="107"/>
        <v>0</v>
      </c>
      <c r="DB218" s="23">
        <f t="shared" si="107"/>
        <v>0</v>
      </c>
      <c r="DC218" s="23">
        <f t="shared" si="107"/>
        <v>0</v>
      </c>
      <c r="DD218" s="23">
        <f t="shared" si="107"/>
        <v>0</v>
      </c>
      <c r="DE218" s="23">
        <f t="shared" si="107"/>
        <v>0</v>
      </c>
      <c r="DF218" s="23">
        <f t="shared" si="107"/>
        <v>18.5</v>
      </c>
      <c r="DG218" s="23">
        <f t="shared" si="107"/>
        <v>0</v>
      </c>
      <c r="DH218" s="23">
        <f t="shared" si="107"/>
        <v>0</v>
      </c>
      <c r="DI218" s="23">
        <f t="shared" si="107"/>
        <v>0</v>
      </c>
      <c r="DJ218" s="23">
        <f t="shared" si="107"/>
        <v>0</v>
      </c>
      <c r="DK218" s="23">
        <f t="shared" si="107"/>
        <v>0</v>
      </c>
      <c r="DL218" s="23">
        <f t="shared" si="107"/>
        <v>0</v>
      </c>
      <c r="DM218" s="23">
        <f t="shared" si="107"/>
        <v>0</v>
      </c>
      <c r="DN218" s="23">
        <f t="shared" si="107"/>
        <v>1</v>
      </c>
      <c r="DO218" s="23">
        <f t="shared" si="107"/>
        <v>0</v>
      </c>
      <c r="DP218" s="23">
        <f t="shared" si="107"/>
        <v>0</v>
      </c>
      <c r="DQ218" s="23">
        <f t="shared" si="107"/>
        <v>1</v>
      </c>
      <c r="DR218" s="23">
        <f t="shared" si="107"/>
        <v>0</v>
      </c>
      <c r="DS218" s="23">
        <f t="shared" si="107"/>
        <v>0</v>
      </c>
      <c r="DT218" s="23">
        <f t="shared" si="107"/>
        <v>0</v>
      </c>
      <c r="DU218" s="23">
        <f t="shared" si="107"/>
        <v>0</v>
      </c>
      <c r="DV218" s="23">
        <f t="shared" si="107"/>
        <v>0</v>
      </c>
      <c r="DW218" s="23">
        <f t="shared" si="107"/>
        <v>0</v>
      </c>
      <c r="DX218" s="23">
        <f t="shared" si="107"/>
        <v>0</v>
      </c>
      <c r="DY218" s="23">
        <f t="shared" si="107"/>
        <v>0</v>
      </c>
      <c r="DZ218" s="23">
        <f t="shared" si="107"/>
        <v>1</v>
      </c>
      <c r="EA218" s="23">
        <f t="shared" si="107"/>
        <v>0</v>
      </c>
      <c r="EB218" s="23">
        <f t="shared" si="107"/>
        <v>0</v>
      </c>
      <c r="EC218" s="23">
        <f t="shared" si="107"/>
        <v>0</v>
      </c>
      <c r="ED218" s="23">
        <f t="shared" si="107"/>
        <v>0</v>
      </c>
      <c r="EE218" s="23">
        <f t="shared" si="107"/>
        <v>0</v>
      </c>
      <c r="EF218" s="23">
        <f t="shared" si="107"/>
        <v>2</v>
      </c>
      <c r="EG218" s="23">
        <f t="shared" si="107"/>
        <v>0</v>
      </c>
      <c r="EH218" s="23">
        <f t="shared" si="107"/>
        <v>0</v>
      </c>
      <c r="EI218" s="23">
        <f t="shared" si="107"/>
        <v>24.5</v>
      </c>
      <c r="EJ218" s="23">
        <f t="shared" si="107"/>
        <v>26</v>
      </c>
      <c r="EK218" s="23">
        <f t="shared" si="107"/>
        <v>0</v>
      </c>
      <c r="EL218" s="23">
        <f t="shared" si="107"/>
        <v>0</v>
      </c>
      <c r="EM218" s="23">
        <f t="shared" si="107"/>
        <v>0</v>
      </c>
      <c r="EN218" s="23">
        <f t="shared" si="107"/>
        <v>0</v>
      </c>
      <c r="EO218" s="23">
        <f t="shared" si="107"/>
        <v>0</v>
      </c>
      <c r="EP218" s="23">
        <f t="shared" si="107"/>
        <v>0</v>
      </c>
      <c r="EQ218" s="23">
        <f t="shared" si="107"/>
        <v>2</v>
      </c>
      <c r="ER218" s="23">
        <f t="shared" si="107"/>
        <v>2</v>
      </c>
      <c r="ES218" s="23">
        <f t="shared" si="107"/>
        <v>0</v>
      </c>
      <c r="ET218" s="23">
        <f t="shared" si="107"/>
        <v>0</v>
      </c>
      <c r="EU218" s="23">
        <f t="shared" si="107"/>
        <v>0</v>
      </c>
      <c r="EV218" s="23">
        <f t="shared" si="107"/>
        <v>0</v>
      </c>
      <c r="EW218" s="23">
        <f t="shared" si="107"/>
        <v>0</v>
      </c>
      <c r="EX218" s="23">
        <f t="shared" si="107"/>
        <v>0</v>
      </c>
      <c r="EY218" s="23">
        <f t="shared" si="107"/>
        <v>0</v>
      </c>
      <c r="EZ218" s="23">
        <f t="shared" si="107"/>
        <v>0</v>
      </c>
      <c r="FA218" s="23">
        <f t="shared" si="107"/>
        <v>12</v>
      </c>
      <c r="FB218" s="23">
        <f t="shared" si="107"/>
        <v>0</v>
      </c>
      <c r="FC218" s="23">
        <f t="shared" si="107"/>
        <v>4</v>
      </c>
      <c r="FD218" s="23">
        <f t="shared" si="107"/>
        <v>0</v>
      </c>
      <c r="FE218" s="23">
        <f t="shared" si="107"/>
        <v>0</v>
      </c>
      <c r="FF218" s="23">
        <f t="shared" si="107"/>
        <v>0</v>
      </c>
      <c r="FG218" s="23">
        <f t="shared" si="107"/>
        <v>0</v>
      </c>
      <c r="FH218" s="23">
        <f t="shared" si="107"/>
        <v>0</v>
      </c>
      <c r="FI218" s="23">
        <f t="shared" si="107"/>
        <v>0</v>
      </c>
      <c r="FJ218" s="23">
        <f t="shared" si="107"/>
        <v>0</v>
      </c>
      <c r="FK218" s="23">
        <f t="shared" si="107"/>
        <v>0</v>
      </c>
      <c r="FL218" s="23">
        <f t="shared" si="107"/>
        <v>0</v>
      </c>
      <c r="FM218" s="23">
        <f t="shared" si="107"/>
        <v>0</v>
      </c>
      <c r="FN218" s="23">
        <f t="shared" si="107"/>
        <v>15.5</v>
      </c>
      <c r="FO218" s="23">
        <f t="shared" si="107"/>
        <v>0</v>
      </c>
      <c r="FP218" s="23">
        <f t="shared" si="107"/>
        <v>0</v>
      </c>
      <c r="FQ218" s="23">
        <f t="shared" si="107"/>
        <v>0</v>
      </c>
      <c r="FR218" s="23">
        <f t="shared" si="107"/>
        <v>0</v>
      </c>
      <c r="FS218" s="23">
        <f t="shared" si="107"/>
        <v>0</v>
      </c>
      <c r="FT218" s="23">
        <f t="shared" si="107"/>
        <v>0</v>
      </c>
      <c r="FU218" s="23">
        <f t="shared" si="107"/>
        <v>0</v>
      </c>
      <c r="FV218" s="23">
        <f t="shared" si="107"/>
        <v>1</v>
      </c>
      <c r="FW218" s="23">
        <f t="shared" si="107"/>
        <v>2</v>
      </c>
      <c r="FX218" s="23">
        <f t="shared" si="107"/>
        <v>0</v>
      </c>
      <c r="FY218" s="23"/>
      <c r="FZ218" s="7">
        <f t="shared" si="103"/>
        <v>1985.5</v>
      </c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</row>
    <row r="219" spans="1:193" ht="15.5" x14ac:dyDescent="0.35">
      <c r="A219" s="12" t="s">
        <v>977</v>
      </c>
      <c r="B219" s="7" t="s">
        <v>978</v>
      </c>
      <c r="C219" s="7">
        <f t="shared" ref="C219:FX219" si="108">ROUND((C213*C214)+(C215*C217)+(C216*C218),2)</f>
        <v>72033791.930000007</v>
      </c>
      <c r="D219" s="7">
        <f t="shared" si="108"/>
        <v>426677977.75999999</v>
      </c>
      <c r="E219" s="7">
        <f t="shared" si="108"/>
        <v>63360537.700000003</v>
      </c>
      <c r="F219" s="7">
        <f t="shared" si="108"/>
        <v>268420783.88999999</v>
      </c>
      <c r="G219" s="7">
        <f t="shared" si="108"/>
        <v>20343934.600000001</v>
      </c>
      <c r="H219" s="7">
        <f t="shared" si="108"/>
        <v>12091195.810000001</v>
      </c>
      <c r="I219" s="7">
        <f t="shared" si="108"/>
        <v>88973620.400000006</v>
      </c>
      <c r="J219" s="7">
        <f t="shared" si="108"/>
        <v>22794013.82</v>
      </c>
      <c r="K219" s="7">
        <f t="shared" si="108"/>
        <v>2775911.21</v>
      </c>
      <c r="L219" s="7">
        <f t="shared" si="108"/>
        <v>23688605.32</v>
      </c>
      <c r="M219" s="7">
        <f t="shared" si="108"/>
        <v>10429992.460000001</v>
      </c>
      <c r="N219" s="7">
        <f t="shared" si="108"/>
        <v>557923680.66999996</v>
      </c>
      <c r="O219" s="7">
        <f t="shared" si="108"/>
        <v>142039392.66</v>
      </c>
      <c r="P219" s="7">
        <f t="shared" si="108"/>
        <v>3477333.35</v>
      </c>
      <c r="Q219" s="7">
        <f t="shared" si="108"/>
        <v>435229156.92000002</v>
      </c>
      <c r="R219" s="7">
        <f t="shared" si="108"/>
        <v>74677347.569999993</v>
      </c>
      <c r="S219" s="7">
        <f t="shared" si="108"/>
        <v>17697713.609999999</v>
      </c>
      <c r="T219" s="7">
        <f t="shared" si="108"/>
        <v>1776715.52</v>
      </c>
      <c r="U219" s="7">
        <f t="shared" si="108"/>
        <v>612090.07999999996</v>
      </c>
      <c r="V219" s="7">
        <f t="shared" si="108"/>
        <v>2827745.86</v>
      </c>
      <c r="W219" s="7">
        <f t="shared" si="108"/>
        <v>654485.76000000001</v>
      </c>
      <c r="X219" s="7">
        <f t="shared" si="108"/>
        <v>551432.5</v>
      </c>
      <c r="Y219" s="7">
        <f t="shared" si="108"/>
        <v>9636221.8699999992</v>
      </c>
      <c r="Z219" s="7">
        <f t="shared" si="108"/>
        <v>2548721.02</v>
      </c>
      <c r="AA219" s="7">
        <f t="shared" si="108"/>
        <v>341238345.61000001</v>
      </c>
      <c r="AB219" s="7">
        <f t="shared" si="108"/>
        <v>299895567.61000001</v>
      </c>
      <c r="AC219" s="7">
        <f t="shared" si="108"/>
        <v>9995265.5</v>
      </c>
      <c r="AD219" s="7">
        <f t="shared" si="108"/>
        <v>15873391.619999999</v>
      </c>
      <c r="AE219" s="7">
        <f t="shared" si="108"/>
        <v>1069779.05</v>
      </c>
      <c r="AF219" s="7">
        <f t="shared" si="108"/>
        <v>1847298.88</v>
      </c>
      <c r="AG219" s="7">
        <f t="shared" si="108"/>
        <v>6629321.5199999996</v>
      </c>
      <c r="AH219" s="7">
        <f t="shared" si="108"/>
        <v>10562138.109999999</v>
      </c>
      <c r="AI219" s="7">
        <f t="shared" si="108"/>
        <v>4223972.95</v>
      </c>
      <c r="AJ219" s="7">
        <f t="shared" si="108"/>
        <v>2001699.98</v>
      </c>
      <c r="AK219" s="7">
        <f t="shared" si="108"/>
        <v>1827447.31</v>
      </c>
      <c r="AL219" s="7">
        <f t="shared" si="108"/>
        <v>3181765.53</v>
      </c>
      <c r="AM219" s="7">
        <f t="shared" si="108"/>
        <v>3888701.99</v>
      </c>
      <c r="AN219" s="7">
        <f t="shared" si="108"/>
        <v>3310184.68</v>
      </c>
      <c r="AO219" s="7">
        <f t="shared" si="108"/>
        <v>48394471.399999999</v>
      </c>
      <c r="AP219" s="7">
        <f t="shared" si="108"/>
        <v>933710706.53999996</v>
      </c>
      <c r="AQ219" s="7">
        <f t="shared" si="108"/>
        <v>2773431.15</v>
      </c>
      <c r="AR219" s="7">
        <f t="shared" si="108"/>
        <v>684246374.62</v>
      </c>
      <c r="AS219" s="7">
        <f t="shared" si="108"/>
        <v>71622881.950000003</v>
      </c>
      <c r="AT219" s="7">
        <f t="shared" si="108"/>
        <v>26061611.73</v>
      </c>
      <c r="AU219" s="7">
        <f t="shared" si="108"/>
        <v>2988764.15</v>
      </c>
      <c r="AV219" s="7">
        <f t="shared" si="108"/>
        <v>3368149.71</v>
      </c>
      <c r="AW219" s="7">
        <f t="shared" si="108"/>
        <v>2826513.75</v>
      </c>
      <c r="AX219" s="7">
        <f t="shared" si="108"/>
        <v>893320.65</v>
      </c>
      <c r="AY219" s="7">
        <f t="shared" si="108"/>
        <v>4486454.82</v>
      </c>
      <c r="AZ219" s="7">
        <f t="shared" si="108"/>
        <v>134738879.41</v>
      </c>
      <c r="BA219" s="7">
        <f t="shared" si="108"/>
        <v>100627416.67</v>
      </c>
      <c r="BB219" s="7">
        <f t="shared" si="108"/>
        <v>83388146.700000003</v>
      </c>
      <c r="BC219" s="7">
        <f t="shared" si="108"/>
        <v>272060522.50999999</v>
      </c>
      <c r="BD219" s="7">
        <f t="shared" si="108"/>
        <v>40101015.780000001</v>
      </c>
      <c r="BE219" s="7">
        <f t="shared" si="108"/>
        <v>13220042.76</v>
      </c>
      <c r="BF219" s="7">
        <f t="shared" si="108"/>
        <v>281711063.5</v>
      </c>
      <c r="BG219" s="7">
        <f t="shared" si="108"/>
        <v>10152975.189999999</v>
      </c>
      <c r="BH219" s="7">
        <f t="shared" si="108"/>
        <v>6372759.2800000003</v>
      </c>
      <c r="BI219" s="7">
        <f t="shared" si="108"/>
        <v>2838774.51</v>
      </c>
      <c r="BJ219" s="7">
        <f t="shared" si="108"/>
        <v>69582892.510000005</v>
      </c>
      <c r="BK219" s="7">
        <f t="shared" si="108"/>
        <v>380079475.66000003</v>
      </c>
      <c r="BL219" s="7">
        <f t="shared" si="108"/>
        <v>858148.7</v>
      </c>
      <c r="BM219" s="7">
        <f t="shared" si="108"/>
        <v>3889987.92</v>
      </c>
      <c r="BN219" s="7">
        <f t="shared" si="108"/>
        <v>34585101.869999997</v>
      </c>
      <c r="BO219" s="7">
        <f t="shared" si="108"/>
        <v>13854547.699999999</v>
      </c>
      <c r="BP219" s="7">
        <f t="shared" si="108"/>
        <v>1768995.46</v>
      </c>
      <c r="BQ219" s="7">
        <f t="shared" si="108"/>
        <v>64924984.659999996</v>
      </c>
      <c r="BR219" s="7">
        <f t="shared" si="108"/>
        <v>49500992.659999996</v>
      </c>
      <c r="BS219" s="7">
        <f t="shared" si="108"/>
        <v>12772279.57</v>
      </c>
      <c r="BT219" s="7">
        <f t="shared" si="108"/>
        <v>4108172.13</v>
      </c>
      <c r="BU219" s="7">
        <f t="shared" si="108"/>
        <v>4341979.51</v>
      </c>
      <c r="BV219" s="7">
        <f t="shared" si="108"/>
        <v>13733977.85</v>
      </c>
      <c r="BW219" s="7">
        <f t="shared" si="108"/>
        <v>22250301.379999999</v>
      </c>
      <c r="BX219" s="7">
        <f t="shared" si="108"/>
        <v>733405.23</v>
      </c>
      <c r="BY219" s="7">
        <f t="shared" si="108"/>
        <v>4781479.5599999996</v>
      </c>
      <c r="BZ219" s="7">
        <f t="shared" si="108"/>
        <v>2514532.2000000002</v>
      </c>
      <c r="CA219" s="7">
        <f t="shared" si="108"/>
        <v>1612388.63</v>
      </c>
      <c r="CB219" s="7">
        <f t="shared" si="108"/>
        <v>810818445.21000004</v>
      </c>
      <c r="CC219" s="7">
        <f t="shared" si="108"/>
        <v>2087723.45</v>
      </c>
      <c r="CD219" s="7">
        <f t="shared" si="108"/>
        <v>551432.5</v>
      </c>
      <c r="CE219" s="7">
        <f t="shared" si="108"/>
        <v>1745835.3</v>
      </c>
      <c r="CF219" s="7">
        <f t="shared" si="108"/>
        <v>1240723.1299999999</v>
      </c>
      <c r="CG219" s="7">
        <f t="shared" si="108"/>
        <v>2204627.14</v>
      </c>
      <c r="CH219" s="7">
        <f t="shared" si="108"/>
        <v>1064264.73</v>
      </c>
      <c r="CI219" s="7">
        <f t="shared" si="108"/>
        <v>7586608.3399999999</v>
      </c>
      <c r="CJ219" s="7">
        <f t="shared" si="108"/>
        <v>9630771.4000000004</v>
      </c>
      <c r="CK219" s="7">
        <f t="shared" si="108"/>
        <v>54154321.200000003</v>
      </c>
      <c r="CL219" s="7">
        <f t="shared" si="108"/>
        <v>13633649.66</v>
      </c>
      <c r="CM219" s="7">
        <f t="shared" si="108"/>
        <v>7579996.71</v>
      </c>
      <c r="CN219" s="7">
        <f t="shared" si="108"/>
        <v>346567499.31999999</v>
      </c>
      <c r="CO219" s="7">
        <f t="shared" si="108"/>
        <v>158501756.33000001</v>
      </c>
      <c r="CP219" s="7">
        <f t="shared" si="108"/>
        <v>10292299.310000001</v>
      </c>
      <c r="CQ219" s="7">
        <f t="shared" si="108"/>
        <v>8493163.3699999992</v>
      </c>
      <c r="CR219" s="7">
        <f t="shared" si="108"/>
        <v>2379982.67</v>
      </c>
      <c r="CS219" s="7">
        <f t="shared" si="108"/>
        <v>3148679.58</v>
      </c>
      <c r="CT219" s="7">
        <f t="shared" si="108"/>
        <v>1251751.78</v>
      </c>
      <c r="CU219" s="7">
        <f t="shared" si="108"/>
        <v>4956145.07</v>
      </c>
      <c r="CV219" s="7">
        <f t="shared" si="108"/>
        <v>551432.5</v>
      </c>
      <c r="CW219" s="7">
        <f t="shared" si="108"/>
        <v>2191392.7599999998</v>
      </c>
      <c r="CX219" s="7">
        <f t="shared" si="108"/>
        <v>5088619.1100000003</v>
      </c>
      <c r="CY219" s="7">
        <f t="shared" si="108"/>
        <v>551432.5</v>
      </c>
      <c r="CZ219" s="7">
        <f t="shared" si="108"/>
        <v>19926564.82</v>
      </c>
      <c r="DA219" s="7">
        <f t="shared" si="108"/>
        <v>2244330.2799999998</v>
      </c>
      <c r="DB219" s="7">
        <f t="shared" si="108"/>
        <v>3482847.67</v>
      </c>
      <c r="DC219" s="7">
        <f t="shared" si="108"/>
        <v>2128529.4500000002</v>
      </c>
      <c r="DD219" s="7">
        <f t="shared" si="108"/>
        <v>1924499.43</v>
      </c>
      <c r="DE219" s="7">
        <f t="shared" si="108"/>
        <v>3146473.85</v>
      </c>
      <c r="DF219" s="7">
        <f t="shared" si="108"/>
        <v>229732560.37</v>
      </c>
      <c r="DG219" s="7">
        <f t="shared" si="108"/>
        <v>1031178.78</v>
      </c>
      <c r="DH219" s="7">
        <f t="shared" si="108"/>
        <v>19911124.710000001</v>
      </c>
      <c r="DI219" s="7">
        <f t="shared" si="108"/>
        <v>27043363.800000001</v>
      </c>
      <c r="DJ219" s="7">
        <f t="shared" si="108"/>
        <v>6881328.9500000002</v>
      </c>
      <c r="DK219" s="7">
        <f t="shared" si="108"/>
        <v>5278866.1100000003</v>
      </c>
      <c r="DL219" s="7">
        <f t="shared" si="108"/>
        <v>62797133.100000001</v>
      </c>
      <c r="DM219" s="7">
        <f t="shared" si="108"/>
        <v>2591732.75</v>
      </c>
      <c r="DN219" s="7">
        <f t="shared" si="108"/>
        <v>14288931.43</v>
      </c>
      <c r="DO219" s="7">
        <f t="shared" si="108"/>
        <v>36294738.5</v>
      </c>
      <c r="DP219" s="7">
        <f t="shared" si="108"/>
        <v>2205730</v>
      </c>
      <c r="DQ219" s="7">
        <f t="shared" si="108"/>
        <v>9789516.5500000007</v>
      </c>
      <c r="DR219" s="7">
        <f t="shared" si="108"/>
        <v>14504880.48</v>
      </c>
      <c r="DS219" s="7">
        <f t="shared" si="108"/>
        <v>6616087.1399999997</v>
      </c>
      <c r="DT219" s="7">
        <f t="shared" si="108"/>
        <v>1946556.73</v>
      </c>
      <c r="DU219" s="7">
        <f t="shared" si="108"/>
        <v>3875467.61</v>
      </c>
      <c r="DV219" s="7">
        <f t="shared" si="108"/>
        <v>2293959.2000000002</v>
      </c>
      <c r="DW219" s="7">
        <f t="shared" si="108"/>
        <v>3310800.73</v>
      </c>
      <c r="DX219" s="7">
        <f t="shared" si="108"/>
        <v>1852813.2</v>
      </c>
      <c r="DY219" s="7">
        <f t="shared" si="108"/>
        <v>3271097.59</v>
      </c>
      <c r="DZ219" s="7">
        <f t="shared" si="108"/>
        <v>7515408.9199999999</v>
      </c>
      <c r="EA219" s="7">
        <f t="shared" si="108"/>
        <v>5851801.6900000004</v>
      </c>
      <c r="EB219" s="7">
        <f t="shared" si="108"/>
        <v>5893710.5599999996</v>
      </c>
      <c r="EC219" s="7">
        <f t="shared" si="108"/>
        <v>3144268.12</v>
      </c>
      <c r="ED219" s="7">
        <f t="shared" si="108"/>
        <v>17224545.57</v>
      </c>
      <c r="EE219" s="7">
        <f t="shared" si="108"/>
        <v>2113089.34</v>
      </c>
      <c r="EF219" s="7">
        <f t="shared" si="108"/>
        <v>14938177.18</v>
      </c>
      <c r="EG219" s="7">
        <f t="shared" si="108"/>
        <v>2795762.78</v>
      </c>
      <c r="EH219" s="7">
        <f t="shared" si="108"/>
        <v>2728488.01</v>
      </c>
      <c r="EI219" s="7">
        <f t="shared" si="108"/>
        <v>153105583.16999999</v>
      </c>
      <c r="EJ219" s="7">
        <f t="shared" si="108"/>
        <v>112123605.77</v>
      </c>
      <c r="EK219" s="7">
        <f t="shared" si="108"/>
        <v>7374858.2599999998</v>
      </c>
      <c r="EL219" s="7">
        <f t="shared" si="108"/>
        <v>5066561.8099999996</v>
      </c>
      <c r="EM219" s="7">
        <f t="shared" si="108"/>
        <v>4169932.57</v>
      </c>
      <c r="EN219" s="7">
        <f t="shared" si="108"/>
        <v>10342236.189999999</v>
      </c>
      <c r="EO219" s="7">
        <f t="shared" si="108"/>
        <v>3368149.71</v>
      </c>
      <c r="EP219" s="7">
        <f t="shared" si="108"/>
        <v>4725776.53</v>
      </c>
      <c r="EQ219" s="7">
        <f t="shared" si="108"/>
        <v>28847510.559999999</v>
      </c>
      <c r="ER219" s="7">
        <f t="shared" si="108"/>
        <v>3406620.74</v>
      </c>
      <c r="ES219" s="7">
        <f t="shared" si="108"/>
        <v>1797669.95</v>
      </c>
      <c r="ET219" s="7">
        <f t="shared" si="108"/>
        <v>2178158.38</v>
      </c>
      <c r="EU219" s="7">
        <f t="shared" si="108"/>
        <v>6344782.3499999996</v>
      </c>
      <c r="EV219" s="7">
        <f t="shared" si="108"/>
        <v>800679.99</v>
      </c>
      <c r="EW219" s="7">
        <f t="shared" si="108"/>
        <v>9036875.8100000005</v>
      </c>
      <c r="EX219" s="7">
        <f t="shared" si="108"/>
        <v>1913470.78</v>
      </c>
      <c r="EY219" s="7">
        <f t="shared" si="108"/>
        <v>6993416.2300000004</v>
      </c>
      <c r="EZ219" s="7">
        <f t="shared" si="108"/>
        <v>1426004.45</v>
      </c>
      <c r="FA219" s="7">
        <f t="shared" si="108"/>
        <v>37419433.979999997</v>
      </c>
      <c r="FB219" s="7">
        <f t="shared" si="108"/>
        <v>3177354.07</v>
      </c>
      <c r="FC219" s="7">
        <f t="shared" si="108"/>
        <v>20124822.030000001</v>
      </c>
      <c r="FD219" s="7">
        <f t="shared" si="108"/>
        <v>4433517.3</v>
      </c>
      <c r="FE219" s="7">
        <f t="shared" si="108"/>
        <v>871263.35</v>
      </c>
      <c r="FF219" s="7">
        <f t="shared" si="108"/>
        <v>2040300.25</v>
      </c>
      <c r="FG219" s="7">
        <f t="shared" si="108"/>
        <v>1332260.92</v>
      </c>
      <c r="FH219" s="7">
        <f t="shared" si="108"/>
        <v>772005.5</v>
      </c>
      <c r="FI219" s="7">
        <f t="shared" si="108"/>
        <v>18776276.629999999</v>
      </c>
      <c r="FJ219" s="7">
        <f t="shared" si="108"/>
        <v>22239272.73</v>
      </c>
      <c r="FK219" s="7">
        <f t="shared" si="108"/>
        <v>27892558.719999999</v>
      </c>
      <c r="FL219" s="7">
        <f t="shared" si="108"/>
        <v>94168128.030000001</v>
      </c>
      <c r="FM219" s="7">
        <f t="shared" si="108"/>
        <v>43910569.979999997</v>
      </c>
      <c r="FN219" s="7">
        <f t="shared" si="108"/>
        <v>250201210.90000001</v>
      </c>
      <c r="FO219" s="7">
        <f t="shared" si="108"/>
        <v>12342167.779999999</v>
      </c>
      <c r="FP219" s="7">
        <f t="shared" si="108"/>
        <v>25823583.98</v>
      </c>
      <c r="FQ219" s="7">
        <f t="shared" si="108"/>
        <v>10862117.390000001</v>
      </c>
      <c r="FR219" s="7">
        <f t="shared" si="108"/>
        <v>1853916.07</v>
      </c>
      <c r="FS219" s="7">
        <f t="shared" si="108"/>
        <v>1856121.8</v>
      </c>
      <c r="FT219" s="7">
        <f t="shared" si="108"/>
        <v>623118.73</v>
      </c>
      <c r="FU219" s="7">
        <f t="shared" si="108"/>
        <v>8724765.0199999996</v>
      </c>
      <c r="FV219" s="7">
        <f t="shared" si="108"/>
        <v>7646649.8600000003</v>
      </c>
      <c r="FW219" s="7">
        <f t="shared" si="108"/>
        <v>1640933.88</v>
      </c>
      <c r="FX219" s="7">
        <f t="shared" si="108"/>
        <v>711347.93</v>
      </c>
      <c r="FY219" s="23"/>
      <c r="FZ219" s="7">
        <f t="shared" si="103"/>
        <v>9348579711.1599922</v>
      </c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</row>
    <row r="220" spans="1:193" ht="15.5" x14ac:dyDescent="0.35">
      <c r="A220" s="12"/>
      <c r="B220" s="7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</row>
    <row r="221" spans="1:193" ht="15.5" x14ac:dyDescent="0.35">
      <c r="A221" s="12" t="s">
        <v>684</v>
      </c>
      <c r="B221" s="5" t="s">
        <v>979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</row>
    <row r="222" spans="1:193" ht="15.5" x14ac:dyDescent="0.35">
      <c r="A222" s="12" t="s">
        <v>980</v>
      </c>
      <c r="B222" s="7" t="s">
        <v>981</v>
      </c>
      <c r="C222" s="7">
        <f ca="1">IFERROR(__xludf.DUMMYFUNCTION("+C128"),68560651.52)</f>
        <v>68560651.519999996</v>
      </c>
      <c r="D222" s="7">
        <f ca="1">IFERROR(__xludf.DUMMYFUNCTION("+D128"),410762123.41)</f>
        <v>410762123.41000003</v>
      </c>
      <c r="E222" s="7">
        <f ca="1">IFERROR(__xludf.DUMMYFUNCTION("+E128"),61074431.97)</f>
        <v>61074431.969999999</v>
      </c>
      <c r="F222" s="7">
        <f ca="1">IFERROR(__xludf.DUMMYFUNCTION("+F128"),239436913.82)</f>
        <v>239436913.81999999</v>
      </c>
      <c r="G222" s="7">
        <f ca="1">IFERROR(__xludf.DUMMYFUNCTION("+G128"),20493814.84)</f>
        <v>20493814.84</v>
      </c>
      <c r="H222" s="7">
        <f ca="1">IFERROR(__xludf.DUMMYFUNCTION("+H128"),12515195.42)</f>
        <v>12515195.42</v>
      </c>
      <c r="I222" s="7">
        <f ca="1">IFERROR(__xludf.DUMMYFUNCTION("+I128"),85888223.75)</f>
        <v>85888223.75</v>
      </c>
      <c r="J222" s="7">
        <f ca="1">IFERROR(__xludf.DUMMYFUNCTION("+J128"),21318540.02)</f>
        <v>21318540.02</v>
      </c>
      <c r="K222" s="7">
        <f ca="1">IFERROR(__xludf.DUMMYFUNCTION("+K128"),3904376.22)</f>
        <v>3904376.22</v>
      </c>
      <c r="L222" s="7">
        <f ca="1">IFERROR(__xludf.DUMMYFUNCTION("+L128"),23804091.41)</f>
        <v>23804091.41</v>
      </c>
      <c r="M222" s="7">
        <f ca="1">IFERROR(__xludf.DUMMYFUNCTION("+M128"),11157191.87)</f>
        <v>11157191.869999999</v>
      </c>
      <c r="N222" s="7">
        <f ca="1">IFERROR(__xludf.DUMMYFUNCTION("+N128"),560243683.13)</f>
        <v>560243683.13</v>
      </c>
      <c r="O222" s="7">
        <f ca="1">IFERROR(__xludf.DUMMYFUNCTION("+O128"),138701501.91)</f>
        <v>138701501.91</v>
      </c>
      <c r="P222" s="7">
        <f ca="1">IFERROR(__xludf.DUMMYFUNCTION("+P128"),4770074.6)</f>
        <v>4770074.5999999996</v>
      </c>
      <c r="Q222" s="7">
        <f ca="1">IFERROR(__xludf.DUMMYFUNCTION("+Q128"),429948307.18)</f>
        <v>429948307.18000001</v>
      </c>
      <c r="R222" s="7">
        <f ca="1">IFERROR(__xludf.DUMMYFUNCTION("+R128"),5135823.37)</f>
        <v>5135823.37</v>
      </c>
      <c r="S222" s="7">
        <f ca="1">IFERROR(__xludf.DUMMYFUNCTION("+S128"),17466506.57)</f>
        <v>17466506.57</v>
      </c>
      <c r="T222" s="7">
        <f ca="1">IFERROR(__xludf.DUMMYFUNCTION("+T128"),2957132.03)</f>
        <v>2957132.03</v>
      </c>
      <c r="U222" s="7">
        <f ca="1">IFERROR(__xludf.DUMMYFUNCTION("+U128"),1214445.92)</f>
        <v>1214445.92</v>
      </c>
      <c r="V222" s="7">
        <f ca="1">IFERROR(__xludf.DUMMYFUNCTION("+V128"),3852307.62)</f>
        <v>3852307.62</v>
      </c>
      <c r="W222" s="7">
        <f ca="1">IFERROR(__xludf.DUMMYFUNCTION("+W128"),1275941.35)</f>
        <v>1275941.3500000001</v>
      </c>
      <c r="X222" s="7">
        <f ca="1">IFERROR(__xludf.DUMMYFUNCTION("+X128"),1102767.57)</f>
        <v>1102767.57</v>
      </c>
      <c r="Y222" s="7">
        <f ca="1">IFERROR(__xludf.DUMMYFUNCTION("+Y128"),4488443.19)</f>
        <v>4488443.1900000004</v>
      </c>
      <c r="Z222" s="7">
        <f ca="1">IFERROR(__xludf.DUMMYFUNCTION("+Z128"),3594866.71)</f>
        <v>3594866.71</v>
      </c>
      <c r="AA222" s="7">
        <f ca="1">IFERROR(__xludf.DUMMYFUNCTION("+AA128"),331585841.41)</f>
        <v>331585841.41000003</v>
      </c>
      <c r="AB222" s="7">
        <f ca="1">IFERROR(__xludf.DUMMYFUNCTION("+AB128"),298861796.91)</f>
        <v>298861796.91000003</v>
      </c>
      <c r="AC222" s="7">
        <f ca="1">IFERROR(__xludf.DUMMYFUNCTION("+AC128"),10371701.66)</f>
        <v>10371701.66</v>
      </c>
      <c r="AD222" s="7">
        <f ca="1">IFERROR(__xludf.DUMMYFUNCTION("+AD128"),15552768.96)</f>
        <v>15552768.960000001</v>
      </c>
      <c r="AE222" s="7">
        <f ca="1">IFERROR(__xludf.DUMMYFUNCTION("+AE128"),1971402.38)</f>
        <v>1971402.38</v>
      </c>
      <c r="AF222" s="7">
        <f ca="1">IFERROR(__xludf.DUMMYFUNCTION("+AF128"),3122144.31)</f>
        <v>3122144.31</v>
      </c>
      <c r="AG222" s="7">
        <f ca="1">IFERROR(__xludf.DUMMYFUNCTION("+AG128"),7449579.33)</f>
        <v>7449579.3300000001</v>
      </c>
      <c r="AH222" s="7">
        <f ca="1">IFERROR(__xludf.DUMMYFUNCTION("+AH128"),10336726.99)</f>
        <v>10336726.99</v>
      </c>
      <c r="AI222" s="7">
        <f ca="1">IFERROR(__xludf.DUMMYFUNCTION("+AI128"),4928292.28)</f>
        <v>4928292.28</v>
      </c>
      <c r="AJ222" s="7">
        <f ca="1">IFERROR(__xludf.DUMMYFUNCTION("+AJ128"),3277813.61)</f>
        <v>3277813.61</v>
      </c>
      <c r="AK222" s="7">
        <f ca="1">IFERROR(__xludf.DUMMYFUNCTION("+AK128"),3030979.96)</f>
        <v>3030979.96</v>
      </c>
      <c r="AL222" s="7">
        <f ca="1">IFERROR(__xludf.DUMMYFUNCTION("+AL128"),4144064.96)</f>
        <v>4144064.96</v>
      </c>
      <c r="AM222" s="7">
        <f ca="1">IFERROR(__xludf.DUMMYFUNCTION("+AM128"),4744764.83)</f>
        <v>4744764.83</v>
      </c>
      <c r="AN222" s="7">
        <f ca="1">IFERROR(__xludf.DUMMYFUNCTION("+AN128"),4382936.18)</f>
        <v>4382936.18</v>
      </c>
      <c r="AO222" s="7">
        <f ca="1">IFERROR(__xludf.DUMMYFUNCTION("+AO128"),42358751.14)</f>
        <v>42358751.140000001</v>
      </c>
      <c r="AP222" s="7">
        <f ca="1">IFERROR(__xludf.DUMMYFUNCTION("+AP128"),918725659.48)</f>
        <v>918725659.48000002</v>
      </c>
      <c r="AQ222" s="7">
        <f ca="1">IFERROR(__xludf.DUMMYFUNCTION("+AQ128"),4071100.81)</f>
        <v>4071100.81</v>
      </c>
      <c r="AR222" s="7">
        <f ca="1">IFERROR(__xludf.DUMMYFUNCTION("+AR128"),664154495.43)</f>
        <v>664154495.42999995</v>
      </c>
      <c r="AS222" s="7">
        <f ca="1">IFERROR(__xludf.DUMMYFUNCTION("+AS128"),74437765.24)</f>
        <v>74437765.239999995</v>
      </c>
      <c r="AT222" s="7">
        <f ca="1">IFERROR(__xludf.DUMMYFUNCTION("+AT128"),26209628.12)</f>
        <v>26209628.120000001</v>
      </c>
      <c r="AU222" s="7">
        <f ca="1">IFERROR(__xludf.DUMMYFUNCTION("+AU128"),4332524.76)</f>
        <v>4332524.76</v>
      </c>
      <c r="AV222" s="7">
        <f ca="1">IFERROR(__xludf.DUMMYFUNCTION("+AV128"),4629424.84)</f>
        <v>4629424.84</v>
      </c>
      <c r="AW222" s="7">
        <f ca="1">IFERROR(__xludf.DUMMYFUNCTION("+AW128"),4181325.89)</f>
        <v>4181325.89</v>
      </c>
      <c r="AX222" s="7">
        <f ca="1">IFERROR(__xludf.DUMMYFUNCTION("+AX128"),1828339.11)</f>
        <v>1828339.11</v>
      </c>
      <c r="AY222" s="7">
        <f ca="1">IFERROR(__xludf.DUMMYFUNCTION("+AY128"),5478975.74)</f>
        <v>5478975.7400000002</v>
      </c>
      <c r="AZ222" s="7">
        <f ca="1">IFERROR(__xludf.DUMMYFUNCTION("+AZ128"),128663891.91)</f>
        <v>128663891.91</v>
      </c>
      <c r="BA222" s="7">
        <f ca="1">IFERROR(__xludf.DUMMYFUNCTION("+BA128"),92317108.52)</f>
        <v>92317108.519999996</v>
      </c>
      <c r="BB222" s="7">
        <f ca="1">IFERROR(__xludf.DUMMYFUNCTION("+BB128"),78976730.46)</f>
        <v>78976730.459999993</v>
      </c>
      <c r="BC222" s="7">
        <f ca="1">IFERROR(__xludf.DUMMYFUNCTION("+BC128"),256902977.95)</f>
        <v>256902977.94999999</v>
      </c>
      <c r="BD222" s="7">
        <f ca="1">IFERROR(__xludf.DUMMYFUNCTION("+BD128"),38727104.41)</f>
        <v>38727104.409999996</v>
      </c>
      <c r="BE222" s="7">
        <f ca="1">IFERROR(__xludf.DUMMYFUNCTION("+BE128"),13641838.05)</f>
        <v>13641838.050000001</v>
      </c>
      <c r="BF222" s="7">
        <f ca="1">IFERROR(__xludf.DUMMYFUNCTION("+BF128"),261130259.94)</f>
        <v>261130259.94</v>
      </c>
      <c r="BG222" s="7">
        <f ca="1">IFERROR(__xludf.DUMMYFUNCTION("+BG128"),10654344.37)</f>
        <v>10654344.369999999</v>
      </c>
      <c r="BH222" s="7">
        <f ca="1">IFERROR(__xludf.DUMMYFUNCTION("+BH128"),6712970.58)</f>
        <v>6712970.5800000001</v>
      </c>
      <c r="BI222" s="7">
        <f ca="1">IFERROR(__xludf.DUMMYFUNCTION("+BI128"),4143414.11)</f>
        <v>4143414.11</v>
      </c>
      <c r="BJ222" s="7">
        <f ca="1">IFERROR(__xludf.DUMMYFUNCTION("+BJ128"),67810420.73)</f>
        <v>67810420.730000004</v>
      </c>
      <c r="BK222" s="7">
        <f ca="1">IFERROR(__xludf.DUMMYFUNCTION("+BK128"),232878378.69)</f>
        <v>232878378.69</v>
      </c>
      <c r="BL222" s="7">
        <f ca="1">IFERROR(__xludf.DUMMYFUNCTION("+BL128"),1676606.93)</f>
        <v>1676606.93</v>
      </c>
      <c r="BM222" s="7">
        <f ca="1">IFERROR(__xludf.DUMMYFUNCTION("+BM128"),4737511.43)</f>
        <v>4737511.43</v>
      </c>
      <c r="BN222" s="7">
        <f ca="1">IFERROR(__xludf.DUMMYFUNCTION("+BN128"),31839385.41)</f>
        <v>31839385.41</v>
      </c>
      <c r="BO222" s="7">
        <f ca="1">IFERROR(__xludf.DUMMYFUNCTION("+BO128"),13519994.7)</f>
        <v>13519994.699999999</v>
      </c>
      <c r="BP222" s="7">
        <f ca="1">IFERROR(__xludf.DUMMYFUNCTION("+BP128"),3041658.26)</f>
        <v>3041658.26</v>
      </c>
      <c r="BQ222" s="7">
        <f ca="1">IFERROR(__xludf.DUMMYFUNCTION("+BQ128"),67005438.83)</f>
        <v>67005438.829999998</v>
      </c>
      <c r="BR222" s="7">
        <f ca="1">IFERROR(__xludf.DUMMYFUNCTION("+BR128"),47513963.24)</f>
        <v>47513963.240000002</v>
      </c>
      <c r="BS222" s="7">
        <f ca="1">IFERROR(__xludf.DUMMYFUNCTION("+BS128"),13259805.26)</f>
        <v>13259805.26</v>
      </c>
      <c r="BT222" s="7">
        <f ca="1">IFERROR(__xludf.DUMMYFUNCTION("+BT128"),5346757.26)</f>
        <v>5346757.26</v>
      </c>
      <c r="BU222" s="7">
        <f ca="1">IFERROR(__xludf.DUMMYFUNCTION("+BU128"),5514765.7)</f>
        <v>5514765.7000000002</v>
      </c>
      <c r="BV222" s="7">
        <f ca="1">IFERROR(__xludf.DUMMYFUNCTION("+BV128"),13949960.89)</f>
        <v>13949960.890000001</v>
      </c>
      <c r="BW222" s="7">
        <f ca="1">IFERROR(__xludf.DUMMYFUNCTION("+BW128"),22264448.38)</f>
        <v>22264448.379999999</v>
      </c>
      <c r="BX222" s="7">
        <f ca="1">IFERROR(__xludf.DUMMYFUNCTION("+BX128"),1583212.45)</f>
        <v>1583212.45</v>
      </c>
      <c r="BY222" s="7">
        <f ca="1">IFERROR(__xludf.DUMMYFUNCTION("+BY128"),5464036.2)</f>
        <v>5464036.2000000002</v>
      </c>
      <c r="BZ222" s="7">
        <f ca="1">IFERROR(__xludf.DUMMYFUNCTION("+BZ128"),3606859.71)</f>
        <v>3606859.71</v>
      </c>
      <c r="CA222" s="7">
        <f ca="1">IFERROR(__xludf.DUMMYFUNCTION("+CA128"),2928169.23)</f>
        <v>2928169.23</v>
      </c>
      <c r="CB222" s="7">
        <f ca="1">IFERROR(__xludf.DUMMYFUNCTION("+CB128"),787100288.94)</f>
        <v>787100288.94000006</v>
      </c>
      <c r="CC222" s="7">
        <f ca="1">IFERROR(__xludf.DUMMYFUNCTION("+CC128"),3241550.71)</f>
        <v>3241550.71</v>
      </c>
      <c r="CD222" s="7">
        <f ca="1">IFERROR(__xludf.DUMMYFUNCTION("+CD128"),1078636.11)</f>
        <v>1078636.1100000001</v>
      </c>
      <c r="CE222" s="7">
        <f ca="1">IFERROR(__xludf.DUMMYFUNCTION("+CE128"),2903472.14)</f>
        <v>2903472.14</v>
      </c>
      <c r="CF222" s="7">
        <f ca="1">IFERROR(__xludf.DUMMYFUNCTION("+CF128"),2175580.67)</f>
        <v>2175580.67</v>
      </c>
      <c r="CG222" s="7">
        <f ca="1">IFERROR(__xludf.DUMMYFUNCTION("+CG128"),3381317.96)</f>
        <v>3381317.96</v>
      </c>
      <c r="CH222" s="7">
        <f ca="1">IFERROR(__xludf.DUMMYFUNCTION("+CH128"),1977863.19)</f>
        <v>1977863.19</v>
      </c>
      <c r="CI222" s="7">
        <f ca="1">IFERROR(__xludf.DUMMYFUNCTION("+CI128"),7585883.83)</f>
        <v>7585883.8300000001</v>
      </c>
      <c r="CJ222" s="7">
        <f ca="1">IFERROR(__xludf.DUMMYFUNCTION("+CJ128"),10129785.72)</f>
        <v>10129785.720000001</v>
      </c>
      <c r="CK222" s="7">
        <f ca="1">IFERROR(__xludf.DUMMYFUNCTION("+CK128"),53579867.02)</f>
        <v>53579867.020000003</v>
      </c>
      <c r="CL222" s="7">
        <f ca="1">IFERROR(__xludf.DUMMYFUNCTION("+CL128"),14228208.21)</f>
        <v>14228208.210000001</v>
      </c>
      <c r="CM222" s="7">
        <f ca="1">IFERROR(__xludf.DUMMYFUNCTION("+CM128"),8427295.46)</f>
        <v>8427295.4600000009</v>
      </c>
      <c r="CN222" s="7">
        <f ca="1">IFERROR(__xludf.DUMMYFUNCTION("+CN128"),320144292.04)</f>
        <v>320144292.04000002</v>
      </c>
      <c r="CO222" s="7">
        <f ca="1">IFERROR(__xludf.DUMMYFUNCTION("+CO128"),149561259.62)</f>
        <v>149561259.62</v>
      </c>
      <c r="CP222" s="7">
        <f ca="1">IFERROR(__xludf.DUMMYFUNCTION("+CP128"),10947438.14)</f>
        <v>10947438.140000001</v>
      </c>
      <c r="CQ222" s="7">
        <f ca="1">IFERROR(__xludf.DUMMYFUNCTION("+CQ128"),8924001.97)</f>
        <v>8924001.9700000007</v>
      </c>
      <c r="CR222" s="7">
        <f ca="1">IFERROR(__xludf.DUMMYFUNCTION("+CR128"),3628073.48)</f>
        <v>3628073.48</v>
      </c>
      <c r="CS222" s="7">
        <f ca="1">IFERROR(__xludf.DUMMYFUNCTION("+CS128"),4173345.51)</f>
        <v>4173345.51</v>
      </c>
      <c r="CT222" s="7">
        <f ca="1">IFERROR(__xludf.DUMMYFUNCTION("+CT128"),2252705.4)</f>
        <v>2252705.4</v>
      </c>
      <c r="CU222" s="7">
        <f ca="1">IFERROR(__xludf.DUMMYFUNCTION("+CU128"),781729.76)</f>
        <v>781729.76</v>
      </c>
      <c r="CV222" s="7">
        <f ca="1">IFERROR(__xludf.DUMMYFUNCTION("+CV128"),1053672.52)</f>
        <v>1053672.52</v>
      </c>
      <c r="CW222" s="7">
        <f ca="1">IFERROR(__xludf.DUMMYFUNCTION("+CW128"),3469285.94)</f>
        <v>3469285.94</v>
      </c>
      <c r="CX222" s="7">
        <f ca="1">IFERROR(__xludf.DUMMYFUNCTION("+CX128"),5563034.56)</f>
        <v>5563034.5599999996</v>
      </c>
      <c r="CY222" s="7">
        <f ca="1">IFERROR(__xludf.DUMMYFUNCTION("+CY128"),1112753.01)</f>
        <v>1112753.01</v>
      </c>
      <c r="CZ222" s="7">
        <f ca="1">IFERROR(__xludf.DUMMYFUNCTION("+CZ128"),19301767.42)</f>
        <v>19301767.420000002</v>
      </c>
      <c r="DA222" s="7">
        <f ca="1">IFERROR(__xludf.DUMMYFUNCTION("+DA128"),3533799.42)</f>
        <v>3533799.42</v>
      </c>
      <c r="DB222" s="7">
        <f ca="1">IFERROR(__xludf.DUMMYFUNCTION("+DB128"),4563006.42)</f>
        <v>4563006.42</v>
      </c>
      <c r="DC222" s="7">
        <f ca="1">IFERROR(__xludf.DUMMYFUNCTION("+DC128"),3451754.09)</f>
        <v>3451754.09</v>
      </c>
      <c r="DD222" s="7">
        <f ca="1">IFERROR(__xludf.DUMMYFUNCTION("+DD128"),3225534.29)</f>
        <v>3225534.29</v>
      </c>
      <c r="DE222" s="7">
        <f ca="1">IFERROR(__xludf.DUMMYFUNCTION("+DE128"),4245392.51)</f>
        <v>4245392.51</v>
      </c>
      <c r="DF222" s="7">
        <f ca="1">IFERROR(__xludf.DUMMYFUNCTION("+DF128"),210432984.9)</f>
        <v>210432984.90000001</v>
      </c>
      <c r="DG222" s="7">
        <f ca="1">IFERROR(__xludf.DUMMYFUNCTION("+DG128"),2036669.14)</f>
        <v>2036669.14</v>
      </c>
      <c r="DH222" s="7">
        <f ca="1">IFERROR(__xludf.DUMMYFUNCTION("+DH128"),18924106.59)</f>
        <v>18924106.59</v>
      </c>
      <c r="DI222" s="7">
        <f ca="1">IFERROR(__xludf.DUMMYFUNCTION("+DI128"),25266047.59)</f>
        <v>25266047.59</v>
      </c>
      <c r="DJ222" s="7">
        <f ca="1">IFERROR(__xludf.DUMMYFUNCTION("+DJ128"),7388839.24)</f>
        <v>7388839.2400000002</v>
      </c>
      <c r="DK222" s="7">
        <f ca="1">IFERROR(__xludf.DUMMYFUNCTION("+DK128"),5751651.14)</f>
        <v>5751651.1399999997</v>
      </c>
      <c r="DL222" s="7">
        <f ca="1">IFERROR(__xludf.DUMMYFUNCTION("+DL128"),61142120.35)</f>
        <v>61142120.350000001</v>
      </c>
      <c r="DM222" s="7">
        <f ca="1">IFERROR(__xludf.DUMMYFUNCTION("+DM128"),4043803.58)</f>
        <v>4043803.58</v>
      </c>
      <c r="DN222" s="7">
        <f ca="1">IFERROR(__xludf.DUMMYFUNCTION("+DN128"),14459006.78)</f>
        <v>14459006.779999999</v>
      </c>
      <c r="DO222" s="7">
        <f ca="1">IFERROR(__xludf.DUMMYFUNCTION("+DO128"),34789407.97)</f>
        <v>34789407.969999999</v>
      </c>
      <c r="DP222" s="7">
        <f ca="1">IFERROR(__xludf.DUMMYFUNCTION("+DP128"),3637215.93)</f>
        <v>3637215.93</v>
      </c>
      <c r="DQ222" s="7">
        <f ca="1">IFERROR(__xludf.DUMMYFUNCTION("+DQ128"),10145482.67)</f>
        <v>10145482.67</v>
      </c>
      <c r="DR222" s="7">
        <f ca="1">IFERROR(__xludf.DUMMYFUNCTION("+DR128"),14204579.3)</f>
        <v>14204579.300000001</v>
      </c>
      <c r="DS222" s="7">
        <f ca="1">IFERROR(__xludf.DUMMYFUNCTION("+DS128"),7007584.16)</f>
        <v>7007584.1600000001</v>
      </c>
      <c r="DT222" s="7">
        <f ca="1">IFERROR(__xludf.DUMMYFUNCTION("+DT128"),3261735.72)</f>
        <v>3261735.72</v>
      </c>
      <c r="DU222" s="7">
        <f ca="1">IFERROR(__xludf.DUMMYFUNCTION("+DU128"),4777813.73)</f>
        <v>4777813.7300000004</v>
      </c>
      <c r="DV222" s="7">
        <f ca="1">IFERROR(__xludf.DUMMYFUNCTION("+DV128"),3578492.63)</f>
        <v>3578492.63</v>
      </c>
      <c r="DW222" s="7">
        <f ca="1">IFERROR(__xludf.DUMMYFUNCTION("+DW128"),4353020.86)</f>
        <v>4353020.8600000003</v>
      </c>
      <c r="DX222" s="7">
        <f ca="1">IFERROR(__xludf.DUMMYFUNCTION("+DX128"),3565550.16)</f>
        <v>3565550.16</v>
      </c>
      <c r="DY222" s="7">
        <f ca="1">IFERROR(__xludf.DUMMYFUNCTION("+DY128"),4806797.22)</f>
        <v>4806797.22</v>
      </c>
      <c r="DZ222" s="7">
        <f ca="1">IFERROR(__xludf.DUMMYFUNCTION("+DZ128"),8460347.46)</f>
        <v>8460347.4600000009</v>
      </c>
      <c r="EA222" s="7">
        <f ca="1">IFERROR(__xludf.DUMMYFUNCTION("+EA128"),6648023.14)</f>
        <v>6648023.1399999997</v>
      </c>
      <c r="EB222" s="7">
        <f ca="1">IFERROR(__xludf.DUMMYFUNCTION("+EB128"),6235403.1)</f>
        <v>6235403.0999999996</v>
      </c>
      <c r="EC222" s="7">
        <f ca="1">IFERROR(__xludf.DUMMYFUNCTION("+EC128"),4023962.16)</f>
        <v>4023962.16</v>
      </c>
      <c r="ED222" s="7">
        <f ca="1">IFERROR(__xludf.DUMMYFUNCTION("+ED128"),23143767.77)</f>
        <v>23143767.77</v>
      </c>
      <c r="EE222" s="7">
        <f ca="1">IFERROR(__xludf.DUMMYFUNCTION("+EE128"),3288474.2)</f>
        <v>3288474.2</v>
      </c>
      <c r="EF222" s="7">
        <f ca="1">IFERROR(__xludf.DUMMYFUNCTION("+EF128"),14455304.53)</f>
        <v>14455304.529999999</v>
      </c>
      <c r="EG222" s="7">
        <f ca="1">IFERROR(__xludf.DUMMYFUNCTION("+EG128"),3717610.85)</f>
        <v>3717610.85</v>
      </c>
      <c r="EH222" s="7">
        <f ca="1">IFERROR(__xludf.DUMMYFUNCTION("+EH128"),3765860.53)</f>
        <v>3765860.53</v>
      </c>
      <c r="EI222" s="7">
        <f ca="1">IFERROR(__xludf.DUMMYFUNCTION("+EI128"),143768844.08)</f>
        <v>143768844.08000001</v>
      </c>
      <c r="EJ222" s="7">
        <f ca="1">IFERROR(__xludf.DUMMYFUNCTION("+EJ128"),102165059.96)</f>
        <v>102165059.95999999</v>
      </c>
      <c r="EK222" s="7">
        <f ca="1">IFERROR(__xludf.DUMMYFUNCTION("+EK128"),7686837.84)</f>
        <v>7686837.8399999999</v>
      </c>
      <c r="EL222" s="7">
        <f ca="1">IFERROR(__xludf.DUMMYFUNCTION("+EL128"),5373355.17)</f>
        <v>5373355.1699999999</v>
      </c>
      <c r="EM222" s="7">
        <f ca="1">IFERROR(__xludf.DUMMYFUNCTION("+EM128"),4968394.35)</f>
        <v>4968394.3499999996</v>
      </c>
      <c r="EN222" s="7">
        <f ca="1">IFERROR(__xludf.DUMMYFUNCTION("+EN128"),9800121.37)</f>
        <v>9800121.3699999992</v>
      </c>
      <c r="EO222" s="7">
        <f ca="1">IFERROR(__xludf.DUMMYFUNCTION("+EO128"),4337907.83)</f>
        <v>4337907.83</v>
      </c>
      <c r="EP222" s="7">
        <f ca="1">IFERROR(__xludf.DUMMYFUNCTION("+EP128"),5788231.39)</f>
        <v>5788231.3899999997</v>
      </c>
      <c r="EQ222" s="7">
        <f ca="1">IFERROR(__xludf.DUMMYFUNCTION("+EQ128"),29441000.54)</f>
        <v>29441000.539999999</v>
      </c>
      <c r="ER222" s="7">
        <f ca="1">IFERROR(__xludf.DUMMYFUNCTION("+ER128"),4787378.21)</f>
        <v>4787378.21</v>
      </c>
      <c r="ES222" s="7">
        <f ca="1">IFERROR(__xludf.DUMMYFUNCTION("+ES128"),2976788.15)</f>
        <v>2976788.15</v>
      </c>
      <c r="ET222" s="7">
        <f ca="1">IFERROR(__xludf.DUMMYFUNCTION("+ET128"),3886883.26)</f>
        <v>3886883.26</v>
      </c>
      <c r="EU222" s="7">
        <f ca="1">IFERROR(__xludf.DUMMYFUNCTION("+EU128"),6535982.92)</f>
        <v>6535982.9199999999</v>
      </c>
      <c r="EV222" s="7">
        <f ca="1">IFERROR(__xludf.DUMMYFUNCTION("+EV128"),1668332.3)</f>
        <v>1668332.3</v>
      </c>
      <c r="EW222" s="7">
        <f ca="1">IFERROR(__xludf.DUMMYFUNCTION("+EW128"),12425344.32)</f>
        <v>12425344.32</v>
      </c>
      <c r="EX222" s="7">
        <f ca="1">IFERROR(__xludf.DUMMYFUNCTION("+EX128"),3457801.82)</f>
        <v>3457801.82</v>
      </c>
      <c r="EY222" s="7">
        <f ca="1">IFERROR(__xludf.DUMMYFUNCTION("+EY128"),2358981.14)</f>
        <v>2358981.14</v>
      </c>
      <c r="EZ222" s="7">
        <f ca="1">IFERROR(__xludf.DUMMYFUNCTION("+EZ128"),2554454.27)</f>
        <v>2554454.27</v>
      </c>
      <c r="FA222" s="7">
        <f ca="1">IFERROR(__xludf.DUMMYFUNCTION("+FA128"),39064719.01)</f>
        <v>39064719.009999998</v>
      </c>
      <c r="FB222" s="7">
        <f ca="1">IFERROR(__xludf.DUMMYFUNCTION("+FB128"),4273945.01)</f>
        <v>4273945.01</v>
      </c>
      <c r="FC222" s="7">
        <f ca="1">IFERROR(__xludf.DUMMYFUNCTION("+FC128"),19946545.44)</f>
        <v>19946545.440000001</v>
      </c>
      <c r="FD222" s="7">
        <f ca="1">IFERROR(__xludf.DUMMYFUNCTION("+FD128"),5217274.11)</f>
        <v>5217274.1100000003</v>
      </c>
      <c r="FE222" s="7">
        <f ca="1">IFERROR(__xludf.DUMMYFUNCTION("+FE128"),1716079.49)</f>
        <v>1716079.49</v>
      </c>
      <c r="FF222" s="7">
        <f ca="1">IFERROR(__xludf.DUMMYFUNCTION("+FF128"),3364490.47)</f>
        <v>3364490.47</v>
      </c>
      <c r="FG222" s="7">
        <f ca="1">IFERROR(__xludf.DUMMYFUNCTION("+FG128"),2494678.04)</f>
        <v>2494678.04</v>
      </c>
      <c r="FH222" s="7">
        <f ca="1">IFERROR(__xludf.DUMMYFUNCTION("+FH128"),1533978.93)</f>
        <v>1533978.93</v>
      </c>
      <c r="FI222" s="7">
        <f ca="1">IFERROR(__xludf.DUMMYFUNCTION("+FI128"),18487763.83)</f>
        <v>18487763.829999998</v>
      </c>
      <c r="FJ222" s="7">
        <f ca="1">IFERROR(__xludf.DUMMYFUNCTION("+FJ128"),21416577.31)</f>
        <v>21416577.309999999</v>
      </c>
      <c r="FK222" s="7">
        <f ca="1">IFERROR(__xludf.DUMMYFUNCTION("+FK128"),26814210.04)</f>
        <v>26814210.039999999</v>
      </c>
      <c r="FL222" s="7">
        <f ca="1">IFERROR(__xludf.DUMMYFUNCTION("+FL128"),88263890.07)</f>
        <v>88263890.069999993</v>
      </c>
      <c r="FM222" s="7">
        <f ca="1">IFERROR(__xludf.DUMMYFUNCTION("+FM128"),41322719.22)</f>
        <v>41322719.219999999</v>
      </c>
      <c r="FN222" s="7">
        <f ca="1">IFERROR(__xludf.DUMMYFUNCTION("+FN128"),234031934.73)</f>
        <v>234031934.72999999</v>
      </c>
      <c r="FO222" s="7">
        <f ca="1">IFERROR(__xludf.DUMMYFUNCTION("+FO128"),12464447.46)</f>
        <v>12464447.460000001</v>
      </c>
      <c r="FP222" s="7">
        <f ca="1">IFERROR(__xludf.DUMMYFUNCTION("+FP128"),25232104.68)</f>
        <v>25232104.68</v>
      </c>
      <c r="FQ222" s="7">
        <f ca="1">IFERROR(__xludf.DUMMYFUNCTION("+FQ128"),11034628.32)</f>
        <v>11034628.32</v>
      </c>
      <c r="FR222" s="7">
        <f ca="1">IFERROR(__xludf.DUMMYFUNCTION("+FR128"),3194250.22)</f>
        <v>3194250.22</v>
      </c>
      <c r="FS222" s="7">
        <f ca="1">IFERROR(__xludf.DUMMYFUNCTION("+FS128"),3187530.27)</f>
        <v>3187530.27</v>
      </c>
      <c r="FT222" s="7">
        <f ca="1">IFERROR(__xludf.DUMMYFUNCTION("+FT128"),1300515.95)</f>
        <v>1300515.95</v>
      </c>
      <c r="FU222" s="7">
        <f ca="1">IFERROR(__xludf.DUMMYFUNCTION("+FU128"),9356374.13)</f>
        <v>9356374.1300000008</v>
      </c>
      <c r="FV222" s="7">
        <f ca="1">IFERROR(__xludf.DUMMYFUNCTION("+FV128"),8042815.79)</f>
        <v>8042815.79</v>
      </c>
      <c r="FW222" s="7">
        <f ca="1">IFERROR(__xludf.DUMMYFUNCTION("+FW128"),2898555.75)</f>
        <v>2898555.75</v>
      </c>
      <c r="FX222" s="7">
        <f ca="1">IFERROR(__xludf.DUMMYFUNCTION("+FX128"),1518420.79)</f>
        <v>1518420.79</v>
      </c>
      <c r="FY222" s="7"/>
      <c r="FZ222" s="7">
        <f t="shared" ref="FZ222:FZ228" ca="1" si="109">SUM(C222:FX222)</f>
        <v>8926862580.7700024</v>
      </c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</row>
    <row r="223" spans="1:193" ht="15.5" x14ac:dyDescent="0.35">
      <c r="A223" s="12" t="s">
        <v>982</v>
      </c>
      <c r="B223" s="7" t="s">
        <v>983</v>
      </c>
      <c r="C223" s="7">
        <f ca="1">IFERROR(__xludf.DUMMYFUNCTION("+C162"),7702524.55)</f>
        <v>7702524.5499999998</v>
      </c>
      <c r="D223" s="7">
        <f ca="1">IFERROR(__xludf.DUMMYFUNCTION("+D162"),25149309.99)</f>
        <v>25149309.989999998</v>
      </c>
      <c r="E223" s="7">
        <f ca="1">IFERROR(__xludf.DUMMYFUNCTION("+E162"),9000474.32)</f>
        <v>9000474.3200000003</v>
      </c>
      <c r="F223" s="7">
        <f ca="1">IFERROR(__xludf.DUMMYFUNCTION("+F162"),16283677.71)</f>
        <v>16283677.710000001</v>
      </c>
      <c r="G223" s="7">
        <f ca="1">IFERROR(__xludf.DUMMYFUNCTION("+G162"),1083193.69)</f>
        <v>1083193.69</v>
      </c>
      <c r="H223" s="7">
        <f ca="1">IFERROR(__xludf.DUMMYFUNCTION("+H162"),600619.73)</f>
        <v>600619.73</v>
      </c>
      <c r="I223" s="7">
        <f ca="1">IFERROR(__xludf.DUMMYFUNCTION("+I162"),11302227.64)</f>
        <v>11302227.640000001</v>
      </c>
      <c r="J223" s="7">
        <f ca="1">IFERROR(__xludf.DUMMYFUNCTION("+J162"),2620199.99)</f>
        <v>2620199.9900000002</v>
      </c>
      <c r="K223" s="7">
        <f ca="1">IFERROR(__xludf.DUMMYFUNCTION("+K162"),283125.45)</f>
        <v>283125.45</v>
      </c>
      <c r="L223" s="7">
        <f ca="1">IFERROR(__xludf.DUMMYFUNCTION("+L162"),2034225.27)</f>
        <v>2034225.27</v>
      </c>
      <c r="M223" s="7">
        <f ca="1">IFERROR(__xludf.DUMMYFUNCTION("+M162"),1515039.22)</f>
        <v>1515039.22</v>
      </c>
      <c r="N223" s="7">
        <f ca="1">IFERROR(__xludf.DUMMYFUNCTION("+N162"),25142156.91)</f>
        <v>25142156.91</v>
      </c>
      <c r="O223" s="7">
        <f ca="1">IFERROR(__xludf.DUMMYFUNCTION("+O162"),3936885.83)</f>
        <v>3936885.83</v>
      </c>
      <c r="P223" s="7">
        <f ca="1">IFERROR(__xludf.DUMMYFUNCTION("+P162"),297006.36)</f>
        <v>297006.36</v>
      </c>
      <c r="Q223" s="7">
        <f ca="1">IFERROR(__xludf.DUMMYFUNCTION("+Q162"),55064680.12)</f>
        <v>55064680.119999997</v>
      </c>
      <c r="R223" s="7">
        <f ca="1">IFERROR(__xludf.DUMMYFUNCTION("+R162"),5154876.45)</f>
        <v>5154876.45</v>
      </c>
      <c r="S223" s="7">
        <f ca="1">IFERROR(__xludf.DUMMYFUNCTION("+S162"),1320376.69)</f>
        <v>1320376.69</v>
      </c>
      <c r="T223" s="7">
        <f ca="1">IFERROR(__xludf.DUMMYFUNCTION("+T162"),261020.59)</f>
        <v>261020.59</v>
      </c>
      <c r="U223" s="7">
        <f ca="1">IFERROR(__xludf.DUMMYFUNCTION("+U162"),95842.76)</f>
        <v>95842.76</v>
      </c>
      <c r="V223" s="7">
        <f ca="1">IFERROR(__xludf.DUMMYFUNCTION("+V162"),340577.65)</f>
        <v>340577.65</v>
      </c>
      <c r="W223" s="7">
        <f ca="1">IFERROR(__xludf.DUMMYFUNCTION("+W162"),97032.41)</f>
        <v>97032.41</v>
      </c>
      <c r="X223" s="7">
        <f ca="1">IFERROR(__xludf.DUMMYFUNCTION("+X162"),59814.11)</f>
        <v>59814.11</v>
      </c>
      <c r="Y223" s="7">
        <f ca="1">IFERROR(__xludf.DUMMYFUNCTION("+Y162"),1327527.72)</f>
        <v>1327527.72</v>
      </c>
      <c r="Z223" s="7">
        <f ca="1">IFERROR(__xludf.DUMMYFUNCTION("+Z162"),168185.63)</f>
        <v>168185.63</v>
      </c>
      <c r="AA223" s="7">
        <f ca="1">IFERROR(__xludf.DUMMYFUNCTION("+AA162"),14756771.41)</f>
        <v>14756771.41</v>
      </c>
      <c r="AB223" s="7">
        <f ca="1">IFERROR(__xludf.DUMMYFUNCTION("+AB162"),9833669.59)</f>
        <v>9833669.5899999999</v>
      </c>
      <c r="AC223" s="7">
        <f ca="1">IFERROR(__xludf.DUMMYFUNCTION("+AC162"),428326.22)</f>
        <v>428326.22</v>
      </c>
      <c r="AD223" s="7">
        <f ca="1">IFERROR(__xludf.DUMMYFUNCTION("+AD162"),727363.7)</f>
        <v>727363.7</v>
      </c>
      <c r="AE223" s="7">
        <f ca="1">IFERROR(__xludf.DUMMYFUNCTION("+AE162"),165110.03)</f>
        <v>165110.03</v>
      </c>
      <c r="AF223" s="7">
        <f ca="1">IFERROR(__xludf.DUMMYFUNCTION("+AF162"),200413.71)</f>
        <v>200413.71</v>
      </c>
      <c r="AG223" s="7">
        <f ca="1">IFERROR(__xludf.DUMMYFUNCTION("+AG162"),279740.32)</f>
        <v>279740.32</v>
      </c>
      <c r="AH223" s="7">
        <f ca="1">IFERROR(__xludf.DUMMYFUNCTION("+AH162"),953247.2)</f>
        <v>953247.2</v>
      </c>
      <c r="AI223" s="7">
        <f ca="1">IFERROR(__xludf.DUMMYFUNCTION("+AI162"),361631.14)</f>
        <v>361631.14</v>
      </c>
      <c r="AJ223" s="7">
        <f ca="1">IFERROR(__xludf.DUMMYFUNCTION("+AJ162"),333090.88)</f>
        <v>333090.88</v>
      </c>
      <c r="AK223" s="7">
        <f ca="1">IFERROR(__xludf.DUMMYFUNCTION("+AK162"),325962.96)</f>
        <v>325962.96000000002</v>
      </c>
      <c r="AL223" s="7">
        <f ca="1">IFERROR(__xludf.DUMMYFUNCTION("+AL162"),410068.51)</f>
        <v>410068.51</v>
      </c>
      <c r="AM223" s="7">
        <f ca="1">IFERROR(__xludf.DUMMYFUNCTION("+AM162"),324570.98)</f>
        <v>324570.98</v>
      </c>
      <c r="AN223" s="7">
        <f ca="1">IFERROR(__xludf.DUMMYFUNCTION("+AN162"),245151.74)</f>
        <v>245151.74</v>
      </c>
      <c r="AO223" s="7">
        <f ca="1">IFERROR(__xludf.DUMMYFUNCTION("+AO162"),3392999.36)</f>
        <v>3392999.36</v>
      </c>
      <c r="AP223" s="7">
        <f ca="1">IFERROR(__xludf.DUMMYFUNCTION("+AP162"),78296235.93)</f>
        <v>78296235.930000007</v>
      </c>
      <c r="AQ223" s="7">
        <f ca="1">IFERROR(__xludf.DUMMYFUNCTION("+AQ162"),294870.97)</f>
        <v>294870.96999999997</v>
      </c>
      <c r="AR223" s="7">
        <f ca="1">IFERROR(__xludf.DUMMYFUNCTION("+AR162"),14101608.78)</f>
        <v>14101608.779999999</v>
      </c>
      <c r="AS223" s="7">
        <f ca="1">IFERROR(__xludf.DUMMYFUNCTION("+AS162"),3689853.5)</f>
        <v>3689853.5</v>
      </c>
      <c r="AT223" s="7">
        <f ca="1">IFERROR(__xludf.DUMMYFUNCTION("+AT162"),806477.43)</f>
        <v>806477.43</v>
      </c>
      <c r="AU223" s="7">
        <f ca="1">IFERROR(__xludf.DUMMYFUNCTION("+AU162"),207769.34)</f>
        <v>207769.34</v>
      </c>
      <c r="AV223" s="7">
        <f ca="1">IFERROR(__xludf.DUMMYFUNCTION("+AV162"),340340.03)</f>
        <v>340340.03</v>
      </c>
      <c r="AW223" s="7">
        <f ca="1">IFERROR(__xludf.DUMMYFUNCTION("+AW162"),173746.39)</f>
        <v>173746.39</v>
      </c>
      <c r="AX223" s="7">
        <f ca="1">IFERROR(__xludf.DUMMYFUNCTION("+AX162"),120264.08)</f>
        <v>120264.08</v>
      </c>
      <c r="AY223" s="7">
        <f ca="1">IFERROR(__xludf.DUMMYFUNCTION("+AY162"),340375.31)</f>
        <v>340375.31</v>
      </c>
      <c r="AZ223" s="7">
        <f ca="1">IFERROR(__xludf.DUMMYFUNCTION("+AZ162"),11966830.19)</f>
        <v>11966830.189999999</v>
      </c>
      <c r="BA223" s="7">
        <f ca="1">IFERROR(__xludf.DUMMYFUNCTION("+BA162"),5483637.6)</f>
        <v>5483637.5999999996</v>
      </c>
      <c r="BB223" s="7">
        <f ca="1">IFERROR(__xludf.DUMMYFUNCTION("+BB162"),4612477.33)</f>
        <v>4612477.33</v>
      </c>
      <c r="BC223" s="7">
        <f ca="1">IFERROR(__xludf.DUMMYFUNCTION("+BC162"),19124788.96)</f>
        <v>19124788.960000001</v>
      </c>
      <c r="BD223" s="7">
        <f ca="1">IFERROR(__xludf.DUMMYFUNCTION("+BD162"),1017062.12)</f>
        <v>1017062.12</v>
      </c>
      <c r="BE223" s="7">
        <f ca="1">IFERROR(__xludf.DUMMYFUNCTION("+BE162"),567159.96)</f>
        <v>567159.96</v>
      </c>
      <c r="BF223" s="7">
        <f ca="1">IFERROR(__xludf.DUMMYFUNCTION("+BF162"),7601617.59)</f>
        <v>7601617.5899999999</v>
      </c>
      <c r="BG223" s="7">
        <f ca="1">IFERROR(__xludf.DUMMYFUNCTION("+BG162"),822488.54)</f>
        <v>822488.54</v>
      </c>
      <c r="BH223" s="7">
        <f ca="1">IFERROR(__xludf.DUMMYFUNCTION("+BH162"),252560.85)</f>
        <v>252560.85</v>
      </c>
      <c r="BI223" s="7">
        <f ca="1">IFERROR(__xludf.DUMMYFUNCTION("+BI162"),368754.2)</f>
        <v>368754.2</v>
      </c>
      <c r="BJ223" s="7">
        <f ca="1">IFERROR(__xludf.DUMMYFUNCTION("+BJ162"),1422668.53)</f>
        <v>1422668.53</v>
      </c>
      <c r="BK223" s="7">
        <f ca="1">IFERROR(__xludf.DUMMYFUNCTION("+BK162"),18259110.43)</f>
        <v>18259110.43</v>
      </c>
      <c r="BL223" s="7">
        <f ca="1">IFERROR(__xludf.DUMMYFUNCTION("+BL162"),150826.93)</f>
        <v>150826.93</v>
      </c>
      <c r="BM223" s="7">
        <f ca="1">IFERROR(__xludf.DUMMYFUNCTION("+BM162"),382003.56)</f>
        <v>382003.56</v>
      </c>
      <c r="BN223" s="7">
        <f ca="1">IFERROR(__xludf.DUMMYFUNCTION("+BN162"),2381038.71)</f>
        <v>2381038.71</v>
      </c>
      <c r="BO223" s="7">
        <f ca="1">IFERROR(__xludf.DUMMYFUNCTION("+BO162"),929495.27)</f>
        <v>929495.27</v>
      </c>
      <c r="BP223" s="7">
        <f ca="1">IFERROR(__xludf.DUMMYFUNCTION("+BP162"),199338.6)</f>
        <v>199338.6</v>
      </c>
      <c r="BQ223" s="7">
        <f ca="1">IFERROR(__xludf.DUMMYFUNCTION("+BQ162"),4047062.13)</f>
        <v>4047062.13</v>
      </c>
      <c r="BR223" s="7">
        <f ca="1">IFERROR(__xludf.DUMMYFUNCTION("+BR162"),2861589.72)</f>
        <v>2861589.72</v>
      </c>
      <c r="BS223" s="7">
        <f ca="1">IFERROR(__xludf.DUMMYFUNCTION("+BS162"),1236615.1)</f>
        <v>1236615.1000000001</v>
      </c>
      <c r="BT223" s="7">
        <f ca="1">IFERROR(__xludf.DUMMYFUNCTION("+BT162"),280241.85)</f>
        <v>280241.84999999998</v>
      </c>
      <c r="BU223" s="7">
        <f ca="1">IFERROR(__xludf.DUMMYFUNCTION("+BU162"),280206.69)</f>
        <v>280206.69</v>
      </c>
      <c r="BV223" s="7">
        <f ca="1">IFERROR(__xludf.DUMMYFUNCTION("+BV162"),556116.48)</f>
        <v>556116.47999999998</v>
      </c>
      <c r="BW223" s="7">
        <f ca="1">IFERROR(__xludf.DUMMYFUNCTION("+BW162"),946859.81)</f>
        <v>946859.81</v>
      </c>
      <c r="BX223" s="7">
        <f ca="1">IFERROR(__xludf.DUMMYFUNCTION("+BX162"),64280.81)</f>
        <v>64280.81</v>
      </c>
      <c r="BY223" s="7">
        <f ca="1">IFERROR(__xludf.DUMMYFUNCTION("+BY162"),523542.71)</f>
        <v>523542.71</v>
      </c>
      <c r="BZ223" s="7">
        <f ca="1">IFERROR(__xludf.DUMMYFUNCTION("+BZ162"),310569.6)</f>
        <v>310569.59999999998</v>
      </c>
      <c r="CA223" s="7">
        <f ca="1">IFERROR(__xludf.DUMMYFUNCTION("+CA162"),109115.36)</f>
        <v>109115.36</v>
      </c>
      <c r="CB223" s="7">
        <f ca="1">IFERROR(__xludf.DUMMYFUNCTION("+CB162"),29316995.15)</f>
        <v>29316995.149999999</v>
      </c>
      <c r="CC223" s="7">
        <f ca="1">IFERROR(__xludf.DUMMYFUNCTION("+CC162"),249871.67)</f>
        <v>249871.67</v>
      </c>
      <c r="CD223" s="7">
        <f ca="1">IFERROR(__xludf.DUMMYFUNCTION("+CD162"),31582.47)</f>
        <v>31582.47</v>
      </c>
      <c r="CE223" s="7">
        <f ca="1">IFERROR(__xludf.DUMMYFUNCTION("+CE162"),162433.03)</f>
        <v>162433.03</v>
      </c>
      <c r="CF223" s="7">
        <f ca="1">IFERROR(__xludf.DUMMYFUNCTION("+CF162"),116030.97)</f>
        <v>116030.97</v>
      </c>
      <c r="CG223" s="7">
        <f ca="1">IFERROR(__xludf.DUMMYFUNCTION("+CG162"),176187.13)</f>
        <v>176187.13</v>
      </c>
      <c r="CH223" s="7">
        <f ca="1">IFERROR(__xludf.DUMMYFUNCTION("+CH162"),167247.29)</f>
        <v>167247.29</v>
      </c>
      <c r="CI223" s="7">
        <f ca="1">IFERROR(__xludf.DUMMYFUNCTION("+CI162"),631890.12)</f>
        <v>631890.12</v>
      </c>
      <c r="CJ223" s="7">
        <f ca="1">IFERROR(__xludf.DUMMYFUNCTION("+CJ162"),782829.8)</f>
        <v>782829.8</v>
      </c>
      <c r="CK223" s="7">
        <f ca="1">IFERROR(__xludf.DUMMYFUNCTION("+CK162"),2363477.21)</f>
        <v>2363477.21</v>
      </c>
      <c r="CL223" s="7">
        <f ca="1">IFERROR(__xludf.DUMMYFUNCTION("+CL162"),685928.44)</f>
        <v>685928.44</v>
      </c>
      <c r="CM223" s="7">
        <f ca="1">IFERROR(__xludf.DUMMYFUNCTION("+CM162"),545028.26)</f>
        <v>545028.26</v>
      </c>
      <c r="CN223" s="7">
        <f ca="1">IFERROR(__xludf.DUMMYFUNCTION("+CN162"),12268475.35)</f>
        <v>12268475.35</v>
      </c>
      <c r="CO223" s="7">
        <f ca="1">IFERROR(__xludf.DUMMYFUNCTION("+CO162"),5886809.36)</f>
        <v>5886809.3600000003</v>
      </c>
      <c r="CP223" s="7">
        <f ca="1">IFERROR(__xludf.DUMMYFUNCTION("+CP162"),603286.3)</f>
        <v>603286.30000000005</v>
      </c>
      <c r="CQ223" s="7">
        <f ca="1">IFERROR(__xludf.DUMMYFUNCTION("+CQ162"),1022295.94)</f>
        <v>1022295.94</v>
      </c>
      <c r="CR223" s="7">
        <f ca="1">IFERROR(__xludf.DUMMYFUNCTION("+CR162"),147880.14)</f>
        <v>147880.14000000001</v>
      </c>
      <c r="CS223" s="7">
        <f ca="1">IFERROR(__xludf.DUMMYFUNCTION("+CS162"),174535.01)</f>
        <v>174535.01</v>
      </c>
      <c r="CT223" s="7">
        <f ca="1">IFERROR(__xludf.DUMMYFUNCTION("+CT162"),215783.38)</f>
        <v>215783.38</v>
      </c>
      <c r="CU223" s="7">
        <f ca="1">IFERROR(__xludf.DUMMYFUNCTION("+CU162"),272669.08)</f>
        <v>272669.08</v>
      </c>
      <c r="CV223" s="7">
        <f ca="1">IFERROR(__xludf.DUMMYFUNCTION("+CV162"),23012.21)</f>
        <v>23012.21</v>
      </c>
      <c r="CW223" s="7">
        <f ca="1">IFERROR(__xludf.DUMMYFUNCTION("+CW162"),220414.02)</f>
        <v>220414.02</v>
      </c>
      <c r="CX223" s="7">
        <f ca="1">IFERROR(__xludf.DUMMYFUNCTION("+CX162"),337153.17)</f>
        <v>337153.17</v>
      </c>
      <c r="CY223" s="7">
        <f ca="1">IFERROR(__xludf.DUMMYFUNCTION("+CY162"),35252.02)</f>
        <v>35252.019999999997</v>
      </c>
      <c r="CZ223" s="7">
        <f ca="1">IFERROR(__xludf.DUMMYFUNCTION("+CZ162"),1344401.22)</f>
        <v>1344401.22</v>
      </c>
      <c r="DA223" s="7">
        <f ca="1">IFERROR(__xludf.DUMMYFUNCTION("+DA162"),105232.55)</f>
        <v>105232.55</v>
      </c>
      <c r="DB223" s="7">
        <f ca="1">IFERROR(__xludf.DUMMYFUNCTION("+DB162"),157783.5)</f>
        <v>157783.5</v>
      </c>
      <c r="DC223" s="7">
        <f ca="1">IFERROR(__xludf.DUMMYFUNCTION("+DC162"),108596.12)</f>
        <v>108596.12</v>
      </c>
      <c r="DD223" s="7">
        <f ca="1">IFERROR(__xludf.DUMMYFUNCTION("+DD162"),243550.94)</f>
        <v>243550.94</v>
      </c>
      <c r="DE223" s="7">
        <f ca="1">IFERROR(__xludf.DUMMYFUNCTION("+DE162"),231242.2)</f>
        <v>231242.2</v>
      </c>
      <c r="DF223" s="7">
        <f ca="1">IFERROR(__xludf.DUMMYFUNCTION("+DF162"),14838409.64)</f>
        <v>14838409.640000001</v>
      </c>
      <c r="DG223" s="7">
        <f ca="1">IFERROR(__xludf.DUMMYFUNCTION("+DG162"),98282.9)</f>
        <v>98282.9</v>
      </c>
      <c r="DH223" s="7">
        <f ca="1">IFERROR(__xludf.DUMMYFUNCTION("+DH162"),1297872.44)</f>
        <v>1297872.44</v>
      </c>
      <c r="DI223" s="7">
        <f ca="1">IFERROR(__xludf.DUMMYFUNCTION("+DI162"),2237974.71)</f>
        <v>2237974.71</v>
      </c>
      <c r="DJ223" s="7">
        <f ca="1">IFERROR(__xludf.DUMMYFUNCTION("+DJ162"),503211.97)</f>
        <v>503211.97</v>
      </c>
      <c r="DK223" s="7">
        <f ca="1">IFERROR(__xludf.DUMMYFUNCTION("+DK162"),284054.75)</f>
        <v>284054.75</v>
      </c>
      <c r="DL223" s="7">
        <f ca="1">IFERROR(__xludf.DUMMYFUNCTION("+DL162"),4289317.1)</f>
        <v>4289317.0999999996</v>
      </c>
      <c r="DM223" s="7">
        <f ca="1">IFERROR(__xludf.DUMMYFUNCTION("+DM162"),283100.67)</f>
        <v>283100.67</v>
      </c>
      <c r="DN223" s="7">
        <f ca="1">IFERROR(__xludf.DUMMYFUNCTION("+DN162"),1309224.69)</f>
        <v>1309224.69</v>
      </c>
      <c r="DO223" s="7">
        <f ca="1">IFERROR(__xludf.DUMMYFUNCTION("+DO162"),2781204.44)</f>
        <v>2781204.44</v>
      </c>
      <c r="DP223" s="7">
        <f ca="1">IFERROR(__xludf.DUMMYFUNCTION("+DP162"),144688.45)</f>
        <v>144688.45000000001</v>
      </c>
      <c r="DQ223" s="7">
        <f ca="1">IFERROR(__xludf.DUMMYFUNCTION("+DQ162"),512100.96)</f>
        <v>512100.96</v>
      </c>
      <c r="DR223" s="7">
        <f ca="1">IFERROR(__xludf.DUMMYFUNCTION("+DR162"),1667379.13)</f>
        <v>1667379.13</v>
      </c>
      <c r="DS223" s="7">
        <f ca="1">IFERROR(__xludf.DUMMYFUNCTION("+DS162"),894329.53)</f>
        <v>894329.53</v>
      </c>
      <c r="DT223" s="7">
        <f ca="1">IFERROR(__xludf.DUMMYFUNCTION("+DT162"),337520.35)</f>
        <v>337520.35</v>
      </c>
      <c r="DU223" s="7">
        <f ca="1">IFERROR(__xludf.DUMMYFUNCTION("+DU162"),338226.79)</f>
        <v>338226.79</v>
      </c>
      <c r="DV223" s="7">
        <f ca="1">IFERROR(__xludf.DUMMYFUNCTION("+DV162"),190141.83)</f>
        <v>190141.83</v>
      </c>
      <c r="DW223" s="7">
        <f ca="1">IFERROR(__xludf.DUMMYFUNCTION("+DW162"),263269.31)</f>
        <v>263269.31</v>
      </c>
      <c r="DX223" s="7">
        <f ca="1">IFERROR(__xludf.DUMMYFUNCTION("+DX162"),144404.78)</f>
        <v>144404.78</v>
      </c>
      <c r="DY223" s="7">
        <f ca="1">IFERROR(__xludf.DUMMYFUNCTION("+DY162"),138466.88)</f>
        <v>138466.88</v>
      </c>
      <c r="DZ223" s="7">
        <f ca="1">IFERROR(__xludf.DUMMYFUNCTION("+DZ162"),358197.79)</f>
        <v>358197.79</v>
      </c>
      <c r="EA223" s="7">
        <f ca="1">IFERROR(__xludf.DUMMYFUNCTION("+EA162"),334380.78)</f>
        <v>334380.78000000003</v>
      </c>
      <c r="EB223" s="7">
        <f ca="1">IFERROR(__xludf.DUMMYFUNCTION("+EB162"),488363.68)</f>
        <v>488363.68</v>
      </c>
      <c r="EC223" s="7">
        <f ca="1">IFERROR(__xludf.DUMMYFUNCTION("+EC162"),163611.96)</f>
        <v>163611.96</v>
      </c>
      <c r="ED223" s="7">
        <f ca="1">IFERROR(__xludf.DUMMYFUNCTION("+ED162"),183158.52)</f>
        <v>183158.52</v>
      </c>
      <c r="EE223" s="7">
        <f ca="1">IFERROR(__xludf.DUMMYFUNCTION("+EE162"),272483.38)</f>
        <v>272483.38</v>
      </c>
      <c r="EF223" s="7">
        <f ca="1">IFERROR(__xludf.DUMMYFUNCTION("+EF162"),1593783.85)</f>
        <v>1593783.85</v>
      </c>
      <c r="EG223" s="7">
        <f ca="1">IFERROR(__xludf.DUMMYFUNCTION("+EG162"),283858.29)</f>
        <v>283858.28999999998</v>
      </c>
      <c r="EH223" s="7">
        <f ca="1">IFERROR(__xludf.DUMMYFUNCTION("+EH162"),238737.9)</f>
        <v>238737.9</v>
      </c>
      <c r="EI223" s="7">
        <f ca="1">IFERROR(__xludf.DUMMYFUNCTION("+EI162"),18252061.22)</f>
        <v>18252061.219999999</v>
      </c>
      <c r="EJ223" s="7">
        <f ca="1">IFERROR(__xludf.DUMMYFUNCTION("+EJ162"),6552800.9)</f>
        <v>6552800.9000000004</v>
      </c>
      <c r="EK223" s="7">
        <f ca="1">IFERROR(__xludf.DUMMYFUNCTION("+EK162"),350649.47)</f>
        <v>350649.47</v>
      </c>
      <c r="EL223" s="7">
        <f ca="1">IFERROR(__xludf.DUMMYFUNCTION("+EL162"),303521.7)</f>
        <v>303521.7</v>
      </c>
      <c r="EM223" s="7">
        <f ca="1">IFERROR(__xludf.DUMMYFUNCTION("+EM162"),328773.41)</f>
        <v>328773.40999999997</v>
      </c>
      <c r="EN223" s="7">
        <f ca="1">IFERROR(__xludf.DUMMYFUNCTION("+EN162"),1117499.9)</f>
        <v>1117499.8999999999</v>
      </c>
      <c r="EO223" s="7">
        <f ca="1">IFERROR(__xludf.DUMMYFUNCTION("+EO162"),235559.47)</f>
        <v>235559.47</v>
      </c>
      <c r="EP223" s="7">
        <f ca="1">IFERROR(__xludf.DUMMYFUNCTION("+EP162"),191275.04)</f>
        <v>191275.04</v>
      </c>
      <c r="EQ223" s="7">
        <f ca="1">IFERROR(__xludf.DUMMYFUNCTION("+EQ162"),649179.47)</f>
        <v>649179.47</v>
      </c>
      <c r="ER223" s="7">
        <f ca="1">IFERROR(__xludf.DUMMYFUNCTION("+ER162"),163791.83)</f>
        <v>163791.82999999999</v>
      </c>
      <c r="ES223" s="7">
        <f ca="1">IFERROR(__xludf.DUMMYFUNCTION("+ES162"),272622.66)</f>
        <v>272622.65999999997</v>
      </c>
      <c r="ET223" s="7">
        <f ca="1">IFERROR(__xludf.DUMMYFUNCTION("+ET162"),361568.7)</f>
        <v>361568.7</v>
      </c>
      <c r="EU223" s="7">
        <f ca="1">IFERROR(__xludf.DUMMYFUNCTION("+EU162"),1158927.58)</f>
        <v>1158927.58</v>
      </c>
      <c r="EV223" s="7">
        <f ca="1">IFERROR(__xludf.DUMMYFUNCTION("+EV162"),111130.23)</f>
        <v>111130.23</v>
      </c>
      <c r="EW223" s="7">
        <f ca="1">IFERROR(__xludf.DUMMYFUNCTION("+EW162"),417797.27)</f>
        <v>417797.27</v>
      </c>
      <c r="EX223" s="7">
        <f ca="1">IFERROR(__xludf.DUMMYFUNCTION("+EX162"),220502.13)</f>
        <v>220502.13</v>
      </c>
      <c r="EY223" s="7">
        <f ca="1">IFERROR(__xludf.DUMMYFUNCTION("+EY162"),669249.91)</f>
        <v>669249.91</v>
      </c>
      <c r="EZ223" s="7">
        <f ca="1">IFERROR(__xludf.DUMMYFUNCTION("+EZ162"),165713.55)</f>
        <v>165713.54999999999</v>
      </c>
      <c r="FA223" s="7">
        <f ca="1">IFERROR(__xludf.DUMMYFUNCTION("+FA162"),1780553.55)</f>
        <v>1780553.55</v>
      </c>
      <c r="FB223" s="7">
        <f ca="1">IFERROR(__xludf.DUMMYFUNCTION("+FB162"),381139.17)</f>
        <v>381139.17</v>
      </c>
      <c r="FC223" s="7">
        <f ca="1">IFERROR(__xludf.DUMMYFUNCTION("+FC162"),812705.15)</f>
        <v>812705.15</v>
      </c>
      <c r="FD223" s="7">
        <f ca="1">IFERROR(__xludf.DUMMYFUNCTION("+FD162"),355086.12)</f>
        <v>355086.12</v>
      </c>
      <c r="FE223" s="7">
        <f ca="1">IFERROR(__xludf.DUMMYFUNCTION("+FE162"),124339.73)</f>
        <v>124339.73</v>
      </c>
      <c r="FF223" s="7">
        <f ca="1">IFERROR(__xludf.DUMMYFUNCTION("+FF162"),224347.86)</f>
        <v>224347.86</v>
      </c>
      <c r="FG223" s="7">
        <f ca="1">IFERROR(__xludf.DUMMYFUNCTION("+FG162"),130351.06)</f>
        <v>130351.06</v>
      </c>
      <c r="FH223" s="7">
        <f ca="1">IFERROR(__xludf.DUMMYFUNCTION("+FH162"),84412.67)</f>
        <v>84412.67</v>
      </c>
      <c r="FI223" s="7">
        <f ca="1">IFERROR(__xludf.DUMMYFUNCTION("+FI162"),1488162.37)</f>
        <v>1488162.37</v>
      </c>
      <c r="FJ223" s="7">
        <f ca="1">IFERROR(__xludf.DUMMYFUNCTION("+FJ162"),953056.28)</f>
        <v>953056.28</v>
      </c>
      <c r="FK223" s="7">
        <f ca="1">IFERROR(__xludf.DUMMYFUNCTION("+FK162"),1811742.16)</f>
        <v>1811742.16</v>
      </c>
      <c r="FL223" s="7">
        <f ca="1">IFERROR(__xludf.DUMMYFUNCTION("+FL162"),2694154.84)</f>
        <v>2694154.84</v>
      </c>
      <c r="FM223" s="7">
        <f ca="1">IFERROR(__xludf.DUMMYFUNCTION("+FM162"),1619323.36)</f>
        <v>1619323.36</v>
      </c>
      <c r="FN223" s="7">
        <f ca="1">IFERROR(__xludf.DUMMYFUNCTION("+FN162"),23696133.83)</f>
        <v>23696133.829999998</v>
      </c>
      <c r="FO223" s="7">
        <f ca="1">IFERROR(__xludf.DUMMYFUNCTION("+FO162"),784156.66)</f>
        <v>784156.66</v>
      </c>
      <c r="FP223" s="7">
        <f ca="1">IFERROR(__xludf.DUMMYFUNCTION("+FP162"),1825259.1)</f>
        <v>1825259.1</v>
      </c>
      <c r="FQ223" s="7">
        <f ca="1">IFERROR(__xludf.DUMMYFUNCTION("+FQ162"),475937.67)</f>
        <v>475937.67</v>
      </c>
      <c r="FR223" s="7">
        <f ca="1">IFERROR(__xludf.DUMMYFUNCTION("+FR162"),100787.05)</f>
        <v>100787.05</v>
      </c>
      <c r="FS223" s="7">
        <f ca="1">IFERROR(__xludf.DUMMYFUNCTION("+FS162"),102273.7)</f>
        <v>102273.7</v>
      </c>
      <c r="FT223" s="7">
        <f ca="1">IFERROR(__xludf.DUMMYFUNCTION("+FT162"),88665.26)</f>
        <v>88665.26</v>
      </c>
      <c r="FU223" s="7">
        <f ca="1">IFERROR(__xludf.DUMMYFUNCTION("+FU162"),769260.71)</f>
        <v>769260.71</v>
      </c>
      <c r="FV223" s="7">
        <f ca="1">IFERROR(__xludf.DUMMYFUNCTION("+FV162"),665564.09)</f>
        <v>665564.09</v>
      </c>
      <c r="FW223" s="7">
        <f ca="1">IFERROR(__xludf.DUMMYFUNCTION("+FW162"),192660.61)</f>
        <v>192660.61</v>
      </c>
      <c r="FX223" s="7">
        <f ca="1">IFERROR(__xludf.DUMMYFUNCTION("+FX162"),82771.59)</f>
        <v>82771.59</v>
      </c>
      <c r="FY223" s="7"/>
      <c r="FZ223" s="7">
        <f t="shared" ca="1" si="109"/>
        <v>556571420.48000002</v>
      </c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</row>
    <row r="224" spans="1:193" ht="15.5" x14ac:dyDescent="0.35">
      <c r="A224" s="12" t="s">
        <v>984</v>
      </c>
      <c r="B224" s="7" t="s">
        <v>985</v>
      </c>
      <c r="C224" s="7">
        <f ca="1">IFERROR(__xludf.DUMMYFUNCTION("+C222+C223"),76263176.07)</f>
        <v>76263176.069999993</v>
      </c>
      <c r="D224" s="7">
        <f ca="1">IFERROR(__xludf.DUMMYFUNCTION("+D222+D223"),435911433.4)</f>
        <v>435911433.39999998</v>
      </c>
      <c r="E224" s="7">
        <f ca="1">IFERROR(__xludf.DUMMYFUNCTION("+E222+E223"),70074906.2899999)</f>
        <v>70074906.289999902</v>
      </c>
      <c r="F224" s="7">
        <f ca="1">IFERROR(__xludf.DUMMYFUNCTION("+F222+F223"),255720591.53)</f>
        <v>255720591.53</v>
      </c>
      <c r="G224" s="7">
        <f ca="1">IFERROR(__xludf.DUMMYFUNCTION("+G222+G223"),21577008.53)</f>
        <v>21577008.530000001</v>
      </c>
      <c r="H224" s="7">
        <f ca="1">IFERROR(__xludf.DUMMYFUNCTION("+H222+H223"),13115815.15)</f>
        <v>13115815.15</v>
      </c>
      <c r="I224" s="7">
        <f ca="1">IFERROR(__xludf.DUMMYFUNCTION("+I222+I223"),97190451.39)</f>
        <v>97190451.390000001</v>
      </c>
      <c r="J224" s="7">
        <f ca="1">IFERROR(__xludf.DUMMYFUNCTION("+J222+J223"),23938740.0099999)</f>
        <v>23938740.009999901</v>
      </c>
      <c r="K224" s="7">
        <f ca="1">IFERROR(__xludf.DUMMYFUNCTION("+K222+K223"),4187501.67)</f>
        <v>4187501.67</v>
      </c>
      <c r="L224" s="7">
        <f ca="1">IFERROR(__xludf.DUMMYFUNCTION("+L222+L223"),25838316.68)</f>
        <v>25838316.68</v>
      </c>
      <c r="M224" s="7">
        <f ca="1">IFERROR(__xludf.DUMMYFUNCTION("+M222+M223"),12672231.09)</f>
        <v>12672231.09</v>
      </c>
      <c r="N224" s="7">
        <f ca="1">IFERROR(__xludf.DUMMYFUNCTION("+N222+N223"),585385840.04)</f>
        <v>585385840.03999996</v>
      </c>
      <c r="O224" s="7">
        <f ca="1">IFERROR(__xludf.DUMMYFUNCTION("+O222+O223"),142638387.74)</f>
        <v>142638387.74000001</v>
      </c>
      <c r="P224" s="7">
        <f ca="1">IFERROR(__xludf.DUMMYFUNCTION("+P222+P223"),5067080.96)</f>
        <v>5067080.96</v>
      </c>
      <c r="Q224" s="7">
        <f ca="1">IFERROR(__xludf.DUMMYFUNCTION("+Q222+Q223"),485012987.3)</f>
        <v>485012987.30000001</v>
      </c>
      <c r="R224" s="7">
        <f ca="1">IFERROR(__xludf.DUMMYFUNCTION("+R222+R223"),10290699.82)</f>
        <v>10290699.82</v>
      </c>
      <c r="S224" s="7">
        <f ca="1">IFERROR(__xludf.DUMMYFUNCTION("+S222+S223"),18786883.26)</f>
        <v>18786883.260000002</v>
      </c>
      <c r="T224" s="7">
        <f ca="1">IFERROR(__xludf.DUMMYFUNCTION("+T222+T223"),3218152.61999999)</f>
        <v>3218152.6199999899</v>
      </c>
      <c r="U224" s="7">
        <f ca="1">IFERROR(__xludf.DUMMYFUNCTION("+U222+U223"),1310288.68)</f>
        <v>1310288.68</v>
      </c>
      <c r="V224" s="7">
        <f ca="1">IFERROR(__xludf.DUMMYFUNCTION("+V222+V223"),4192885.27)</f>
        <v>4192885.27</v>
      </c>
      <c r="W224" s="7">
        <f ca="1">IFERROR(__xludf.DUMMYFUNCTION("+W222+W223"),1372973.76)</f>
        <v>1372973.76</v>
      </c>
      <c r="X224" s="7">
        <f ca="1">IFERROR(__xludf.DUMMYFUNCTION("+X222+X223"),1162581.68)</f>
        <v>1162581.68</v>
      </c>
      <c r="Y224" s="7">
        <f ca="1">IFERROR(__xludf.DUMMYFUNCTION("+Y222+Y223"),5815970.91)</f>
        <v>5815970.9100000001</v>
      </c>
      <c r="Z224" s="7">
        <f ca="1">IFERROR(__xludf.DUMMYFUNCTION("+Z222+Z223"),3763052.34)</f>
        <v>3763052.34</v>
      </c>
      <c r="AA224" s="7">
        <f ca="1">IFERROR(__xludf.DUMMYFUNCTION("+AA222+AA223"),346342612.82)</f>
        <v>346342612.81999999</v>
      </c>
      <c r="AB224" s="7">
        <f ca="1">IFERROR(__xludf.DUMMYFUNCTION("+AB222+AB223"),308695466.5)</f>
        <v>308695466.5</v>
      </c>
      <c r="AC224" s="7">
        <f ca="1">IFERROR(__xludf.DUMMYFUNCTION("+AC222+AC223"),10800027.88)</f>
        <v>10800027.880000001</v>
      </c>
      <c r="AD224" s="7">
        <f ca="1">IFERROR(__xludf.DUMMYFUNCTION("+AD222+AD223"),16280132.66)</f>
        <v>16280132.66</v>
      </c>
      <c r="AE224" s="7">
        <f ca="1">IFERROR(__xludf.DUMMYFUNCTION("+AE222+AE223"),2136512.40999999)</f>
        <v>2136512.4099999899</v>
      </c>
      <c r="AF224" s="7">
        <f ca="1">IFERROR(__xludf.DUMMYFUNCTION("+AF222+AF223"),3322558.02)</f>
        <v>3322558.02</v>
      </c>
      <c r="AG224" s="7">
        <f ca="1">IFERROR(__xludf.DUMMYFUNCTION("+AG222+AG223"),7729319.65)</f>
        <v>7729319.6500000004</v>
      </c>
      <c r="AH224" s="7">
        <f ca="1">IFERROR(__xludf.DUMMYFUNCTION("+AH222+AH223"),11289974.19)</f>
        <v>11289974.189999999</v>
      </c>
      <c r="AI224" s="7">
        <f ca="1">IFERROR(__xludf.DUMMYFUNCTION("+AI222+AI223"),5289923.42)</f>
        <v>5289923.42</v>
      </c>
      <c r="AJ224" s="7">
        <f ca="1">IFERROR(__xludf.DUMMYFUNCTION("+AJ222+AJ223"),3610904.48999999)</f>
        <v>3610904.48999999</v>
      </c>
      <c r="AK224" s="7">
        <f ca="1">IFERROR(__xludf.DUMMYFUNCTION("+AK222+AK223"),3356942.92)</f>
        <v>3356942.92</v>
      </c>
      <c r="AL224" s="7">
        <f ca="1">IFERROR(__xludf.DUMMYFUNCTION("+AL222+AL223"),4554133.47)</f>
        <v>4554133.47</v>
      </c>
      <c r="AM224" s="7">
        <f ca="1">IFERROR(__xludf.DUMMYFUNCTION("+AM222+AM223"),5069335.81)</f>
        <v>5069335.8099999996</v>
      </c>
      <c r="AN224" s="7">
        <f ca="1">IFERROR(__xludf.DUMMYFUNCTION("+AN222+AN223"),4628087.92)</f>
        <v>4628087.92</v>
      </c>
      <c r="AO224" s="7">
        <f ca="1">IFERROR(__xludf.DUMMYFUNCTION("+AO222+AO223"),45751750.5)</f>
        <v>45751750.5</v>
      </c>
      <c r="AP224" s="7">
        <f ca="1">IFERROR(__xludf.DUMMYFUNCTION("+AP222+AP223"),997021895.41)</f>
        <v>997021895.40999997</v>
      </c>
      <c r="AQ224" s="7">
        <f ca="1">IFERROR(__xludf.DUMMYFUNCTION("+AQ222+AQ223"),4365971.78)</f>
        <v>4365971.78</v>
      </c>
      <c r="AR224" s="7">
        <f ca="1">IFERROR(__xludf.DUMMYFUNCTION("+AR222+AR223"),678256104.209999)</f>
        <v>678256104.20999897</v>
      </c>
      <c r="AS224" s="7">
        <f ca="1">IFERROR(__xludf.DUMMYFUNCTION("+AS222+AS223"),78127618.74)</f>
        <v>78127618.739999995</v>
      </c>
      <c r="AT224" s="7">
        <f ca="1">IFERROR(__xludf.DUMMYFUNCTION("+AT222+AT223"),27016105.55)</f>
        <v>27016105.550000001</v>
      </c>
      <c r="AU224" s="7">
        <f ca="1">IFERROR(__xludf.DUMMYFUNCTION("+AU222+AU223"),4540294.1)</f>
        <v>4540294.0999999996</v>
      </c>
      <c r="AV224" s="7">
        <f ca="1">IFERROR(__xludf.DUMMYFUNCTION("+AV222+AV223"),4969764.87)</f>
        <v>4969764.87</v>
      </c>
      <c r="AW224" s="7">
        <f ca="1">IFERROR(__xludf.DUMMYFUNCTION("+AW222+AW223"),4355072.28)</f>
        <v>4355072.28</v>
      </c>
      <c r="AX224" s="7">
        <f ca="1">IFERROR(__xludf.DUMMYFUNCTION("+AX222+AX223"),1948603.19)</f>
        <v>1948603.19</v>
      </c>
      <c r="AY224" s="7">
        <f ca="1">IFERROR(__xludf.DUMMYFUNCTION("+AY222+AY223"),5819351.05)</f>
        <v>5819351.0499999998</v>
      </c>
      <c r="AZ224" s="7">
        <f ca="1">IFERROR(__xludf.DUMMYFUNCTION("+AZ222+AZ223"),140630722.1)</f>
        <v>140630722.09999999</v>
      </c>
      <c r="BA224" s="7">
        <f ca="1">IFERROR(__xludf.DUMMYFUNCTION("+BA222+BA223"),97800746.1199999)</f>
        <v>97800746.1199999</v>
      </c>
      <c r="BB224" s="7">
        <f ca="1">IFERROR(__xludf.DUMMYFUNCTION("+BB222+BB223"),83589207.7899999)</f>
        <v>83589207.789999902</v>
      </c>
      <c r="BC224" s="7">
        <f ca="1">IFERROR(__xludf.DUMMYFUNCTION("+BC222+BC223"),276027766.909999)</f>
        <v>276027766.90999901</v>
      </c>
      <c r="BD224" s="7">
        <f ca="1">IFERROR(__xludf.DUMMYFUNCTION("+BD222+BD223"),39744166.5299999)</f>
        <v>39744166.529999897</v>
      </c>
      <c r="BE224" s="7">
        <f ca="1">IFERROR(__xludf.DUMMYFUNCTION("+BE222+BE223"),14208998.01)</f>
        <v>14208998.01</v>
      </c>
      <c r="BF224" s="7">
        <f ca="1">IFERROR(__xludf.DUMMYFUNCTION("+BF222+BF223"),268731877.53)</f>
        <v>268731877.52999997</v>
      </c>
      <c r="BG224" s="7">
        <f ca="1">IFERROR(__xludf.DUMMYFUNCTION("+BG222+BG223"),11476832.91)</f>
        <v>11476832.91</v>
      </c>
      <c r="BH224" s="7">
        <f ca="1">IFERROR(__xludf.DUMMYFUNCTION("+BH222+BH223"),6965531.43)</f>
        <v>6965531.4299999997</v>
      </c>
      <c r="BI224" s="7">
        <f ca="1">IFERROR(__xludf.DUMMYFUNCTION("+BI222+BI223"),4512168.31)</f>
        <v>4512168.3099999996</v>
      </c>
      <c r="BJ224" s="7">
        <f ca="1">IFERROR(__xludf.DUMMYFUNCTION("+BJ222+BJ223"),69233089.26)</f>
        <v>69233089.260000005</v>
      </c>
      <c r="BK224" s="7">
        <f ca="1">IFERROR(__xludf.DUMMYFUNCTION("+BK222+BK223"),251137489.12)</f>
        <v>251137489.12</v>
      </c>
      <c r="BL224" s="7">
        <f ca="1">IFERROR(__xludf.DUMMYFUNCTION("+BL222+BL223"),1827433.85999999)</f>
        <v>1827433.8599999901</v>
      </c>
      <c r="BM224" s="7">
        <f ca="1">IFERROR(__xludf.DUMMYFUNCTION("+BM222+BM223"),5119514.98999999)</f>
        <v>5119514.98999999</v>
      </c>
      <c r="BN224" s="7">
        <f ca="1">IFERROR(__xludf.DUMMYFUNCTION("+BN222+BN223"),34220424.12)</f>
        <v>34220424.119999997</v>
      </c>
      <c r="BO224" s="7">
        <f ca="1">IFERROR(__xludf.DUMMYFUNCTION("+BO222+BO223"),14449489.9699999)</f>
        <v>14449489.9699999</v>
      </c>
      <c r="BP224" s="7">
        <f ca="1">IFERROR(__xludf.DUMMYFUNCTION("+BP222+BP223"),3240996.86)</f>
        <v>3240996.86</v>
      </c>
      <c r="BQ224" s="7">
        <f ca="1">IFERROR(__xludf.DUMMYFUNCTION("+BQ222+BQ223"),71052500.96)</f>
        <v>71052500.959999993</v>
      </c>
      <c r="BR224" s="7">
        <f ca="1">IFERROR(__xludf.DUMMYFUNCTION("+BR222+BR223"),50375552.96)</f>
        <v>50375552.960000001</v>
      </c>
      <c r="BS224" s="7">
        <f ca="1">IFERROR(__xludf.DUMMYFUNCTION("+BS222+BS223"),14496420.36)</f>
        <v>14496420.359999999</v>
      </c>
      <c r="BT224" s="7">
        <f ca="1">IFERROR(__xludf.DUMMYFUNCTION("+BT222+BT223"),5626999.10999999)</f>
        <v>5626999.1099999901</v>
      </c>
      <c r="BU224" s="7">
        <f ca="1">IFERROR(__xludf.DUMMYFUNCTION("+BU222+BU223"),5794972.39)</f>
        <v>5794972.3899999997</v>
      </c>
      <c r="BV224" s="7">
        <f ca="1">IFERROR(__xludf.DUMMYFUNCTION("+BV222+BV223"),14506077.37)</f>
        <v>14506077.369999999</v>
      </c>
      <c r="BW224" s="7">
        <f ca="1">IFERROR(__xludf.DUMMYFUNCTION("+BW222+BW223"),23211308.1899999)</f>
        <v>23211308.189999901</v>
      </c>
      <c r="BX224" s="7">
        <f ca="1">IFERROR(__xludf.DUMMYFUNCTION("+BX222+BX223"),1647493.26)</f>
        <v>1647493.26</v>
      </c>
      <c r="BY224" s="7">
        <f ca="1">IFERROR(__xludf.DUMMYFUNCTION("+BY222+BY223"),5987578.91)</f>
        <v>5987578.9100000001</v>
      </c>
      <c r="BZ224" s="7">
        <f ca="1">IFERROR(__xludf.DUMMYFUNCTION("+BZ222+BZ223"),3917429.31)</f>
        <v>3917429.31</v>
      </c>
      <c r="CA224" s="7">
        <f ca="1">IFERROR(__xludf.DUMMYFUNCTION("+CA222+CA223"),3037284.59)</f>
        <v>3037284.59</v>
      </c>
      <c r="CB224" s="7">
        <f ca="1">IFERROR(__xludf.DUMMYFUNCTION("+CB222+CB223"),816417284.09)</f>
        <v>816417284.09000003</v>
      </c>
      <c r="CC224" s="7">
        <f ca="1">IFERROR(__xludf.DUMMYFUNCTION("+CC222+CC223"),3491422.38)</f>
        <v>3491422.38</v>
      </c>
      <c r="CD224" s="7">
        <f ca="1">IFERROR(__xludf.DUMMYFUNCTION("+CD222+CD223"),1110218.58)</f>
        <v>1110218.58</v>
      </c>
      <c r="CE224" s="7">
        <f ca="1">IFERROR(__xludf.DUMMYFUNCTION("+CE222+CE223"),3065905.17)</f>
        <v>3065905.17</v>
      </c>
      <c r="CF224" s="7">
        <f ca="1">IFERROR(__xludf.DUMMYFUNCTION("+CF222+CF223"),2291611.64)</f>
        <v>2291611.64</v>
      </c>
      <c r="CG224" s="7">
        <f ca="1">IFERROR(__xludf.DUMMYFUNCTION("+CG222+CG223"),3557505.09)</f>
        <v>3557505.09</v>
      </c>
      <c r="CH224" s="7">
        <f ca="1">IFERROR(__xludf.DUMMYFUNCTION("+CH222+CH223"),2145110.48)</f>
        <v>2145110.48</v>
      </c>
      <c r="CI224" s="7">
        <f ca="1">IFERROR(__xludf.DUMMYFUNCTION("+CI222+CI223"),8217773.95)</f>
        <v>8217773.9500000002</v>
      </c>
      <c r="CJ224" s="7">
        <f ca="1">IFERROR(__xludf.DUMMYFUNCTION("+CJ222+CJ223"),10912615.52)</f>
        <v>10912615.52</v>
      </c>
      <c r="CK224" s="7">
        <f ca="1">IFERROR(__xludf.DUMMYFUNCTION("+CK222+CK223"),55943344.23)</f>
        <v>55943344.229999997</v>
      </c>
      <c r="CL224" s="7">
        <f ca="1">IFERROR(__xludf.DUMMYFUNCTION("+CL222+CL223"),14914136.65)</f>
        <v>14914136.65</v>
      </c>
      <c r="CM224" s="7">
        <f ca="1">IFERROR(__xludf.DUMMYFUNCTION("+CM222+CM223"),8972323.72)</f>
        <v>8972323.7200000007</v>
      </c>
      <c r="CN224" s="7">
        <f ca="1">IFERROR(__xludf.DUMMYFUNCTION("+CN222+CN223"),332412767.39)</f>
        <v>332412767.38999999</v>
      </c>
      <c r="CO224" s="7">
        <f ca="1">IFERROR(__xludf.DUMMYFUNCTION("+CO222+CO223"),155448068.98)</f>
        <v>155448068.97999999</v>
      </c>
      <c r="CP224" s="7">
        <f ca="1">IFERROR(__xludf.DUMMYFUNCTION("+CP222+CP223"),11550724.44)</f>
        <v>11550724.439999999</v>
      </c>
      <c r="CQ224" s="7">
        <f ca="1">IFERROR(__xludf.DUMMYFUNCTION("+CQ222+CQ223"),9946297.91)</f>
        <v>9946297.9100000001</v>
      </c>
      <c r="CR224" s="7">
        <f ca="1">IFERROR(__xludf.DUMMYFUNCTION("+CR222+CR223"),3775953.62)</f>
        <v>3775953.62</v>
      </c>
      <c r="CS224" s="7">
        <f ca="1">IFERROR(__xludf.DUMMYFUNCTION("+CS222+CS223"),4347880.52)</f>
        <v>4347880.5199999996</v>
      </c>
      <c r="CT224" s="7">
        <f ca="1">IFERROR(__xludf.DUMMYFUNCTION("+CT222+CT223"),2468488.78)</f>
        <v>2468488.7799999998</v>
      </c>
      <c r="CU224" s="7">
        <f ca="1">IFERROR(__xludf.DUMMYFUNCTION("+CU222+CU223"),1054398.84)</f>
        <v>1054398.8400000001</v>
      </c>
      <c r="CV224" s="7">
        <f ca="1">IFERROR(__xludf.DUMMYFUNCTION("+CV222+CV223"),1076684.73)</f>
        <v>1076684.73</v>
      </c>
      <c r="CW224" s="7">
        <f ca="1">IFERROR(__xludf.DUMMYFUNCTION("+CW222+CW223"),3689699.96)</f>
        <v>3689699.96</v>
      </c>
      <c r="CX224" s="7">
        <f ca="1">IFERROR(__xludf.DUMMYFUNCTION("+CX222+CX223"),5900187.72999999)</f>
        <v>5900187.7299999902</v>
      </c>
      <c r="CY224" s="7">
        <f ca="1">IFERROR(__xludf.DUMMYFUNCTION("+CY222+CY223"),1148005.03)</f>
        <v>1148005.03</v>
      </c>
      <c r="CZ224" s="7">
        <f ca="1">IFERROR(__xludf.DUMMYFUNCTION("+CZ222+CZ223"),20646168.64)</f>
        <v>20646168.640000001</v>
      </c>
      <c r="DA224" s="7">
        <f ca="1">IFERROR(__xludf.DUMMYFUNCTION("+DA222+DA223"),3639031.96999999)</f>
        <v>3639031.96999999</v>
      </c>
      <c r="DB224" s="7">
        <f ca="1">IFERROR(__xludf.DUMMYFUNCTION("+DB222+DB223"),4720789.92)</f>
        <v>4720789.92</v>
      </c>
      <c r="DC224" s="7">
        <f ca="1">IFERROR(__xludf.DUMMYFUNCTION("+DC222+DC223"),3560350.21)</f>
        <v>3560350.21</v>
      </c>
      <c r="DD224" s="7">
        <f ca="1">IFERROR(__xludf.DUMMYFUNCTION("+DD222+DD223"),3469085.23)</f>
        <v>3469085.23</v>
      </c>
      <c r="DE224" s="7">
        <f ca="1">IFERROR(__xludf.DUMMYFUNCTION("+DE222+DE223"),4476634.71)</f>
        <v>4476634.71</v>
      </c>
      <c r="DF224" s="7">
        <f ca="1">IFERROR(__xludf.DUMMYFUNCTION("+DF222+DF223"),225271394.54)</f>
        <v>225271394.53999999</v>
      </c>
      <c r="DG224" s="7">
        <f ca="1">IFERROR(__xludf.DUMMYFUNCTION("+DG222+DG223"),2134952.04)</f>
        <v>2134952.04</v>
      </c>
      <c r="DH224" s="7">
        <f ca="1">IFERROR(__xludf.DUMMYFUNCTION("+DH222+DH223"),20221979.03)</f>
        <v>20221979.030000001</v>
      </c>
      <c r="DI224" s="7">
        <f ca="1">IFERROR(__xludf.DUMMYFUNCTION("+DI222+DI223"),27504022.3)</f>
        <v>27504022.300000001</v>
      </c>
      <c r="DJ224" s="7">
        <f ca="1">IFERROR(__xludf.DUMMYFUNCTION("+DJ222+DJ223"),7892051.21)</f>
        <v>7892051.21</v>
      </c>
      <c r="DK224" s="7">
        <f ca="1">IFERROR(__xludf.DUMMYFUNCTION("+DK222+DK223"),6035705.89)</f>
        <v>6035705.8899999997</v>
      </c>
      <c r="DL224" s="7">
        <f ca="1">IFERROR(__xludf.DUMMYFUNCTION("+DL222+DL223"),65431437.45)</f>
        <v>65431437.450000003</v>
      </c>
      <c r="DM224" s="7">
        <f ca="1">IFERROR(__xludf.DUMMYFUNCTION("+DM222+DM223"),4326904.25)</f>
        <v>4326904.25</v>
      </c>
      <c r="DN224" s="7">
        <f ca="1">IFERROR(__xludf.DUMMYFUNCTION("+DN222+DN223"),15768231.4699999)</f>
        <v>15768231.4699999</v>
      </c>
      <c r="DO224" s="7">
        <f ca="1">IFERROR(__xludf.DUMMYFUNCTION("+DO222+DO223"),37570612.41)</f>
        <v>37570612.409999996</v>
      </c>
      <c r="DP224" s="7">
        <f ca="1">IFERROR(__xludf.DUMMYFUNCTION("+DP222+DP223"),3781904.38)</f>
        <v>3781904.38</v>
      </c>
      <c r="DQ224" s="7">
        <f ca="1">IFERROR(__xludf.DUMMYFUNCTION("+DQ222+DQ223"),10657583.63)</f>
        <v>10657583.630000001</v>
      </c>
      <c r="DR224" s="7">
        <f ca="1">IFERROR(__xludf.DUMMYFUNCTION("+DR222+DR223"),15871958.43)</f>
        <v>15871958.43</v>
      </c>
      <c r="DS224" s="7">
        <f ca="1">IFERROR(__xludf.DUMMYFUNCTION("+DS222+DS223"),7901913.69)</f>
        <v>7901913.6900000004</v>
      </c>
      <c r="DT224" s="7">
        <f ca="1">IFERROR(__xludf.DUMMYFUNCTION("+DT222+DT223"),3599256.07)</f>
        <v>3599256.07</v>
      </c>
      <c r="DU224" s="7">
        <f ca="1">IFERROR(__xludf.DUMMYFUNCTION("+DU222+DU223"),5116040.52)</f>
        <v>5116040.5199999996</v>
      </c>
      <c r="DV224" s="7">
        <f ca="1">IFERROR(__xludf.DUMMYFUNCTION("+DV222+DV223"),3768634.46)</f>
        <v>3768634.46</v>
      </c>
      <c r="DW224" s="7">
        <f ca="1">IFERROR(__xludf.DUMMYFUNCTION("+DW222+DW223"),4616290.17)</f>
        <v>4616290.17</v>
      </c>
      <c r="DX224" s="7">
        <f ca="1">IFERROR(__xludf.DUMMYFUNCTION("+DX222+DX223"),3709954.94)</f>
        <v>3709954.94</v>
      </c>
      <c r="DY224" s="7">
        <f ca="1">IFERROR(__xludf.DUMMYFUNCTION("+DY222+DY223"),4945264.1)</f>
        <v>4945264.0999999996</v>
      </c>
      <c r="DZ224" s="7">
        <f ca="1">IFERROR(__xludf.DUMMYFUNCTION("+DZ222+DZ223"),8818545.25)</f>
        <v>8818545.25</v>
      </c>
      <c r="EA224" s="7">
        <f ca="1">IFERROR(__xludf.DUMMYFUNCTION("+EA222+EA223"),6982403.92)</f>
        <v>6982403.9199999999</v>
      </c>
      <c r="EB224" s="7">
        <f ca="1">IFERROR(__xludf.DUMMYFUNCTION("+EB222+EB223"),6723766.77999999)</f>
        <v>6723766.77999999</v>
      </c>
      <c r="EC224" s="7">
        <f ca="1">IFERROR(__xludf.DUMMYFUNCTION("+EC222+EC223"),4187574.12)</f>
        <v>4187574.12</v>
      </c>
      <c r="ED224" s="7">
        <f ca="1">IFERROR(__xludf.DUMMYFUNCTION("+ED222+ED223"),23326926.29)</f>
        <v>23326926.289999999</v>
      </c>
      <c r="EE224" s="7">
        <f ca="1">IFERROR(__xludf.DUMMYFUNCTION("+EE222+EE223"),3560957.58)</f>
        <v>3560957.58</v>
      </c>
      <c r="EF224" s="7">
        <f ca="1">IFERROR(__xludf.DUMMYFUNCTION("+EF222+EF223"),16049088.3799999)</f>
        <v>16049088.3799999</v>
      </c>
      <c r="EG224" s="7">
        <f ca="1">IFERROR(__xludf.DUMMYFUNCTION("+EG222+EG223"),4001469.14)</f>
        <v>4001469.14</v>
      </c>
      <c r="EH224" s="7">
        <f ca="1">IFERROR(__xludf.DUMMYFUNCTION("+EH222+EH223"),4004598.42999999)</f>
        <v>4004598.4299999899</v>
      </c>
      <c r="EI224" s="7">
        <f ca="1">IFERROR(__xludf.DUMMYFUNCTION("+EI222+EI223"),162020905.3)</f>
        <v>162020905.30000001</v>
      </c>
      <c r="EJ224" s="7">
        <f ca="1">IFERROR(__xludf.DUMMYFUNCTION("+EJ222+EJ223"),108717860.86)</f>
        <v>108717860.86</v>
      </c>
      <c r="EK224" s="7">
        <f ca="1">IFERROR(__xludf.DUMMYFUNCTION("+EK222+EK223"),8037487.31)</f>
        <v>8037487.3099999996</v>
      </c>
      <c r="EL224" s="7">
        <f ca="1">IFERROR(__xludf.DUMMYFUNCTION("+EL222+EL223"),5676876.87)</f>
        <v>5676876.8700000001</v>
      </c>
      <c r="EM224" s="7">
        <f ca="1">IFERROR(__xludf.DUMMYFUNCTION("+EM222+EM223"),5297167.76)</f>
        <v>5297167.76</v>
      </c>
      <c r="EN224" s="7">
        <f ca="1">IFERROR(__xludf.DUMMYFUNCTION("+EN222+EN223"),10917621.27)</f>
        <v>10917621.27</v>
      </c>
      <c r="EO224" s="7">
        <f ca="1">IFERROR(__xludf.DUMMYFUNCTION("+EO222+EO223"),4573467.3)</f>
        <v>4573467.3</v>
      </c>
      <c r="EP224" s="7">
        <f ca="1">IFERROR(__xludf.DUMMYFUNCTION("+EP222+EP223"),5979506.43)</f>
        <v>5979506.4299999997</v>
      </c>
      <c r="EQ224" s="7">
        <f ca="1">IFERROR(__xludf.DUMMYFUNCTION("+EQ222+EQ223"),30090180.0099999)</f>
        <v>30090180.009999901</v>
      </c>
      <c r="ER224" s="7">
        <f ca="1">IFERROR(__xludf.DUMMYFUNCTION("+ER222+ER223"),4951170.04)</f>
        <v>4951170.04</v>
      </c>
      <c r="ES224" s="7">
        <f ca="1">IFERROR(__xludf.DUMMYFUNCTION("+ES222+ES223"),3249410.81)</f>
        <v>3249410.81</v>
      </c>
      <c r="ET224" s="7">
        <f ca="1">IFERROR(__xludf.DUMMYFUNCTION("+ET222+ET223"),4248451.96)</f>
        <v>4248451.96</v>
      </c>
      <c r="EU224" s="7">
        <f ca="1">IFERROR(__xludf.DUMMYFUNCTION("+EU222+EU223"),7694910.5)</f>
        <v>7694910.5</v>
      </c>
      <c r="EV224" s="7">
        <f ca="1">IFERROR(__xludf.DUMMYFUNCTION("+EV222+EV223"),1779462.53)</f>
        <v>1779462.53</v>
      </c>
      <c r="EW224" s="7">
        <f ca="1">IFERROR(__xludf.DUMMYFUNCTION("+EW222+EW223"),12843141.59)</f>
        <v>12843141.59</v>
      </c>
      <c r="EX224" s="7">
        <f ca="1">IFERROR(__xludf.DUMMYFUNCTION("+EX222+EX223"),3678303.94999999)</f>
        <v>3678303.9499999899</v>
      </c>
      <c r="EY224" s="7">
        <f ca="1">IFERROR(__xludf.DUMMYFUNCTION("+EY222+EY223"),3028231.05)</f>
        <v>3028231.05</v>
      </c>
      <c r="EZ224" s="7">
        <f ca="1">IFERROR(__xludf.DUMMYFUNCTION("+EZ222+EZ223"),2720167.82)</f>
        <v>2720167.82</v>
      </c>
      <c r="FA224" s="7">
        <f ca="1">IFERROR(__xludf.DUMMYFUNCTION("+FA222+FA223"),40845272.5599999)</f>
        <v>40845272.559999898</v>
      </c>
      <c r="FB224" s="7">
        <f ca="1">IFERROR(__xludf.DUMMYFUNCTION("+FB222+FB223"),4655084.18)</f>
        <v>4655084.18</v>
      </c>
      <c r="FC224" s="7">
        <f ca="1">IFERROR(__xludf.DUMMYFUNCTION("+FC222+FC223"),20759250.59)</f>
        <v>20759250.59</v>
      </c>
      <c r="FD224" s="7">
        <f ca="1">IFERROR(__xludf.DUMMYFUNCTION("+FD222+FD223"),5572360.23)</f>
        <v>5572360.2300000004</v>
      </c>
      <c r="FE224" s="7">
        <f ca="1">IFERROR(__xludf.DUMMYFUNCTION("+FE222+FE223"),1840419.22)</f>
        <v>1840419.22</v>
      </c>
      <c r="FF224" s="7">
        <f ca="1">IFERROR(__xludf.DUMMYFUNCTION("+FF222+FF223"),3588838.33)</f>
        <v>3588838.33</v>
      </c>
      <c r="FG224" s="7">
        <f ca="1">IFERROR(__xludf.DUMMYFUNCTION("+FG222+FG223"),2625029.1)</f>
        <v>2625029.1</v>
      </c>
      <c r="FH224" s="7">
        <f ca="1">IFERROR(__xludf.DUMMYFUNCTION("+FH222+FH223"),1618391.59999999)</f>
        <v>1618391.5999999901</v>
      </c>
      <c r="FI224" s="7">
        <f ca="1">IFERROR(__xludf.DUMMYFUNCTION("+FI222+FI223"),19975926.2)</f>
        <v>19975926.199999999</v>
      </c>
      <c r="FJ224" s="7">
        <f ca="1">IFERROR(__xludf.DUMMYFUNCTION("+FJ222+FJ223"),22369633.59)</f>
        <v>22369633.59</v>
      </c>
      <c r="FK224" s="7">
        <f ca="1">IFERROR(__xludf.DUMMYFUNCTION("+FK222+FK223"),28625952.2)</f>
        <v>28625952.199999999</v>
      </c>
      <c r="FL224" s="7">
        <f ca="1">IFERROR(__xludf.DUMMYFUNCTION("+FL222+FL223"),90958044.91)</f>
        <v>90958044.909999996</v>
      </c>
      <c r="FM224" s="7">
        <f ca="1">IFERROR(__xludf.DUMMYFUNCTION("+FM222+FM223"),42942042.58)</f>
        <v>42942042.579999998</v>
      </c>
      <c r="FN224" s="7">
        <f ca="1">IFERROR(__xludf.DUMMYFUNCTION("+FN222+FN223"),257728068.56)</f>
        <v>257728068.56</v>
      </c>
      <c r="FO224" s="7">
        <f ca="1">IFERROR(__xludf.DUMMYFUNCTION("+FO222+FO223"),13248604.12)</f>
        <v>13248604.119999999</v>
      </c>
      <c r="FP224" s="7">
        <f ca="1">IFERROR(__xludf.DUMMYFUNCTION("+FP222+FP223"),27057363.78)</f>
        <v>27057363.780000001</v>
      </c>
      <c r="FQ224" s="7">
        <f ca="1">IFERROR(__xludf.DUMMYFUNCTION("+FQ222+FQ223"),11510565.99)</f>
        <v>11510565.99</v>
      </c>
      <c r="FR224" s="7">
        <f ca="1">IFERROR(__xludf.DUMMYFUNCTION("+FR222+FR223"),3295037.27)</f>
        <v>3295037.27</v>
      </c>
      <c r="FS224" s="7">
        <f ca="1">IFERROR(__xludf.DUMMYFUNCTION("+FS222+FS223"),3289803.97)</f>
        <v>3289803.97</v>
      </c>
      <c r="FT224" s="7">
        <f ca="1">IFERROR(__xludf.DUMMYFUNCTION("+FT222+FT223"),1389181.21)</f>
        <v>1389181.21</v>
      </c>
      <c r="FU224" s="7">
        <f ca="1">IFERROR(__xludf.DUMMYFUNCTION("+FU222+FU223"),10125634.84)</f>
        <v>10125634.84</v>
      </c>
      <c r="FV224" s="7">
        <f ca="1">IFERROR(__xludf.DUMMYFUNCTION("+FV222+FV223"),8708379.88)</f>
        <v>8708379.8800000008</v>
      </c>
      <c r="FW224" s="7">
        <f ca="1">IFERROR(__xludf.DUMMYFUNCTION("+FW222+FW223"),3091216.36)</f>
        <v>3091216.36</v>
      </c>
      <c r="FX224" s="7">
        <f ca="1">IFERROR(__xludf.DUMMYFUNCTION("+FX222+FX223"),1601192.38)</f>
        <v>1601192.38</v>
      </c>
      <c r="FY224" s="7"/>
      <c r="FZ224" s="7">
        <f t="shared" ca="1" si="109"/>
        <v>9483434001.2499962</v>
      </c>
      <c r="GA224" s="7"/>
      <c r="GB224" s="7">
        <f ca="1">FZ224-GA224</f>
        <v>9483434001.2499962</v>
      </c>
      <c r="GC224" s="7"/>
      <c r="GD224" s="7"/>
      <c r="GE224" s="7"/>
      <c r="GF224" s="7"/>
      <c r="GG224" s="7"/>
      <c r="GH224" s="7"/>
      <c r="GI224" s="7"/>
      <c r="GJ224" s="7"/>
      <c r="GK224" s="7"/>
    </row>
    <row r="225" spans="1:193" ht="15.5" x14ac:dyDescent="0.35">
      <c r="A225" s="12" t="s">
        <v>986</v>
      </c>
      <c r="B225" s="7" t="s">
        <v>987</v>
      </c>
      <c r="C225" s="7">
        <f t="shared" ref="C225:FX225" ca="1" si="110">C169</f>
        <v>1167501.6100000001</v>
      </c>
      <c r="D225" s="7">
        <f t="shared" ca="1" si="110"/>
        <v>3850787.1</v>
      </c>
      <c r="E225" s="7">
        <f t="shared" ca="1" si="110"/>
        <v>1298550.1399999999</v>
      </c>
      <c r="F225" s="7">
        <f t="shared" ca="1" si="110"/>
        <v>2144804.69</v>
      </c>
      <c r="G225" s="7">
        <f t="shared" ca="1" si="110"/>
        <v>184044.24</v>
      </c>
      <c r="H225" s="7">
        <f t="shared" ca="1" si="110"/>
        <v>63049.99</v>
      </c>
      <c r="I225" s="7">
        <f t="shared" ca="1" si="110"/>
        <v>1565093.25</v>
      </c>
      <c r="J225" s="7">
        <f t="shared" ca="1" si="110"/>
        <v>152658.41</v>
      </c>
      <c r="K225" s="7">
        <f t="shared" ca="1" si="110"/>
        <v>3722.89</v>
      </c>
      <c r="L225" s="7">
        <f t="shared" ca="1" si="110"/>
        <v>164266.20000000001</v>
      </c>
      <c r="M225" s="7">
        <f t="shared" ca="1" si="110"/>
        <v>178191.09</v>
      </c>
      <c r="N225" s="7">
        <f t="shared" ca="1" si="110"/>
        <v>4843324.3600000003</v>
      </c>
      <c r="O225" s="7">
        <f t="shared" ca="1" si="110"/>
        <v>347392.66</v>
      </c>
      <c r="P225" s="7">
        <f t="shared" ca="1" si="110"/>
        <v>37519.14</v>
      </c>
      <c r="Q225" s="7">
        <f t="shared" ca="1" si="110"/>
        <v>10423519.42</v>
      </c>
      <c r="R225" s="7">
        <f t="shared" ca="1" si="110"/>
        <v>92099.45</v>
      </c>
      <c r="S225" s="7">
        <f t="shared" ca="1" si="110"/>
        <v>43902.239999999998</v>
      </c>
      <c r="T225" s="7">
        <f t="shared" ca="1" si="110"/>
        <v>0</v>
      </c>
      <c r="U225" s="7">
        <f t="shared" ca="1" si="110"/>
        <v>0</v>
      </c>
      <c r="V225" s="7">
        <f t="shared" ca="1" si="110"/>
        <v>0</v>
      </c>
      <c r="W225" s="7">
        <f t="shared" ca="1" si="110"/>
        <v>0</v>
      </c>
      <c r="X225" s="7">
        <f t="shared" ca="1" si="110"/>
        <v>0</v>
      </c>
      <c r="Y225" s="7">
        <f t="shared" ca="1" si="110"/>
        <v>3389.1</v>
      </c>
      <c r="Z225" s="7">
        <f t="shared" ca="1" si="110"/>
        <v>4977.75</v>
      </c>
      <c r="AA225" s="7">
        <f t="shared" ca="1" si="110"/>
        <v>1772139.29</v>
      </c>
      <c r="AB225" s="7">
        <f t="shared" ca="1" si="110"/>
        <v>1388522.84</v>
      </c>
      <c r="AC225" s="7">
        <f t="shared" ca="1" si="110"/>
        <v>29296.65</v>
      </c>
      <c r="AD225" s="7">
        <f t="shared" ca="1" si="110"/>
        <v>30344.75</v>
      </c>
      <c r="AE225" s="7">
        <f t="shared" ca="1" si="110"/>
        <v>4877.7</v>
      </c>
      <c r="AF225" s="7">
        <f t="shared" ca="1" si="110"/>
        <v>8947.0400000000009</v>
      </c>
      <c r="AG225" s="7">
        <f t="shared" ca="1" si="110"/>
        <v>11897.51</v>
      </c>
      <c r="AH225" s="7">
        <f t="shared" ca="1" si="110"/>
        <v>0</v>
      </c>
      <c r="AI225" s="7">
        <f t="shared" ca="1" si="110"/>
        <v>3088.22</v>
      </c>
      <c r="AJ225" s="7">
        <f t="shared" ca="1" si="110"/>
        <v>2889.53</v>
      </c>
      <c r="AK225" s="7">
        <f t="shared" ca="1" si="110"/>
        <v>1463.36</v>
      </c>
      <c r="AL225" s="7">
        <f t="shared" ca="1" si="110"/>
        <v>24131.82</v>
      </c>
      <c r="AM225" s="7">
        <f t="shared" ca="1" si="110"/>
        <v>1076.52</v>
      </c>
      <c r="AN225" s="7">
        <f t="shared" ca="1" si="110"/>
        <v>0</v>
      </c>
      <c r="AO225" s="7">
        <f t="shared" ca="1" si="110"/>
        <v>98235.36</v>
      </c>
      <c r="AP225" s="7">
        <f t="shared" ca="1" si="110"/>
        <v>14734696.5</v>
      </c>
      <c r="AQ225" s="7">
        <f t="shared" ca="1" si="110"/>
        <v>0</v>
      </c>
      <c r="AR225" s="7">
        <f t="shared" ca="1" si="110"/>
        <v>1501307.3</v>
      </c>
      <c r="AS225" s="7">
        <f t="shared" ca="1" si="110"/>
        <v>1048076.39</v>
      </c>
      <c r="AT225" s="7">
        <f t="shared" ca="1" si="110"/>
        <v>28428.37</v>
      </c>
      <c r="AU225" s="7">
        <f t="shared" ca="1" si="110"/>
        <v>5115.8999999999996</v>
      </c>
      <c r="AV225" s="7">
        <f t="shared" ca="1" si="110"/>
        <v>3638.05</v>
      </c>
      <c r="AW225" s="7">
        <f t="shared" ca="1" si="110"/>
        <v>1311.79</v>
      </c>
      <c r="AX225" s="7">
        <f t="shared" ca="1" si="110"/>
        <v>9028.84</v>
      </c>
      <c r="AY225" s="7">
        <f t="shared" ca="1" si="110"/>
        <v>5387.39</v>
      </c>
      <c r="AZ225" s="7">
        <f t="shared" ca="1" si="110"/>
        <v>961949.22</v>
      </c>
      <c r="BA225" s="7">
        <f t="shared" ca="1" si="110"/>
        <v>166871.91</v>
      </c>
      <c r="BB225" s="7">
        <f t="shared" ca="1" si="110"/>
        <v>153890.82999999999</v>
      </c>
      <c r="BC225" s="7">
        <f t="shared" ca="1" si="110"/>
        <v>1378797.16</v>
      </c>
      <c r="BD225" s="7">
        <f t="shared" ca="1" si="110"/>
        <v>45191.39</v>
      </c>
      <c r="BE225" s="7">
        <f t="shared" ca="1" si="110"/>
        <v>2731.33</v>
      </c>
      <c r="BF225" s="7">
        <f t="shared" ca="1" si="110"/>
        <v>383777.31</v>
      </c>
      <c r="BG225" s="7">
        <f t="shared" ca="1" si="110"/>
        <v>72217.149999999994</v>
      </c>
      <c r="BH225" s="7">
        <f t="shared" ca="1" si="110"/>
        <v>5928.66</v>
      </c>
      <c r="BI225" s="7">
        <f t="shared" ca="1" si="110"/>
        <v>19316.62</v>
      </c>
      <c r="BJ225" s="7">
        <f t="shared" ca="1" si="110"/>
        <v>58577.94</v>
      </c>
      <c r="BK225" s="7">
        <f t="shared" ca="1" si="110"/>
        <v>580260.15</v>
      </c>
      <c r="BL225" s="7">
        <f t="shared" ca="1" si="110"/>
        <v>1805.23</v>
      </c>
      <c r="BM225" s="7">
        <f t="shared" ca="1" si="110"/>
        <v>12233.01</v>
      </c>
      <c r="BN225" s="7">
        <f t="shared" ca="1" si="110"/>
        <v>9037.99</v>
      </c>
      <c r="BO225" s="7">
        <f t="shared" ca="1" si="110"/>
        <v>7760.82</v>
      </c>
      <c r="BP225" s="7">
        <f t="shared" ca="1" si="110"/>
        <v>1517.04</v>
      </c>
      <c r="BQ225" s="7">
        <f t="shared" ca="1" si="110"/>
        <v>1032061.61</v>
      </c>
      <c r="BR225" s="7">
        <f t="shared" ca="1" si="110"/>
        <v>647013.06000000006</v>
      </c>
      <c r="BS225" s="7">
        <f t="shared" ca="1" si="110"/>
        <v>189605.71</v>
      </c>
      <c r="BT225" s="7">
        <f t="shared" ca="1" si="110"/>
        <v>2296.59</v>
      </c>
      <c r="BU225" s="7">
        <f t="shared" ca="1" si="110"/>
        <v>47065.31</v>
      </c>
      <c r="BV225" s="7">
        <f t="shared" ca="1" si="110"/>
        <v>76174.2</v>
      </c>
      <c r="BW225" s="7">
        <f t="shared" ca="1" si="110"/>
        <v>188930.54</v>
      </c>
      <c r="BX225" s="7">
        <f t="shared" ca="1" si="110"/>
        <v>0</v>
      </c>
      <c r="BY225" s="7">
        <f t="shared" ca="1" si="110"/>
        <v>0</v>
      </c>
      <c r="BZ225" s="7">
        <f t="shared" ca="1" si="110"/>
        <v>0</v>
      </c>
      <c r="CA225" s="7">
        <f t="shared" ca="1" si="110"/>
        <v>8011.41</v>
      </c>
      <c r="CB225" s="7">
        <f t="shared" ca="1" si="110"/>
        <v>2498751.73</v>
      </c>
      <c r="CC225" s="7">
        <f t="shared" ca="1" si="110"/>
        <v>0</v>
      </c>
      <c r="CD225" s="7">
        <f t="shared" ca="1" si="110"/>
        <v>1725.82</v>
      </c>
      <c r="CE225" s="7">
        <f t="shared" ca="1" si="110"/>
        <v>0</v>
      </c>
      <c r="CF225" s="7">
        <f t="shared" ca="1" si="110"/>
        <v>0</v>
      </c>
      <c r="CG225" s="7">
        <f t="shared" ca="1" si="110"/>
        <v>14885.24</v>
      </c>
      <c r="CH225" s="7">
        <f t="shared" ca="1" si="110"/>
        <v>9838.08</v>
      </c>
      <c r="CI225" s="7">
        <f t="shared" ca="1" si="110"/>
        <v>55579.09</v>
      </c>
      <c r="CJ225" s="7">
        <f t="shared" ca="1" si="110"/>
        <v>146784.93</v>
      </c>
      <c r="CK225" s="7">
        <f t="shared" ca="1" si="110"/>
        <v>147322.71</v>
      </c>
      <c r="CL225" s="7">
        <f t="shared" ca="1" si="110"/>
        <v>20385.580000000002</v>
      </c>
      <c r="CM225" s="7">
        <f t="shared" ca="1" si="110"/>
        <v>7869.08</v>
      </c>
      <c r="CN225" s="7">
        <f t="shared" ca="1" si="110"/>
        <v>1002986.61</v>
      </c>
      <c r="CO225" s="7">
        <f t="shared" ca="1" si="110"/>
        <v>314905.38</v>
      </c>
      <c r="CP225" s="7">
        <f t="shared" ca="1" si="110"/>
        <v>130982.91</v>
      </c>
      <c r="CQ225" s="7">
        <f t="shared" ca="1" si="110"/>
        <v>2781.15</v>
      </c>
      <c r="CR225" s="7">
        <f t="shared" ca="1" si="110"/>
        <v>0</v>
      </c>
      <c r="CS225" s="7">
        <f t="shared" ca="1" si="110"/>
        <v>1169.4100000000001</v>
      </c>
      <c r="CT225" s="7">
        <f t="shared" ca="1" si="110"/>
        <v>1587.81</v>
      </c>
      <c r="CU225" s="7">
        <f t="shared" ca="1" si="110"/>
        <v>2613.02</v>
      </c>
      <c r="CV225" s="7">
        <f t="shared" ca="1" si="110"/>
        <v>0</v>
      </c>
      <c r="CW225" s="7">
        <f t="shared" ca="1" si="110"/>
        <v>1396.79</v>
      </c>
      <c r="CX225" s="7">
        <f t="shared" ca="1" si="110"/>
        <v>11574.58</v>
      </c>
      <c r="CY225" s="7">
        <f t="shared" ca="1" si="110"/>
        <v>0</v>
      </c>
      <c r="CZ225" s="7">
        <f t="shared" ca="1" si="110"/>
        <v>33330.480000000003</v>
      </c>
      <c r="DA225" s="7">
        <f t="shared" ca="1" si="110"/>
        <v>0</v>
      </c>
      <c r="DB225" s="7">
        <f t="shared" ca="1" si="110"/>
        <v>8091.46</v>
      </c>
      <c r="DC225" s="7">
        <f t="shared" ca="1" si="110"/>
        <v>0</v>
      </c>
      <c r="DD225" s="7">
        <f t="shared" ca="1" si="110"/>
        <v>10351.280000000001</v>
      </c>
      <c r="DE225" s="7">
        <f t="shared" ca="1" si="110"/>
        <v>1190.44</v>
      </c>
      <c r="DF225" s="7">
        <f t="shared" ca="1" si="110"/>
        <v>529571.94999999995</v>
      </c>
      <c r="DG225" s="7">
        <f t="shared" ca="1" si="110"/>
        <v>0</v>
      </c>
      <c r="DH225" s="7">
        <f t="shared" ca="1" si="110"/>
        <v>100626.69</v>
      </c>
      <c r="DI225" s="7">
        <f t="shared" ca="1" si="110"/>
        <v>51186.37</v>
      </c>
      <c r="DJ225" s="7">
        <f t="shared" ca="1" si="110"/>
        <v>8539.27</v>
      </c>
      <c r="DK225" s="7">
        <f t="shared" ca="1" si="110"/>
        <v>18301.259999999998</v>
      </c>
      <c r="DL225" s="7">
        <f t="shared" ca="1" si="110"/>
        <v>356501.3</v>
      </c>
      <c r="DM225" s="7">
        <f t="shared" ca="1" si="110"/>
        <v>0</v>
      </c>
      <c r="DN225" s="7">
        <f t="shared" ca="1" si="110"/>
        <v>58975.32</v>
      </c>
      <c r="DO225" s="7">
        <f t="shared" ca="1" si="110"/>
        <v>450887.65</v>
      </c>
      <c r="DP225" s="7">
        <f t="shared" ca="1" si="110"/>
        <v>0</v>
      </c>
      <c r="DQ225" s="7">
        <f t="shared" ca="1" si="110"/>
        <v>46666.93</v>
      </c>
      <c r="DR225" s="7">
        <f t="shared" ca="1" si="110"/>
        <v>14688.43</v>
      </c>
      <c r="DS225" s="7">
        <f t="shared" ca="1" si="110"/>
        <v>29904.01</v>
      </c>
      <c r="DT225" s="7">
        <f t="shared" ca="1" si="110"/>
        <v>8870.44</v>
      </c>
      <c r="DU225" s="7">
        <f t="shared" ca="1" si="110"/>
        <v>3263.16</v>
      </c>
      <c r="DV225" s="7">
        <f t="shared" ca="1" si="110"/>
        <v>1376.34</v>
      </c>
      <c r="DW225" s="7">
        <f t="shared" ca="1" si="110"/>
        <v>1160.03</v>
      </c>
      <c r="DX225" s="7">
        <f t="shared" ca="1" si="110"/>
        <v>1697.88</v>
      </c>
      <c r="DY225" s="7">
        <f t="shared" ca="1" si="110"/>
        <v>5186.03</v>
      </c>
      <c r="DZ225" s="7">
        <f t="shared" ca="1" si="110"/>
        <v>0</v>
      </c>
      <c r="EA225" s="7">
        <f t="shared" ca="1" si="110"/>
        <v>28065.53</v>
      </c>
      <c r="EB225" s="7">
        <f t="shared" ca="1" si="110"/>
        <v>57873.5</v>
      </c>
      <c r="EC225" s="7">
        <f t="shared" ca="1" si="110"/>
        <v>10162.23</v>
      </c>
      <c r="ED225" s="7">
        <f t="shared" ca="1" si="110"/>
        <v>78242.47</v>
      </c>
      <c r="EE225" s="7">
        <f t="shared" ca="1" si="110"/>
        <v>26088.1</v>
      </c>
      <c r="EF225" s="7">
        <f t="shared" ca="1" si="110"/>
        <v>60675.53</v>
      </c>
      <c r="EG225" s="7">
        <f t="shared" ca="1" si="110"/>
        <v>51621.26</v>
      </c>
      <c r="EH225" s="7">
        <f t="shared" ca="1" si="110"/>
        <v>17048.36</v>
      </c>
      <c r="EI225" s="7">
        <f t="shared" ca="1" si="110"/>
        <v>349214.23</v>
      </c>
      <c r="EJ225" s="7">
        <f t="shared" ca="1" si="110"/>
        <v>164288.82999999999</v>
      </c>
      <c r="EK225" s="7">
        <f t="shared" ca="1" si="110"/>
        <v>15633.47</v>
      </c>
      <c r="EL225" s="7">
        <f t="shared" ca="1" si="110"/>
        <v>935.72</v>
      </c>
      <c r="EM225" s="7">
        <f t="shared" ca="1" si="110"/>
        <v>6307.4</v>
      </c>
      <c r="EN225" s="7">
        <f t="shared" ca="1" si="110"/>
        <v>8741.33</v>
      </c>
      <c r="EO225" s="7">
        <f t="shared" ca="1" si="110"/>
        <v>5681.61</v>
      </c>
      <c r="EP225" s="7">
        <f t="shared" ca="1" si="110"/>
        <v>18371.05</v>
      </c>
      <c r="EQ225" s="7">
        <f t="shared" ca="1" si="110"/>
        <v>165763.28</v>
      </c>
      <c r="ER225" s="7">
        <f t="shared" ca="1" si="110"/>
        <v>17431.29</v>
      </c>
      <c r="ES225" s="7">
        <f t="shared" ca="1" si="110"/>
        <v>4383</v>
      </c>
      <c r="ET225" s="7">
        <f t="shared" ca="1" si="110"/>
        <v>7872.17</v>
      </c>
      <c r="EU225" s="7">
        <f t="shared" ca="1" si="110"/>
        <v>92705.75</v>
      </c>
      <c r="EV225" s="7">
        <f t="shared" ca="1" si="110"/>
        <v>11030.3</v>
      </c>
      <c r="EW225" s="7">
        <f t="shared" ca="1" si="110"/>
        <v>71573.87</v>
      </c>
      <c r="EX225" s="7">
        <f t="shared" ca="1" si="110"/>
        <v>12755</v>
      </c>
      <c r="EY225" s="7">
        <f t="shared" ca="1" si="110"/>
        <v>15536.15</v>
      </c>
      <c r="EZ225" s="7">
        <f t="shared" ca="1" si="110"/>
        <v>0</v>
      </c>
      <c r="FA225" s="7">
        <f t="shared" ca="1" si="110"/>
        <v>564068.14</v>
      </c>
      <c r="FB225" s="7">
        <f t="shared" ca="1" si="110"/>
        <v>3560.38</v>
      </c>
      <c r="FC225" s="7">
        <f t="shared" ca="1" si="110"/>
        <v>28022.81</v>
      </c>
      <c r="FD225" s="7">
        <f t="shared" ca="1" si="110"/>
        <v>4153.05</v>
      </c>
      <c r="FE225" s="7">
        <f t="shared" ca="1" si="110"/>
        <v>22591.43</v>
      </c>
      <c r="FF225" s="7">
        <f t="shared" ca="1" si="110"/>
        <v>2909.83</v>
      </c>
      <c r="FG225" s="7">
        <f t="shared" ca="1" si="110"/>
        <v>4956.3100000000004</v>
      </c>
      <c r="FH225" s="7">
        <f t="shared" ca="1" si="110"/>
        <v>0</v>
      </c>
      <c r="FI225" s="7">
        <f t="shared" ca="1" si="110"/>
        <v>158109.75</v>
      </c>
      <c r="FJ225" s="7">
        <f t="shared" ca="1" si="110"/>
        <v>61175.05</v>
      </c>
      <c r="FK225" s="7">
        <f t="shared" ca="1" si="110"/>
        <v>208652.74</v>
      </c>
      <c r="FL225" s="7">
        <f t="shared" ca="1" si="110"/>
        <v>161259.79</v>
      </c>
      <c r="FM225" s="7">
        <f t="shared" ca="1" si="110"/>
        <v>77217.39</v>
      </c>
      <c r="FN225" s="7">
        <f t="shared" ca="1" si="110"/>
        <v>2840660.03</v>
      </c>
      <c r="FO225" s="7">
        <f t="shared" ca="1" si="110"/>
        <v>49090.2</v>
      </c>
      <c r="FP225" s="7">
        <f t="shared" ca="1" si="110"/>
        <v>280177.12</v>
      </c>
      <c r="FQ225" s="7">
        <f t="shared" ca="1" si="110"/>
        <v>53778.27</v>
      </c>
      <c r="FR225" s="7">
        <f t="shared" ca="1" si="110"/>
        <v>1520.17</v>
      </c>
      <c r="FS225" s="7">
        <f t="shared" ca="1" si="110"/>
        <v>0</v>
      </c>
      <c r="FT225" s="7">
        <f t="shared" ca="1" si="110"/>
        <v>0</v>
      </c>
      <c r="FU225" s="7">
        <f t="shared" ca="1" si="110"/>
        <v>129624.4</v>
      </c>
      <c r="FV225" s="7">
        <f t="shared" ca="1" si="110"/>
        <v>81740.179999999993</v>
      </c>
      <c r="FW225" s="7">
        <f t="shared" ca="1" si="110"/>
        <v>7860.49</v>
      </c>
      <c r="FX225" s="7">
        <f t="shared" ca="1" si="110"/>
        <v>0</v>
      </c>
      <c r="FY225" s="7"/>
      <c r="FZ225" s="7">
        <f t="shared" ca="1" si="109"/>
        <v>65488352.639999941</v>
      </c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</row>
    <row r="226" spans="1:193" ht="15.5" x14ac:dyDescent="0.35">
      <c r="A226" s="12" t="s">
        <v>988</v>
      </c>
      <c r="B226" s="7" t="s">
        <v>989</v>
      </c>
      <c r="C226" s="7">
        <f t="shared" ref="C226:FX226" si="111">C182</f>
        <v>1621376</v>
      </c>
      <c r="D226" s="7">
        <f t="shared" si="111"/>
        <v>6218904</v>
      </c>
      <c r="E226" s="7">
        <f t="shared" si="111"/>
        <v>78144</v>
      </c>
      <c r="F226" s="7">
        <f t="shared" si="111"/>
        <v>21394464</v>
      </c>
      <c r="G226" s="7">
        <f t="shared" si="111"/>
        <v>7104</v>
      </c>
      <c r="H226" s="7">
        <f t="shared" si="111"/>
        <v>7104</v>
      </c>
      <c r="I226" s="7">
        <f t="shared" si="111"/>
        <v>126816</v>
      </c>
      <c r="J226" s="7">
        <f t="shared" si="111"/>
        <v>0</v>
      </c>
      <c r="K226" s="7">
        <f t="shared" si="111"/>
        <v>0</v>
      </c>
      <c r="L226" s="7">
        <f t="shared" si="111"/>
        <v>163392</v>
      </c>
      <c r="M226" s="7">
        <f t="shared" si="111"/>
        <v>99456</v>
      </c>
      <c r="N226" s="7">
        <f t="shared" si="111"/>
        <v>1505128</v>
      </c>
      <c r="O226" s="7">
        <f t="shared" si="111"/>
        <v>780032</v>
      </c>
      <c r="P226" s="7">
        <f t="shared" si="111"/>
        <v>0</v>
      </c>
      <c r="Q226" s="7">
        <f t="shared" si="111"/>
        <v>1584296</v>
      </c>
      <c r="R226" s="7">
        <f t="shared" si="111"/>
        <v>69363744</v>
      </c>
      <c r="S226" s="7">
        <f t="shared" si="111"/>
        <v>146720</v>
      </c>
      <c r="T226" s="7">
        <f t="shared" si="111"/>
        <v>0</v>
      </c>
      <c r="U226" s="7">
        <f t="shared" si="111"/>
        <v>0</v>
      </c>
      <c r="V226" s="7">
        <f t="shared" si="111"/>
        <v>0</v>
      </c>
      <c r="W226" s="7">
        <f t="shared" si="111"/>
        <v>7104</v>
      </c>
      <c r="X226" s="7">
        <f t="shared" si="111"/>
        <v>0</v>
      </c>
      <c r="Y226" s="7">
        <f t="shared" si="111"/>
        <v>4962280</v>
      </c>
      <c r="Z226" s="7">
        <f t="shared" si="111"/>
        <v>0</v>
      </c>
      <c r="AA226" s="7">
        <f t="shared" si="111"/>
        <v>4297648</v>
      </c>
      <c r="AB226" s="7">
        <f t="shared" si="111"/>
        <v>2698816</v>
      </c>
      <c r="AC226" s="7">
        <f t="shared" si="111"/>
        <v>0</v>
      </c>
      <c r="AD226" s="7">
        <f t="shared" si="111"/>
        <v>46176</v>
      </c>
      <c r="AE226" s="7">
        <f t="shared" si="111"/>
        <v>0</v>
      </c>
      <c r="AF226" s="7">
        <f t="shared" si="111"/>
        <v>0</v>
      </c>
      <c r="AG226" s="7">
        <f t="shared" si="111"/>
        <v>0</v>
      </c>
      <c r="AH226" s="7">
        <f t="shared" si="111"/>
        <v>0</v>
      </c>
      <c r="AI226" s="7">
        <f t="shared" si="111"/>
        <v>0</v>
      </c>
      <c r="AJ226" s="7">
        <f t="shared" si="111"/>
        <v>0</v>
      </c>
      <c r="AK226" s="7">
        <f t="shared" si="111"/>
        <v>0</v>
      </c>
      <c r="AL226" s="7">
        <f t="shared" si="111"/>
        <v>0</v>
      </c>
      <c r="AM226" s="7">
        <f t="shared" si="111"/>
        <v>0</v>
      </c>
      <c r="AN226" s="7">
        <f t="shared" si="111"/>
        <v>7104</v>
      </c>
      <c r="AO226" s="7">
        <f t="shared" si="111"/>
        <v>3882840</v>
      </c>
      <c r="AP226" s="7">
        <f t="shared" si="111"/>
        <v>7749664</v>
      </c>
      <c r="AQ226" s="7">
        <f t="shared" si="111"/>
        <v>5240</v>
      </c>
      <c r="AR226" s="7">
        <f t="shared" si="111"/>
        <v>14861360</v>
      </c>
      <c r="AS226" s="7">
        <f t="shared" si="111"/>
        <v>124144</v>
      </c>
      <c r="AT226" s="7">
        <f t="shared" si="111"/>
        <v>31792</v>
      </c>
      <c r="AU226" s="7">
        <f t="shared" si="111"/>
        <v>0</v>
      </c>
      <c r="AV226" s="7">
        <f t="shared" si="111"/>
        <v>0</v>
      </c>
      <c r="AW226" s="7">
        <f t="shared" si="111"/>
        <v>14208</v>
      </c>
      <c r="AX226" s="7">
        <f t="shared" si="111"/>
        <v>0</v>
      </c>
      <c r="AY226" s="7">
        <f t="shared" si="111"/>
        <v>0</v>
      </c>
      <c r="AZ226" s="7">
        <f t="shared" si="111"/>
        <v>1034144</v>
      </c>
      <c r="BA226" s="7">
        <f t="shared" si="111"/>
        <v>2518752</v>
      </c>
      <c r="BB226" s="7">
        <f t="shared" si="111"/>
        <v>74416</v>
      </c>
      <c r="BC226" s="7">
        <f t="shared" si="111"/>
        <v>5416440</v>
      </c>
      <c r="BD226" s="7">
        <f t="shared" si="111"/>
        <v>28416</v>
      </c>
      <c r="BE226" s="7">
        <f t="shared" si="111"/>
        <v>0</v>
      </c>
      <c r="BF226" s="7">
        <f t="shared" si="111"/>
        <v>12763096</v>
      </c>
      <c r="BG226" s="7">
        <f t="shared" si="111"/>
        <v>0</v>
      </c>
      <c r="BH226" s="7">
        <f t="shared" si="111"/>
        <v>378688</v>
      </c>
      <c r="BI226" s="7">
        <f t="shared" si="111"/>
        <v>0</v>
      </c>
      <c r="BJ226" s="7">
        <f t="shared" si="111"/>
        <v>131072</v>
      </c>
      <c r="BK226" s="7">
        <f t="shared" si="111"/>
        <v>138941352</v>
      </c>
      <c r="BL226" s="7">
        <f t="shared" si="111"/>
        <v>38720</v>
      </c>
      <c r="BM226" s="7">
        <f t="shared" si="111"/>
        <v>131424</v>
      </c>
      <c r="BN226" s="7">
        <f t="shared" si="111"/>
        <v>395184</v>
      </c>
      <c r="BO226" s="7">
        <f t="shared" si="111"/>
        <v>21312</v>
      </c>
      <c r="BP226" s="7">
        <f t="shared" si="111"/>
        <v>0</v>
      </c>
      <c r="BQ226" s="7">
        <f t="shared" si="111"/>
        <v>24688</v>
      </c>
      <c r="BR226" s="7">
        <f t="shared" si="111"/>
        <v>0</v>
      </c>
      <c r="BS226" s="7">
        <f t="shared" si="111"/>
        <v>0</v>
      </c>
      <c r="BT226" s="7">
        <f t="shared" si="111"/>
        <v>0</v>
      </c>
      <c r="BU226" s="7">
        <f t="shared" si="111"/>
        <v>0</v>
      </c>
      <c r="BV226" s="7">
        <f t="shared" si="111"/>
        <v>0</v>
      </c>
      <c r="BW226" s="7">
        <f t="shared" si="111"/>
        <v>0</v>
      </c>
      <c r="BX226" s="7">
        <f t="shared" si="111"/>
        <v>0</v>
      </c>
      <c r="BY226" s="7">
        <f t="shared" si="111"/>
        <v>31440</v>
      </c>
      <c r="BZ226" s="7">
        <f t="shared" si="111"/>
        <v>0</v>
      </c>
      <c r="CA226" s="7">
        <f t="shared" si="111"/>
        <v>0</v>
      </c>
      <c r="CB226" s="7">
        <f t="shared" si="111"/>
        <v>10409760</v>
      </c>
      <c r="CC226" s="7">
        <f t="shared" si="111"/>
        <v>0</v>
      </c>
      <c r="CD226" s="7">
        <f t="shared" si="111"/>
        <v>0</v>
      </c>
      <c r="CE226" s="7">
        <f t="shared" si="111"/>
        <v>0</v>
      </c>
      <c r="CF226" s="7">
        <f t="shared" si="111"/>
        <v>0</v>
      </c>
      <c r="CG226" s="7">
        <f t="shared" si="111"/>
        <v>0</v>
      </c>
      <c r="CH226" s="7">
        <f t="shared" si="111"/>
        <v>0</v>
      </c>
      <c r="CI226" s="7">
        <f t="shared" si="111"/>
        <v>0</v>
      </c>
      <c r="CJ226" s="7">
        <f t="shared" si="111"/>
        <v>10480</v>
      </c>
      <c r="CK226" s="7">
        <f t="shared" si="111"/>
        <v>246280</v>
      </c>
      <c r="CL226" s="7">
        <f t="shared" si="111"/>
        <v>86056</v>
      </c>
      <c r="CM226" s="7">
        <f t="shared" si="111"/>
        <v>20960</v>
      </c>
      <c r="CN226" s="7">
        <f t="shared" si="111"/>
        <v>8905528</v>
      </c>
      <c r="CO226" s="7">
        <f t="shared" si="111"/>
        <v>525168</v>
      </c>
      <c r="CP226" s="7">
        <f t="shared" si="111"/>
        <v>42272</v>
      </c>
      <c r="CQ226" s="7">
        <f t="shared" si="111"/>
        <v>0</v>
      </c>
      <c r="CR226" s="7">
        <f t="shared" si="111"/>
        <v>0</v>
      </c>
      <c r="CS226" s="7">
        <f t="shared" si="111"/>
        <v>0</v>
      </c>
      <c r="CT226" s="7">
        <f t="shared" si="111"/>
        <v>0</v>
      </c>
      <c r="CU226" s="7">
        <f t="shared" si="111"/>
        <v>4164288</v>
      </c>
      <c r="CV226" s="7">
        <f t="shared" si="111"/>
        <v>0</v>
      </c>
      <c r="CW226" s="7">
        <f t="shared" si="111"/>
        <v>0</v>
      </c>
      <c r="CX226" s="7">
        <f t="shared" si="111"/>
        <v>0</v>
      </c>
      <c r="CY226" s="7">
        <f t="shared" si="111"/>
        <v>0</v>
      </c>
      <c r="CZ226" s="7">
        <f t="shared" si="111"/>
        <v>0</v>
      </c>
      <c r="DA226" s="7">
        <f t="shared" si="111"/>
        <v>0</v>
      </c>
      <c r="DB226" s="7">
        <f t="shared" si="111"/>
        <v>0</v>
      </c>
      <c r="DC226" s="7">
        <f t="shared" si="111"/>
        <v>0</v>
      </c>
      <c r="DD226" s="7">
        <f t="shared" si="111"/>
        <v>0</v>
      </c>
      <c r="DE226" s="7">
        <f t="shared" si="111"/>
        <v>0</v>
      </c>
      <c r="DF226" s="7">
        <f t="shared" si="111"/>
        <v>445824</v>
      </c>
      <c r="DG226" s="7">
        <f t="shared" si="111"/>
        <v>0</v>
      </c>
      <c r="DH226" s="7">
        <f t="shared" si="111"/>
        <v>0</v>
      </c>
      <c r="DI226" s="7">
        <f t="shared" si="111"/>
        <v>41920</v>
      </c>
      <c r="DJ226" s="7">
        <f t="shared" si="111"/>
        <v>10480</v>
      </c>
      <c r="DK226" s="7">
        <f t="shared" si="111"/>
        <v>10480</v>
      </c>
      <c r="DL226" s="7">
        <f t="shared" si="111"/>
        <v>0</v>
      </c>
      <c r="DM226" s="7">
        <f t="shared" si="111"/>
        <v>0</v>
      </c>
      <c r="DN226" s="7">
        <f t="shared" si="111"/>
        <v>12344</v>
      </c>
      <c r="DO226" s="7">
        <f t="shared" si="111"/>
        <v>10480</v>
      </c>
      <c r="DP226" s="7">
        <f t="shared" si="111"/>
        <v>0</v>
      </c>
      <c r="DQ226" s="7">
        <f t="shared" si="111"/>
        <v>7104</v>
      </c>
      <c r="DR226" s="7">
        <f t="shared" si="111"/>
        <v>0</v>
      </c>
      <c r="DS226" s="7">
        <f t="shared" si="111"/>
        <v>0</v>
      </c>
      <c r="DT226" s="7">
        <f t="shared" si="111"/>
        <v>0</v>
      </c>
      <c r="DU226" s="7">
        <f t="shared" si="111"/>
        <v>0</v>
      </c>
      <c r="DV226" s="7">
        <f t="shared" si="111"/>
        <v>0</v>
      </c>
      <c r="DW226" s="7">
        <f t="shared" si="111"/>
        <v>0</v>
      </c>
      <c r="DX226" s="7">
        <f t="shared" si="111"/>
        <v>0</v>
      </c>
      <c r="DY226" s="7">
        <f t="shared" si="111"/>
        <v>0</v>
      </c>
      <c r="DZ226" s="7">
        <f t="shared" si="111"/>
        <v>7104</v>
      </c>
      <c r="EA226" s="7">
        <f t="shared" si="111"/>
        <v>0</v>
      </c>
      <c r="EB226" s="7">
        <f t="shared" si="111"/>
        <v>0</v>
      </c>
      <c r="EC226" s="7">
        <f t="shared" si="111"/>
        <v>0</v>
      </c>
      <c r="ED226" s="7">
        <f t="shared" si="111"/>
        <v>0</v>
      </c>
      <c r="EE226" s="7">
        <f t="shared" si="111"/>
        <v>0</v>
      </c>
      <c r="EF226" s="7">
        <f t="shared" si="111"/>
        <v>14208</v>
      </c>
      <c r="EG226" s="7">
        <f t="shared" si="111"/>
        <v>0</v>
      </c>
      <c r="EH226" s="7">
        <f t="shared" si="111"/>
        <v>0</v>
      </c>
      <c r="EI226" s="7">
        <f t="shared" si="111"/>
        <v>184528</v>
      </c>
      <c r="EJ226" s="7">
        <f t="shared" si="111"/>
        <v>2390744</v>
      </c>
      <c r="EK226" s="7">
        <f t="shared" si="111"/>
        <v>0</v>
      </c>
      <c r="EL226" s="7">
        <f t="shared" si="111"/>
        <v>0</v>
      </c>
      <c r="EM226" s="7">
        <f t="shared" si="111"/>
        <v>0</v>
      </c>
      <c r="EN226" s="7">
        <f t="shared" si="111"/>
        <v>450640</v>
      </c>
      <c r="EO226" s="7">
        <f t="shared" si="111"/>
        <v>0</v>
      </c>
      <c r="EP226" s="7">
        <f t="shared" si="111"/>
        <v>0</v>
      </c>
      <c r="EQ226" s="7">
        <f t="shared" si="111"/>
        <v>14208</v>
      </c>
      <c r="ER226" s="7">
        <f t="shared" si="111"/>
        <v>14208</v>
      </c>
      <c r="ES226" s="7">
        <f t="shared" si="111"/>
        <v>0</v>
      </c>
      <c r="ET226" s="7">
        <f t="shared" si="111"/>
        <v>0</v>
      </c>
      <c r="EU226" s="7">
        <f t="shared" si="111"/>
        <v>0</v>
      </c>
      <c r="EV226" s="7">
        <f t="shared" si="111"/>
        <v>0</v>
      </c>
      <c r="EW226" s="7">
        <f t="shared" si="111"/>
        <v>0</v>
      </c>
      <c r="EX226" s="7">
        <f t="shared" si="111"/>
        <v>0</v>
      </c>
      <c r="EY226" s="7">
        <f t="shared" si="111"/>
        <v>4716000</v>
      </c>
      <c r="EZ226" s="7">
        <f t="shared" si="111"/>
        <v>0</v>
      </c>
      <c r="FA226" s="7">
        <f t="shared" si="111"/>
        <v>85248</v>
      </c>
      <c r="FB226" s="7">
        <f t="shared" si="111"/>
        <v>0</v>
      </c>
      <c r="FC226" s="7">
        <f t="shared" si="111"/>
        <v>28416</v>
      </c>
      <c r="FD226" s="7">
        <f t="shared" si="111"/>
        <v>0</v>
      </c>
      <c r="FE226" s="7">
        <f t="shared" si="111"/>
        <v>0</v>
      </c>
      <c r="FF226" s="7">
        <f t="shared" si="111"/>
        <v>0</v>
      </c>
      <c r="FG226" s="7">
        <f t="shared" si="111"/>
        <v>0</v>
      </c>
      <c r="FH226" s="7">
        <f t="shared" si="111"/>
        <v>0</v>
      </c>
      <c r="FI226" s="7">
        <f t="shared" si="111"/>
        <v>0</v>
      </c>
      <c r="FJ226" s="7">
        <f t="shared" si="111"/>
        <v>0</v>
      </c>
      <c r="FK226" s="7">
        <f t="shared" si="111"/>
        <v>0</v>
      </c>
      <c r="FL226" s="7">
        <f t="shared" si="111"/>
        <v>0</v>
      </c>
      <c r="FM226" s="7">
        <f t="shared" si="111"/>
        <v>0</v>
      </c>
      <c r="FN226" s="7">
        <f t="shared" si="111"/>
        <v>2913512</v>
      </c>
      <c r="FO226" s="7">
        <f t="shared" si="111"/>
        <v>20960</v>
      </c>
      <c r="FP226" s="7">
        <f t="shared" si="111"/>
        <v>0</v>
      </c>
      <c r="FQ226" s="7">
        <f t="shared" si="111"/>
        <v>0</v>
      </c>
      <c r="FR226" s="7">
        <f t="shared" si="111"/>
        <v>0</v>
      </c>
      <c r="FS226" s="7">
        <f t="shared" si="111"/>
        <v>0</v>
      </c>
      <c r="FT226" s="7">
        <f t="shared" si="111"/>
        <v>0</v>
      </c>
      <c r="FU226" s="7">
        <f t="shared" si="111"/>
        <v>0</v>
      </c>
      <c r="FV226" s="7">
        <f t="shared" si="111"/>
        <v>7104</v>
      </c>
      <c r="FW226" s="7">
        <f t="shared" si="111"/>
        <v>14208</v>
      </c>
      <c r="FX226" s="7">
        <f t="shared" si="111"/>
        <v>0</v>
      </c>
      <c r="FY226" s="7"/>
      <c r="FZ226" s="7">
        <f t="shared" si="109"/>
        <v>339524712</v>
      </c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</row>
    <row r="227" spans="1:193" ht="15.5" x14ac:dyDescent="0.35">
      <c r="A227" s="12" t="s">
        <v>990</v>
      </c>
      <c r="B227" s="7" t="s">
        <v>991</v>
      </c>
      <c r="C227" s="7">
        <f t="shared" ref="C227:FX227" ca="1" si="112">C224+C225+C226</f>
        <v>79052053.679999992</v>
      </c>
      <c r="D227" s="7">
        <f t="shared" ca="1" si="112"/>
        <v>445981124.5</v>
      </c>
      <c r="E227" s="7">
        <f t="shared" ca="1" si="112"/>
        <v>71451600.429999903</v>
      </c>
      <c r="F227" s="7">
        <f t="shared" ca="1" si="112"/>
        <v>279259860.22000003</v>
      </c>
      <c r="G227" s="7">
        <f t="shared" ca="1" si="112"/>
        <v>21768156.77</v>
      </c>
      <c r="H227" s="7">
        <f t="shared" ca="1" si="112"/>
        <v>13185969.140000001</v>
      </c>
      <c r="I227" s="7">
        <f t="shared" ca="1" si="112"/>
        <v>98882360.640000001</v>
      </c>
      <c r="J227" s="7">
        <f t="shared" ca="1" si="112"/>
        <v>24091398.419999901</v>
      </c>
      <c r="K227" s="7">
        <f t="shared" ca="1" si="112"/>
        <v>4191224.56</v>
      </c>
      <c r="L227" s="7">
        <f t="shared" ca="1" si="112"/>
        <v>26165974.879999999</v>
      </c>
      <c r="M227" s="7">
        <f t="shared" ca="1" si="112"/>
        <v>12949878.18</v>
      </c>
      <c r="N227" s="7">
        <f t="shared" ca="1" si="112"/>
        <v>591734292.39999998</v>
      </c>
      <c r="O227" s="7">
        <f t="shared" ca="1" si="112"/>
        <v>143765812.40000001</v>
      </c>
      <c r="P227" s="7">
        <f t="shared" ca="1" si="112"/>
        <v>5104600.0999999996</v>
      </c>
      <c r="Q227" s="7">
        <f t="shared" ca="1" si="112"/>
        <v>497020802.72000003</v>
      </c>
      <c r="R227" s="7">
        <f t="shared" ca="1" si="112"/>
        <v>79746543.269999996</v>
      </c>
      <c r="S227" s="7">
        <f t="shared" ca="1" si="112"/>
        <v>18977505.5</v>
      </c>
      <c r="T227" s="7">
        <f t="shared" ca="1" si="112"/>
        <v>3218152.6199999899</v>
      </c>
      <c r="U227" s="7">
        <f t="shared" ca="1" si="112"/>
        <v>1310288.68</v>
      </c>
      <c r="V227" s="7">
        <f t="shared" ca="1" si="112"/>
        <v>4192885.27</v>
      </c>
      <c r="W227" s="7">
        <f t="shared" ca="1" si="112"/>
        <v>1380077.76</v>
      </c>
      <c r="X227" s="7">
        <f t="shared" ca="1" si="112"/>
        <v>1162581.68</v>
      </c>
      <c r="Y227" s="7">
        <f t="shared" ca="1" si="112"/>
        <v>10781640.01</v>
      </c>
      <c r="Z227" s="7">
        <f t="shared" ca="1" si="112"/>
        <v>3768030.09</v>
      </c>
      <c r="AA227" s="7">
        <f t="shared" ca="1" si="112"/>
        <v>352412400.11000001</v>
      </c>
      <c r="AB227" s="7">
        <f t="shared" ca="1" si="112"/>
        <v>312782805.33999997</v>
      </c>
      <c r="AC227" s="7">
        <f t="shared" ca="1" si="112"/>
        <v>10829324.530000001</v>
      </c>
      <c r="AD227" s="7">
        <f t="shared" ca="1" si="112"/>
        <v>16356653.41</v>
      </c>
      <c r="AE227" s="7">
        <f t="shared" ca="1" si="112"/>
        <v>2141390.1099999901</v>
      </c>
      <c r="AF227" s="7">
        <f t="shared" ca="1" si="112"/>
        <v>3331505.06</v>
      </c>
      <c r="AG227" s="7">
        <f t="shared" ca="1" si="112"/>
        <v>7741217.1600000001</v>
      </c>
      <c r="AH227" s="7">
        <f t="shared" ca="1" si="112"/>
        <v>11289974.189999999</v>
      </c>
      <c r="AI227" s="7">
        <f t="shared" ca="1" si="112"/>
        <v>5293011.6399999997</v>
      </c>
      <c r="AJ227" s="7">
        <f t="shared" ca="1" si="112"/>
        <v>3613794.0199999898</v>
      </c>
      <c r="AK227" s="7">
        <f t="shared" ca="1" si="112"/>
        <v>3358406.28</v>
      </c>
      <c r="AL227" s="7">
        <f t="shared" ca="1" si="112"/>
        <v>4578265.29</v>
      </c>
      <c r="AM227" s="7">
        <f t="shared" ca="1" si="112"/>
        <v>5070412.3299999991</v>
      </c>
      <c r="AN227" s="7">
        <f t="shared" ca="1" si="112"/>
        <v>4635191.92</v>
      </c>
      <c r="AO227" s="7">
        <f t="shared" ca="1" si="112"/>
        <v>49732825.859999999</v>
      </c>
      <c r="AP227" s="7">
        <f t="shared" ca="1" si="112"/>
        <v>1019506255.91</v>
      </c>
      <c r="AQ227" s="7">
        <f t="shared" ca="1" si="112"/>
        <v>4371211.78</v>
      </c>
      <c r="AR227" s="7">
        <f t="shared" ca="1" si="112"/>
        <v>694618771.50999892</v>
      </c>
      <c r="AS227" s="7">
        <f t="shared" ca="1" si="112"/>
        <v>79299839.129999995</v>
      </c>
      <c r="AT227" s="7">
        <f t="shared" ca="1" si="112"/>
        <v>27076325.920000002</v>
      </c>
      <c r="AU227" s="7">
        <f t="shared" ca="1" si="112"/>
        <v>4545410</v>
      </c>
      <c r="AV227" s="7">
        <f t="shared" ca="1" si="112"/>
        <v>4973402.92</v>
      </c>
      <c r="AW227" s="7">
        <f t="shared" ca="1" si="112"/>
        <v>4370592.07</v>
      </c>
      <c r="AX227" s="7">
        <f t="shared" ca="1" si="112"/>
        <v>1957632.03</v>
      </c>
      <c r="AY227" s="7">
        <f t="shared" ca="1" si="112"/>
        <v>5824738.4399999995</v>
      </c>
      <c r="AZ227" s="7">
        <f t="shared" ca="1" si="112"/>
        <v>142626815.31999999</v>
      </c>
      <c r="BA227" s="7">
        <f t="shared" ca="1" si="112"/>
        <v>100486370.0299999</v>
      </c>
      <c r="BB227" s="7">
        <f t="shared" ca="1" si="112"/>
        <v>83817514.6199999</v>
      </c>
      <c r="BC227" s="7">
        <f t="shared" ca="1" si="112"/>
        <v>282823004.06999904</v>
      </c>
      <c r="BD227" s="7">
        <f t="shared" ca="1" si="112"/>
        <v>39817773.919999897</v>
      </c>
      <c r="BE227" s="7">
        <f t="shared" ca="1" si="112"/>
        <v>14211729.34</v>
      </c>
      <c r="BF227" s="7">
        <f t="shared" ca="1" si="112"/>
        <v>281878750.83999997</v>
      </c>
      <c r="BG227" s="7">
        <f t="shared" ca="1" si="112"/>
        <v>11549050.060000001</v>
      </c>
      <c r="BH227" s="7">
        <f t="shared" ca="1" si="112"/>
        <v>7350148.0899999999</v>
      </c>
      <c r="BI227" s="7">
        <f t="shared" ca="1" si="112"/>
        <v>4531484.93</v>
      </c>
      <c r="BJ227" s="7">
        <f t="shared" ca="1" si="112"/>
        <v>69422739.200000003</v>
      </c>
      <c r="BK227" s="7">
        <f t="shared" ca="1" si="112"/>
        <v>390659101.26999998</v>
      </c>
      <c r="BL227" s="7">
        <f t="shared" ca="1" si="112"/>
        <v>1867959.0899999901</v>
      </c>
      <c r="BM227" s="7">
        <f t="shared" ca="1" si="112"/>
        <v>5263171.9999999898</v>
      </c>
      <c r="BN227" s="7">
        <f t="shared" ca="1" si="112"/>
        <v>34624646.109999999</v>
      </c>
      <c r="BO227" s="7">
        <f t="shared" ca="1" si="112"/>
        <v>14478562.7899999</v>
      </c>
      <c r="BP227" s="7">
        <f t="shared" ca="1" si="112"/>
        <v>3242513.9</v>
      </c>
      <c r="BQ227" s="7">
        <f t="shared" ca="1" si="112"/>
        <v>72109250.569999993</v>
      </c>
      <c r="BR227" s="7">
        <f t="shared" ca="1" si="112"/>
        <v>51022566.020000003</v>
      </c>
      <c r="BS227" s="7">
        <f t="shared" ca="1" si="112"/>
        <v>14686026.07</v>
      </c>
      <c r="BT227" s="7">
        <f t="shared" ca="1" si="112"/>
        <v>5629295.6999999899</v>
      </c>
      <c r="BU227" s="7">
        <f t="shared" ca="1" si="112"/>
        <v>5842037.6999999993</v>
      </c>
      <c r="BV227" s="7">
        <f t="shared" ca="1" si="112"/>
        <v>14582251.569999998</v>
      </c>
      <c r="BW227" s="7">
        <f t="shared" ca="1" si="112"/>
        <v>23400238.7299999</v>
      </c>
      <c r="BX227" s="7">
        <f t="shared" ca="1" si="112"/>
        <v>1647493.26</v>
      </c>
      <c r="BY227" s="7">
        <f t="shared" ca="1" si="112"/>
        <v>6019018.9100000001</v>
      </c>
      <c r="BZ227" s="7">
        <f t="shared" ca="1" si="112"/>
        <v>3917429.31</v>
      </c>
      <c r="CA227" s="7">
        <f t="shared" ca="1" si="112"/>
        <v>3045296</v>
      </c>
      <c r="CB227" s="7">
        <f t="shared" ca="1" si="112"/>
        <v>829325795.82000005</v>
      </c>
      <c r="CC227" s="7">
        <f t="shared" ca="1" si="112"/>
        <v>3491422.38</v>
      </c>
      <c r="CD227" s="7">
        <f t="shared" ca="1" si="112"/>
        <v>1111944.4000000001</v>
      </c>
      <c r="CE227" s="7">
        <f t="shared" ca="1" si="112"/>
        <v>3065905.17</v>
      </c>
      <c r="CF227" s="7">
        <f t="shared" ca="1" si="112"/>
        <v>2291611.64</v>
      </c>
      <c r="CG227" s="7">
        <f t="shared" ca="1" si="112"/>
        <v>3572390.33</v>
      </c>
      <c r="CH227" s="7">
        <f t="shared" ca="1" si="112"/>
        <v>2154948.56</v>
      </c>
      <c r="CI227" s="7">
        <f t="shared" ca="1" si="112"/>
        <v>8273353.04</v>
      </c>
      <c r="CJ227" s="7">
        <f t="shared" ca="1" si="112"/>
        <v>11069880.449999999</v>
      </c>
      <c r="CK227" s="7">
        <f t="shared" ca="1" si="112"/>
        <v>56336946.939999998</v>
      </c>
      <c r="CL227" s="7">
        <f t="shared" ca="1" si="112"/>
        <v>15020578.23</v>
      </c>
      <c r="CM227" s="7">
        <f t="shared" ca="1" si="112"/>
        <v>9001152.8000000007</v>
      </c>
      <c r="CN227" s="7">
        <f t="shared" ca="1" si="112"/>
        <v>342321282</v>
      </c>
      <c r="CO227" s="7">
        <f t="shared" ca="1" si="112"/>
        <v>156288142.35999998</v>
      </c>
      <c r="CP227" s="7">
        <f t="shared" ca="1" si="112"/>
        <v>11723979.35</v>
      </c>
      <c r="CQ227" s="7">
        <f t="shared" ca="1" si="112"/>
        <v>9949079.0600000005</v>
      </c>
      <c r="CR227" s="7">
        <f t="shared" ca="1" si="112"/>
        <v>3775953.62</v>
      </c>
      <c r="CS227" s="7">
        <f t="shared" ca="1" si="112"/>
        <v>4349049.93</v>
      </c>
      <c r="CT227" s="7">
        <f t="shared" ca="1" si="112"/>
        <v>2470076.59</v>
      </c>
      <c r="CU227" s="7">
        <f t="shared" ca="1" si="112"/>
        <v>5221299.8600000003</v>
      </c>
      <c r="CV227" s="7">
        <f t="shared" ca="1" si="112"/>
        <v>1076684.73</v>
      </c>
      <c r="CW227" s="7">
        <f t="shared" ca="1" si="112"/>
        <v>3691096.75</v>
      </c>
      <c r="CX227" s="7">
        <f t="shared" ca="1" si="112"/>
        <v>5911762.3099999903</v>
      </c>
      <c r="CY227" s="7">
        <f t="shared" ca="1" si="112"/>
        <v>1148005.03</v>
      </c>
      <c r="CZ227" s="7">
        <f t="shared" ca="1" si="112"/>
        <v>20679499.120000001</v>
      </c>
      <c r="DA227" s="7">
        <f t="shared" ca="1" si="112"/>
        <v>3639031.96999999</v>
      </c>
      <c r="DB227" s="7">
        <f t="shared" ca="1" si="112"/>
        <v>4728881.38</v>
      </c>
      <c r="DC227" s="7">
        <f t="shared" ca="1" si="112"/>
        <v>3560350.21</v>
      </c>
      <c r="DD227" s="7">
        <f t="shared" ca="1" si="112"/>
        <v>3479436.51</v>
      </c>
      <c r="DE227" s="7">
        <f t="shared" ca="1" si="112"/>
        <v>4477825.1500000004</v>
      </c>
      <c r="DF227" s="7">
        <f t="shared" ca="1" si="112"/>
        <v>226246790.48999998</v>
      </c>
      <c r="DG227" s="7">
        <f t="shared" ca="1" si="112"/>
        <v>2134952.04</v>
      </c>
      <c r="DH227" s="7">
        <f t="shared" ca="1" si="112"/>
        <v>20322605.720000003</v>
      </c>
      <c r="DI227" s="7">
        <f t="shared" ca="1" si="112"/>
        <v>27597128.670000002</v>
      </c>
      <c r="DJ227" s="7">
        <f t="shared" ca="1" si="112"/>
        <v>7911070.4799999995</v>
      </c>
      <c r="DK227" s="7">
        <f t="shared" ca="1" si="112"/>
        <v>6064487.1499999994</v>
      </c>
      <c r="DL227" s="7">
        <f t="shared" ca="1" si="112"/>
        <v>65787938.75</v>
      </c>
      <c r="DM227" s="7">
        <f t="shared" ca="1" si="112"/>
        <v>4326904.25</v>
      </c>
      <c r="DN227" s="7">
        <f t="shared" ca="1" si="112"/>
        <v>15839550.7899999</v>
      </c>
      <c r="DO227" s="7">
        <f t="shared" ca="1" si="112"/>
        <v>38031980.059999995</v>
      </c>
      <c r="DP227" s="7">
        <f t="shared" ca="1" si="112"/>
        <v>3781904.38</v>
      </c>
      <c r="DQ227" s="7">
        <f t="shared" ca="1" si="112"/>
        <v>10711354.560000001</v>
      </c>
      <c r="DR227" s="7">
        <f t="shared" ca="1" si="112"/>
        <v>15886646.859999999</v>
      </c>
      <c r="DS227" s="7">
        <f t="shared" ca="1" si="112"/>
        <v>7931817.7000000002</v>
      </c>
      <c r="DT227" s="7">
        <f t="shared" ca="1" si="112"/>
        <v>3608126.51</v>
      </c>
      <c r="DU227" s="7">
        <f t="shared" ca="1" si="112"/>
        <v>5119303.6799999997</v>
      </c>
      <c r="DV227" s="7">
        <f t="shared" ca="1" si="112"/>
        <v>3770010.8</v>
      </c>
      <c r="DW227" s="7">
        <f t="shared" ca="1" si="112"/>
        <v>4617450.2</v>
      </c>
      <c r="DX227" s="7">
        <f t="shared" ca="1" si="112"/>
        <v>3711652.82</v>
      </c>
      <c r="DY227" s="7">
        <f t="shared" ca="1" si="112"/>
        <v>4950450.13</v>
      </c>
      <c r="DZ227" s="7">
        <f t="shared" ca="1" si="112"/>
        <v>8825649.25</v>
      </c>
      <c r="EA227" s="7">
        <f t="shared" ca="1" si="112"/>
        <v>7010469.4500000002</v>
      </c>
      <c r="EB227" s="7">
        <f t="shared" ca="1" si="112"/>
        <v>6781640.27999999</v>
      </c>
      <c r="EC227" s="7">
        <f t="shared" ca="1" si="112"/>
        <v>4197736.3500000006</v>
      </c>
      <c r="ED227" s="7">
        <f t="shared" ca="1" si="112"/>
        <v>23405168.759999998</v>
      </c>
      <c r="EE227" s="7">
        <f t="shared" ca="1" si="112"/>
        <v>3587045.68</v>
      </c>
      <c r="EF227" s="7">
        <f t="shared" ca="1" si="112"/>
        <v>16123971.9099999</v>
      </c>
      <c r="EG227" s="7">
        <f t="shared" ca="1" si="112"/>
        <v>4053090.4</v>
      </c>
      <c r="EH227" s="7">
        <f t="shared" ca="1" si="112"/>
        <v>4021646.7899999898</v>
      </c>
      <c r="EI227" s="7">
        <f t="shared" ca="1" si="112"/>
        <v>162554647.53</v>
      </c>
      <c r="EJ227" s="7">
        <f t="shared" ca="1" si="112"/>
        <v>111272893.69</v>
      </c>
      <c r="EK227" s="7">
        <f t="shared" ca="1" si="112"/>
        <v>8053120.7799999993</v>
      </c>
      <c r="EL227" s="7">
        <f t="shared" ca="1" si="112"/>
        <v>5677812.5899999999</v>
      </c>
      <c r="EM227" s="7">
        <f t="shared" ca="1" si="112"/>
        <v>5303475.16</v>
      </c>
      <c r="EN227" s="7">
        <f t="shared" ca="1" si="112"/>
        <v>11377002.6</v>
      </c>
      <c r="EO227" s="7">
        <f t="shared" ca="1" si="112"/>
        <v>4579148.91</v>
      </c>
      <c r="EP227" s="7">
        <f t="shared" ca="1" si="112"/>
        <v>5997877.4799999995</v>
      </c>
      <c r="EQ227" s="7">
        <f t="shared" ca="1" si="112"/>
        <v>30270151.289999902</v>
      </c>
      <c r="ER227" s="7">
        <f t="shared" ca="1" si="112"/>
        <v>4982809.33</v>
      </c>
      <c r="ES227" s="7">
        <f t="shared" ca="1" si="112"/>
        <v>3253793.81</v>
      </c>
      <c r="ET227" s="7">
        <f t="shared" ca="1" si="112"/>
        <v>4256324.13</v>
      </c>
      <c r="EU227" s="7">
        <f t="shared" ca="1" si="112"/>
        <v>7787616.25</v>
      </c>
      <c r="EV227" s="7">
        <f t="shared" ca="1" si="112"/>
        <v>1790492.83</v>
      </c>
      <c r="EW227" s="7">
        <f t="shared" ca="1" si="112"/>
        <v>12914715.459999999</v>
      </c>
      <c r="EX227" s="7">
        <f t="shared" ca="1" si="112"/>
        <v>3691058.9499999899</v>
      </c>
      <c r="EY227" s="7">
        <f t="shared" ca="1" si="112"/>
        <v>7759767.1999999993</v>
      </c>
      <c r="EZ227" s="7">
        <f t="shared" ca="1" si="112"/>
        <v>2720167.82</v>
      </c>
      <c r="FA227" s="7">
        <f t="shared" ca="1" si="112"/>
        <v>41494588.699999899</v>
      </c>
      <c r="FB227" s="7">
        <f t="shared" ca="1" si="112"/>
        <v>4658644.5599999996</v>
      </c>
      <c r="FC227" s="7">
        <f t="shared" ca="1" si="112"/>
        <v>20815689.399999999</v>
      </c>
      <c r="FD227" s="7">
        <f t="shared" ca="1" si="112"/>
        <v>5576513.2800000003</v>
      </c>
      <c r="FE227" s="7">
        <f t="shared" ca="1" si="112"/>
        <v>1863010.65</v>
      </c>
      <c r="FF227" s="7">
        <f t="shared" ca="1" si="112"/>
        <v>3591748.16</v>
      </c>
      <c r="FG227" s="7">
        <f t="shared" ca="1" si="112"/>
        <v>2629985.41</v>
      </c>
      <c r="FH227" s="7">
        <f t="shared" ca="1" si="112"/>
        <v>1618391.5999999901</v>
      </c>
      <c r="FI227" s="7">
        <f t="shared" ca="1" si="112"/>
        <v>20134035.949999999</v>
      </c>
      <c r="FJ227" s="7">
        <f t="shared" ca="1" si="112"/>
        <v>22430808.640000001</v>
      </c>
      <c r="FK227" s="7">
        <f t="shared" ca="1" si="112"/>
        <v>28834604.939999998</v>
      </c>
      <c r="FL227" s="7">
        <f t="shared" ca="1" si="112"/>
        <v>91119304.700000003</v>
      </c>
      <c r="FM227" s="7">
        <f t="shared" ca="1" si="112"/>
        <v>43019259.969999999</v>
      </c>
      <c r="FN227" s="7">
        <f t="shared" ca="1" si="112"/>
        <v>263482240.59</v>
      </c>
      <c r="FO227" s="7">
        <f t="shared" ca="1" si="112"/>
        <v>13318654.319999998</v>
      </c>
      <c r="FP227" s="7">
        <f t="shared" ca="1" si="112"/>
        <v>27337540.900000002</v>
      </c>
      <c r="FQ227" s="7">
        <f t="shared" ca="1" si="112"/>
        <v>11564344.26</v>
      </c>
      <c r="FR227" s="7">
        <f t="shared" ca="1" si="112"/>
        <v>3296557.44</v>
      </c>
      <c r="FS227" s="7">
        <f t="shared" ca="1" si="112"/>
        <v>3289803.97</v>
      </c>
      <c r="FT227" s="7">
        <f t="shared" ca="1" si="112"/>
        <v>1389181.21</v>
      </c>
      <c r="FU227" s="7">
        <f t="shared" ca="1" si="112"/>
        <v>10255259.24</v>
      </c>
      <c r="FV227" s="7">
        <f t="shared" ca="1" si="112"/>
        <v>8797224.0600000005</v>
      </c>
      <c r="FW227" s="7">
        <f t="shared" ca="1" si="112"/>
        <v>3113284.85</v>
      </c>
      <c r="FX227" s="7">
        <f t="shared" ca="1" si="112"/>
        <v>1601192.38</v>
      </c>
      <c r="FY227" s="7"/>
      <c r="FZ227" s="7">
        <f t="shared" ca="1" si="109"/>
        <v>9888447065.8899937</v>
      </c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</row>
    <row r="228" spans="1:193" ht="15.5" x14ac:dyDescent="0.35">
      <c r="A228" s="12" t="s">
        <v>992</v>
      </c>
      <c r="B228" s="7" t="s">
        <v>993</v>
      </c>
      <c r="C228" s="7">
        <f t="shared" ref="C228:FX228" si="113">C219</f>
        <v>72033791.930000007</v>
      </c>
      <c r="D228" s="7">
        <f t="shared" si="113"/>
        <v>426677977.75999999</v>
      </c>
      <c r="E228" s="7">
        <f t="shared" si="113"/>
        <v>63360537.700000003</v>
      </c>
      <c r="F228" s="7">
        <f t="shared" si="113"/>
        <v>268420783.88999999</v>
      </c>
      <c r="G228" s="7">
        <f t="shared" si="113"/>
        <v>20343934.600000001</v>
      </c>
      <c r="H228" s="7">
        <f t="shared" si="113"/>
        <v>12091195.810000001</v>
      </c>
      <c r="I228" s="7">
        <f t="shared" si="113"/>
        <v>88973620.400000006</v>
      </c>
      <c r="J228" s="7">
        <f t="shared" si="113"/>
        <v>22794013.82</v>
      </c>
      <c r="K228" s="7">
        <f t="shared" si="113"/>
        <v>2775911.21</v>
      </c>
      <c r="L228" s="7">
        <f t="shared" si="113"/>
        <v>23688605.32</v>
      </c>
      <c r="M228" s="7">
        <f t="shared" si="113"/>
        <v>10429992.460000001</v>
      </c>
      <c r="N228" s="7">
        <f t="shared" si="113"/>
        <v>557923680.66999996</v>
      </c>
      <c r="O228" s="7">
        <f t="shared" si="113"/>
        <v>142039392.66</v>
      </c>
      <c r="P228" s="7">
        <f t="shared" si="113"/>
        <v>3477333.35</v>
      </c>
      <c r="Q228" s="7">
        <f t="shared" si="113"/>
        <v>435229156.92000002</v>
      </c>
      <c r="R228" s="7">
        <f t="shared" si="113"/>
        <v>74677347.569999993</v>
      </c>
      <c r="S228" s="7">
        <f t="shared" si="113"/>
        <v>17697713.609999999</v>
      </c>
      <c r="T228" s="7">
        <f t="shared" si="113"/>
        <v>1776715.52</v>
      </c>
      <c r="U228" s="7">
        <f t="shared" si="113"/>
        <v>612090.07999999996</v>
      </c>
      <c r="V228" s="7">
        <f t="shared" si="113"/>
        <v>2827745.86</v>
      </c>
      <c r="W228" s="7">
        <f t="shared" si="113"/>
        <v>654485.76000000001</v>
      </c>
      <c r="X228" s="7">
        <f t="shared" si="113"/>
        <v>551432.5</v>
      </c>
      <c r="Y228" s="7">
        <f t="shared" si="113"/>
        <v>9636221.8699999992</v>
      </c>
      <c r="Z228" s="7">
        <f t="shared" si="113"/>
        <v>2548721.02</v>
      </c>
      <c r="AA228" s="7">
        <f t="shared" si="113"/>
        <v>341238345.61000001</v>
      </c>
      <c r="AB228" s="7">
        <f t="shared" si="113"/>
        <v>299895567.61000001</v>
      </c>
      <c r="AC228" s="7">
        <f t="shared" si="113"/>
        <v>9995265.5</v>
      </c>
      <c r="AD228" s="7">
        <f t="shared" si="113"/>
        <v>15873391.619999999</v>
      </c>
      <c r="AE228" s="7">
        <f t="shared" si="113"/>
        <v>1069779.05</v>
      </c>
      <c r="AF228" s="7">
        <f t="shared" si="113"/>
        <v>1847298.88</v>
      </c>
      <c r="AG228" s="7">
        <f t="shared" si="113"/>
        <v>6629321.5199999996</v>
      </c>
      <c r="AH228" s="7">
        <f t="shared" si="113"/>
        <v>10562138.109999999</v>
      </c>
      <c r="AI228" s="7">
        <f t="shared" si="113"/>
        <v>4223972.95</v>
      </c>
      <c r="AJ228" s="7">
        <f t="shared" si="113"/>
        <v>2001699.98</v>
      </c>
      <c r="AK228" s="7">
        <f t="shared" si="113"/>
        <v>1827447.31</v>
      </c>
      <c r="AL228" s="7">
        <f t="shared" si="113"/>
        <v>3181765.53</v>
      </c>
      <c r="AM228" s="7">
        <f t="shared" si="113"/>
        <v>3888701.99</v>
      </c>
      <c r="AN228" s="7">
        <f t="shared" si="113"/>
        <v>3310184.68</v>
      </c>
      <c r="AO228" s="7">
        <f t="shared" si="113"/>
        <v>48394471.399999999</v>
      </c>
      <c r="AP228" s="7">
        <f t="shared" si="113"/>
        <v>933710706.53999996</v>
      </c>
      <c r="AQ228" s="7">
        <f t="shared" si="113"/>
        <v>2773431.15</v>
      </c>
      <c r="AR228" s="7">
        <f t="shared" si="113"/>
        <v>684246374.62</v>
      </c>
      <c r="AS228" s="7">
        <f t="shared" si="113"/>
        <v>71622881.950000003</v>
      </c>
      <c r="AT228" s="7">
        <f t="shared" si="113"/>
        <v>26061611.73</v>
      </c>
      <c r="AU228" s="7">
        <f t="shared" si="113"/>
        <v>2988764.15</v>
      </c>
      <c r="AV228" s="7">
        <f t="shared" si="113"/>
        <v>3368149.71</v>
      </c>
      <c r="AW228" s="7">
        <f t="shared" si="113"/>
        <v>2826513.75</v>
      </c>
      <c r="AX228" s="7">
        <f t="shared" si="113"/>
        <v>893320.65</v>
      </c>
      <c r="AY228" s="7">
        <f t="shared" si="113"/>
        <v>4486454.82</v>
      </c>
      <c r="AZ228" s="7">
        <f t="shared" si="113"/>
        <v>134738879.41</v>
      </c>
      <c r="BA228" s="7">
        <f t="shared" si="113"/>
        <v>100627416.67</v>
      </c>
      <c r="BB228" s="7">
        <f t="shared" si="113"/>
        <v>83388146.700000003</v>
      </c>
      <c r="BC228" s="7">
        <f t="shared" si="113"/>
        <v>272060522.50999999</v>
      </c>
      <c r="BD228" s="7">
        <f t="shared" si="113"/>
        <v>40101015.780000001</v>
      </c>
      <c r="BE228" s="7">
        <f t="shared" si="113"/>
        <v>13220042.76</v>
      </c>
      <c r="BF228" s="7">
        <f t="shared" si="113"/>
        <v>281711063.5</v>
      </c>
      <c r="BG228" s="7">
        <f t="shared" si="113"/>
        <v>10152975.189999999</v>
      </c>
      <c r="BH228" s="7">
        <f t="shared" si="113"/>
        <v>6372759.2800000003</v>
      </c>
      <c r="BI228" s="7">
        <f t="shared" si="113"/>
        <v>2838774.51</v>
      </c>
      <c r="BJ228" s="7">
        <f t="shared" si="113"/>
        <v>69582892.510000005</v>
      </c>
      <c r="BK228" s="7">
        <f t="shared" si="113"/>
        <v>380079475.66000003</v>
      </c>
      <c r="BL228" s="7">
        <f t="shared" si="113"/>
        <v>858148.7</v>
      </c>
      <c r="BM228" s="7">
        <f t="shared" si="113"/>
        <v>3889987.92</v>
      </c>
      <c r="BN228" s="7">
        <f t="shared" si="113"/>
        <v>34585101.869999997</v>
      </c>
      <c r="BO228" s="7">
        <f t="shared" si="113"/>
        <v>13854547.699999999</v>
      </c>
      <c r="BP228" s="7">
        <f t="shared" si="113"/>
        <v>1768995.46</v>
      </c>
      <c r="BQ228" s="7">
        <f t="shared" si="113"/>
        <v>64924984.659999996</v>
      </c>
      <c r="BR228" s="7">
        <f t="shared" si="113"/>
        <v>49500992.659999996</v>
      </c>
      <c r="BS228" s="7">
        <f t="shared" si="113"/>
        <v>12772279.57</v>
      </c>
      <c r="BT228" s="7">
        <f t="shared" si="113"/>
        <v>4108172.13</v>
      </c>
      <c r="BU228" s="7">
        <f t="shared" si="113"/>
        <v>4341979.51</v>
      </c>
      <c r="BV228" s="7">
        <f t="shared" si="113"/>
        <v>13733977.85</v>
      </c>
      <c r="BW228" s="7">
        <f t="shared" si="113"/>
        <v>22250301.379999999</v>
      </c>
      <c r="BX228" s="7">
        <f t="shared" si="113"/>
        <v>733405.23</v>
      </c>
      <c r="BY228" s="7">
        <f t="shared" si="113"/>
        <v>4781479.5599999996</v>
      </c>
      <c r="BZ228" s="7">
        <f t="shared" si="113"/>
        <v>2514532.2000000002</v>
      </c>
      <c r="CA228" s="7">
        <f t="shared" si="113"/>
        <v>1612388.63</v>
      </c>
      <c r="CB228" s="7">
        <f t="shared" si="113"/>
        <v>810818445.21000004</v>
      </c>
      <c r="CC228" s="7">
        <f t="shared" si="113"/>
        <v>2087723.45</v>
      </c>
      <c r="CD228" s="7">
        <f t="shared" si="113"/>
        <v>551432.5</v>
      </c>
      <c r="CE228" s="7">
        <f t="shared" si="113"/>
        <v>1745835.3</v>
      </c>
      <c r="CF228" s="7">
        <f t="shared" si="113"/>
        <v>1240723.1299999999</v>
      </c>
      <c r="CG228" s="7">
        <f t="shared" si="113"/>
        <v>2204627.14</v>
      </c>
      <c r="CH228" s="7">
        <f t="shared" si="113"/>
        <v>1064264.73</v>
      </c>
      <c r="CI228" s="7">
        <f t="shared" si="113"/>
        <v>7586608.3399999999</v>
      </c>
      <c r="CJ228" s="7">
        <f t="shared" si="113"/>
        <v>9630771.4000000004</v>
      </c>
      <c r="CK228" s="7">
        <f t="shared" si="113"/>
        <v>54154321.200000003</v>
      </c>
      <c r="CL228" s="7">
        <f t="shared" si="113"/>
        <v>13633649.66</v>
      </c>
      <c r="CM228" s="7">
        <f t="shared" si="113"/>
        <v>7579996.71</v>
      </c>
      <c r="CN228" s="7">
        <f t="shared" si="113"/>
        <v>346567499.31999999</v>
      </c>
      <c r="CO228" s="7">
        <f t="shared" si="113"/>
        <v>158501756.33000001</v>
      </c>
      <c r="CP228" s="7">
        <f t="shared" si="113"/>
        <v>10292299.310000001</v>
      </c>
      <c r="CQ228" s="7">
        <f t="shared" si="113"/>
        <v>8493163.3699999992</v>
      </c>
      <c r="CR228" s="7">
        <f t="shared" si="113"/>
        <v>2379982.67</v>
      </c>
      <c r="CS228" s="7">
        <f t="shared" si="113"/>
        <v>3148679.58</v>
      </c>
      <c r="CT228" s="7">
        <f t="shared" si="113"/>
        <v>1251751.78</v>
      </c>
      <c r="CU228" s="7">
        <f t="shared" si="113"/>
        <v>4956145.07</v>
      </c>
      <c r="CV228" s="7">
        <f t="shared" si="113"/>
        <v>551432.5</v>
      </c>
      <c r="CW228" s="7">
        <f t="shared" si="113"/>
        <v>2191392.7599999998</v>
      </c>
      <c r="CX228" s="7">
        <f t="shared" si="113"/>
        <v>5088619.1100000003</v>
      </c>
      <c r="CY228" s="7">
        <f t="shared" si="113"/>
        <v>551432.5</v>
      </c>
      <c r="CZ228" s="7">
        <f t="shared" si="113"/>
        <v>19926564.82</v>
      </c>
      <c r="DA228" s="7">
        <f t="shared" si="113"/>
        <v>2244330.2799999998</v>
      </c>
      <c r="DB228" s="7">
        <f t="shared" si="113"/>
        <v>3482847.67</v>
      </c>
      <c r="DC228" s="7">
        <f t="shared" si="113"/>
        <v>2128529.4500000002</v>
      </c>
      <c r="DD228" s="7">
        <f t="shared" si="113"/>
        <v>1924499.43</v>
      </c>
      <c r="DE228" s="7">
        <f t="shared" si="113"/>
        <v>3146473.85</v>
      </c>
      <c r="DF228" s="7">
        <f t="shared" si="113"/>
        <v>229732560.37</v>
      </c>
      <c r="DG228" s="7">
        <f t="shared" si="113"/>
        <v>1031178.78</v>
      </c>
      <c r="DH228" s="7">
        <f t="shared" si="113"/>
        <v>19911124.710000001</v>
      </c>
      <c r="DI228" s="7">
        <f t="shared" si="113"/>
        <v>27043363.800000001</v>
      </c>
      <c r="DJ228" s="7">
        <f t="shared" si="113"/>
        <v>6881328.9500000002</v>
      </c>
      <c r="DK228" s="7">
        <f t="shared" si="113"/>
        <v>5278866.1100000003</v>
      </c>
      <c r="DL228" s="7">
        <f t="shared" si="113"/>
        <v>62797133.100000001</v>
      </c>
      <c r="DM228" s="7">
        <f t="shared" si="113"/>
        <v>2591732.75</v>
      </c>
      <c r="DN228" s="7">
        <f t="shared" si="113"/>
        <v>14288931.43</v>
      </c>
      <c r="DO228" s="7">
        <f t="shared" si="113"/>
        <v>36294738.5</v>
      </c>
      <c r="DP228" s="7">
        <f t="shared" si="113"/>
        <v>2205730</v>
      </c>
      <c r="DQ228" s="7">
        <f t="shared" si="113"/>
        <v>9789516.5500000007</v>
      </c>
      <c r="DR228" s="7">
        <f t="shared" si="113"/>
        <v>14504880.48</v>
      </c>
      <c r="DS228" s="7">
        <f t="shared" si="113"/>
        <v>6616087.1399999997</v>
      </c>
      <c r="DT228" s="7">
        <f t="shared" si="113"/>
        <v>1946556.73</v>
      </c>
      <c r="DU228" s="7">
        <f t="shared" si="113"/>
        <v>3875467.61</v>
      </c>
      <c r="DV228" s="7">
        <f t="shared" si="113"/>
        <v>2293959.2000000002</v>
      </c>
      <c r="DW228" s="7">
        <f t="shared" si="113"/>
        <v>3310800.73</v>
      </c>
      <c r="DX228" s="7">
        <f t="shared" si="113"/>
        <v>1852813.2</v>
      </c>
      <c r="DY228" s="7">
        <f t="shared" si="113"/>
        <v>3271097.59</v>
      </c>
      <c r="DZ228" s="7">
        <f t="shared" si="113"/>
        <v>7515408.9199999999</v>
      </c>
      <c r="EA228" s="7">
        <f t="shared" si="113"/>
        <v>5851801.6900000004</v>
      </c>
      <c r="EB228" s="7">
        <f t="shared" si="113"/>
        <v>5893710.5599999996</v>
      </c>
      <c r="EC228" s="7">
        <f t="shared" si="113"/>
        <v>3144268.12</v>
      </c>
      <c r="ED228" s="7">
        <f t="shared" si="113"/>
        <v>17224545.57</v>
      </c>
      <c r="EE228" s="7">
        <f t="shared" si="113"/>
        <v>2113089.34</v>
      </c>
      <c r="EF228" s="7">
        <f t="shared" si="113"/>
        <v>14938177.18</v>
      </c>
      <c r="EG228" s="7">
        <f t="shared" si="113"/>
        <v>2795762.78</v>
      </c>
      <c r="EH228" s="7">
        <f t="shared" si="113"/>
        <v>2728488.01</v>
      </c>
      <c r="EI228" s="7">
        <f t="shared" si="113"/>
        <v>153105583.16999999</v>
      </c>
      <c r="EJ228" s="7">
        <f t="shared" si="113"/>
        <v>112123605.77</v>
      </c>
      <c r="EK228" s="7">
        <f t="shared" si="113"/>
        <v>7374858.2599999998</v>
      </c>
      <c r="EL228" s="7">
        <f t="shared" si="113"/>
        <v>5066561.8099999996</v>
      </c>
      <c r="EM228" s="7">
        <f t="shared" si="113"/>
        <v>4169932.57</v>
      </c>
      <c r="EN228" s="7">
        <f t="shared" si="113"/>
        <v>10342236.189999999</v>
      </c>
      <c r="EO228" s="7">
        <f t="shared" si="113"/>
        <v>3368149.71</v>
      </c>
      <c r="EP228" s="7">
        <f t="shared" si="113"/>
        <v>4725776.53</v>
      </c>
      <c r="EQ228" s="7">
        <f t="shared" si="113"/>
        <v>28847510.559999999</v>
      </c>
      <c r="ER228" s="7">
        <f t="shared" si="113"/>
        <v>3406620.74</v>
      </c>
      <c r="ES228" s="7">
        <f t="shared" si="113"/>
        <v>1797669.95</v>
      </c>
      <c r="ET228" s="7">
        <f t="shared" si="113"/>
        <v>2178158.38</v>
      </c>
      <c r="EU228" s="7">
        <f t="shared" si="113"/>
        <v>6344782.3499999996</v>
      </c>
      <c r="EV228" s="7">
        <f t="shared" si="113"/>
        <v>800679.99</v>
      </c>
      <c r="EW228" s="7">
        <f t="shared" si="113"/>
        <v>9036875.8100000005</v>
      </c>
      <c r="EX228" s="7">
        <f t="shared" si="113"/>
        <v>1913470.78</v>
      </c>
      <c r="EY228" s="7">
        <f t="shared" si="113"/>
        <v>6993416.2300000004</v>
      </c>
      <c r="EZ228" s="7">
        <f t="shared" si="113"/>
        <v>1426004.45</v>
      </c>
      <c r="FA228" s="7">
        <f t="shared" si="113"/>
        <v>37419433.979999997</v>
      </c>
      <c r="FB228" s="7">
        <f t="shared" si="113"/>
        <v>3177354.07</v>
      </c>
      <c r="FC228" s="7">
        <f t="shared" si="113"/>
        <v>20124822.030000001</v>
      </c>
      <c r="FD228" s="7">
        <f t="shared" si="113"/>
        <v>4433517.3</v>
      </c>
      <c r="FE228" s="7">
        <f t="shared" si="113"/>
        <v>871263.35</v>
      </c>
      <c r="FF228" s="7">
        <f t="shared" si="113"/>
        <v>2040300.25</v>
      </c>
      <c r="FG228" s="7">
        <f t="shared" si="113"/>
        <v>1332260.92</v>
      </c>
      <c r="FH228" s="7">
        <f t="shared" si="113"/>
        <v>772005.5</v>
      </c>
      <c r="FI228" s="7">
        <f t="shared" si="113"/>
        <v>18776276.629999999</v>
      </c>
      <c r="FJ228" s="7">
        <f t="shared" si="113"/>
        <v>22239272.73</v>
      </c>
      <c r="FK228" s="7">
        <f t="shared" si="113"/>
        <v>27892558.719999999</v>
      </c>
      <c r="FL228" s="7">
        <f t="shared" si="113"/>
        <v>94168128.030000001</v>
      </c>
      <c r="FM228" s="7">
        <f t="shared" si="113"/>
        <v>43910569.979999997</v>
      </c>
      <c r="FN228" s="7">
        <f t="shared" si="113"/>
        <v>250201210.90000001</v>
      </c>
      <c r="FO228" s="7">
        <f t="shared" si="113"/>
        <v>12342167.779999999</v>
      </c>
      <c r="FP228" s="7">
        <f t="shared" si="113"/>
        <v>25823583.98</v>
      </c>
      <c r="FQ228" s="7">
        <f t="shared" si="113"/>
        <v>10862117.390000001</v>
      </c>
      <c r="FR228" s="7">
        <f t="shared" si="113"/>
        <v>1853916.07</v>
      </c>
      <c r="FS228" s="7">
        <f t="shared" si="113"/>
        <v>1856121.8</v>
      </c>
      <c r="FT228" s="7">
        <f t="shared" si="113"/>
        <v>623118.73</v>
      </c>
      <c r="FU228" s="7">
        <f t="shared" si="113"/>
        <v>8724765.0199999996</v>
      </c>
      <c r="FV228" s="7">
        <f t="shared" si="113"/>
        <v>7646649.8600000003</v>
      </c>
      <c r="FW228" s="7">
        <f t="shared" si="113"/>
        <v>1640933.88</v>
      </c>
      <c r="FX228" s="7">
        <f t="shared" si="113"/>
        <v>711347.93</v>
      </c>
      <c r="FY228" s="7"/>
      <c r="FZ228" s="7">
        <f t="shared" si="109"/>
        <v>9348579711.1599922</v>
      </c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</row>
    <row r="229" spans="1:193" ht="15.5" x14ac:dyDescent="0.35">
      <c r="A229" s="12" t="s">
        <v>994</v>
      </c>
      <c r="B229" s="7" t="s">
        <v>995</v>
      </c>
      <c r="C229" s="7">
        <f t="shared" ref="C229:FX229" ca="1" si="114">IF(C201&gt;0,C201+C225+C226,999999999.99)</f>
        <v>188569326.21000001</v>
      </c>
      <c r="D229" s="7">
        <f t="shared" ca="1" si="114"/>
        <v>2983185558.0699997</v>
      </c>
      <c r="E229" s="7">
        <f t="shared" ca="1" si="114"/>
        <v>165277542.06999999</v>
      </c>
      <c r="F229" s="7">
        <f t="shared" ca="1" si="114"/>
        <v>1256389611.23</v>
      </c>
      <c r="G229" s="7">
        <f t="shared" si="114"/>
        <v>999999999.99000001</v>
      </c>
      <c r="H229" s="7">
        <f t="shared" si="114"/>
        <v>999999999.99000001</v>
      </c>
      <c r="I229" s="7">
        <f t="shared" ca="1" si="114"/>
        <v>277521472.62</v>
      </c>
      <c r="J229" s="7">
        <f t="shared" ca="1" si="114"/>
        <v>35165237.069999993</v>
      </c>
      <c r="K229" s="7">
        <f t="shared" si="114"/>
        <v>999999999.99000001</v>
      </c>
      <c r="L229" s="7">
        <f t="shared" ca="1" si="114"/>
        <v>37922205.050000004</v>
      </c>
      <c r="M229" s="7">
        <f t="shared" ca="1" si="114"/>
        <v>14747411.789999999</v>
      </c>
      <c r="N229" s="7">
        <f t="shared" si="114"/>
        <v>999999999.99000001</v>
      </c>
      <c r="O229" s="7">
        <f t="shared" si="114"/>
        <v>999999999.99000001</v>
      </c>
      <c r="P229" s="7">
        <f t="shared" si="114"/>
        <v>999999999.99000001</v>
      </c>
      <c r="Q229" s="7">
        <f t="shared" ca="1" si="114"/>
        <v>4794378371.6199999</v>
      </c>
      <c r="R229" s="7">
        <f t="shared" ca="1" si="114"/>
        <v>82003014.829999998</v>
      </c>
      <c r="S229" s="7">
        <f t="shared" ca="1" si="114"/>
        <v>24899891.25</v>
      </c>
      <c r="T229" s="7">
        <f t="shared" si="114"/>
        <v>999999999.99000001</v>
      </c>
      <c r="U229" s="7">
        <f t="shared" si="114"/>
        <v>999999999.99000001</v>
      </c>
      <c r="V229" s="7">
        <f t="shared" si="114"/>
        <v>999999999.99000001</v>
      </c>
      <c r="W229" s="7">
        <f t="shared" si="114"/>
        <v>999999999.99000001</v>
      </c>
      <c r="X229" s="7">
        <f t="shared" si="114"/>
        <v>999999999.99000001</v>
      </c>
      <c r="Y229" s="7">
        <f t="shared" ca="1" si="114"/>
        <v>10737673.48</v>
      </c>
      <c r="Z229" s="7">
        <f t="shared" si="114"/>
        <v>999999999.99000001</v>
      </c>
      <c r="AA229" s="7">
        <f t="shared" si="114"/>
        <v>999999999.99000001</v>
      </c>
      <c r="AB229" s="7">
        <f t="shared" si="114"/>
        <v>999999999.99000001</v>
      </c>
      <c r="AC229" s="7">
        <f t="shared" si="114"/>
        <v>999999999.99000001</v>
      </c>
      <c r="AD229" s="7">
        <f t="shared" si="114"/>
        <v>999999999.99000001</v>
      </c>
      <c r="AE229" s="7">
        <f t="shared" si="114"/>
        <v>999999999.99000001</v>
      </c>
      <c r="AF229" s="7">
        <f t="shared" si="114"/>
        <v>999999999.99000001</v>
      </c>
      <c r="AG229" s="7">
        <f t="shared" si="114"/>
        <v>999999999.99000001</v>
      </c>
      <c r="AH229" s="7">
        <f t="shared" ca="1" si="114"/>
        <v>13110459.710000001</v>
      </c>
      <c r="AI229" s="7">
        <f t="shared" si="114"/>
        <v>999999999.99000001</v>
      </c>
      <c r="AJ229" s="7">
        <f t="shared" si="114"/>
        <v>999999999.99000001</v>
      </c>
      <c r="AK229" s="7">
        <f t="shared" si="114"/>
        <v>999999999.99000001</v>
      </c>
      <c r="AL229" s="7">
        <f t="shared" si="114"/>
        <v>999999999.99000001</v>
      </c>
      <c r="AM229" s="7">
        <f t="shared" si="114"/>
        <v>999999999.99000001</v>
      </c>
      <c r="AN229" s="7">
        <f t="shared" si="114"/>
        <v>999999999.99000001</v>
      </c>
      <c r="AO229" s="7">
        <f t="shared" ca="1" si="114"/>
        <v>87908549.719999999</v>
      </c>
      <c r="AP229" s="7">
        <f t="shared" ca="1" si="114"/>
        <v>16403829900.58</v>
      </c>
      <c r="AQ229" s="7">
        <f t="shared" si="114"/>
        <v>999999999.99000001</v>
      </c>
      <c r="AR229" s="7">
        <f t="shared" si="114"/>
        <v>999999999.99000001</v>
      </c>
      <c r="AS229" s="7">
        <f t="shared" si="114"/>
        <v>999999999.99000001</v>
      </c>
      <c r="AT229" s="7">
        <f t="shared" si="114"/>
        <v>999999999.99000001</v>
      </c>
      <c r="AU229" s="7">
        <f t="shared" si="114"/>
        <v>999999999.99000001</v>
      </c>
      <c r="AV229" s="7">
        <f t="shared" si="114"/>
        <v>999999999.99000001</v>
      </c>
      <c r="AW229" s="7">
        <f t="shared" si="114"/>
        <v>999999999.99000001</v>
      </c>
      <c r="AX229" s="7">
        <f t="shared" si="114"/>
        <v>999999999.99000001</v>
      </c>
      <c r="AY229" s="7">
        <f t="shared" si="114"/>
        <v>999999999.99000001</v>
      </c>
      <c r="AZ229" s="7">
        <f t="shared" ca="1" si="114"/>
        <v>485051205.55000001</v>
      </c>
      <c r="BA229" s="7">
        <f t="shared" ca="1" si="114"/>
        <v>241329412.32999998</v>
      </c>
      <c r="BB229" s="7">
        <f t="shared" ca="1" si="114"/>
        <v>186227745.23000002</v>
      </c>
      <c r="BC229" s="7">
        <f t="shared" ca="1" si="114"/>
        <v>1465625186.49</v>
      </c>
      <c r="BD229" s="7">
        <f t="shared" si="114"/>
        <v>999999999.99000001</v>
      </c>
      <c r="BE229" s="7">
        <f t="shared" si="114"/>
        <v>999999999.99000001</v>
      </c>
      <c r="BF229" s="7">
        <f t="shared" si="114"/>
        <v>999999999.99000001</v>
      </c>
      <c r="BG229" s="7">
        <f t="shared" ca="1" si="114"/>
        <v>13276055.51</v>
      </c>
      <c r="BH229" s="7">
        <f t="shared" si="114"/>
        <v>999999999.99000001</v>
      </c>
      <c r="BI229" s="7">
        <f t="shared" si="114"/>
        <v>999999999.99000001</v>
      </c>
      <c r="BJ229" s="7">
        <f t="shared" si="114"/>
        <v>999999999.99000001</v>
      </c>
      <c r="BK229" s="7">
        <f t="shared" ca="1" si="114"/>
        <v>1456230062.23</v>
      </c>
      <c r="BL229" s="7">
        <f t="shared" si="114"/>
        <v>999999999.99000001</v>
      </c>
      <c r="BM229" s="7">
        <f t="shared" si="114"/>
        <v>999999999.99000001</v>
      </c>
      <c r="BN229" s="7">
        <f t="shared" ca="1" si="114"/>
        <v>56154225.260000005</v>
      </c>
      <c r="BO229" s="7">
        <f t="shared" ca="1" si="114"/>
        <v>17822677.149999999</v>
      </c>
      <c r="BP229" s="7">
        <f t="shared" si="114"/>
        <v>999999999.99000001</v>
      </c>
      <c r="BQ229" s="7">
        <f t="shared" ca="1" si="114"/>
        <v>143357005.09</v>
      </c>
      <c r="BR229" s="7">
        <f t="shared" ca="1" si="114"/>
        <v>90925811.950000003</v>
      </c>
      <c r="BS229" s="7">
        <f t="shared" ca="1" si="114"/>
        <v>17901436.66</v>
      </c>
      <c r="BT229" s="7">
        <f t="shared" si="114"/>
        <v>999999999.99000001</v>
      </c>
      <c r="BU229" s="7">
        <f t="shared" si="114"/>
        <v>999999999.99000001</v>
      </c>
      <c r="BV229" s="7">
        <f t="shared" si="114"/>
        <v>999999999.99000001</v>
      </c>
      <c r="BW229" s="7">
        <f t="shared" si="114"/>
        <v>999999999.99000001</v>
      </c>
      <c r="BX229" s="7">
        <f t="shared" si="114"/>
        <v>999999999.99000001</v>
      </c>
      <c r="BY229" s="7">
        <f t="shared" si="114"/>
        <v>999999999.99000001</v>
      </c>
      <c r="BZ229" s="7">
        <f t="shared" si="114"/>
        <v>999999999.99000001</v>
      </c>
      <c r="CA229" s="7">
        <f t="shared" si="114"/>
        <v>999999999.99000001</v>
      </c>
      <c r="CB229" s="7">
        <f t="shared" si="114"/>
        <v>999999999.99000001</v>
      </c>
      <c r="CC229" s="7">
        <f t="shared" si="114"/>
        <v>999999999.99000001</v>
      </c>
      <c r="CD229" s="7">
        <f t="shared" si="114"/>
        <v>999999999.99000001</v>
      </c>
      <c r="CE229" s="7">
        <f t="shared" si="114"/>
        <v>999999999.99000001</v>
      </c>
      <c r="CF229" s="7">
        <f t="shared" si="114"/>
        <v>999999999.99000001</v>
      </c>
      <c r="CG229" s="7">
        <f t="shared" si="114"/>
        <v>999999999.99000001</v>
      </c>
      <c r="CH229" s="7">
        <f t="shared" si="114"/>
        <v>999999999.99000001</v>
      </c>
      <c r="CI229" s="7">
        <f t="shared" ca="1" si="114"/>
        <v>8829513.3000000007</v>
      </c>
      <c r="CJ229" s="7">
        <f t="shared" ca="1" si="114"/>
        <v>12489001.35</v>
      </c>
      <c r="CK229" s="7">
        <f t="shared" si="114"/>
        <v>999999999.99000001</v>
      </c>
      <c r="CL229" s="7">
        <f t="shared" si="114"/>
        <v>999999999.99000001</v>
      </c>
      <c r="CM229" s="7">
        <f t="shared" ca="1" si="114"/>
        <v>9595129.4800000004</v>
      </c>
      <c r="CN229" s="7">
        <f t="shared" si="114"/>
        <v>999999999.99000001</v>
      </c>
      <c r="CO229" s="7">
        <f t="shared" si="114"/>
        <v>999999999.99000001</v>
      </c>
      <c r="CP229" s="7">
        <f t="shared" ca="1" si="114"/>
        <v>13386092.67</v>
      </c>
      <c r="CQ229" s="7">
        <f t="shared" ca="1" si="114"/>
        <v>10826634.33</v>
      </c>
      <c r="CR229" s="7">
        <f t="shared" si="114"/>
        <v>999999999.99000001</v>
      </c>
      <c r="CS229" s="7">
        <f t="shared" si="114"/>
        <v>999999999.99000001</v>
      </c>
      <c r="CT229" s="7">
        <f t="shared" si="114"/>
        <v>999999999.99000001</v>
      </c>
      <c r="CU229" s="7">
        <f t="shared" si="114"/>
        <v>999999999.99000001</v>
      </c>
      <c r="CV229" s="7">
        <f t="shared" si="114"/>
        <v>999999999.99000001</v>
      </c>
      <c r="CW229" s="7">
        <f t="shared" si="114"/>
        <v>999999999.99000001</v>
      </c>
      <c r="CX229" s="7">
        <f t="shared" ca="1" si="114"/>
        <v>5913246.2599999998</v>
      </c>
      <c r="CY229" s="7">
        <f t="shared" si="114"/>
        <v>999999999.99000001</v>
      </c>
      <c r="CZ229" s="7">
        <f t="shared" ca="1" si="114"/>
        <v>27986641.030000001</v>
      </c>
      <c r="DA229" s="7">
        <f t="shared" si="114"/>
        <v>999999999.99000001</v>
      </c>
      <c r="DB229" s="7">
        <f t="shared" si="114"/>
        <v>999999999.99000001</v>
      </c>
      <c r="DC229" s="7">
        <f t="shared" si="114"/>
        <v>999999999.99000001</v>
      </c>
      <c r="DD229" s="7">
        <f t="shared" si="114"/>
        <v>999999999.99000001</v>
      </c>
      <c r="DE229" s="7">
        <f t="shared" si="114"/>
        <v>999999999.99000001</v>
      </c>
      <c r="DF229" s="7">
        <f t="shared" ca="1" si="114"/>
        <v>1029815282.1</v>
      </c>
      <c r="DG229" s="7">
        <f t="shared" si="114"/>
        <v>999999999.99000001</v>
      </c>
      <c r="DH229" s="7">
        <f t="shared" ca="1" si="114"/>
        <v>27356893.27</v>
      </c>
      <c r="DI229" s="7">
        <f t="shared" ca="1" si="114"/>
        <v>42073318.849999994</v>
      </c>
      <c r="DJ229" s="7">
        <f t="shared" ca="1" si="114"/>
        <v>8288971.1899999995</v>
      </c>
      <c r="DK229" s="7">
        <f t="shared" si="114"/>
        <v>999999999.99000001</v>
      </c>
      <c r="DL229" s="7">
        <f t="shared" ca="1" si="114"/>
        <v>135172817.29000002</v>
      </c>
      <c r="DM229" s="7">
        <f t="shared" si="114"/>
        <v>999999999.99000001</v>
      </c>
      <c r="DN229" s="7">
        <f t="shared" ca="1" si="114"/>
        <v>19846930.510000002</v>
      </c>
      <c r="DO229" s="7">
        <f t="shared" ca="1" si="114"/>
        <v>63703738.059999995</v>
      </c>
      <c r="DP229" s="7">
        <f t="shared" si="114"/>
        <v>999999999.99000001</v>
      </c>
      <c r="DQ229" s="7">
        <f t="shared" si="114"/>
        <v>999999999.99000001</v>
      </c>
      <c r="DR229" s="7">
        <f t="shared" ca="1" si="114"/>
        <v>20005065.07</v>
      </c>
      <c r="DS229" s="7">
        <f t="shared" ca="1" si="114"/>
        <v>8057012.9699999997</v>
      </c>
      <c r="DT229" s="7">
        <f t="shared" si="114"/>
        <v>999999999.99000001</v>
      </c>
      <c r="DU229" s="7">
        <f t="shared" si="114"/>
        <v>999999999.99000001</v>
      </c>
      <c r="DV229" s="7">
        <f t="shared" si="114"/>
        <v>999999999.99000001</v>
      </c>
      <c r="DW229" s="7">
        <f t="shared" si="114"/>
        <v>999999999.99000001</v>
      </c>
      <c r="DX229" s="7">
        <f t="shared" si="114"/>
        <v>999999999.99000001</v>
      </c>
      <c r="DY229" s="7">
        <f t="shared" si="114"/>
        <v>999999999.99000001</v>
      </c>
      <c r="DZ229" s="7">
        <f t="shared" si="114"/>
        <v>999999999.99000001</v>
      </c>
      <c r="EA229" s="7">
        <f t="shared" si="114"/>
        <v>999999999.99000001</v>
      </c>
      <c r="EB229" s="7">
        <f t="shared" ca="1" si="114"/>
        <v>6891984.2000000002</v>
      </c>
      <c r="EC229" s="7">
        <f t="shared" si="114"/>
        <v>999999999.99000001</v>
      </c>
      <c r="ED229" s="7">
        <f t="shared" si="114"/>
        <v>999999999.99000001</v>
      </c>
      <c r="EE229" s="7">
        <f t="shared" si="114"/>
        <v>999999999.99000001</v>
      </c>
      <c r="EF229" s="7">
        <f t="shared" ca="1" si="114"/>
        <v>20378514.400000002</v>
      </c>
      <c r="EG229" s="7">
        <f t="shared" si="114"/>
        <v>999999999.99000001</v>
      </c>
      <c r="EH229" s="7">
        <f t="shared" si="114"/>
        <v>999999999.99000001</v>
      </c>
      <c r="EI229" s="7">
        <f t="shared" ca="1" si="114"/>
        <v>659508709.63</v>
      </c>
      <c r="EJ229" s="7">
        <f t="shared" ca="1" si="114"/>
        <v>293584197.32999998</v>
      </c>
      <c r="EK229" s="7">
        <f t="shared" si="114"/>
        <v>999999999.99000001</v>
      </c>
      <c r="EL229" s="7">
        <f t="shared" ca="1" si="114"/>
        <v>5678045.3199999994</v>
      </c>
      <c r="EM229" s="7">
        <f t="shared" si="114"/>
        <v>999999999.99000001</v>
      </c>
      <c r="EN229" s="7">
        <f t="shared" ca="1" si="114"/>
        <v>13005650.66</v>
      </c>
      <c r="EO229" s="7">
        <f t="shared" si="114"/>
        <v>999999999.99000001</v>
      </c>
      <c r="EP229" s="7">
        <f t="shared" si="114"/>
        <v>999999999.99000001</v>
      </c>
      <c r="EQ229" s="7">
        <f t="shared" si="114"/>
        <v>999999999.99000001</v>
      </c>
      <c r="ER229" s="7">
        <f t="shared" si="114"/>
        <v>999999999.99000001</v>
      </c>
      <c r="ES229" s="7">
        <f t="shared" si="114"/>
        <v>999999999.99000001</v>
      </c>
      <c r="ET229" s="7">
        <f t="shared" si="114"/>
        <v>999999999.99000001</v>
      </c>
      <c r="EU229" s="7">
        <f t="shared" ca="1" si="114"/>
        <v>7686262.71</v>
      </c>
      <c r="EV229" s="7">
        <f t="shared" si="114"/>
        <v>999999999.99000001</v>
      </c>
      <c r="EW229" s="7">
        <f t="shared" si="114"/>
        <v>999999999.99000001</v>
      </c>
      <c r="EX229" s="7">
        <f t="shared" si="114"/>
        <v>999999999.99000001</v>
      </c>
      <c r="EY229" s="7">
        <f t="shared" ca="1" si="114"/>
        <v>7443409.9699999997</v>
      </c>
      <c r="EZ229" s="7">
        <f t="shared" si="114"/>
        <v>999999999.99000001</v>
      </c>
      <c r="FA229" s="7">
        <f t="shared" si="114"/>
        <v>999999999.99000001</v>
      </c>
      <c r="FB229" s="7">
        <f t="shared" si="114"/>
        <v>999999999.99000001</v>
      </c>
      <c r="FC229" s="7">
        <f t="shared" si="114"/>
        <v>999999999.99000001</v>
      </c>
      <c r="FD229" s="7">
        <f t="shared" si="114"/>
        <v>999999999.99000001</v>
      </c>
      <c r="FE229" s="7">
        <f t="shared" si="114"/>
        <v>999999999.99000001</v>
      </c>
      <c r="FF229" s="7">
        <f t="shared" si="114"/>
        <v>999999999.99000001</v>
      </c>
      <c r="FG229" s="7">
        <f t="shared" si="114"/>
        <v>999999999.99000001</v>
      </c>
      <c r="FH229" s="7">
        <f t="shared" si="114"/>
        <v>999999999.99000001</v>
      </c>
      <c r="FI229" s="7">
        <f t="shared" ca="1" si="114"/>
        <v>26955469.210000001</v>
      </c>
      <c r="FJ229" s="7">
        <f t="shared" si="114"/>
        <v>999999999.99000001</v>
      </c>
      <c r="FK229" s="7">
        <f t="shared" ca="1" si="114"/>
        <v>43196311.920000002</v>
      </c>
      <c r="FL229" s="7">
        <f t="shared" si="114"/>
        <v>999999999.99000001</v>
      </c>
      <c r="FM229" s="7">
        <f t="shared" si="114"/>
        <v>999999999.99000001</v>
      </c>
      <c r="FN229" s="7">
        <f t="shared" ca="1" si="114"/>
        <v>1456217630.76</v>
      </c>
      <c r="FO229" s="7">
        <f t="shared" ca="1" si="114"/>
        <v>15987262.66</v>
      </c>
      <c r="FP229" s="7">
        <f t="shared" ca="1" si="114"/>
        <v>40393994.719999999</v>
      </c>
      <c r="FQ229" s="7">
        <f t="shared" si="114"/>
        <v>999999999.99000001</v>
      </c>
      <c r="FR229" s="7">
        <f t="shared" si="114"/>
        <v>999999999.99000001</v>
      </c>
      <c r="FS229" s="7">
        <f t="shared" si="114"/>
        <v>999999999.99000001</v>
      </c>
      <c r="FT229" s="7">
        <f t="shared" si="114"/>
        <v>999999999.99000001</v>
      </c>
      <c r="FU229" s="7">
        <f t="shared" ca="1" si="114"/>
        <v>11289431.050000001</v>
      </c>
      <c r="FV229" s="7">
        <f t="shared" ca="1" si="114"/>
        <v>9408090.2999999989</v>
      </c>
      <c r="FW229" s="7">
        <f t="shared" si="114"/>
        <v>999999999.99000001</v>
      </c>
      <c r="FX229" s="7">
        <f t="shared" si="114"/>
        <v>999999999.99000001</v>
      </c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</row>
    <row r="230" spans="1:193" ht="15.5" x14ac:dyDescent="0.35">
      <c r="A230" s="7"/>
      <c r="B230" s="7" t="s">
        <v>996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</row>
    <row r="231" spans="1:193" ht="15.5" x14ac:dyDescent="0.35">
      <c r="A231" s="7"/>
      <c r="B231" s="7" t="s">
        <v>997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</row>
    <row r="232" spans="1:193" ht="15.5" x14ac:dyDescent="0.35">
      <c r="A232" s="12" t="s">
        <v>998</v>
      </c>
      <c r="B232" s="7" t="s">
        <v>999</v>
      </c>
      <c r="C232" s="7">
        <f t="shared" ref="C232:FX232" ca="1" si="115">MIN(C229,MAX(C227,C228))</f>
        <v>79052053.679999992</v>
      </c>
      <c r="D232" s="7">
        <f t="shared" ca="1" si="115"/>
        <v>445981124.5</v>
      </c>
      <c r="E232" s="7">
        <f t="shared" ca="1" si="115"/>
        <v>71451600.429999903</v>
      </c>
      <c r="F232" s="7">
        <f t="shared" ca="1" si="115"/>
        <v>279259860.22000003</v>
      </c>
      <c r="G232" s="7">
        <f t="shared" ca="1" si="115"/>
        <v>21768156.77</v>
      </c>
      <c r="H232" s="7">
        <f t="shared" ca="1" si="115"/>
        <v>13185969.140000001</v>
      </c>
      <c r="I232" s="7">
        <f t="shared" ca="1" si="115"/>
        <v>98882360.640000001</v>
      </c>
      <c r="J232" s="7">
        <f t="shared" ca="1" si="115"/>
        <v>24091398.419999901</v>
      </c>
      <c r="K232" s="7">
        <f t="shared" ca="1" si="115"/>
        <v>4191224.56</v>
      </c>
      <c r="L232" s="7">
        <f t="shared" ca="1" si="115"/>
        <v>26165974.879999999</v>
      </c>
      <c r="M232" s="7">
        <f t="shared" ca="1" si="115"/>
        <v>12949878.18</v>
      </c>
      <c r="N232" s="7">
        <f t="shared" ca="1" si="115"/>
        <v>591734292.39999998</v>
      </c>
      <c r="O232" s="7">
        <f t="shared" ca="1" si="115"/>
        <v>143765812.40000001</v>
      </c>
      <c r="P232" s="7">
        <f t="shared" ca="1" si="115"/>
        <v>5104600.0999999996</v>
      </c>
      <c r="Q232" s="7">
        <f t="shared" ca="1" si="115"/>
        <v>497020802.72000003</v>
      </c>
      <c r="R232" s="7">
        <f t="shared" ca="1" si="115"/>
        <v>79746543.269999996</v>
      </c>
      <c r="S232" s="7">
        <f t="shared" ca="1" si="115"/>
        <v>18977505.5</v>
      </c>
      <c r="T232" s="7">
        <f t="shared" ca="1" si="115"/>
        <v>3218152.6199999899</v>
      </c>
      <c r="U232" s="7">
        <f t="shared" ca="1" si="115"/>
        <v>1310288.68</v>
      </c>
      <c r="V232" s="7">
        <f t="shared" ca="1" si="115"/>
        <v>4192885.27</v>
      </c>
      <c r="W232" s="7">
        <f t="shared" ca="1" si="115"/>
        <v>1380077.76</v>
      </c>
      <c r="X232" s="7">
        <f t="shared" ca="1" si="115"/>
        <v>1162581.68</v>
      </c>
      <c r="Y232" s="7">
        <f t="shared" ca="1" si="115"/>
        <v>10737673.48</v>
      </c>
      <c r="Z232" s="7">
        <f t="shared" ca="1" si="115"/>
        <v>3768030.09</v>
      </c>
      <c r="AA232" s="7">
        <f t="shared" ca="1" si="115"/>
        <v>352412400.11000001</v>
      </c>
      <c r="AB232" s="7">
        <f t="shared" ca="1" si="115"/>
        <v>312782805.33999997</v>
      </c>
      <c r="AC232" s="7">
        <f t="shared" ca="1" si="115"/>
        <v>10829324.530000001</v>
      </c>
      <c r="AD232" s="7">
        <f t="shared" ca="1" si="115"/>
        <v>16356653.41</v>
      </c>
      <c r="AE232" s="7">
        <f t="shared" ca="1" si="115"/>
        <v>2141390.1099999901</v>
      </c>
      <c r="AF232" s="7">
        <f t="shared" ca="1" si="115"/>
        <v>3331505.06</v>
      </c>
      <c r="AG232" s="7">
        <f t="shared" ca="1" si="115"/>
        <v>7741217.1600000001</v>
      </c>
      <c r="AH232" s="7">
        <f t="shared" ca="1" si="115"/>
        <v>11289974.189999999</v>
      </c>
      <c r="AI232" s="7">
        <f t="shared" ca="1" si="115"/>
        <v>5293011.6399999997</v>
      </c>
      <c r="AJ232" s="7">
        <f t="shared" ca="1" si="115"/>
        <v>3613794.0199999898</v>
      </c>
      <c r="AK232" s="7">
        <f t="shared" ca="1" si="115"/>
        <v>3358406.28</v>
      </c>
      <c r="AL232" s="7">
        <f t="shared" ca="1" si="115"/>
        <v>4578265.29</v>
      </c>
      <c r="AM232" s="7">
        <f t="shared" ca="1" si="115"/>
        <v>5070412.3299999991</v>
      </c>
      <c r="AN232" s="7">
        <f t="shared" ca="1" si="115"/>
        <v>4635191.92</v>
      </c>
      <c r="AO232" s="7">
        <f t="shared" ca="1" si="115"/>
        <v>49732825.859999999</v>
      </c>
      <c r="AP232" s="7">
        <f t="shared" ca="1" si="115"/>
        <v>1019506255.91</v>
      </c>
      <c r="AQ232" s="7">
        <f t="shared" ca="1" si="115"/>
        <v>4371211.78</v>
      </c>
      <c r="AR232" s="7">
        <f t="shared" ca="1" si="115"/>
        <v>694618771.50999892</v>
      </c>
      <c r="AS232" s="7">
        <f t="shared" ca="1" si="115"/>
        <v>79299839.129999995</v>
      </c>
      <c r="AT232" s="7">
        <f t="shared" ca="1" si="115"/>
        <v>27076325.920000002</v>
      </c>
      <c r="AU232" s="7">
        <f t="shared" ca="1" si="115"/>
        <v>4545410</v>
      </c>
      <c r="AV232" s="7">
        <f t="shared" ca="1" si="115"/>
        <v>4973402.92</v>
      </c>
      <c r="AW232" s="7">
        <f t="shared" ca="1" si="115"/>
        <v>4370592.07</v>
      </c>
      <c r="AX232" s="7">
        <f t="shared" ca="1" si="115"/>
        <v>1957632.03</v>
      </c>
      <c r="AY232" s="7">
        <f t="shared" ca="1" si="115"/>
        <v>5824738.4399999995</v>
      </c>
      <c r="AZ232" s="7">
        <f t="shared" ca="1" si="115"/>
        <v>142626815.31999999</v>
      </c>
      <c r="BA232" s="7">
        <f t="shared" ca="1" si="115"/>
        <v>100627416.67</v>
      </c>
      <c r="BB232" s="7">
        <f t="shared" ca="1" si="115"/>
        <v>83817514.6199999</v>
      </c>
      <c r="BC232" s="7">
        <f t="shared" ca="1" si="115"/>
        <v>282823004.06999904</v>
      </c>
      <c r="BD232" s="7">
        <f t="shared" ca="1" si="115"/>
        <v>40101015.780000001</v>
      </c>
      <c r="BE232" s="7">
        <f t="shared" ca="1" si="115"/>
        <v>14211729.34</v>
      </c>
      <c r="BF232" s="7">
        <f t="shared" ca="1" si="115"/>
        <v>281878750.83999997</v>
      </c>
      <c r="BG232" s="7">
        <f t="shared" ca="1" si="115"/>
        <v>11549050.060000001</v>
      </c>
      <c r="BH232" s="7">
        <f t="shared" ca="1" si="115"/>
        <v>7350148.0899999999</v>
      </c>
      <c r="BI232" s="7">
        <f t="shared" ca="1" si="115"/>
        <v>4531484.93</v>
      </c>
      <c r="BJ232" s="7">
        <f t="shared" ca="1" si="115"/>
        <v>69582892.510000005</v>
      </c>
      <c r="BK232" s="7">
        <f t="shared" ca="1" si="115"/>
        <v>390659101.26999998</v>
      </c>
      <c r="BL232" s="7">
        <f t="shared" ca="1" si="115"/>
        <v>1867959.0899999901</v>
      </c>
      <c r="BM232" s="7">
        <f t="shared" ca="1" si="115"/>
        <v>5263171.9999999898</v>
      </c>
      <c r="BN232" s="7">
        <f t="shared" ca="1" si="115"/>
        <v>34624646.109999999</v>
      </c>
      <c r="BO232" s="7">
        <f t="shared" ca="1" si="115"/>
        <v>14478562.7899999</v>
      </c>
      <c r="BP232" s="7">
        <f t="shared" ca="1" si="115"/>
        <v>3242513.9</v>
      </c>
      <c r="BQ232" s="7">
        <f t="shared" ca="1" si="115"/>
        <v>72109250.569999993</v>
      </c>
      <c r="BR232" s="7">
        <f t="shared" ca="1" si="115"/>
        <v>51022566.020000003</v>
      </c>
      <c r="BS232" s="7">
        <f t="shared" ca="1" si="115"/>
        <v>14686026.07</v>
      </c>
      <c r="BT232" s="7">
        <f t="shared" ca="1" si="115"/>
        <v>5629295.6999999899</v>
      </c>
      <c r="BU232" s="7">
        <f t="shared" ca="1" si="115"/>
        <v>5842037.6999999993</v>
      </c>
      <c r="BV232" s="7">
        <f t="shared" ca="1" si="115"/>
        <v>14582251.569999998</v>
      </c>
      <c r="BW232" s="7">
        <f t="shared" ca="1" si="115"/>
        <v>23400238.7299999</v>
      </c>
      <c r="BX232" s="7">
        <f t="shared" ca="1" si="115"/>
        <v>1647493.26</v>
      </c>
      <c r="BY232" s="7">
        <f t="shared" ca="1" si="115"/>
        <v>6019018.9100000001</v>
      </c>
      <c r="BZ232" s="7">
        <f t="shared" ca="1" si="115"/>
        <v>3917429.31</v>
      </c>
      <c r="CA232" s="7">
        <f t="shared" ca="1" si="115"/>
        <v>3045296</v>
      </c>
      <c r="CB232" s="7">
        <f t="shared" ca="1" si="115"/>
        <v>829325795.82000005</v>
      </c>
      <c r="CC232" s="7">
        <f t="shared" ca="1" si="115"/>
        <v>3491422.38</v>
      </c>
      <c r="CD232" s="7">
        <f t="shared" ca="1" si="115"/>
        <v>1111944.4000000001</v>
      </c>
      <c r="CE232" s="7">
        <f t="shared" ca="1" si="115"/>
        <v>3065905.17</v>
      </c>
      <c r="CF232" s="7">
        <f t="shared" ca="1" si="115"/>
        <v>2291611.64</v>
      </c>
      <c r="CG232" s="7">
        <f t="shared" ca="1" si="115"/>
        <v>3572390.33</v>
      </c>
      <c r="CH232" s="7">
        <f t="shared" ca="1" si="115"/>
        <v>2154948.56</v>
      </c>
      <c r="CI232" s="7">
        <f t="shared" ca="1" si="115"/>
        <v>8273353.04</v>
      </c>
      <c r="CJ232" s="7">
        <f t="shared" ca="1" si="115"/>
        <v>11069880.449999999</v>
      </c>
      <c r="CK232" s="7">
        <f t="shared" ca="1" si="115"/>
        <v>56336946.939999998</v>
      </c>
      <c r="CL232" s="7">
        <f t="shared" ca="1" si="115"/>
        <v>15020578.23</v>
      </c>
      <c r="CM232" s="7">
        <f t="shared" ca="1" si="115"/>
        <v>9001152.8000000007</v>
      </c>
      <c r="CN232" s="7">
        <f t="shared" ca="1" si="115"/>
        <v>346567499.31999999</v>
      </c>
      <c r="CO232" s="7">
        <f t="shared" ca="1" si="115"/>
        <v>158501756.33000001</v>
      </c>
      <c r="CP232" s="7">
        <f t="shared" ca="1" si="115"/>
        <v>11723979.35</v>
      </c>
      <c r="CQ232" s="7">
        <f t="shared" ca="1" si="115"/>
        <v>9949079.0600000005</v>
      </c>
      <c r="CR232" s="7">
        <f t="shared" ca="1" si="115"/>
        <v>3775953.62</v>
      </c>
      <c r="CS232" s="7">
        <f t="shared" ca="1" si="115"/>
        <v>4349049.93</v>
      </c>
      <c r="CT232" s="7">
        <f t="shared" ca="1" si="115"/>
        <v>2470076.59</v>
      </c>
      <c r="CU232" s="7">
        <f t="shared" ca="1" si="115"/>
        <v>5221299.8600000003</v>
      </c>
      <c r="CV232" s="7">
        <f t="shared" ca="1" si="115"/>
        <v>1076684.73</v>
      </c>
      <c r="CW232" s="7">
        <f t="shared" ca="1" si="115"/>
        <v>3691096.75</v>
      </c>
      <c r="CX232" s="7">
        <f t="shared" ca="1" si="115"/>
        <v>5911762.3099999903</v>
      </c>
      <c r="CY232" s="7">
        <f t="shared" ca="1" si="115"/>
        <v>1148005.03</v>
      </c>
      <c r="CZ232" s="7">
        <f t="shared" ca="1" si="115"/>
        <v>20679499.120000001</v>
      </c>
      <c r="DA232" s="7">
        <f t="shared" ca="1" si="115"/>
        <v>3639031.96999999</v>
      </c>
      <c r="DB232" s="7">
        <f t="shared" ca="1" si="115"/>
        <v>4728881.38</v>
      </c>
      <c r="DC232" s="7">
        <f t="shared" ca="1" si="115"/>
        <v>3560350.21</v>
      </c>
      <c r="DD232" s="7">
        <f t="shared" ca="1" si="115"/>
        <v>3479436.51</v>
      </c>
      <c r="DE232" s="7">
        <f t="shared" ca="1" si="115"/>
        <v>4477825.1500000004</v>
      </c>
      <c r="DF232" s="7">
        <f t="shared" ca="1" si="115"/>
        <v>229732560.37</v>
      </c>
      <c r="DG232" s="7">
        <f t="shared" ca="1" si="115"/>
        <v>2134952.04</v>
      </c>
      <c r="DH232" s="7">
        <f t="shared" ca="1" si="115"/>
        <v>20322605.720000003</v>
      </c>
      <c r="DI232" s="7">
        <f t="shared" ca="1" si="115"/>
        <v>27597128.670000002</v>
      </c>
      <c r="DJ232" s="7">
        <f t="shared" ca="1" si="115"/>
        <v>7911070.4799999995</v>
      </c>
      <c r="DK232" s="7">
        <f t="shared" ca="1" si="115"/>
        <v>6064487.1499999994</v>
      </c>
      <c r="DL232" s="7">
        <f t="shared" ca="1" si="115"/>
        <v>65787938.75</v>
      </c>
      <c r="DM232" s="7">
        <f t="shared" ca="1" si="115"/>
        <v>4326904.25</v>
      </c>
      <c r="DN232" s="7">
        <f t="shared" ca="1" si="115"/>
        <v>15839550.7899999</v>
      </c>
      <c r="DO232" s="7">
        <f t="shared" ca="1" si="115"/>
        <v>38031980.059999995</v>
      </c>
      <c r="DP232" s="7">
        <f t="shared" ca="1" si="115"/>
        <v>3781904.38</v>
      </c>
      <c r="DQ232" s="7">
        <f t="shared" ca="1" si="115"/>
        <v>10711354.560000001</v>
      </c>
      <c r="DR232" s="7">
        <f t="shared" ca="1" si="115"/>
        <v>15886646.859999999</v>
      </c>
      <c r="DS232" s="7">
        <f t="shared" ca="1" si="115"/>
        <v>7931817.7000000002</v>
      </c>
      <c r="DT232" s="7">
        <f t="shared" ca="1" si="115"/>
        <v>3608126.51</v>
      </c>
      <c r="DU232" s="7">
        <f t="shared" ca="1" si="115"/>
        <v>5119303.6799999997</v>
      </c>
      <c r="DV232" s="7">
        <f t="shared" ca="1" si="115"/>
        <v>3770010.8</v>
      </c>
      <c r="DW232" s="7">
        <f t="shared" ca="1" si="115"/>
        <v>4617450.2</v>
      </c>
      <c r="DX232" s="7">
        <f t="shared" ca="1" si="115"/>
        <v>3711652.82</v>
      </c>
      <c r="DY232" s="7">
        <f t="shared" ca="1" si="115"/>
        <v>4950450.13</v>
      </c>
      <c r="DZ232" s="7">
        <f t="shared" ca="1" si="115"/>
        <v>8825649.25</v>
      </c>
      <c r="EA232" s="7">
        <f t="shared" ca="1" si="115"/>
        <v>7010469.4500000002</v>
      </c>
      <c r="EB232" s="7">
        <f t="shared" ca="1" si="115"/>
        <v>6781640.27999999</v>
      </c>
      <c r="EC232" s="7">
        <f t="shared" ca="1" si="115"/>
        <v>4197736.3500000006</v>
      </c>
      <c r="ED232" s="7">
        <f t="shared" ca="1" si="115"/>
        <v>23405168.759999998</v>
      </c>
      <c r="EE232" s="7">
        <f t="shared" ca="1" si="115"/>
        <v>3587045.68</v>
      </c>
      <c r="EF232" s="7">
        <f t="shared" ca="1" si="115"/>
        <v>16123971.9099999</v>
      </c>
      <c r="EG232" s="7">
        <f t="shared" ca="1" si="115"/>
        <v>4053090.4</v>
      </c>
      <c r="EH232" s="7">
        <f t="shared" ca="1" si="115"/>
        <v>4021646.7899999898</v>
      </c>
      <c r="EI232" s="7">
        <f t="shared" ca="1" si="115"/>
        <v>162554647.53</v>
      </c>
      <c r="EJ232" s="7">
        <f t="shared" ca="1" si="115"/>
        <v>112123605.77</v>
      </c>
      <c r="EK232" s="7">
        <f t="shared" ca="1" si="115"/>
        <v>8053120.7799999993</v>
      </c>
      <c r="EL232" s="7">
        <f t="shared" ca="1" si="115"/>
        <v>5677812.5899999999</v>
      </c>
      <c r="EM232" s="7">
        <f t="shared" ca="1" si="115"/>
        <v>5303475.16</v>
      </c>
      <c r="EN232" s="7">
        <f t="shared" ca="1" si="115"/>
        <v>11377002.6</v>
      </c>
      <c r="EO232" s="7">
        <f t="shared" ca="1" si="115"/>
        <v>4579148.91</v>
      </c>
      <c r="EP232" s="7">
        <f t="shared" ca="1" si="115"/>
        <v>5997877.4799999995</v>
      </c>
      <c r="EQ232" s="7">
        <f t="shared" ca="1" si="115"/>
        <v>30270151.289999902</v>
      </c>
      <c r="ER232" s="7">
        <f t="shared" ca="1" si="115"/>
        <v>4982809.33</v>
      </c>
      <c r="ES232" s="7">
        <f t="shared" ca="1" si="115"/>
        <v>3253793.81</v>
      </c>
      <c r="ET232" s="7">
        <f t="shared" ca="1" si="115"/>
        <v>4256324.13</v>
      </c>
      <c r="EU232" s="7">
        <f t="shared" ca="1" si="115"/>
        <v>7686262.71</v>
      </c>
      <c r="EV232" s="7">
        <f t="shared" ca="1" si="115"/>
        <v>1790492.83</v>
      </c>
      <c r="EW232" s="7">
        <f t="shared" ca="1" si="115"/>
        <v>12914715.459999999</v>
      </c>
      <c r="EX232" s="7">
        <f t="shared" ca="1" si="115"/>
        <v>3691058.9499999899</v>
      </c>
      <c r="EY232" s="7">
        <f t="shared" ca="1" si="115"/>
        <v>7443409.9699999997</v>
      </c>
      <c r="EZ232" s="7">
        <f t="shared" ca="1" si="115"/>
        <v>2720167.82</v>
      </c>
      <c r="FA232" s="7">
        <f t="shared" ca="1" si="115"/>
        <v>41494588.699999899</v>
      </c>
      <c r="FB232" s="7">
        <f t="shared" ca="1" si="115"/>
        <v>4658644.5599999996</v>
      </c>
      <c r="FC232" s="7">
        <f t="shared" ca="1" si="115"/>
        <v>20815689.399999999</v>
      </c>
      <c r="FD232" s="7">
        <f t="shared" ca="1" si="115"/>
        <v>5576513.2800000003</v>
      </c>
      <c r="FE232" s="7">
        <f t="shared" ca="1" si="115"/>
        <v>1863010.65</v>
      </c>
      <c r="FF232" s="7">
        <f t="shared" ca="1" si="115"/>
        <v>3591748.16</v>
      </c>
      <c r="FG232" s="7">
        <f t="shared" ca="1" si="115"/>
        <v>2629985.41</v>
      </c>
      <c r="FH232" s="7">
        <f t="shared" ca="1" si="115"/>
        <v>1618391.5999999901</v>
      </c>
      <c r="FI232" s="7">
        <f t="shared" ca="1" si="115"/>
        <v>20134035.949999999</v>
      </c>
      <c r="FJ232" s="7">
        <f t="shared" ca="1" si="115"/>
        <v>22430808.640000001</v>
      </c>
      <c r="FK232" s="7">
        <f t="shared" ca="1" si="115"/>
        <v>28834604.939999998</v>
      </c>
      <c r="FL232" s="7">
        <f t="shared" ca="1" si="115"/>
        <v>94168128.030000001</v>
      </c>
      <c r="FM232" s="7">
        <f t="shared" ca="1" si="115"/>
        <v>43910569.979999997</v>
      </c>
      <c r="FN232" s="7">
        <f t="shared" ca="1" si="115"/>
        <v>263482240.59</v>
      </c>
      <c r="FO232" s="7">
        <f t="shared" ca="1" si="115"/>
        <v>13318654.319999998</v>
      </c>
      <c r="FP232" s="7">
        <f t="shared" ca="1" si="115"/>
        <v>27337540.900000002</v>
      </c>
      <c r="FQ232" s="7">
        <f t="shared" ca="1" si="115"/>
        <v>11564344.26</v>
      </c>
      <c r="FR232" s="7">
        <f t="shared" ca="1" si="115"/>
        <v>3296557.44</v>
      </c>
      <c r="FS232" s="7">
        <f t="shared" ca="1" si="115"/>
        <v>3289803.97</v>
      </c>
      <c r="FT232" s="7">
        <f t="shared" ca="1" si="115"/>
        <v>1389181.21</v>
      </c>
      <c r="FU232" s="7">
        <f t="shared" ca="1" si="115"/>
        <v>10255259.24</v>
      </c>
      <c r="FV232" s="7">
        <f t="shared" ca="1" si="115"/>
        <v>8797224.0600000005</v>
      </c>
      <c r="FW232" s="7">
        <f t="shared" ca="1" si="115"/>
        <v>3113284.85</v>
      </c>
      <c r="FX232" s="7">
        <f t="shared" ca="1" si="115"/>
        <v>1601192.38</v>
      </c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</row>
    <row r="233" spans="1:193" ht="15.5" x14ac:dyDescent="0.35">
      <c r="A233" s="7"/>
      <c r="B233" s="7" t="s">
        <v>1000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</row>
    <row r="234" spans="1:193" ht="15.5" x14ac:dyDescent="0.35">
      <c r="A234" s="110" t="s">
        <v>1001</v>
      </c>
      <c r="B234" s="111" t="s">
        <v>1002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0</v>
      </c>
      <c r="EY234" s="7">
        <v>0</v>
      </c>
      <c r="EZ234" s="7">
        <v>0</v>
      </c>
      <c r="FA234" s="7">
        <v>0</v>
      </c>
      <c r="FB234" s="7">
        <v>0</v>
      </c>
      <c r="FC234" s="7">
        <v>0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  <c r="FJ234" s="7">
        <v>0</v>
      </c>
      <c r="FK234" s="7">
        <v>0</v>
      </c>
      <c r="FL234" s="7">
        <v>0</v>
      </c>
      <c r="FM234" s="7">
        <v>0</v>
      </c>
      <c r="FN234" s="7">
        <v>0</v>
      </c>
      <c r="FO234" s="7">
        <v>0</v>
      </c>
      <c r="FP234" s="7">
        <v>0</v>
      </c>
      <c r="FQ234" s="7">
        <v>0</v>
      </c>
      <c r="FR234" s="7">
        <v>0</v>
      </c>
      <c r="FS234" s="7">
        <v>0</v>
      </c>
      <c r="FT234" s="7">
        <v>0</v>
      </c>
      <c r="FU234" s="7">
        <v>0</v>
      </c>
      <c r="FV234" s="7">
        <v>0</v>
      </c>
      <c r="FW234" s="7">
        <v>0</v>
      </c>
      <c r="FX234" s="7">
        <v>0</v>
      </c>
      <c r="FY234" s="7"/>
      <c r="FZ234" s="7">
        <f>SUM(C234:FX234)</f>
        <v>0</v>
      </c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</row>
    <row r="235" spans="1:193" ht="15.5" x14ac:dyDescent="0.35">
      <c r="A235" s="111"/>
      <c r="B235" s="111" t="s">
        <v>1003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</row>
    <row r="236" spans="1:193" ht="15.5" x14ac:dyDescent="0.35">
      <c r="A236" s="12" t="s">
        <v>1004</v>
      </c>
      <c r="B236" s="7" t="s">
        <v>1005</v>
      </c>
      <c r="C236" s="7">
        <f ca="1">IFERROR(__xludf.DUMMYFUNCTION("+C209"),79892844.24)</f>
        <v>79892844.239999995</v>
      </c>
      <c r="D236" s="7">
        <f ca="1">IFERROR(__xludf.DUMMYFUNCTION("+D209"),446149224.8)</f>
        <v>446149224.80000001</v>
      </c>
      <c r="E236" s="7">
        <f ca="1">IFERROR(__xludf.DUMMYFUNCTION("+E209"),71070893.15)</f>
        <v>71070893.150000006</v>
      </c>
      <c r="F236" s="7">
        <f ca="1">IFERROR(__xludf.DUMMYFUNCTION("+F209"),278971081.16)</f>
        <v>278971081.16000003</v>
      </c>
      <c r="G236" s="7">
        <f ca="1">IFERROR(__xludf.DUMMYFUNCTION("+G209"),22158445.7)</f>
        <v>22158445.699999999</v>
      </c>
      <c r="H236" s="7">
        <f ca="1">IFERROR(__xludf.DUMMYFUNCTION("+H209"),13402209.5)</f>
        <v>13402209.5</v>
      </c>
      <c r="I236" s="7">
        <f ca="1">IFERROR(__xludf.DUMMYFUNCTION("+I209"),98385570.3)</f>
        <v>98385570.299999997</v>
      </c>
      <c r="J236" s="7">
        <f ca="1">IFERROR(__xludf.DUMMYFUNCTION("+J209"),24176449.86)</f>
        <v>24176449.859999999</v>
      </c>
      <c r="K236" s="7">
        <f ca="1">IFERROR(__xludf.DUMMYFUNCTION("+K209"),4180082.5)</f>
        <v>4180082.5</v>
      </c>
      <c r="L236" s="7">
        <f ca="1">IFERROR(__xludf.DUMMYFUNCTION("+L209"),26348010.95)</f>
        <v>26348010.949999999</v>
      </c>
      <c r="M236" s="7">
        <f ca="1">IFERROR(__xludf.DUMMYFUNCTION("+M209"),13026777.33)</f>
        <v>13026777.33</v>
      </c>
      <c r="N236" s="7">
        <f ca="1">IFERROR(__xludf.DUMMYFUNCTION("+N209"),591751802.49)</f>
        <v>591751802.49000001</v>
      </c>
      <c r="O236" s="7">
        <f ca="1">IFERROR(__xludf.DUMMYFUNCTION("+O209"),143830443.02)</f>
        <v>143830443.02000001</v>
      </c>
      <c r="P236" s="7">
        <f ca="1">IFERROR(__xludf.DUMMYFUNCTION("+P209"),5111517.33)</f>
        <v>5111517.33</v>
      </c>
      <c r="Q236" s="7">
        <f ca="1">IFERROR(__xludf.DUMMYFUNCTION("+Q209"),499104989.02)</f>
        <v>499104989.01999998</v>
      </c>
      <c r="R236" s="7">
        <f ca="1">IFERROR(__xludf.DUMMYFUNCTION("+R209"),81014908.28)</f>
        <v>81014908.280000001</v>
      </c>
      <c r="S236" s="7">
        <f ca="1">IFERROR(__xludf.DUMMYFUNCTION("+S209"),19348798.51)</f>
        <v>19348798.510000002</v>
      </c>
      <c r="T236" s="7">
        <f ca="1">IFERROR(__xludf.DUMMYFUNCTION("+T209"),3321906.67)</f>
        <v>3321906.67</v>
      </c>
      <c r="U236" s="7">
        <f ca="1">IFERROR(__xludf.DUMMYFUNCTION("+U209"),1436808.71)</f>
        <v>1436808.71</v>
      </c>
      <c r="V236" s="7">
        <f ca="1">IFERROR(__xludf.DUMMYFUNCTION("+V209"),4263145.18)</f>
        <v>4263145.18</v>
      </c>
      <c r="W236" s="7">
        <f ca="1">IFERROR(__xludf.DUMMYFUNCTION("+W209"),1138970.21)</f>
        <v>1138970.21</v>
      </c>
      <c r="X236" s="7">
        <f ca="1">IFERROR(__xludf.DUMMYFUNCTION("+X209"),1247148.75)</f>
        <v>1247148.75</v>
      </c>
      <c r="Y236" s="7">
        <f ca="1">IFERROR(__xludf.DUMMYFUNCTION("+Y209"),11143848.4)</f>
        <v>11143848.4</v>
      </c>
      <c r="Z236" s="7">
        <f ca="1">IFERROR(__xludf.DUMMYFUNCTION("+Z209"),3909475.96)</f>
        <v>3909475.96</v>
      </c>
      <c r="AA236" s="7">
        <f ca="1">IFERROR(__xludf.DUMMYFUNCTION("+AA209"),351337009.87)</f>
        <v>351337009.87</v>
      </c>
      <c r="AB236" s="7">
        <f ca="1">IFERROR(__xludf.DUMMYFUNCTION("+AB209"),312259192.83)</f>
        <v>312259192.82999998</v>
      </c>
      <c r="AC236" s="7">
        <f ca="1">IFERROR(__xludf.DUMMYFUNCTION("+AC209"),11230256.01)</f>
        <v>11230256.01</v>
      </c>
      <c r="AD236" s="7">
        <f ca="1">IFERROR(__xludf.DUMMYFUNCTION("+AD209"),16617727.34)</f>
        <v>16617727.34</v>
      </c>
      <c r="AE236" s="7">
        <f ca="1">IFERROR(__xludf.DUMMYFUNCTION("+AE209"),2217949.87)</f>
        <v>2217949.87</v>
      </c>
      <c r="AF236" s="7">
        <f ca="1">IFERROR(__xludf.DUMMYFUNCTION("+AF209"),3406764.92)</f>
        <v>3406764.92</v>
      </c>
      <c r="AG236" s="7">
        <f ca="1">IFERROR(__xludf.DUMMYFUNCTION("+AG209"),8004804.58)</f>
        <v>8004804.5800000001</v>
      </c>
      <c r="AH236" s="7">
        <f ca="1">IFERROR(__xludf.DUMMYFUNCTION("+AH209"),11704502.95)</f>
        <v>11704502.949999999</v>
      </c>
      <c r="AI236" s="7">
        <f ca="1">IFERROR(__xludf.DUMMYFUNCTION("+AI209"),5396951.28)</f>
        <v>5396951.2800000003</v>
      </c>
      <c r="AJ236" s="7">
        <f ca="1">IFERROR(__xludf.DUMMYFUNCTION("+AJ209"),3819386.31)</f>
        <v>3819386.31</v>
      </c>
      <c r="AK236" s="7">
        <f ca="1">IFERROR(__xludf.DUMMYFUNCTION("+AK209"),3421452.84)</f>
        <v>3421452.84</v>
      </c>
      <c r="AL236" s="7">
        <f ca="1">IFERROR(__xludf.DUMMYFUNCTION("+AL209"),4739993.63)</f>
        <v>4739993.63</v>
      </c>
      <c r="AM236" s="7">
        <f ca="1">IFERROR(__xludf.DUMMYFUNCTION("+AM209"),5174447.97)</f>
        <v>5174447.97</v>
      </c>
      <c r="AN236" s="7">
        <f ca="1">IFERROR(__xludf.DUMMYFUNCTION("+AN209"),4752383.36)</f>
        <v>4752383.3600000003</v>
      </c>
      <c r="AO236" s="7">
        <f ca="1">IFERROR(__xludf.DUMMYFUNCTION("+AO209"),50912803.68)</f>
        <v>50912803.68</v>
      </c>
      <c r="AP236" s="7">
        <f ca="1">IFERROR(__xludf.DUMMYFUNCTION("+AP209"),1017751648.26)</f>
        <v>1017751648.26</v>
      </c>
      <c r="AQ236" s="7">
        <f ca="1">IFERROR(__xludf.DUMMYFUNCTION("+AQ209"),4587976.95)</f>
        <v>4587976.95</v>
      </c>
      <c r="AR236" s="7">
        <f ca="1">IFERROR(__xludf.DUMMYFUNCTION("+AR209"),695012706.02)</f>
        <v>695012706.01999998</v>
      </c>
      <c r="AS236" s="7">
        <f ca="1">IFERROR(__xludf.DUMMYFUNCTION("+AS209"),79204693.69)</f>
        <v>79204693.689999998</v>
      </c>
      <c r="AT236" s="7">
        <f ca="1">IFERROR(__xludf.DUMMYFUNCTION("+AT209"),27425004.8)</f>
        <v>27425004.800000001</v>
      </c>
      <c r="AU236" s="7">
        <f ca="1">IFERROR(__xludf.DUMMYFUNCTION("+AU209"),4496406.44)</f>
        <v>4496406.4400000004</v>
      </c>
      <c r="AV236" s="7">
        <f ca="1">IFERROR(__xludf.DUMMYFUNCTION("+AV209"),5081527.08)</f>
        <v>5081527.08</v>
      </c>
      <c r="AW236" s="7">
        <f ca="1">IFERROR(__xludf.DUMMYFUNCTION("+AW209"),4538303.89)</f>
        <v>4538303.8899999997</v>
      </c>
      <c r="AX236" s="7">
        <f ca="1">IFERROR(__xludf.DUMMYFUNCTION("+AX209"),2112998.34)</f>
        <v>2112998.34</v>
      </c>
      <c r="AY236" s="7">
        <f ca="1">IFERROR(__xludf.DUMMYFUNCTION("+AY209"),5948291.49)</f>
        <v>5948291.4900000002</v>
      </c>
      <c r="AZ236" s="7">
        <f ca="1">IFERROR(__xludf.DUMMYFUNCTION("+AZ209"),143592147.08)</f>
        <v>143592147.08000001</v>
      </c>
      <c r="BA236" s="7">
        <f ca="1">IFERROR(__xludf.DUMMYFUNCTION("+BA209"),101048941.24)</f>
        <v>101048941.23999999</v>
      </c>
      <c r="BB236" s="7">
        <f ca="1">IFERROR(__xludf.DUMMYFUNCTION("+BB209"),84270980.62)</f>
        <v>84270980.620000005</v>
      </c>
      <c r="BC236" s="7">
        <f ca="1">IFERROR(__xludf.DUMMYFUNCTION("+BC209"),284254225.43)</f>
        <v>284254225.43000001</v>
      </c>
      <c r="BD236" s="7">
        <f ca="1">IFERROR(__xludf.DUMMYFUNCTION("+BD209"),40151219.28)</f>
        <v>40151219.280000001</v>
      </c>
      <c r="BE236" s="7">
        <f ca="1">IFERROR(__xludf.DUMMYFUNCTION("+BE209"),14287161.88)</f>
        <v>14287161.880000001</v>
      </c>
      <c r="BF236" s="7">
        <f ca="1">IFERROR(__xludf.DUMMYFUNCTION("+BF209"),282106949.62)</f>
        <v>282106949.62</v>
      </c>
      <c r="BG236" s="7">
        <f ca="1">IFERROR(__xludf.DUMMYFUNCTION("+BG209"),12106170.33)</f>
        <v>12106170.33</v>
      </c>
      <c r="BH236" s="7">
        <f ca="1">IFERROR(__xludf.DUMMYFUNCTION("+BH209"),7749300.03)</f>
        <v>7749300.0300000003</v>
      </c>
      <c r="BI236" s="7">
        <f ca="1">IFERROR(__xludf.DUMMYFUNCTION("+BI209"),4643913.23)</f>
        <v>4643913.2300000004</v>
      </c>
      <c r="BJ236" s="7">
        <f ca="1">IFERROR(__xludf.DUMMYFUNCTION("+BJ209"),69681782.91)</f>
        <v>69681782.909999996</v>
      </c>
      <c r="BK236" s="7">
        <f ca="1">IFERROR(__xludf.DUMMYFUNCTION("+BK209"),390364211.15)</f>
        <v>390364211.14999998</v>
      </c>
      <c r="BL236" s="7">
        <f ca="1">IFERROR(__xludf.DUMMYFUNCTION("+BL209"),1810659.96)</f>
        <v>1810659.96</v>
      </c>
      <c r="BM236" s="7">
        <f ca="1">IFERROR(__xludf.DUMMYFUNCTION("+BM209"),5212266.43)</f>
        <v>5212266.43</v>
      </c>
      <c r="BN236" s="7">
        <f ca="1">IFERROR(__xludf.DUMMYFUNCTION("+BN209"),35601199.27)</f>
        <v>35601199.270000003</v>
      </c>
      <c r="BO236" s="7">
        <f ca="1">IFERROR(__xludf.DUMMYFUNCTION("+BO209"),14735305.76)</f>
        <v>14735305.76</v>
      </c>
      <c r="BP236" s="7">
        <f ca="1">IFERROR(__xludf.DUMMYFUNCTION("+BP209"),3320121.35)</f>
        <v>3320121.35</v>
      </c>
      <c r="BQ236" s="7">
        <f ca="1">IFERROR(__xludf.DUMMYFUNCTION("+BQ209"),73344008.8)</f>
        <v>73344008.799999997</v>
      </c>
      <c r="BR236" s="7">
        <f ca="1">IFERROR(__xludf.DUMMYFUNCTION("+BR209"),50925019.04)</f>
        <v>50925019.039999999</v>
      </c>
      <c r="BS236" s="7">
        <f ca="1">IFERROR(__xludf.DUMMYFUNCTION("+BS209"),14984991.43)</f>
        <v>14984991.43</v>
      </c>
      <c r="BT236" s="7">
        <f ca="1">IFERROR(__xludf.DUMMYFUNCTION("+BT209"),5691086.58)</f>
        <v>5691086.5800000001</v>
      </c>
      <c r="BU236" s="7">
        <f ca="1">IFERROR(__xludf.DUMMYFUNCTION("+BU209"),5850450.25)</f>
        <v>5850450.25</v>
      </c>
      <c r="BV236" s="7">
        <f ca="1">IFERROR(__xludf.DUMMYFUNCTION("+BV209"),14829848.7)</f>
        <v>14829848.699999999</v>
      </c>
      <c r="BW236" s="7">
        <f ca="1">IFERROR(__xludf.DUMMYFUNCTION("+BW209"),23679761.04)</f>
        <v>23679761.039999999</v>
      </c>
      <c r="BX236" s="7">
        <f ca="1">IFERROR(__xludf.DUMMYFUNCTION("+BX209"),1765109.81)</f>
        <v>1765109.81</v>
      </c>
      <c r="BY236" s="7">
        <f ca="1">IFERROR(__xludf.DUMMYFUNCTION("+BY209"),5665481.88)</f>
        <v>5665481.8799999999</v>
      </c>
      <c r="BZ236" s="7">
        <f ca="1">IFERROR(__xludf.DUMMYFUNCTION("+BZ209"),4192494.85)</f>
        <v>4192494.85</v>
      </c>
      <c r="CA236" s="7">
        <f ca="1">IFERROR(__xludf.DUMMYFUNCTION("+CA209"),3135898.29)</f>
        <v>3135898.29</v>
      </c>
      <c r="CB236" s="7">
        <f ca="1">IFERROR(__xludf.DUMMYFUNCTION("+CB209"),831038363.82)</f>
        <v>831038363.82000005</v>
      </c>
      <c r="CC236" s="7">
        <f ca="1">IFERROR(__xludf.DUMMYFUNCTION("+CC209"),3607781.46)</f>
        <v>3607781.46</v>
      </c>
      <c r="CD236" s="7">
        <f ca="1">IFERROR(__xludf.DUMMYFUNCTION("+CD209"),902113.67)</f>
        <v>902113.67</v>
      </c>
      <c r="CE236" s="7">
        <f ca="1">IFERROR(__xludf.DUMMYFUNCTION("+CE209"),3231151.65)</f>
        <v>3231151.65</v>
      </c>
      <c r="CF236" s="7">
        <f ca="1">IFERROR(__xludf.DUMMYFUNCTION("+CF209"),2342459.99)</f>
        <v>2342459.9900000002</v>
      </c>
      <c r="CG236" s="7">
        <f ca="1">IFERROR(__xludf.DUMMYFUNCTION("+CG209"),3718378.13)</f>
        <v>3718378.13</v>
      </c>
      <c r="CH236" s="7">
        <f ca="1">IFERROR(__xludf.DUMMYFUNCTION("+CH209"),2280500)</f>
        <v>2280500</v>
      </c>
      <c r="CI236" s="7">
        <f ca="1">IFERROR(__xludf.DUMMYFUNCTION("+CI209"),8673463.91)</f>
        <v>8673463.9100000001</v>
      </c>
      <c r="CJ236" s="7">
        <f ca="1">IFERROR(__xludf.DUMMYFUNCTION("+CJ209"),11322944.41)</f>
        <v>11322944.41</v>
      </c>
      <c r="CK236" s="7">
        <f ca="1">IFERROR(__xludf.DUMMYFUNCTION("+CK209"),57283210.73)</f>
        <v>57283210.729999997</v>
      </c>
      <c r="CL236" s="7">
        <f ca="1">IFERROR(__xludf.DUMMYFUNCTION("+CL209"),15271591.55)</f>
        <v>15271591.550000001</v>
      </c>
      <c r="CM236" s="7">
        <f ca="1">IFERROR(__xludf.DUMMYFUNCTION("+CM209"),9338955.16)</f>
        <v>9338955.1600000001</v>
      </c>
      <c r="CN236" s="7">
        <f ca="1">IFERROR(__xludf.DUMMYFUNCTION("+CN209"),347862107.9)</f>
        <v>347862107.89999998</v>
      </c>
      <c r="CO236" s="7">
        <f ca="1">IFERROR(__xludf.DUMMYFUNCTION("+CO209"),158889013.74)</f>
        <v>158889013.74000001</v>
      </c>
      <c r="CP236" s="7">
        <f ca="1">IFERROR(__xludf.DUMMYFUNCTION("+CP209"),12160270.61)</f>
        <v>12160270.609999999</v>
      </c>
      <c r="CQ236" s="7">
        <f ca="1">IFERROR(__xludf.DUMMYFUNCTION("+CQ209"),10512140.11)</f>
        <v>10512140.109999999</v>
      </c>
      <c r="CR236" s="7">
        <f ca="1">IFERROR(__xludf.DUMMYFUNCTION("+CR209"),3847380.87)</f>
        <v>3847380.87</v>
      </c>
      <c r="CS236" s="7">
        <f ca="1">IFERROR(__xludf.DUMMYFUNCTION("+CS209"),4454653.43)</f>
        <v>4454653.43</v>
      </c>
      <c r="CT236" s="7">
        <f ca="1">IFERROR(__xludf.DUMMYFUNCTION("+CT209"),2614394.41)</f>
        <v>2614394.41</v>
      </c>
      <c r="CU236" s="7">
        <f ca="1">IFERROR(__xludf.DUMMYFUNCTION("+CU209"),5526791.86)</f>
        <v>5526791.8600000003</v>
      </c>
      <c r="CV236" s="7">
        <f ca="1">IFERROR(__xludf.DUMMYFUNCTION("+CV209"),1174685.34)</f>
        <v>1174685.3400000001</v>
      </c>
      <c r="CW236" s="7">
        <f ca="1">IFERROR(__xludf.DUMMYFUNCTION("+CW209"),3740394.99)</f>
        <v>3740394.99</v>
      </c>
      <c r="CX236" s="7">
        <f ca="1">IFERROR(__xludf.DUMMYFUNCTION("+CX209"),6160390.47)</f>
        <v>6160390.4699999997</v>
      </c>
      <c r="CY236" s="7">
        <f ca="1">IFERROR(__xludf.DUMMYFUNCTION("+CY209"),1268197.65)</f>
        <v>1268197.6499999999</v>
      </c>
      <c r="CZ236" s="7">
        <f ca="1">IFERROR(__xludf.DUMMYFUNCTION("+CZ209"),21124739.66)</f>
        <v>21124739.66</v>
      </c>
      <c r="DA236" s="7">
        <f ca="1">IFERROR(__xludf.DUMMYFUNCTION("+DA209"),3768061.84)</f>
        <v>3768061.84</v>
      </c>
      <c r="DB236" s="7">
        <f ca="1">IFERROR(__xludf.DUMMYFUNCTION("+DB209"),4879970.99)</f>
        <v>4879970.99</v>
      </c>
      <c r="DC236" s="7">
        <f ca="1">IFERROR(__xludf.DUMMYFUNCTION("+DC209"),3731605.1)</f>
        <v>3731605.1</v>
      </c>
      <c r="DD236" s="7">
        <f ca="1">IFERROR(__xludf.DUMMYFUNCTION("+DD209"),3735137.3)</f>
        <v>3735137.3</v>
      </c>
      <c r="DE236" s="7">
        <f ca="1">IFERROR(__xludf.DUMMYFUNCTION("+DE209"),4529019.48)</f>
        <v>4529019.4800000004</v>
      </c>
      <c r="DF236" s="7">
        <f ca="1">IFERROR(__xludf.DUMMYFUNCTION("+DF209"),230016429.23)</f>
        <v>230016429.22999999</v>
      </c>
      <c r="DG236" s="7">
        <f ca="1">IFERROR(__xludf.DUMMYFUNCTION("+DG209"),2234535.13)</f>
        <v>2234535.13</v>
      </c>
      <c r="DH236" s="7">
        <f ca="1">IFERROR(__xludf.DUMMYFUNCTION("+DH209"),20746897.59)</f>
        <v>20746897.59</v>
      </c>
      <c r="DI236" s="7">
        <f ca="1">IFERROR(__xludf.DUMMYFUNCTION("+DI209"),27962122.11)</f>
        <v>27962122.109999999</v>
      </c>
      <c r="DJ236" s="7">
        <f ca="1">IFERROR(__xludf.DUMMYFUNCTION("+DJ209"),8139837.12)</f>
        <v>8139837.1200000001</v>
      </c>
      <c r="DK236" s="7">
        <f ca="1">IFERROR(__xludf.DUMMYFUNCTION("+DK209"),6404481.04)</f>
        <v>6404481.04</v>
      </c>
      <c r="DL236" s="7">
        <f ca="1">IFERROR(__xludf.DUMMYFUNCTION("+DL209"),67273741.51)</f>
        <v>67273741.510000005</v>
      </c>
      <c r="DM236" s="7">
        <f ca="1">IFERROR(__xludf.DUMMYFUNCTION("+DM209"),4465517.29)</f>
        <v>4465517.29</v>
      </c>
      <c r="DN236" s="7">
        <f ca="1">IFERROR(__xludf.DUMMYFUNCTION("+DN209"),16131691.48)</f>
        <v>16131691.48</v>
      </c>
      <c r="DO236" s="7">
        <f ca="1">IFERROR(__xludf.DUMMYFUNCTION("+DO209"),39148585.71)</f>
        <v>39148585.710000001</v>
      </c>
      <c r="DP236" s="7">
        <f ca="1">IFERROR(__xludf.DUMMYFUNCTION("+DP209"),3944329.92)</f>
        <v>3944329.92</v>
      </c>
      <c r="DQ236" s="7">
        <f ca="1">IFERROR(__xludf.DUMMYFUNCTION("+DQ209"),11206156.21)</f>
        <v>11206156.210000001</v>
      </c>
      <c r="DR236" s="7">
        <f ca="1">IFERROR(__xludf.DUMMYFUNCTION("+DR209"),16298866.67)</f>
        <v>16298866.67</v>
      </c>
      <c r="DS236" s="7">
        <f ca="1">IFERROR(__xludf.DUMMYFUNCTION("+DS209"),8168663.33)</f>
        <v>8168663.3300000001</v>
      </c>
      <c r="DT236" s="7">
        <f ca="1">IFERROR(__xludf.DUMMYFUNCTION("+DT209"),3719142.57)</f>
        <v>3719142.57</v>
      </c>
      <c r="DU236" s="7">
        <f ca="1">IFERROR(__xludf.DUMMYFUNCTION("+DU209"),5232054.13)</f>
        <v>5232054.13</v>
      </c>
      <c r="DV236" s="7">
        <f ca="1">IFERROR(__xludf.DUMMYFUNCTION("+DV209"),3859097.36)</f>
        <v>3859097.36</v>
      </c>
      <c r="DW236" s="7">
        <f ca="1">IFERROR(__xludf.DUMMYFUNCTION("+DW209"),4744760.09)</f>
        <v>4744760.09</v>
      </c>
      <c r="DX236" s="7">
        <f ca="1">IFERROR(__xludf.DUMMYFUNCTION("+DX209"),3840661.72)</f>
        <v>3840661.72</v>
      </c>
      <c r="DY236" s="7">
        <f ca="1">IFERROR(__xludf.DUMMYFUNCTION("+DY209"),5057136.27)</f>
        <v>5057136.2699999996</v>
      </c>
      <c r="DZ236" s="7">
        <f ca="1">IFERROR(__xludf.DUMMYFUNCTION("+DZ209"),9110888.59)</f>
        <v>9110888.5899999999</v>
      </c>
      <c r="EA236" s="7">
        <f ca="1">IFERROR(__xludf.DUMMYFUNCTION("+EA209"),7254323.72)</f>
        <v>7254323.7199999997</v>
      </c>
      <c r="EB236" s="7">
        <f ca="1">IFERROR(__xludf.DUMMYFUNCTION("+EB209"),7058255.53)</f>
        <v>7058255.5300000003</v>
      </c>
      <c r="EC236" s="7">
        <f ca="1">IFERROR(__xludf.DUMMYFUNCTION("+EC209"),4262123.83)</f>
        <v>4262123.83</v>
      </c>
      <c r="ED236" s="7">
        <f ca="1">IFERROR(__xludf.DUMMYFUNCTION("+ED209"),23670186.3)</f>
        <v>23670186.300000001</v>
      </c>
      <c r="EE236" s="7">
        <f ca="1">IFERROR(__xludf.DUMMYFUNCTION("+EE209"),3697798.33)</f>
        <v>3697798.33</v>
      </c>
      <c r="EF236" s="7">
        <f ca="1">IFERROR(__xludf.DUMMYFUNCTION("+EF209"),16437407.48)</f>
        <v>16437407.48</v>
      </c>
      <c r="EG236" s="7">
        <f ca="1">IFERROR(__xludf.DUMMYFUNCTION("+EG209"),4201462.91)</f>
        <v>4201462.91</v>
      </c>
      <c r="EH236" s="7">
        <f ca="1">IFERROR(__xludf.DUMMYFUNCTION("+EH209"),4139475.05)</f>
        <v>4139475.05</v>
      </c>
      <c r="EI236" s="7">
        <f ca="1">IFERROR(__xludf.DUMMYFUNCTION("+EI209"),165036105.41)</f>
        <v>165036105.41</v>
      </c>
      <c r="EJ236" s="7">
        <f ca="1">IFERROR(__xludf.DUMMYFUNCTION("+EJ209"),112321724.82)</f>
        <v>112321724.81999999</v>
      </c>
      <c r="EK236" s="7">
        <f ca="1">IFERROR(__xludf.DUMMYFUNCTION("+EK209"),8377510.43)</f>
        <v>8377510.4299999997</v>
      </c>
      <c r="EL236" s="7">
        <f ca="1">IFERROR(__xludf.DUMMYFUNCTION("+EL209"),5920711.12)</f>
        <v>5920711.1200000001</v>
      </c>
      <c r="EM236" s="7">
        <f ca="1">IFERROR(__xludf.DUMMYFUNCTION("+EM209"),5568998.7)</f>
        <v>5568998.7000000002</v>
      </c>
      <c r="EN236" s="7">
        <f ca="1">IFERROR(__xludf.DUMMYFUNCTION("+EN209"),11739524.15)</f>
        <v>11739524.15</v>
      </c>
      <c r="EO236" s="7">
        <f ca="1">IFERROR(__xludf.DUMMYFUNCTION("+EO209"),4697206.25)</f>
        <v>4697206.25</v>
      </c>
      <c r="EP236" s="7">
        <f ca="1">IFERROR(__xludf.DUMMYFUNCTION("+EP209"),6266634.35)</f>
        <v>6266634.3499999996</v>
      </c>
      <c r="EQ236" s="7">
        <f ca="1">IFERROR(__xludf.DUMMYFUNCTION("+EQ209"),30779418.77)</f>
        <v>30779418.77</v>
      </c>
      <c r="ER236" s="7">
        <f ca="1">IFERROR(__xludf.DUMMYFUNCTION("+ER209"),5098535.12)</f>
        <v>5098535.12</v>
      </c>
      <c r="ES236" s="7">
        <f ca="1">IFERROR(__xludf.DUMMYFUNCTION("+ES209"),3233873.99)</f>
        <v>3233873.99</v>
      </c>
      <c r="ET236" s="7">
        <f ca="1">IFERROR(__xludf.DUMMYFUNCTION("+ET209"),4323984.95)</f>
        <v>4323984.95</v>
      </c>
      <c r="EU236" s="7">
        <f ca="1">IFERROR(__xludf.DUMMYFUNCTION("+EU209"),7937465.63)</f>
        <v>7937465.6299999999</v>
      </c>
      <c r="EV236" s="7">
        <f ca="1">IFERROR(__xludf.DUMMYFUNCTION("+EV209"),1820825.07)</f>
        <v>1820825.07</v>
      </c>
      <c r="EW236" s="7">
        <f ca="1">IFERROR(__xludf.DUMMYFUNCTION("+EW209"),13213331.52)</f>
        <v>13213331.52</v>
      </c>
      <c r="EX236" s="7">
        <f ca="1">IFERROR(__xludf.DUMMYFUNCTION("+EX209"),3796255.38)</f>
        <v>3796255.38</v>
      </c>
      <c r="EY236" s="7">
        <f ca="1">IFERROR(__xludf.DUMMYFUNCTION("+EY209"),7789479.54)</f>
        <v>7789479.54</v>
      </c>
      <c r="EZ236" s="7">
        <f ca="1">IFERROR(__xludf.DUMMYFUNCTION("+EZ209"),2832075.44)</f>
        <v>2832075.44</v>
      </c>
      <c r="FA236" s="7">
        <f ca="1">IFERROR(__xludf.DUMMYFUNCTION("+FA209"),42371307.01)</f>
        <v>42371307.009999998</v>
      </c>
      <c r="FB236" s="7">
        <f ca="1">IFERROR(__xludf.DUMMYFUNCTION("+FB209"),4725642.22)</f>
        <v>4725642.22</v>
      </c>
      <c r="FC236" s="7">
        <f ca="1">IFERROR(__xludf.DUMMYFUNCTION("+FC209"),21034174.36)</f>
        <v>21034174.359999999</v>
      </c>
      <c r="FD236" s="7">
        <f ca="1">IFERROR(__xludf.DUMMYFUNCTION("+FD209"),5756293.11)</f>
        <v>5756293.1100000003</v>
      </c>
      <c r="FE236" s="7">
        <f ca="1">IFERROR(__xludf.DUMMYFUNCTION("+FE209"),1943548.82)</f>
        <v>1943548.82</v>
      </c>
      <c r="FF236" s="7">
        <f ca="1">IFERROR(__xludf.DUMMYFUNCTION("+FF209"),3626088.86)</f>
        <v>3626088.86</v>
      </c>
      <c r="FG236" s="7">
        <f ca="1">IFERROR(__xludf.DUMMYFUNCTION("+FG209"),2723830.37)</f>
        <v>2723830.37</v>
      </c>
      <c r="FH236" s="7">
        <f ca="1">IFERROR(__xludf.DUMMYFUNCTION("+FH209"),1733713.75)</f>
        <v>1733713.75</v>
      </c>
      <c r="FI236" s="7">
        <f ca="1">IFERROR(__xludf.DUMMYFUNCTION("+FI209"),20113339.56)</f>
        <v>20113339.559999999</v>
      </c>
      <c r="FJ236" s="7">
        <f ca="1">IFERROR(__xludf.DUMMYFUNCTION("+FJ209"),22788809.45)</f>
        <v>22788809.449999999</v>
      </c>
      <c r="FK236" s="7">
        <f ca="1">IFERROR(__xludf.DUMMYFUNCTION("+FK209"),29364064.73)</f>
        <v>29364064.73</v>
      </c>
      <c r="FL236" s="7">
        <f ca="1">IFERROR(__xludf.DUMMYFUNCTION("+FL209"),94205094.51)</f>
        <v>94205094.510000005</v>
      </c>
      <c r="FM236" s="7">
        <f ca="1">IFERROR(__xludf.DUMMYFUNCTION("+FM209"),44650077.3)</f>
        <v>44650077.299999997</v>
      </c>
      <c r="FN236" s="7">
        <f ca="1">IFERROR(__xludf.DUMMYFUNCTION("+FN209"),265890615.19)</f>
        <v>265890615.19</v>
      </c>
      <c r="FO236" s="7">
        <f ca="1">IFERROR(__xludf.DUMMYFUNCTION("+FO209"),13577166.73)</f>
        <v>13577166.73</v>
      </c>
      <c r="FP236" s="7">
        <f ca="1">IFERROR(__xludf.DUMMYFUNCTION("+FP209"),27744967.73)</f>
        <v>27744967.73</v>
      </c>
      <c r="FQ236" s="7">
        <f ca="1">IFERROR(__xludf.DUMMYFUNCTION("+FQ209"),12182410.7)</f>
        <v>12182410.699999999</v>
      </c>
      <c r="FR236" s="7">
        <f ca="1">IFERROR(__xludf.DUMMYFUNCTION("+FR209"),3435866.08)</f>
        <v>3435866.08</v>
      </c>
      <c r="FS236" s="7">
        <f ca="1">IFERROR(__xludf.DUMMYFUNCTION("+FS209"),3314210.28)</f>
        <v>3314210.28</v>
      </c>
      <c r="FT236" s="7">
        <f ca="1">IFERROR(__xludf.DUMMYFUNCTION("+FT209"),1501251.86)</f>
        <v>1501251.86</v>
      </c>
      <c r="FU236" s="7">
        <f ca="1">IFERROR(__xludf.DUMMYFUNCTION("+FU209"),10744488.05)</f>
        <v>10744488.050000001</v>
      </c>
      <c r="FV236" s="7">
        <f ca="1">IFERROR(__xludf.DUMMYFUNCTION("+FV209"),8988907.52)</f>
        <v>8988907.5199999996</v>
      </c>
      <c r="FW236" s="7">
        <f ca="1">IFERROR(__xludf.DUMMYFUNCTION("+FW209"),3182002.66)</f>
        <v>3182002.66</v>
      </c>
      <c r="FX236" s="7">
        <f ca="1">IFERROR(__xludf.DUMMYFUNCTION("+FX209"),1733886.38)</f>
        <v>1733886.38</v>
      </c>
      <c r="FY236" s="7"/>
      <c r="FZ236" s="7">
        <f t="shared" ref="FZ236:FZ237" ca="1" si="116">SUM(C236:FX236)</f>
        <v>9950043158.9799995</v>
      </c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</row>
    <row r="237" spans="1:193" ht="15.5" x14ac:dyDescent="0.35">
      <c r="A237" s="110" t="s">
        <v>1006</v>
      </c>
      <c r="B237" s="111" t="s">
        <v>979</v>
      </c>
      <c r="C237" s="7">
        <f t="shared" ref="C237:FX237" ca="1" si="117">MIN(C232,C236)</f>
        <v>79052053.679999992</v>
      </c>
      <c r="D237" s="7">
        <f t="shared" ca="1" si="117"/>
        <v>445981124.5</v>
      </c>
      <c r="E237" s="7">
        <f t="shared" ca="1" si="117"/>
        <v>71070893.150000006</v>
      </c>
      <c r="F237" s="7">
        <f t="shared" ca="1" si="117"/>
        <v>278971081.16000003</v>
      </c>
      <c r="G237" s="7">
        <f t="shared" ca="1" si="117"/>
        <v>21768156.77</v>
      </c>
      <c r="H237" s="7">
        <f t="shared" ca="1" si="117"/>
        <v>13185969.140000001</v>
      </c>
      <c r="I237" s="7">
        <f t="shared" ca="1" si="117"/>
        <v>98385570.299999997</v>
      </c>
      <c r="J237" s="7">
        <f t="shared" ca="1" si="117"/>
        <v>24091398.419999901</v>
      </c>
      <c r="K237" s="7">
        <f t="shared" ca="1" si="117"/>
        <v>4180082.5</v>
      </c>
      <c r="L237" s="7">
        <f t="shared" ca="1" si="117"/>
        <v>26165974.879999999</v>
      </c>
      <c r="M237" s="7">
        <f t="shared" ca="1" si="117"/>
        <v>12949878.18</v>
      </c>
      <c r="N237" s="7">
        <f t="shared" ca="1" si="117"/>
        <v>591734292.39999998</v>
      </c>
      <c r="O237" s="7">
        <f t="shared" ca="1" si="117"/>
        <v>143765812.40000001</v>
      </c>
      <c r="P237" s="7">
        <f t="shared" ca="1" si="117"/>
        <v>5104600.0999999996</v>
      </c>
      <c r="Q237" s="7">
        <f t="shared" ca="1" si="117"/>
        <v>497020802.72000003</v>
      </c>
      <c r="R237" s="7">
        <f t="shared" ca="1" si="117"/>
        <v>79746543.269999996</v>
      </c>
      <c r="S237" s="7">
        <f t="shared" ca="1" si="117"/>
        <v>18977505.5</v>
      </c>
      <c r="T237" s="7">
        <f t="shared" ca="1" si="117"/>
        <v>3218152.6199999899</v>
      </c>
      <c r="U237" s="7">
        <f t="shared" ca="1" si="117"/>
        <v>1310288.68</v>
      </c>
      <c r="V237" s="7">
        <f t="shared" ca="1" si="117"/>
        <v>4192885.27</v>
      </c>
      <c r="W237" s="7">
        <f t="shared" ca="1" si="117"/>
        <v>1138970.21</v>
      </c>
      <c r="X237" s="7">
        <f t="shared" ca="1" si="117"/>
        <v>1162581.68</v>
      </c>
      <c r="Y237" s="7">
        <f t="shared" ca="1" si="117"/>
        <v>10737673.48</v>
      </c>
      <c r="Z237" s="7">
        <f t="shared" ca="1" si="117"/>
        <v>3768030.09</v>
      </c>
      <c r="AA237" s="7">
        <f t="shared" ca="1" si="117"/>
        <v>351337009.87</v>
      </c>
      <c r="AB237" s="7">
        <f t="shared" ca="1" si="117"/>
        <v>312259192.82999998</v>
      </c>
      <c r="AC237" s="7">
        <f t="shared" ca="1" si="117"/>
        <v>10829324.530000001</v>
      </c>
      <c r="AD237" s="7">
        <f t="shared" ca="1" si="117"/>
        <v>16356653.41</v>
      </c>
      <c r="AE237" s="7">
        <f t="shared" ca="1" si="117"/>
        <v>2141390.1099999901</v>
      </c>
      <c r="AF237" s="7">
        <f t="shared" ca="1" si="117"/>
        <v>3331505.06</v>
      </c>
      <c r="AG237" s="7">
        <f t="shared" ca="1" si="117"/>
        <v>7741217.1600000001</v>
      </c>
      <c r="AH237" s="7">
        <f t="shared" ca="1" si="117"/>
        <v>11289974.189999999</v>
      </c>
      <c r="AI237" s="7">
        <f t="shared" ca="1" si="117"/>
        <v>5293011.6399999997</v>
      </c>
      <c r="AJ237" s="7">
        <f t="shared" ca="1" si="117"/>
        <v>3613794.0199999898</v>
      </c>
      <c r="AK237" s="7">
        <f t="shared" ca="1" si="117"/>
        <v>3358406.28</v>
      </c>
      <c r="AL237" s="7">
        <f t="shared" ca="1" si="117"/>
        <v>4578265.29</v>
      </c>
      <c r="AM237" s="7">
        <f t="shared" ca="1" si="117"/>
        <v>5070412.3299999991</v>
      </c>
      <c r="AN237" s="7">
        <f t="shared" ca="1" si="117"/>
        <v>4635191.92</v>
      </c>
      <c r="AO237" s="7">
        <f t="shared" ca="1" si="117"/>
        <v>49732825.859999999</v>
      </c>
      <c r="AP237" s="7">
        <f t="shared" ca="1" si="117"/>
        <v>1017751648.26</v>
      </c>
      <c r="AQ237" s="7">
        <f t="shared" ca="1" si="117"/>
        <v>4371211.78</v>
      </c>
      <c r="AR237" s="7">
        <f t="shared" ca="1" si="117"/>
        <v>694618771.50999892</v>
      </c>
      <c r="AS237" s="7">
        <f t="shared" ca="1" si="117"/>
        <v>79204693.689999998</v>
      </c>
      <c r="AT237" s="7">
        <f t="shared" ca="1" si="117"/>
        <v>27076325.920000002</v>
      </c>
      <c r="AU237" s="7">
        <f t="shared" ca="1" si="117"/>
        <v>4496406.4400000004</v>
      </c>
      <c r="AV237" s="7">
        <f t="shared" ca="1" si="117"/>
        <v>4973402.92</v>
      </c>
      <c r="AW237" s="7">
        <f t="shared" ca="1" si="117"/>
        <v>4370592.07</v>
      </c>
      <c r="AX237" s="7">
        <f t="shared" ca="1" si="117"/>
        <v>1957632.03</v>
      </c>
      <c r="AY237" s="7">
        <f t="shared" ca="1" si="117"/>
        <v>5824738.4399999995</v>
      </c>
      <c r="AZ237" s="7">
        <f t="shared" ca="1" si="117"/>
        <v>142626815.31999999</v>
      </c>
      <c r="BA237" s="7">
        <f t="shared" ca="1" si="117"/>
        <v>100627416.67</v>
      </c>
      <c r="BB237" s="7">
        <f t="shared" ca="1" si="117"/>
        <v>83817514.6199999</v>
      </c>
      <c r="BC237" s="7">
        <f t="shared" ca="1" si="117"/>
        <v>282823004.06999904</v>
      </c>
      <c r="BD237" s="7">
        <f t="shared" ca="1" si="117"/>
        <v>40101015.780000001</v>
      </c>
      <c r="BE237" s="7">
        <f t="shared" ca="1" si="117"/>
        <v>14211729.34</v>
      </c>
      <c r="BF237" s="7">
        <f t="shared" ca="1" si="117"/>
        <v>281878750.83999997</v>
      </c>
      <c r="BG237" s="7">
        <f t="shared" ca="1" si="117"/>
        <v>11549050.060000001</v>
      </c>
      <c r="BH237" s="7">
        <f t="shared" ca="1" si="117"/>
        <v>7350148.0899999999</v>
      </c>
      <c r="BI237" s="7">
        <f t="shared" ca="1" si="117"/>
        <v>4531484.93</v>
      </c>
      <c r="BJ237" s="7">
        <f t="shared" ca="1" si="117"/>
        <v>69582892.510000005</v>
      </c>
      <c r="BK237" s="7">
        <f t="shared" ca="1" si="117"/>
        <v>390364211.14999998</v>
      </c>
      <c r="BL237" s="7">
        <f t="shared" ca="1" si="117"/>
        <v>1810659.96</v>
      </c>
      <c r="BM237" s="7">
        <f t="shared" ca="1" si="117"/>
        <v>5212266.43</v>
      </c>
      <c r="BN237" s="7">
        <f t="shared" ca="1" si="117"/>
        <v>34624646.109999999</v>
      </c>
      <c r="BO237" s="7">
        <f t="shared" ca="1" si="117"/>
        <v>14478562.7899999</v>
      </c>
      <c r="BP237" s="7">
        <f t="shared" ca="1" si="117"/>
        <v>3242513.9</v>
      </c>
      <c r="BQ237" s="7">
        <f t="shared" ca="1" si="117"/>
        <v>72109250.569999993</v>
      </c>
      <c r="BR237" s="7">
        <f t="shared" ca="1" si="117"/>
        <v>50925019.039999999</v>
      </c>
      <c r="BS237" s="7">
        <f t="shared" ca="1" si="117"/>
        <v>14686026.07</v>
      </c>
      <c r="BT237" s="7">
        <f t="shared" ca="1" si="117"/>
        <v>5629295.6999999899</v>
      </c>
      <c r="BU237" s="7">
        <f t="shared" ca="1" si="117"/>
        <v>5842037.6999999993</v>
      </c>
      <c r="BV237" s="7">
        <f t="shared" ca="1" si="117"/>
        <v>14582251.569999998</v>
      </c>
      <c r="BW237" s="7">
        <f t="shared" ca="1" si="117"/>
        <v>23400238.7299999</v>
      </c>
      <c r="BX237" s="7">
        <f t="shared" ca="1" si="117"/>
        <v>1647493.26</v>
      </c>
      <c r="BY237" s="7">
        <f t="shared" ca="1" si="117"/>
        <v>5665481.8799999999</v>
      </c>
      <c r="BZ237" s="7">
        <f t="shared" ca="1" si="117"/>
        <v>3917429.31</v>
      </c>
      <c r="CA237" s="7">
        <f t="shared" ca="1" si="117"/>
        <v>3045296</v>
      </c>
      <c r="CB237" s="7">
        <f t="shared" ca="1" si="117"/>
        <v>829325795.82000005</v>
      </c>
      <c r="CC237" s="7">
        <f t="shared" ca="1" si="117"/>
        <v>3491422.38</v>
      </c>
      <c r="CD237" s="7">
        <f t="shared" ca="1" si="117"/>
        <v>902113.67</v>
      </c>
      <c r="CE237" s="7">
        <f t="shared" ca="1" si="117"/>
        <v>3065905.17</v>
      </c>
      <c r="CF237" s="7">
        <f t="shared" ca="1" si="117"/>
        <v>2291611.64</v>
      </c>
      <c r="CG237" s="7">
        <f t="shared" ca="1" si="117"/>
        <v>3572390.33</v>
      </c>
      <c r="CH237" s="7">
        <f t="shared" ca="1" si="117"/>
        <v>2154948.56</v>
      </c>
      <c r="CI237" s="7">
        <f t="shared" ca="1" si="117"/>
        <v>8273353.04</v>
      </c>
      <c r="CJ237" s="7">
        <f t="shared" ca="1" si="117"/>
        <v>11069880.449999999</v>
      </c>
      <c r="CK237" s="7">
        <f t="shared" ca="1" si="117"/>
        <v>56336946.939999998</v>
      </c>
      <c r="CL237" s="7">
        <f t="shared" ca="1" si="117"/>
        <v>15020578.23</v>
      </c>
      <c r="CM237" s="7">
        <f t="shared" ca="1" si="117"/>
        <v>9001152.8000000007</v>
      </c>
      <c r="CN237" s="7">
        <f t="shared" ca="1" si="117"/>
        <v>346567499.31999999</v>
      </c>
      <c r="CO237" s="7">
        <f t="shared" ca="1" si="117"/>
        <v>158501756.33000001</v>
      </c>
      <c r="CP237" s="7">
        <f t="shared" ca="1" si="117"/>
        <v>11723979.35</v>
      </c>
      <c r="CQ237" s="7">
        <f t="shared" ca="1" si="117"/>
        <v>9949079.0600000005</v>
      </c>
      <c r="CR237" s="7">
        <f t="shared" ca="1" si="117"/>
        <v>3775953.62</v>
      </c>
      <c r="CS237" s="7">
        <f t="shared" ca="1" si="117"/>
        <v>4349049.93</v>
      </c>
      <c r="CT237" s="7">
        <f t="shared" ca="1" si="117"/>
        <v>2470076.59</v>
      </c>
      <c r="CU237" s="7">
        <f t="shared" ca="1" si="117"/>
        <v>5221299.8600000003</v>
      </c>
      <c r="CV237" s="7">
        <f t="shared" ca="1" si="117"/>
        <v>1076684.73</v>
      </c>
      <c r="CW237" s="7">
        <f t="shared" ca="1" si="117"/>
        <v>3691096.75</v>
      </c>
      <c r="CX237" s="7">
        <f t="shared" ca="1" si="117"/>
        <v>5911762.3099999903</v>
      </c>
      <c r="CY237" s="7">
        <f t="shared" ca="1" si="117"/>
        <v>1148005.03</v>
      </c>
      <c r="CZ237" s="7">
        <f t="shared" ca="1" si="117"/>
        <v>20679499.120000001</v>
      </c>
      <c r="DA237" s="7">
        <f t="shared" ca="1" si="117"/>
        <v>3639031.96999999</v>
      </c>
      <c r="DB237" s="7">
        <f t="shared" ca="1" si="117"/>
        <v>4728881.38</v>
      </c>
      <c r="DC237" s="7">
        <f t="shared" ca="1" si="117"/>
        <v>3560350.21</v>
      </c>
      <c r="DD237" s="7">
        <f t="shared" ca="1" si="117"/>
        <v>3479436.51</v>
      </c>
      <c r="DE237" s="7">
        <f t="shared" ca="1" si="117"/>
        <v>4477825.1500000004</v>
      </c>
      <c r="DF237" s="7">
        <f t="shared" ca="1" si="117"/>
        <v>229732560.37</v>
      </c>
      <c r="DG237" s="7">
        <f t="shared" ca="1" si="117"/>
        <v>2134952.04</v>
      </c>
      <c r="DH237" s="7">
        <f t="shared" ca="1" si="117"/>
        <v>20322605.720000003</v>
      </c>
      <c r="DI237" s="7">
        <f t="shared" ca="1" si="117"/>
        <v>27597128.670000002</v>
      </c>
      <c r="DJ237" s="7">
        <f t="shared" ca="1" si="117"/>
        <v>7911070.4799999995</v>
      </c>
      <c r="DK237" s="7">
        <f t="shared" ca="1" si="117"/>
        <v>6064487.1499999994</v>
      </c>
      <c r="DL237" s="7">
        <f t="shared" ca="1" si="117"/>
        <v>65787938.75</v>
      </c>
      <c r="DM237" s="7">
        <f t="shared" ca="1" si="117"/>
        <v>4326904.25</v>
      </c>
      <c r="DN237" s="7">
        <f t="shared" ca="1" si="117"/>
        <v>15839550.7899999</v>
      </c>
      <c r="DO237" s="7">
        <f t="shared" ca="1" si="117"/>
        <v>38031980.059999995</v>
      </c>
      <c r="DP237" s="7">
        <f t="shared" ca="1" si="117"/>
        <v>3781904.38</v>
      </c>
      <c r="DQ237" s="7">
        <f t="shared" ca="1" si="117"/>
        <v>10711354.560000001</v>
      </c>
      <c r="DR237" s="7">
        <f t="shared" ca="1" si="117"/>
        <v>15886646.859999999</v>
      </c>
      <c r="DS237" s="7">
        <f t="shared" ca="1" si="117"/>
        <v>7931817.7000000002</v>
      </c>
      <c r="DT237" s="7">
        <f t="shared" ca="1" si="117"/>
        <v>3608126.51</v>
      </c>
      <c r="DU237" s="7">
        <f t="shared" ca="1" si="117"/>
        <v>5119303.6799999997</v>
      </c>
      <c r="DV237" s="7">
        <f t="shared" ca="1" si="117"/>
        <v>3770010.8</v>
      </c>
      <c r="DW237" s="7">
        <f t="shared" ca="1" si="117"/>
        <v>4617450.2</v>
      </c>
      <c r="DX237" s="7">
        <f t="shared" ca="1" si="117"/>
        <v>3711652.82</v>
      </c>
      <c r="DY237" s="7">
        <f t="shared" ca="1" si="117"/>
        <v>4950450.13</v>
      </c>
      <c r="DZ237" s="7">
        <f t="shared" ca="1" si="117"/>
        <v>8825649.25</v>
      </c>
      <c r="EA237" s="7">
        <f t="shared" ca="1" si="117"/>
        <v>7010469.4500000002</v>
      </c>
      <c r="EB237" s="7">
        <f t="shared" ca="1" si="117"/>
        <v>6781640.27999999</v>
      </c>
      <c r="EC237" s="7">
        <f t="shared" ca="1" si="117"/>
        <v>4197736.3500000006</v>
      </c>
      <c r="ED237" s="7">
        <f t="shared" ca="1" si="117"/>
        <v>23405168.759999998</v>
      </c>
      <c r="EE237" s="7">
        <f t="shared" ca="1" si="117"/>
        <v>3587045.68</v>
      </c>
      <c r="EF237" s="7">
        <f t="shared" ca="1" si="117"/>
        <v>16123971.9099999</v>
      </c>
      <c r="EG237" s="7">
        <f t="shared" ca="1" si="117"/>
        <v>4053090.4</v>
      </c>
      <c r="EH237" s="7">
        <f t="shared" ca="1" si="117"/>
        <v>4021646.7899999898</v>
      </c>
      <c r="EI237" s="7">
        <f t="shared" ca="1" si="117"/>
        <v>162554647.53</v>
      </c>
      <c r="EJ237" s="7">
        <f t="shared" ca="1" si="117"/>
        <v>112123605.77</v>
      </c>
      <c r="EK237" s="7">
        <f t="shared" ca="1" si="117"/>
        <v>8053120.7799999993</v>
      </c>
      <c r="EL237" s="7">
        <f t="shared" ca="1" si="117"/>
        <v>5677812.5899999999</v>
      </c>
      <c r="EM237" s="7">
        <f t="shared" ca="1" si="117"/>
        <v>5303475.16</v>
      </c>
      <c r="EN237" s="7">
        <f t="shared" ca="1" si="117"/>
        <v>11377002.6</v>
      </c>
      <c r="EO237" s="7">
        <f t="shared" ca="1" si="117"/>
        <v>4579148.91</v>
      </c>
      <c r="EP237" s="7">
        <f t="shared" ca="1" si="117"/>
        <v>5997877.4799999995</v>
      </c>
      <c r="EQ237" s="7">
        <f t="shared" ca="1" si="117"/>
        <v>30270151.289999902</v>
      </c>
      <c r="ER237" s="7">
        <f t="shared" ca="1" si="117"/>
        <v>4982809.33</v>
      </c>
      <c r="ES237" s="7">
        <f t="shared" ca="1" si="117"/>
        <v>3233873.99</v>
      </c>
      <c r="ET237" s="7">
        <f t="shared" ca="1" si="117"/>
        <v>4256324.13</v>
      </c>
      <c r="EU237" s="7">
        <f t="shared" ca="1" si="117"/>
        <v>7686262.71</v>
      </c>
      <c r="EV237" s="7">
        <f t="shared" ca="1" si="117"/>
        <v>1790492.83</v>
      </c>
      <c r="EW237" s="7">
        <f t="shared" ca="1" si="117"/>
        <v>12914715.459999999</v>
      </c>
      <c r="EX237" s="7">
        <f t="shared" ca="1" si="117"/>
        <v>3691058.9499999899</v>
      </c>
      <c r="EY237" s="7">
        <f t="shared" ca="1" si="117"/>
        <v>7443409.9699999997</v>
      </c>
      <c r="EZ237" s="7">
        <f t="shared" ca="1" si="117"/>
        <v>2720167.82</v>
      </c>
      <c r="FA237" s="7">
        <f t="shared" ca="1" si="117"/>
        <v>41494588.699999899</v>
      </c>
      <c r="FB237" s="7">
        <f t="shared" ca="1" si="117"/>
        <v>4658644.5599999996</v>
      </c>
      <c r="FC237" s="7">
        <f t="shared" ca="1" si="117"/>
        <v>20815689.399999999</v>
      </c>
      <c r="FD237" s="7">
        <f t="shared" ca="1" si="117"/>
        <v>5576513.2800000003</v>
      </c>
      <c r="FE237" s="7">
        <f t="shared" ca="1" si="117"/>
        <v>1863010.65</v>
      </c>
      <c r="FF237" s="7">
        <f t="shared" ca="1" si="117"/>
        <v>3591748.16</v>
      </c>
      <c r="FG237" s="7">
        <f t="shared" ca="1" si="117"/>
        <v>2629985.41</v>
      </c>
      <c r="FH237" s="7">
        <f t="shared" ca="1" si="117"/>
        <v>1618391.5999999901</v>
      </c>
      <c r="FI237" s="7">
        <f t="shared" ca="1" si="117"/>
        <v>20113339.559999999</v>
      </c>
      <c r="FJ237" s="7">
        <f t="shared" ca="1" si="117"/>
        <v>22430808.640000001</v>
      </c>
      <c r="FK237" s="7">
        <f t="shared" ca="1" si="117"/>
        <v>28834604.939999998</v>
      </c>
      <c r="FL237" s="7">
        <f t="shared" ca="1" si="117"/>
        <v>94168128.030000001</v>
      </c>
      <c r="FM237" s="7">
        <f t="shared" ca="1" si="117"/>
        <v>43910569.979999997</v>
      </c>
      <c r="FN237" s="7">
        <f t="shared" ca="1" si="117"/>
        <v>263482240.59</v>
      </c>
      <c r="FO237" s="7">
        <f t="shared" ca="1" si="117"/>
        <v>13318654.319999998</v>
      </c>
      <c r="FP237" s="7">
        <f t="shared" ca="1" si="117"/>
        <v>27337540.900000002</v>
      </c>
      <c r="FQ237" s="7">
        <f t="shared" ca="1" si="117"/>
        <v>11564344.26</v>
      </c>
      <c r="FR237" s="7">
        <f t="shared" ca="1" si="117"/>
        <v>3296557.44</v>
      </c>
      <c r="FS237" s="7">
        <f t="shared" ca="1" si="117"/>
        <v>3289803.97</v>
      </c>
      <c r="FT237" s="7">
        <f t="shared" ca="1" si="117"/>
        <v>1389181.21</v>
      </c>
      <c r="FU237" s="7">
        <f t="shared" ca="1" si="117"/>
        <v>10255259.24</v>
      </c>
      <c r="FV237" s="7">
        <f t="shared" ca="1" si="117"/>
        <v>8797224.0600000005</v>
      </c>
      <c r="FW237" s="7">
        <f t="shared" ca="1" si="117"/>
        <v>3113284.85</v>
      </c>
      <c r="FX237" s="7">
        <f t="shared" ca="1" si="117"/>
        <v>1601192.38</v>
      </c>
      <c r="FY237" s="7"/>
      <c r="FZ237" s="7">
        <f t="shared" ca="1" si="116"/>
        <v>9897285365.5299892</v>
      </c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</row>
    <row r="238" spans="1:193" ht="15.5" x14ac:dyDescent="0.35">
      <c r="A238" s="7"/>
      <c r="B238" s="7" t="s">
        <v>1007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</row>
    <row r="239" spans="1:193" ht="15.5" x14ac:dyDescent="0.35">
      <c r="A239" s="12" t="s">
        <v>1008</v>
      </c>
      <c r="B239" s="7" t="s">
        <v>1009</v>
      </c>
      <c r="C239" s="7">
        <f t="shared" ref="C239:FX239" ca="1" si="118">ROUND(C237/C103,2)</f>
        <v>12086.55</v>
      </c>
      <c r="D239" s="7">
        <f t="shared" ca="1" si="118"/>
        <v>11517.99</v>
      </c>
      <c r="E239" s="7">
        <f t="shared" ca="1" si="118"/>
        <v>12362.31</v>
      </c>
      <c r="F239" s="7">
        <f t="shared" ca="1" si="118"/>
        <v>11413.78</v>
      </c>
      <c r="G239" s="7">
        <f t="shared" ca="1" si="118"/>
        <v>11798.46</v>
      </c>
      <c r="H239" s="7">
        <f t="shared" ca="1" si="118"/>
        <v>12023.31</v>
      </c>
      <c r="I239" s="7">
        <f t="shared" ca="1" si="118"/>
        <v>12191.52</v>
      </c>
      <c r="J239" s="7">
        <f t="shared" ca="1" si="118"/>
        <v>11656.38</v>
      </c>
      <c r="K239" s="7">
        <f t="shared" ca="1" si="118"/>
        <v>16607.400000000001</v>
      </c>
      <c r="L239" s="7">
        <f t="shared" ca="1" si="118"/>
        <v>12135.79</v>
      </c>
      <c r="M239" s="7">
        <f t="shared" ca="1" si="118"/>
        <v>13621.41</v>
      </c>
      <c r="N239" s="7">
        <f t="shared" ca="1" si="118"/>
        <v>11684.63</v>
      </c>
      <c r="O239" s="7">
        <f t="shared" ca="1" si="118"/>
        <v>11133.93</v>
      </c>
      <c r="P239" s="7">
        <f t="shared" ca="1" si="118"/>
        <v>16189.66</v>
      </c>
      <c r="Q239" s="7">
        <f t="shared" ca="1" si="118"/>
        <v>12572.05</v>
      </c>
      <c r="R239" s="7">
        <f t="shared" ca="1" si="118"/>
        <v>11230.64</v>
      </c>
      <c r="S239" s="7">
        <f t="shared" ca="1" si="118"/>
        <v>11821.04</v>
      </c>
      <c r="T239" s="7">
        <f t="shared" ca="1" si="118"/>
        <v>19976.12</v>
      </c>
      <c r="U239" s="7">
        <f t="shared" ca="1" si="118"/>
        <v>23608.81</v>
      </c>
      <c r="V239" s="7">
        <f t="shared" ca="1" si="118"/>
        <v>16352.91</v>
      </c>
      <c r="W239" s="7">
        <f t="shared" ca="1" si="118"/>
        <v>19078.23</v>
      </c>
      <c r="X239" s="7">
        <f t="shared" ca="1" si="118"/>
        <v>23251.63</v>
      </c>
      <c r="Y239" s="7">
        <f t="shared" ca="1" si="118"/>
        <v>11966.65</v>
      </c>
      <c r="Z239" s="7">
        <f t="shared" ca="1" si="118"/>
        <v>16304.76</v>
      </c>
      <c r="AA239" s="7">
        <f t="shared" ca="1" si="118"/>
        <v>11344.47</v>
      </c>
      <c r="AB239" s="7">
        <f t="shared" ca="1" si="118"/>
        <v>11472.02</v>
      </c>
      <c r="AC239" s="7">
        <f t="shared" ca="1" si="118"/>
        <v>11948.94</v>
      </c>
      <c r="AD239" s="7">
        <f t="shared" ca="1" si="118"/>
        <v>11346.18</v>
      </c>
      <c r="AE239" s="7">
        <f t="shared" ca="1" si="118"/>
        <v>22076.19</v>
      </c>
      <c r="AF239" s="7">
        <f t="shared" ca="1" si="118"/>
        <v>19889.580000000002</v>
      </c>
      <c r="AG239" s="7">
        <f t="shared" ca="1" si="118"/>
        <v>12878.42</v>
      </c>
      <c r="AH239" s="7">
        <f t="shared" ca="1" si="118"/>
        <v>11788.63</v>
      </c>
      <c r="AI239" s="7">
        <f t="shared" ca="1" si="118"/>
        <v>13819.87</v>
      </c>
      <c r="AJ239" s="7">
        <f t="shared" ca="1" si="118"/>
        <v>19910.71</v>
      </c>
      <c r="AK239" s="7">
        <f t="shared" ca="1" si="118"/>
        <v>20267.990000000002</v>
      </c>
      <c r="AL239" s="7">
        <f t="shared" ca="1" si="118"/>
        <v>15869.2</v>
      </c>
      <c r="AM239" s="7">
        <f t="shared" ca="1" si="118"/>
        <v>14380.07</v>
      </c>
      <c r="AN239" s="7">
        <f t="shared" ca="1" si="118"/>
        <v>15424.93</v>
      </c>
      <c r="AO239" s="7">
        <f t="shared" ca="1" si="118"/>
        <v>11286.24</v>
      </c>
      <c r="AP239" s="7">
        <f t="shared" ca="1" si="118"/>
        <v>12008.36</v>
      </c>
      <c r="AQ239" s="7">
        <f t="shared" ca="1" si="118"/>
        <v>17415.189999999999</v>
      </c>
      <c r="AR239" s="7">
        <f t="shared" ca="1" si="118"/>
        <v>11174.49</v>
      </c>
      <c r="AS239" s="7">
        <f t="shared" ca="1" si="118"/>
        <v>12185.34</v>
      </c>
      <c r="AT239" s="7">
        <f t="shared" ca="1" si="118"/>
        <v>11457.48</v>
      </c>
      <c r="AU239" s="7">
        <f t="shared" ca="1" si="118"/>
        <v>16591.91</v>
      </c>
      <c r="AV239" s="7">
        <f t="shared" ca="1" si="118"/>
        <v>16284.88</v>
      </c>
      <c r="AW239" s="7">
        <f t="shared" ca="1" si="118"/>
        <v>17006.189999999999</v>
      </c>
      <c r="AX239" s="7">
        <f t="shared" ca="1" si="118"/>
        <v>24168.3</v>
      </c>
      <c r="AY239" s="7">
        <f t="shared" ca="1" si="118"/>
        <v>14318.43</v>
      </c>
      <c r="AZ239" s="7">
        <f t="shared" ca="1" si="118"/>
        <v>11669.3</v>
      </c>
      <c r="BA239" s="7">
        <f t="shared" ca="1" si="118"/>
        <v>11014.02</v>
      </c>
      <c r="BB239" s="7">
        <f t="shared" ca="1" si="118"/>
        <v>11080.67</v>
      </c>
      <c r="BC239" s="7">
        <f t="shared" ca="1" si="118"/>
        <v>11450.37</v>
      </c>
      <c r="BD239" s="7">
        <f t="shared" ca="1" si="118"/>
        <v>11024.33</v>
      </c>
      <c r="BE239" s="7">
        <f t="shared" ca="1" si="118"/>
        <v>11855.95</v>
      </c>
      <c r="BF239" s="7">
        <f t="shared" ca="1" si="118"/>
        <v>11004.74</v>
      </c>
      <c r="BG239" s="7">
        <f t="shared" ca="1" si="118"/>
        <v>12545.13</v>
      </c>
      <c r="BH239" s="7">
        <f t="shared" ca="1" si="118"/>
        <v>12596.65</v>
      </c>
      <c r="BI239" s="7">
        <f t="shared" ca="1" si="118"/>
        <v>17604.84</v>
      </c>
      <c r="BJ239" s="7">
        <f t="shared" ca="1" si="118"/>
        <v>11018.84</v>
      </c>
      <c r="BK239" s="7">
        <f t="shared" ca="1" si="118"/>
        <v>11106.71</v>
      </c>
      <c r="BL239" s="7">
        <f t="shared" ca="1" si="118"/>
        <v>23423.8</v>
      </c>
      <c r="BM239" s="7">
        <f t="shared" ca="1" si="118"/>
        <v>14506.73</v>
      </c>
      <c r="BN239" s="7">
        <f t="shared" ca="1" si="118"/>
        <v>11007.33</v>
      </c>
      <c r="BO239" s="7">
        <f t="shared" ca="1" si="118"/>
        <v>11515.6</v>
      </c>
      <c r="BP239" s="7">
        <f t="shared" ca="1" si="118"/>
        <v>20215.169999999998</v>
      </c>
      <c r="BQ239" s="7">
        <f t="shared" ca="1" si="118"/>
        <v>12248.48</v>
      </c>
      <c r="BR239" s="7">
        <f t="shared" ca="1" si="118"/>
        <v>11345.92</v>
      </c>
      <c r="BS239" s="7">
        <f t="shared" ca="1" si="118"/>
        <v>12681.14</v>
      </c>
      <c r="BT239" s="7">
        <f t="shared" ca="1" si="118"/>
        <v>15112.2</v>
      </c>
      <c r="BU239" s="7">
        <f t="shared" ca="1" si="118"/>
        <v>14838.81</v>
      </c>
      <c r="BV239" s="7">
        <f t="shared" ca="1" si="118"/>
        <v>11709.83</v>
      </c>
      <c r="BW239" s="7">
        <f t="shared" ca="1" si="118"/>
        <v>11598.63</v>
      </c>
      <c r="BX239" s="7">
        <f t="shared" ca="1" si="118"/>
        <v>24774.33</v>
      </c>
      <c r="BY239" s="7">
        <f t="shared" ca="1" si="118"/>
        <v>13154.13</v>
      </c>
      <c r="BZ239" s="7">
        <f t="shared" ca="1" si="118"/>
        <v>17181.71</v>
      </c>
      <c r="CA239" s="7">
        <f t="shared" ca="1" si="118"/>
        <v>20829.66</v>
      </c>
      <c r="CB239" s="7">
        <f t="shared" ca="1" si="118"/>
        <v>11261.45</v>
      </c>
      <c r="CC239" s="7">
        <f t="shared" ca="1" si="118"/>
        <v>18443.86</v>
      </c>
      <c r="CD239" s="7">
        <f t="shared" ca="1" si="118"/>
        <v>18042.27</v>
      </c>
      <c r="CE239" s="7">
        <f t="shared" ca="1" si="118"/>
        <v>19367.689999999999</v>
      </c>
      <c r="CF239" s="7">
        <f t="shared" ca="1" si="118"/>
        <v>20369.88</v>
      </c>
      <c r="CG239" s="7">
        <f t="shared" ca="1" si="118"/>
        <v>17870.89</v>
      </c>
      <c r="CH239" s="7">
        <f t="shared" ca="1" si="118"/>
        <v>22331.07</v>
      </c>
      <c r="CI239" s="7">
        <f t="shared" ca="1" si="118"/>
        <v>12026.97</v>
      </c>
      <c r="CJ239" s="7">
        <f t="shared" ca="1" si="118"/>
        <v>12690.45</v>
      </c>
      <c r="CK239" s="7">
        <f t="shared" ca="1" si="118"/>
        <v>11470.42</v>
      </c>
      <c r="CL239" s="7">
        <f t="shared" ca="1" si="118"/>
        <v>12133.92</v>
      </c>
      <c r="CM239" s="7">
        <f t="shared" ca="1" si="118"/>
        <v>13094.49</v>
      </c>
      <c r="CN239" s="7">
        <f t="shared" ca="1" si="118"/>
        <v>10989.48</v>
      </c>
      <c r="CO239" s="7">
        <f t="shared" ca="1" si="118"/>
        <v>11011.12</v>
      </c>
      <c r="CP239" s="7">
        <f t="shared" ca="1" si="118"/>
        <v>12547.07</v>
      </c>
      <c r="CQ239" s="7">
        <f t="shared" ca="1" si="118"/>
        <v>12919.2</v>
      </c>
      <c r="CR239" s="7">
        <f t="shared" ca="1" si="118"/>
        <v>17497.47</v>
      </c>
      <c r="CS239" s="7">
        <f t="shared" ca="1" si="118"/>
        <v>15233.1</v>
      </c>
      <c r="CT239" s="7">
        <f t="shared" ca="1" si="118"/>
        <v>21762.79</v>
      </c>
      <c r="CU239" s="7">
        <f t="shared" ca="1" si="118"/>
        <v>11113.88</v>
      </c>
      <c r="CV239" s="7">
        <f t="shared" ca="1" si="118"/>
        <v>21533.69</v>
      </c>
      <c r="CW239" s="7">
        <f t="shared" ca="1" si="118"/>
        <v>18576.23</v>
      </c>
      <c r="CX239" s="7">
        <f t="shared" ca="1" si="118"/>
        <v>12812.66</v>
      </c>
      <c r="CY239" s="7">
        <f t="shared" ca="1" si="118"/>
        <v>22960.1</v>
      </c>
      <c r="CZ239" s="7">
        <f t="shared" ca="1" si="118"/>
        <v>11445.37</v>
      </c>
      <c r="DA239" s="7">
        <f t="shared" ca="1" si="118"/>
        <v>17882.22</v>
      </c>
      <c r="DB239" s="7">
        <f t="shared" ca="1" si="118"/>
        <v>14974.29</v>
      </c>
      <c r="DC239" s="7">
        <f t="shared" ca="1" si="118"/>
        <v>18447.41</v>
      </c>
      <c r="DD239" s="7">
        <f t="shared" ca="1" si="118"/>
        <v>19939.46</v>
      </c>
      <c r="DE239" s="7">
        <f t="shared" ca="1" si="118"/>
        <v>15695.15</v>
      </c>
      <c r="DF239" s="7">
        <f t="shared" ca="1" si="118"/>
        <v>11026.49</v>
      </c>
      <c r="DG239" s="7">
        <f t="shared" ca="1" si="118"/>
        <v>22833.71</v>
      </c>
      <c r="DH239" s="7">
        <f t="shared" ca="1" si="118"/>
        <v>11256.57</v>
      </c>
      <c r="DI239" s="7">
        <f t="shared" ca="1" si="118"/>
        <v>11253.57</v>
      </c>
      <c r="DJ239" s="7">
        <f t="shared" ca="1" si="118"/>
        <v>12678</v>
      </c>
      <c r="DK239" s="7">
        <f t="shared" ca="1" si="118"/>
        <v>12668.66</v>
      </c>
      <c r="DL239" s="7">
        <f t="shared" ca="1" si="118"/>
        <v>11553.91</v>
      </c>
      <c r="DM239" s="7">
        <f t="shared" ca="1" si="118"/>
        <v>18412.36</v>
      </c>
      <c r="DN239" s="7">
        <f t="shared" ca="1" si="118"/>
        <v>12221.88</v>
      </c>
      <c r="DO239" s="7">
        <f t="shared" ca="1" si="118"/>
        <v>11559.87</v>
      </c>
      <c r="DP239" s="7">
        <f t="shared" ca="1" si="118"/>
        <v>18909.52</v>
      </c>
      <c r="DQ239" s="7">
        <f t="shared" ca="1" si="118"/>
        <v>12062.34</v>
      </c>
      <c r="DR239" s="7">
        <f t="shared" ca="1" si="118"/>
        <v>12079.26</v>
      </c>
      <c r="DS239" s="7">
        <f t="shared" ca="1" si="118"/>
        <v>13221.9</v>
      </c>
      <c r="DT239" s="7">
        <f t="shared" ca="1" si="118"/>
        <v>20442.64</v>
      </c>
      <c r="DU239" s="7">
        <f t="shared" ca="1" si="118"/>
        <v>14568.31</v>
      </c>
      <c r="DV239" s="7">
        <f t="shared" ca="1" si="118"/>
        <v>18125.05</v>
      </c>
      <c r="DW239" s="7">
        <f t="shared" ca="1" si="118"/>
        <v>15381.25</v>
      </c>
      <c r="DX239" s="7">
        <f t="shared" ca="1" si="118"/>
        <v>22093.17</v>
      </c>
      <c r="DY239" s="7">
        <f t="shared" ca="1" si="118"/>
        <v>16690.66</v>
      </c>
      <c r="DZ239" s="7">
        <f t="shared" ca="1" si="118"/>
        <v>12944.63</v>
      </c>
      <c r="EA239" s="7">
        <f t="shared" ca="1" si="118"/>
        <v>13212.34</v>
      </c>
      <c r="EB239" s="7">
        <f t="shared" ca="1" si="118"/>
        <v>12690.2</v>
      </c>
      <c r="EC239" s="7">
        <f t="shared" ca="1" si="118"/>
        <v>14723.73</v>
      </c>
      <c r="ED239" s="7">
        <f t="shared" ca="1" si="118"/>
        <v>14986.02</v>
      </c>
      <c r="EE239" s="7">
        <f t="shared" ca="1" si="118"/>
        <v>18721.53</v>
      </c>
      <c r="EF239" s="7">
        <f t="shared" ca="1" si="118"/>
        <v>11897.85</v>
      </c>
      <c r="EG239" s="7">
        <f t="shared" ca="1" si="118"/>
        <v>15988.52</v>
      </c>
      <c r="EH239" s="7">
        <f t="shared" ca="1" si="118"/>
        <v>16255.65</v>
      </c>
      <c r="EI239" s="7">
        <f t="shared" ca="1" si="118"/>
        <v>11702.75</v>
      </c>
      <c r="EJ239" s="7">
        <f t="shared" ca="1" si="118"/>
        <v>11008.38</v>
      </c>
      <c r="EK239" s="7">
        <f t="shared" ca="1" si="118"/>
        <v>12042.95</v>
      </c>
      <c r="EL239" s="7">
        <f t="shared" ca="1" si="118"/>
        <v>12359.19</v>
      </c>
      <c r="EM239" s="7">
        <f t="shared" ca="1" si="118"/>
        <v>14026.65</v>
      </c>
      <c r="EN239" s="7">
        <f t="shared" ca="1" si="118"/>
        <v>12104.48</v>
      </c>
      <c r="EO239" s="7">
        <f t="shared" ca="1" si="118"/>
        <v>14993.94</v>
      </c>
      <c r="EP239" s="7">
        <f t="shared" ca="1" si="118"/>
        <v>13997.38</v>
      </c>
      <c r="EQ239" s="7">
        <f t="shared" ca="1" si="118"/>
        <v>11569.39</v>
      </c>
      <c r="ER239" s="7">
        <f t="shared" ca="1" si="118"/>
        <v>16094.35</v>
      </c>
      <c r="ES239" s="7">
        <f t="shared" ca="1" si="118"/>
        <v>19839.72</v>
      </c>
      <c r="ET239" s="7">
        <f t="shared" ca="1" si="118"/>
        <v>21551.01</v>
      </c>
      <c r="EU239" s="7">
        <f t="shared" ca="1" si="118"/>
        <v>13360.44</v>
      </c>
      <c r="EV239" s="7">
        <f t="shared" ca="1" si="118"/>
        <v>24662.44</v>
      </c>
      <c r="EW239" s="7">
        <f t="shared" ca="1" si="118"/>
        <v>15761.19</v>
      </c>
      <c r="EX239" s="7">
        <f t="shared" ca="1" si="118"/>
        <v>21274.11</v>
      </c>
      <c r="EY239" s="7">
        <f t="shared" ca="1" si="118"/>
        <v>11338.02</v>
      </c>
      <c r="EZ239" s="7">
        <f t="shared" ca="1" si="118"/>
        <v>21037.65</v>
      </c>
      <c r="FA239" s="7">
        <f t="shared" ca="1" si="118"/>
        <v>12214.35</v>
      </c>
      <c r="FB239" s="7">
        <f t="shared" ca="1" si="118"/>
        <v>16170.23</v>
      </c>
      <c r="FC239" s="7">
        <f t="shared" ca="1" si="118"/>
        <v>11398.36</v>
      </c>
      <c r="FD239" s="7">
        <f t="shared" ca="1" si="118"/>
        <v>13871.92</v>
      </c>
      <c r="FE239" s="7">
        <f t="shared" ca="1" si="118"/>
        <v>23582.41</v>
      </c>
      <c r="FF239" s="7">
        <f t="shared" ca="1" si="118"/>
        <v>19414.849999999999</v>
      </c>
      <c r="FG239" s="7">
        <f t="shared" ca="1" si="118"/>
        <v>21771.4</v>
      </c>
      <c r="FH239" s="7">
        <f t="shared" ca="1" si="118"/>
        <v>23119.88</v>
      </c>
      <c r="FI239" s="7">
        <f t="shared" ca="1" si="118"/>
        <v>11814</v>
      </c>
      <c r="FJ239" s="7">
        <f t="shared" ca="1" si="118"/>
        <v>11123.63</v>
      </c>
      <c r="FK239" s="7">
        <f t="shared" ca="1" si="118"/>
        <v>11401.13</v>
      </c>
      <c r="FL239" s="7">
        <f t="shared" ca="1" si="118"/>
        <v>11028.65</v>
      </c>
      <c r="FM239" s="7">
        <f t="shared" ca="1" si="118"/>
        <v>11028.65</v>
      </c>
      <c r="FN239" s="7">
        <f t="shared" ca="1" si="118"/>
        <v>11604.44</v>
      </c>
      <c r="FO239" s="7">
        <f t="shared" ca="1" si="118"/>
        <v>11900.16</v>
      </c>
      <c r="FP239" s="7">
        <f t="shared" ca="1" si="118"/>
        <v>11675.23</v>
      </c>
      <c r="FQ239" s="7">
        <f t="shared" ca="1" si="118"/>
        <v>11741.64</v>
      </c>
      <c r="FR239" s="7">
        <f t="shared" ca="1" si="118"/>
        <v>19610.689999999999</v>
      </c>
      <c r="FS239" s="7">
        <f t="shared" ca="1" si="118"/>
        <v>19547.259999999998</v>
      </c>
      <c r="FT239" s="7">
        <f t="shared" ca="1" si="118"/>
        <v>24587.279999999999</v>
      </c>
      <c r="FU239" s="7">
        <f t="shared" ca="1" si="118"/>
        <v>12963.29</v>
      </c>
      <c r="FV239" s="7">
        <f t="shared" ca="1" si="118"/>
        <v>12681.6</v>
      </c>
      <c r="FW239" s="7">
        <f t="shared" ca="1" si="118"/>
        <v>20824.650000000001</v>
      </c>
      <c r="FX239" s="7">
        <f t="shared" ca="1" si="118"/>
        <v>24824.69</v>
      </c>
      <c r="FY239" s="7"/>
      <c r="FZ239" s="7">
        <f ca="1">FZ237/FZ103</f>
        <v>11646.187522723632</v>
      </c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</row>
    <row r="240" spans="1:193" ht="15.5" x14ac:dyDescent="0.35">
      <c r="A240" s="7"/>
      <c r="B240" s="7" t="s">
        <v>1010</v>
      </c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>
        <f ca="1">DK237-DK226</f>
        <v>6054007.1499999994</v>
      </c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</row>
    <row r="241" spans="1:193" ht="15.5" x14ac:dyDescent="0.35">
      <c r="A241" s="12" t="s">
        <v>684</v>
      </c>
      <c r="B241" s="7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  <c r="FM241" s="63"/>
      <c r="FN241" s="63"/>
      <c r="FO241" s="63"/>
      <c r="FP241" s="63"/>
      <c r="FQ241" s="63"/>
      <c r="FR241" s="63"/>
      <c r="FS241" s="63"/>
      <c r="FT241" s="63"/>
      <c r="FU241" s="63"/>
      <c r="FV241" s="63"/>
      <c r="FW241" s="63"/>
      <c r="FX241" s="63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</row>
    <row r="242" spans="1:193" ht="31" x14ac:dyDescent="0.35">
      <c r="A242" s="12" t="s">
        <v>684</v>
      </c>
      <c r="B242" s="19" t="s">
        <v>1011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</row>
    <row r="243" spans="1:193" ht="15.5" x14ac:dyDescent="0.35">
      <c r="A243" s="12" t="s">
        <v>1012</v>
      </c>
      <c r="B243" s="7" t="s">
        <v>1013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63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</row>
    <row r="244" spans="1:193" ht="15.5" x14ac:dyDescent="0.35">
      <c r="A244" s="7"/>
      <c r="B244" s="7" t="s">
        <v>1014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>
        <f>SUM(C242:FX242)</f>
        <v>0</v>
      </c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</row>
    <row r="245" spans="1:193" ht="15.5" x14ac:dyDescent="0.35">
      <c r="A245" s="110" t="s">
        <v>1015</v>
      </c>
      <c r="B245" s="111" t="s">
        <v>1016</v>
      </c>
      <c r="C245" s="7">
        <f t="shared" ref="C245:FX245" ca="1" si="119">IF((AND(C$209=C$237,C$73&lt;&gt;888888888.88))=TRUE(),C232,0)</f>
        <v>0</v>
      </c>
      <c r="D245" s="7">
        <f t="shared" ca="1" si="119"/>
        <v>0</v>
      </c>
      <c r="E245" s="7">
        <f t="shared" ca="1" si="119"/>
        <v>71451600.429999903</v>
      </c>
      <c r="F245" s="7">
        <f t="shared" ca="1" si="119"/>
        <v>279259860.22000003</v>
      </c>
      <c r="G245" s="7">
        <f t="shared" ca="1" si="119"/>
        <v>0</v>
      </c>
      <c r="H245" s="7">
        <f t="shared" ca="1" si="119"/>
        <v>0</v>
      </c>
      <c r="I245" s="7">
        <f t="shared" ca="1" si="119"/>
        <v>98882360.640000001</v>
      </c>
      <c r="J245" s="7">
        <f t="shared" ca="1" si="119"/>
        <v>0</v>
      </c>
      <c r="K245" s="7">
        <f t="shared" ca="1" si="119"/>
        <v>4191224.56</v>
      </c>
      <c r="L245" s="7">
        <f t="shared" ca="1" si="119"/>
        <v>0</v>
      </c>
      <c r="M245" s="7">
        <f t="shared" ca="1" si="119"/>
        <v>0</v>
      </c>
      <c r="N245" s="7">
        <f t="shared" ca="1" si="119"/>
        <v>0</v>
      </c>
      <c r="O245" s="7">
        <f t="shared" ca="1" si="119"/>
        <v>0</v>
      </c>
      <c r="P245" s="7">
        <f t="shared" ca="1" si="119"/>
        <v>0</v>
      </c>
      <c r="Q245" s="7">
        <f t="shared" ca="1" si="119"/>
        <v>0</v>
      </c>
      <c r="R245" s="7">
        <f t="shared" ca="1" si="119"/>
        <v>0</v>
      </c>
      <c r="S245" s="7">
        <f t="shared" ca="1" si="119"/>
        <v>0</v>
      </c>
      <c r="T245" s="7">
        <f t="shared" ca="1" si="119"/>
        <v>0</v>
      </c>
      <c r="U245" s="7">
        <f t="shared" ca="1" si="119"/>
        <v>0</v>
      </c>
      <c r="V245" s="7">
        <f t="shared" ca="1" si="119"/>
        <v>0</v>
      </c>
      <c r="W245" s="7">
        <f t="shared" ca="1" si="119"/>
        <v>1380077.76</v>
      </c>
      <c r="X245" s="7">
        <f t="shared" ca="1" si="119"/>
        <v>0</v>
      </c>
      <c r="Y245" s="7">
        <f t="shared" ca="1" si="119"/>
        <v>0</v>
      </c>
      <c r="Z245" s="7">
        <f t="shared" ca="1" si="119"/>
        <v>0</v>
      </c>
      <c r="AA245" s="7">
        <f t="shared" ca="1" si="119"/>
        <v>352412400.11000001</v>
      </c>
      <c r="AB245" s="7">
        <f t="shared" ca="1" si="119"/>
        <v>312782805.33999997</v>
      </c>
      <c r="AC245" s="7">
        <f t="shared" ca="1" si="119"/>
        <v>0</v>
      </c>
      <c r="AD245" s="7">
        <f t="shared" ca="1" si="119"/>
        <v>0</v>
      </c>
      <c r="AE245" s="7">
        <f t="shared" ca="1" si="119"/>
        <v>0</v>
      </c>
      <c r="AF245" s="7">
        <f t="shared" ca="1" si="119"/>
        <v>0</v>
      </c>
      <c r="AG245" s="7">
        <f t="shared" ca="1" si="119"/>
        <v>0</v>
      </c>
      <c r="AH245" s="7">
        <f t="shared" ca="1" si="119"/>
        <v>0</v>
      </c>
      <c r="AI245" s="7">
        <f t="shared" ca="1" si="119"/>
        <v>0</v>
      </c>
      <c r="AJ245" s="7">
        <f t="shared" ca="1" si="119"/>
        <v>0</v>
      </c>
      <c r="AK245" s="7">
        <f t="shared" ca="1" si="119"/>
        <v>0</v>
      </c>
      <c r="AL245" s="7">
        <f t="shared" ca="1" si="119"/>
        <v>0</v>
      </c>
      <c r="AM245" s="7">
        <f t="shared" ca="1" si="119"/>
        <v>0</v>
      </c>
      <c r="AN245" s="7">
        <f t="shared" ca="1" si="119"/>
        <v>0</v>
      </c>
      <c r="AO245" s="7">
        <f t="shared" ca="1" si="119"/>
        <v>0</v>
      </c>
      <c r="AP245" s="7">
        <f t="shared" ca="1" si="119"/>
        <v>1019506255.91</v>
      </c>
      <c r="AQ245" s="7">
        <f t="shared" ca="1" si="119"/>
        <v>0</v>
      </c>
      <c r="AR245" s="7">
        <f t="shared" ca="1" si="119"/>
        <v>0</v>
      </c>
      <c r="AS245" s="7">
        <f t="shared" ca="1" si="119"/>
        <v>79299839.129999995</v>
      </c>
      <c r="AT245" s="7">
        <f t="shared" ca="1" si="119"/>
        <v>0</v>
      </c>
      <c r="AU245" s="7">
        <f t="shared" ca="1" si="119"/>
        <v>4545410</v>
      </c>
      <c r="AV245" s="7">
        <f t="shared" ca="1" si="119"/>
        <v>0</v>
      </c>
      <c r="AW245" s="7">
        <f t="shared" ca="1" si="119"/>
        <v>0</v>
      </c>
      <c r="AX245" s="7">
        <f t="shared" ca="1" si="119"/>
        <v>0</v>
      </c>
      <c r="AY245" s="7">
        <f t="shared" ca="1" si="119"/>
        <v>0</v>
      </c>
      <c r="AZ245" s="7">
        <f t="shared" ca="1" si="119"/>
        <v>0</v>
      </c>
      <c r="BA245" s="7">
        <f t="shared" ca="1" si="119"/>
        <v>0</v>
      </c>
      <c r="BB245" s="7">
        <f t="shared" ca="1" si="119"/>
        <v>0</v>
      </c>
      <c r="BC245" s="7">
        <f t="shared" ca="1" si="119"/>
        <v>0</v>
      </c>
      <c r="BD245" s="7">
        <f t="shared" ca="1" si="119"/>
        <v>0</v>
      </c>
      <c r="BE245" s="7">
        <f t="shared" ca="1" si="119"/>
        <v>0</v>
      </c>
      <c r="BF245" s="7">
        <f t="shared" ca="1" si="119"/>
        <v>0</v>
      </c>
      <c r="BG245" s="7">
        <f t="shared" ca="1" si="119"/>
        <v>0</v>
      </c>
      <c r="BH245" s="7">
        <f t="shared" ca="1" si="119"/>
        <v>0</v>
      </c>
      <c r="BI245" s="7">
        <f t="shared" ca="1" si="119"/>
        <v>0</v>
      </c>
      <c r="BJ245" s="7">
        <f t="shared" ca="1" si="119"/>
        <v>0</v>
      </c>
      <c r="BK245" s="7">
        <f t="shared" ca="1" si="119"/>
        <v>390659101.26999998</v>
      </c>
      <c r="BL245" s="7">
        <f t="shared" ca="1" si="119"/>
        <v>1867959.0899999901</v>
      </c>
      <c r="BM245" s="7">
        <f t="shared" ca="1" si="119"/>
        <v>5263171.9999999898</v>
      </c>
      <c r="BN245" s="7">
        <f t="shared" ca="1" si="119"/>
        <v>0</v>
      </c>
      <c r="BO245" s="7">
        <f t="shared" ca="1" si="119"/>
        <v>0</v>
      </c>
      <c r="BP245" s="7">
        <f t="shared" ca="1" si="119"/>
        <v>0</v>
      </c>
      <c r="BQ245" s="7">
        <f t="shared" ca="1" si="119"/>
        <v>0</v>
      </c>
      <c r="BR245" s="7">
        <f t="shared" ca="1" si="119"/>
        <v>51022566.020000003</v>
      </c>
      <c r="BS245" s="7">
        <f t="shared" ca="1" si="119"/>
        <v>0</v>
      </c>
      <c r="BT245" s="7">
        <f t="shared" ca="1" si="119"/>
        <v>0</v>
      </c>
      <c r="BU245" s="7">
        <f t="shared" ca="1" si="119"/>
        <v>0</v>
      </c>
      <c r="BV245" s="7">
        <f t="shared" ca="1" si="119"/>
        <v>0</v>
      </c>
      <c r="BW245" s="7">
        <f t="shared" ca="1" si="119"/>
        <v>0</v>
      </c>
      <c r="BX245" s="7">
        <f t="shared" ca="1" si="119"/>
        <v>0</v>
      </c>
      <c r="BY245" s="7">
        <f t="shared" ca="1" si="119"/>
        <v>6019018.9100000001</v>
      </c>
      <c r="BZ245" s="7">
        <f t="shared" ca="1" si="119"/>
        <v>0</v>
      </c>
      <c r="CA245" s="7">
        <f t="shared" ca="1" si="119"/>
        <v>0</v>
      </c>
      <c r="CB245" s="7">
        <f t="shared" ca="1" si="119"/>
        <v>0</v>
      </c>
      <c r="CC245" s="7">
        <f t="shared" ca="1" si="119"/>
        <v>0</v>
      </c>
      <c r="CD245" s="7">
        <f t="shared" ca="1" si="119"/>
        <v>1111944.4000000001</v>
      </c>
      <c r="CE245" s="7">
        <f t="shared" ca="1" si="119"/>
        <v>0</v>
      </c>
      <c r="CF245" s="7">
        <f t="shared" ca="1" si="119"/>
        <v>0</v>
      </c>
      <c r="CG245" s="7">
        <f t="shared" ca="1" si="119"/>
        <v>0</v>
      </c>
      <c r="CH245" s="7">
        <f t="shared" ca="1" si="119"/>
        <v>0</v>
      </c>
      <c r="CI245" s="7">
        <f t="shared" ca="1" si="119"/>
        <v>0</v>
      </c>
      <c r="CJ245" s="7">
        <f t="shared" ca="1" si="119"/>
        <v>0</v>
      </c>
      <c r="CK245" s="7">
        <f t="shared" ca="1" si="119"/>
        <v>0</v>
      </c>
      <c r="CL245" s="7">
        <f t="shared" ca="1" si="119"/>
        <v>0</v>
      </c>
      <c r="CM245" s="7">
        <f t="shared" ca="1" si="119"/>
        <v>0</v>
      </c>
      <c r="CN245" s="7">
        <f t="shared" ca="1" si="119"/>
        <v>0</v>
      </c>
      <c r="CO245" s="7">
        <f t="shared" ca="1" si="119"/>
        <v>0</v>
      </c>
      <c r="CP245" s="7">
        <f t="shared" ca="1" si="119"/>
        <v>0</v>
      </c>
      <c r="CQ245" s="7">
        <f t="shared" ca="1" si="119"/>
        <v>0</v>
      </c>
      <c r="CR245" s="7">
        <f t="shared" ca="1" si="119"/>
        <v>0</v>
      </c>
      <c r="CS245" s="7">
        <f t="shared" ca="1" si="119"/>
        <v>0</v>
      </c>
      <c r="CT245" s="7">
        <f t="shared" ca="1" si="119"/>
        <v>0</v>
      </c>
      <c r="CU245" s="7">
        <f t="shared" ca="1" si="119"/>
        <v>0</v>
      </c>
      <c r="CV245" s="7">
        <f t="shared" ca="1" si="119"/>
        <v>0</v>
      </c>
      <c r="CW245" s="7">
        <f t="shared" ca="1" si="119"/>
        <v>0</v>
      </c>
      <c r="CX245" s="7">
        <f t="shared" ca="1" si="119"/>
        <v>0</v>
      </c>
      <c r="CY245" s="7">
        <f t="shared" ca="1" si="119"/>
        <v>0</v>
      </c>
      <c r="CZ245" s="7">
        <f t="shared" ca="1" si="119"/>
        <v>0</v>
      </c>
      <c r="DA245" s="7">
        <f t="shared" ca="1" si="119"/>
        <v>0</v>
      </c>
      <c r="DB245" s="7">
        <f t="shared" ca="1" si="119"/>
        <v>0</v>
      </c>
      <c r="DC245" s="7">
        <f t="shared" ca="1" si="119"/>
        <v>0</v>
      </c>
      <c r="DD245" s="7">
        <f t="shared" ca="1" si="119"/>
        <v>0</v>
      </c>
      <c r="DE245" s="7">
        <f t="shared" ca="1" si="119"/>
        <v>0</v>
      </c>
      <c r="DF245" s="7">
        <f t="shared" ca="1" si="119"/>
        <v>0</v>
      </c>
      <c r="DG245" s="7">
        <f t="shared" ca="1" si="119"/>
        <v>0</v>
      </c>
      <c r="DH245" s="7">
        <f t="shared" ca="1" si="119"/>
        <v>0</v>
      </c>
      <c r="DI245" s="7">
        <f t="shared" ca="1" si="119"/>
        <v>0</v>
      </c>
      <c r="DJ245" s="7">
        <f t="shared" ca="1" si="119"/>
        <v>0</v>
      </c>
      <c r="DK245" s="7">
        <f t="shared" ca="1" si="119"/>
        <v>0</v>
      </c>
      <c r="DL245" s="7">
        <f t="shared" ca="1" si="119"/>
        <v>0</v>
      </c>
      <c r="DM245" s="7">
        <f t="shared" ca="1" si="119"/>
        <v>0</v>
      </c>
      <c r="DN245" s="7">
        <f t="shared" ca="1" si="119"/>
        <v>0</v>
      </c>
      <c r="DO245" s="7">
        <f t="shared" ca="1" si="119"/>
        <v>0</v>
      </c>
      <c r="DP245" s="7">
        <f t="shared" ca="1" si="119"/>
        <v>0</v>
      </c>
      <c r="DQ245" s="7">
        <f t="shared" ca="1" si="119"/>
        <v>0</v>
      </c>
      <c r="DR245" s="7">
        <f t="shared" ca="1" si="119"/>
        <v>0</v>
      </c>
      <c r="DS245" s="7">
        <f t="shared" ca="1" si="119"/>
        <v>0</v>
      </c>
      <c r="DT245" s="7">
        <f t="shared" ca="1" si="119"/>
        <v>0</v>
      </c>
      <c r="DU245" s="7">
        <f t="shared" ca="1" si="119"/>
        <v>0</v>
      </c>
      <c r="DV245" s="7">
        <f t="shared" ca="1" si="119"/>
        <v>0</v>
      </c>
      <c r="DW245" s="7">
        <f t="shared" ca="1" si="119"/>
        <v>0</v>
      </c>
      <c r="DX245" s="7">
        <f t="shared" ca="1" si="119"/>
        <v>0</v>
      </c>
      <c r="DY245" s="7">
        <f t="shared" ca="1" si="119"/>
        <v>0</v>
      </c>
      <c r="DZ245" s="7">
        <f t="shared" ca="1" si="119"/>
        <v>0</v>
      </c>
      <c r="EA245" s="7">
        <f t="shared" ca="1" si="119"/>
        <v>0</v>
      </c>
      <c r="EB245" s="7">
        <f t="shared" ca="1" si="119"/>
        <v>0</v>
      </c>
      <c r="EC245" s="7">
        <f t="shared" ca="1" si="119"/>
        <v>0</v>
      </c>
      <c r="ED245" s="7">
        <f t="shared" ca="1" si="119"/>
        <v>0</v>
      </c>
      <c r="EE245" s="7">
        <f t="shared" ca="1" si="119"/>
        <v>0</v>
      </c>
      <c r="EF245" s="7">
        <f t="shared" ca="1" si="119"/>
        <v>0</v>
      </c>
      <c r="EG245" s="7">
        <f t="shared" ca="1" si="119"/>
        <v>0</v>
      </c>
      <c r="EH245" s="7">
        <f t="shared" ca="1" si="119"/>
        <v>0</v>
      </c>
      <c r="EI245" s="7">
        <f t="shared" ca="1" si="119"/>
        <v>0</v>
      </c>
      <c r="EJ245" s="7">
        <f t="shared" ca="1" si="119"/>
        <v>0</v>
      </c>
      <c r="EK245" s="7">
        <f t="shared" ca="1" si="119"/>
        <v>0</v>
      </c>
      <c r="EL245" s="7">
        <f t="shared" ca="1" si="119"/>
        <v>0</v>
      </c>
      <c r="EM245" s="7">
        <f t="shared" ca="1" si="119"/>
        <v>0</v>
      </c>
      <c r="EN245" s="7">
        <f t="shared" ca="1" si="119"/>
        <v>0</v>
      </c>
      <c r="EO245" s="7">
        <f t="shared" ca="1" si="119"/>
        <v>0</v>
      </c>
      <c r="EP245" s="7">
        <f t="shared" ca="1" si="119"/>
        <v>0</v>
      </c>
      <c r="EQ245" s="7">
        <f t="shared" ca="1" si="119"/>
        <v>0</v>
      </c>
      <c r="ER245" s="7">
        <f t="shared" ca="1" si="119"/>
        <v>0</v>
      </c>
      <c r="ES245" s="7">
        <f t="shared" ca="1" si="119"/>
        <v>3253793.81</v>
      </c>
      <c r="ET245" s="7">
        <f t="shared" ca="1" si="119"/>
        <v>0</v>
      </c>
      <c r="EU245" s="7">
        <f t="shared" ca="1" si="119"/>
        <v>0</v>
      </c>
      <c r="EV245" s="7">
        <f t="shared" ca="1" si="119"/>
        <v>0</v>
      </c>
      <c r="EW245" s="7">
        <f t="shared" ca="1" si="119"/>
        <v>0</v>
      </c>
      <c r="EX245" s="7">
        <f t="shared" ca="1" si="119"/>
        <v>0</v>
      </c>
      <c r="EY245" s="7">
        <f t="shared" ca="1" si="119"/>
        <v>0</v>
      </c>
      <c r="EZ245" s="7">
        <f t="shared" ca="1" si="119"/>
        <v>0</v>
      </c>
      <c r="FA245" s="7">
        <f t="shared" ca="1" si="119"/>
        <v>0</v>
      </c>
      <c r="FB245" s="7">
        <f t="shared" ca="1" si="119"/>
        <v>0</v>
      </c>
      <c r="FC245" s="7">
        <f t="shared" ca="1" si="119"/>
        <v>0</v>
      </c>
      <c r="FD245" s="7">
        <f t="shared" ca="1" si="119"/>
        <v>0</v>
      </c>
      <c r="FE245" s="7">
        <f t="shared" ca="1" si="119"/>
        <v>0</v>
      </c>
      <c r="FF245" s="7">
        <f t="shared" ca="1" si="119"/>
        <v>0</v>
      </c>
      <c r="FG245" s="7">
        <f t="shared" ca="1" si="119"/>
        <v>0</v>
      </c>
      <c r="FH245" s="7">
        <f t="shared" ca="1" si="119"/>
        <v>0</v>
      </c>
      <c r="FI245" s="7">
        <f t="shared" ca="1" si="119"/>
        <v>20134035.949999999</v>
      </c>
      <c r="FJ245" s="7">
        <f t="shared" ca="1" si="119"/>
        <v>0</v>
      </c>
      <c r="FK245" s="7">
        <f t="shared" ca="1" si="119"/>
        <v>0</v>
      </c>
      <c r="FL245" s="7">
        <f t="shared" ca="1" si="119"/>
        <v>0</v>
      </c>
      <c r="FM245" s="7">
        <f t="shared" ca="1" si="119"/>
        <v>0</v>
      </c>
      <c r="FN245" s="7">
        <f t="shared" ca="1" si="119"/>
        <v>0</v>
      </c>
      <c r="FO245" s="7">
        <f t="shared" ca="1" si="119"/>
        <v>0</v>
      </c>
      <c r="FP245" s="7">
        <f t="shared" ca="1" si="119"/>
        <v>0</v>
      </c>
      <c r="FQ245" s="7">
        <f t="shared" ca="1" si="119"/>
        <v>0</v>
      </c>
      <c r="FR245" s="7">
        <f t="shared" ca="1" si="119"/>
        <v>0</v>
      </c>
      <c r="FS245" s="7">
        <f t="shared" ca="1" si="119"/>
        <v>0</v>
      </c>
      <c r="FT245" s="7">
        <f t="shared" ca="1" si="119"/>
        <v>0</v>
      </c>
      <c r="FU245" s="7">
        <f t="shared" ca="1" si="119"/>
        <v>0</v>
      </c>
      <c r="FV245" s="7">
        <f t="shared" ca="1" si="119"/>
        <v>0</v>
      </c>
      <c r="FW245" s="7">
        <f t="shared" ca="1" si="119"/>
        <v>0</v>
      </c>
      <c r="FX245" s="7">
        <f t="shared" ca="1" si="119"/>
        <v>0</v>
      </c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</row>
    <row r="246" spans="1:193" ht="15.5" x14ac:dyDescent="0.35">
      <c r="A246" s="111"/>
      <c r="B246" s="111" t="s">
        <v>1017</v>
      </c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</row>
    <row r="247" spans="1:193" ht="15.5" x14ac:dyDescent="0.35">
      <c r="A247" s="12" t="s">
        <v>1018</v>
      </c>
      <c r="B247" s="7" t="s">
        <v>1019</v>
      </c>
      <c r="C247" s="7">
        <f t="shared" ref="C247:FX247" ca="1" si="120">IF(C209=C237,C209,0)</f>
        <v>0</v>
      </c>
      <c r="D247" s="7">
        <f t="shared" ca="1" si="120"/>
        <v>0</v>
      </c>
      <c r="E247" s="7">
        <f t="shared" ca="1" si="120"/>
        <v>71070893.150000006</v>
      </c>
      <c r="F247" s="7">
        <f t="shared" ca="1" si="120"/>
        <v>278971081.16000003</v>
      </c>
      <c r="G247" s="7">
        <f t="shared" ca="1" si="120"/>
        <v>0</v>
      </c>
      <c r="H247" s="7">
        <f t="shared" ca="1" si="120"/>
        <v>0</v>
      </c>
      <c r="I247" s="7">
        <f t="shared" ca="1" si="120"/>
        <v>98385570.299999997</v>
      </c>
      <c r="J247" s="7">
        <f t="shared" ca="1" si="120"/>
        <v>0</v>
      </c>
      <c r="K247" s="7">
        <f t="shared" ca="1" si="120"/>
        <v>4180082.5</v>
      </c>
      <c r="L247" s="7">
        <f t="shared" ca="1" si="120"/>
        <v>0</v>
      </c>
      <c r="M247" s="7">
        <f t="shared" ca="1" si="120"/>
        <v>0</v>
      </c>
      <c r="N247" s="7">
        <f t="shared" ca="1" si="120"/>
        <v>0</v>
      </c>
      <c r="O247" s="7">
        <f t="shared" ca="1" si="120"/>
        <v>0</v>
      </c>
      <c r="P247" s="7">
        <f t="shared" ca="1" si="120"/>
        <v>0</v>
      </c>
      <c r="Q247" s="7">
        <f t="shared" ca="1" si="120"/>
        <v>0</v>
      </c>
      <c r="R247" s="7">
        <f t="shared" ca="1" si="120"/>
        <v>0</v>
      </c>
      <c r="S247" s="7">
        <f t="shared" ca="1" si="120"/>
        <v>0</v>
      </c>
      <c r="T247" s="7">
        <f t="shared" ca="1" si="120"/>
        <v>0</v>
      </c>
      <c r="U247" s="7">
        <f t="shared" ca="1" si="120"/>
        <v>0</v>
      </c>
      <c r="V247" s="7">
        <f t="shared" ca="1" si="120"/>
        <v>0</v>
      </c>
      <c r="W247" s="7">
        <f t="shared" ca="1" si="120"/>
        <v>1138970.21</v>
      </c>
      <c r="X247" s="7">
        <f t="shared" ca="1" si="120"/>
        <v>0</v>
      </c>
      <c r="Y247" s="7">
        <f t="shared" ca="1" si="120"/>
        <v>0</v>
      </c>
      <c r="Z247" s="7">
        <f t="shared" ca="1" si="120"/>
        <v>0</v>
      </c>
      <c r="AA247" s="7">
        <f t="shared" ca="1" si="120"/>
        <v>351337009.87</v>
      </c>
      <c r="AB247" s="7">
        <f t="shared" ca="1" si="120"/>
        <v>312259192.82999998</v>
      </c>
      <c r="AC247" s="7">
        <f t="shared" ca="1" si="120"/>
        <v>0</v>
      </c>
      <c r="AD247" s="7">
        <f t="shared" ca="1" si="120"/>
        <v>0</v>
      </c>
      <c r="AE247" s="7">
        <f t="shared" ca="1" si="120"/>
        <v>0</v>
      </c>
      <c r="AF247" s="7">
        <f t="shared" ca="1" si="120"/>
        <v>0</v>
      </c>
      <c r="AG247" s="7">
        <f t="shared" ca="1" si="120"/>
        <v>0</v>
      </c>
      <c r="AH247" s="7">
        <f t="shared" ca="1" si="120"/>
        <v>0</v>
      </c>
      <c r="AI247" s="7">
        <f t="shared" ca="1" si="120"/>
        <v>0</v>
      </c>
      <c r="AJ247" s="7">
        <f t="shared" ca="1" si="120"/>
        <v>0</v>
      </c>
      <c r="AK247" s="7">
        <f t="shared" ca="1" si="120"/>
        <v>0</v>
      </c>
      <c r="AL247" s="7">
        <f t="shared" ca="1" si="120"/>
        <v>0</v>
      </c>
      <c r="AM247" s="7">
        <f t="shared" ca="1" si="120"/>
        <v>0</v>
      </c>
      <c r="AN247" s="7">
        <f t="shared" ca="1" si="120"/>
        <v>0</v>
      </c>
      <c r="AO247" s="7">
        <f t="shared" ca="1" si="120"/>
        <v>0</v>
      </c>
      <c r="AP247" s="7">
        <f t="shared" ca="1" si="120"/>
        <v>1017751648.26</v>
      </c>
      <c r="AQ247" s="7">
        <f t="shared" ca="1" si="120"/>
        <v>0</v>
      </c>
      <c r="AR247" s="7">
        <f t="shared" ca="1" si="120"/>
        <v>0</v>
      </c>
      <c r="AS247" s="7">
        <f t="shared" ca="1" si="120"/>
        <v>79204693.689999998</v>
      </c>
      <c r="AT247" s="7">
        <f t="shared" ca="1" si="120"/>
        <v>0</v>
      </c>
      <c r="AU247" s="7">
        <f t="shared" ca="1" si="120"/>
        <v>4496406.4400000004</v>
      </c>
      <c r="AV247" s="7">
        <f t="shared" ca="1" si="120"/>
        <v>0</v>
      </c>
      <c r="AW247" s="7">
        <f t="shared" ca="1" si="120"/>
        <v>0</v>
      </c>
      <c r="AX247" s="7">
        <f t="shared" ca="1" si="120"/>
        <v>0</v>
      </c>
      <c r="AY247" s="7">
        <f t="shared" ca="1" si="120"/>
        <v>0</v>
      </c>
      <c r="AZ247" s="7">
        <f t="shared" ca="1" si="120"/>
        <v>0</v>
      </c>
      <c r="BA247" s="7">
        <f t="shared" ca="1" si="120"/>
        <v>0</v>
      </c>
      <c r="BB247" s="7">
        <f t="shared" ca="1" si="120"/>
        <v>0</v>
      </c>
      <c r="BC247" s="7">
        <f t="shared" ca="1" si="120"/>
        <v>0</v>
      </c>
      <c r="BD247" s="7">
        <f t="shared" ca="1" si="120"/>
        <v>0</v>
      </c>
      <c r="BE247" s="7">
        <f t="shared" ca="1" si="120"/>
        <v>0</v>
      </c>
      <c r="BF247" s="7">
        <f t="shared" ca="1" si="120"/>
        <v>0</v>
      </c>
      <c r="BG247" s="7">
        <f t="shared" ca="1" si="120"/>
        <v>0</v>
      </c>
      <c r="BH247" s="7">
        <f t="shared" ca="1" si="120"/>
        <v>0</v>
      </c>
      <c r="BI247" s="7">
        <f t="shared" ca="1" si="120"/>
        <v>0</v>
      </c>
      <c r="BJ247" s="7">
        <f t="shared" ca="1" si="120"/>
        <v>0</v>
      </c>
      <c r="BK247" s="7">
        <f t="shared" ca="1" si="120"/>
        <v>390364211.14999998</v>
      </c>
      <c r="BL247" s="7">
        <f t="shared" ca="1" si="120"/>
        <v>1810659.96</v>
      </c>
      <c r="BM247" s="7">
        <f t="shared" ca="1" si="120"/>
        <v>5212266.43</v>
      </c>
      <c r="BN247" s="7">
        <f t="shared" ca="1" si="120"/>
        <v>0</v>
      </c>
      <c r="BO247" s="7">
        <f t="shared" ca="1" si="120"/>
        <v>0</v>
      </c>
      <c r="BP247" s="7">
        <f t="shared" ca="1" si="120"/>
        <v>0</v>
      </c>
      <c r="BQ247" s="7">
        <f t="shared" ca="1" si="120"/>
        <v>0</v>
      </c>
      <c r="BR247" s="7">
        <f t="shared" ca="1" si="120"/>
        <v>50925019.039999999</v>
      </c>
      <c r="BS247" s="7">
        <f t="shared" ca="1" si="120"/>
        <v>0</v>
      </c>
      <c r="BT247" s="7">
        <f t="shared" ca="1" si="120"/>
        <v>0</v>
      </c>
      <c r="BU247" s="7">
        <f t="shared" ca="1" si="120"/>
        <v>0</v>
      </c>
      <c r="BV247" s="7">
        <f t="shared" ca="1" si="120"/>
        <v>0</v>
      </c>
      <c r="BW247" s="7">
        <f t="shared" ca="1" si="120"/>
        <v>0</v>
      </c>
      <c r="BX247" s="7">
        <f t="shared" ca="1" si="120"/>
        <v>0</v>
      </c>
      <c r="BY247" s="7">
        <f t="shared" ca="1" si="120"/>
        <v>5665481.8799999999</v>
      </c>
      <c r="BZ247" s="7">
        <f t="shared" ca="1" si="120"/>
        <v>0</v>
      </c>
      <c r="CA247" s="7">
        <f t="shared" ca="1" si="120"/>
        <v>0</v>
      </c>
      <c r="CB247" s="7">
        <f t="shared" ca="1" si="120"/>
        <v>0</v>
      </c>
      <c r="CC247" s="7">
        <f t="shared" ca="1" si="120"/>
        <v>0</v>
      </c>
      <c r="CD247" s="7">
        <f t="shared" ca="1" si="120"/>
        <v>902113.67</v>
      </c>
      <c r="CE247" s="7">
        <f t="shared" ca="1" si="120"/>
        <v>0</v>
      </c>
      <c r="CF247" s="7">
        <f t="shared" ca="1" si="120"/>
        <v>0</v>
      </c>
      <c r="CG247" s="7">
        <f t="shared" ca="1" si="120"/>
        <v>0</v>
      </c>
      <c r="CH247" s="7">
        <f t="shared" ca="1" si="120"/>
        <v>0</v>
      </c>
      <c r="CI247" s="7">
        <f t="shared" ca="1" si="120"/>
        <v>0</v>
      </c>
      <c r="CJ247" s="7">
        <f t="shared" ca="1" si="120"/>
        <v>0</v>
      </c>
      <c r="CK247" s="7">
        <f t="shared" ca="1" si="120"/>
        <v>0</v>
      </c>
      <c r="CL247" s="7">
        <f t="shared" ca="1" si="120"/>
        <v>0</v>
      </c>
      <c r="CM247" s="7">
        <f t="shared" ca="1" si="120"/>
        <v>0</v>
      </c>
      <c r="CN247" s="7">
        <f t="shared" ca="1" si="120"/>
        <v>0</v>
      </c>
      <c r="CO247" s="7">
        <f t="shared" ca="1" si="120"/>
        <v>0</v>
      </c>
      <c r="CP247" s="7">
        <f t="shared" ca="1" si="120"/>
        <v>0</v>
      </c>
      <c r="CQ247" s="7">
        <f t="shared" ca="1" si="120"/>
        <v>0</v>
      </c>
      <c r="CR247" s="7">
        <f t="shared" ca="1" si="120"/>
        <v>0</v>
      </c>
      <c r="CS247" s="7">
        <f t="shared" ca="1" si="120"/>
        <v>0</v>
      </c>
      <c r="CT247" s="7">
        <f t="shared" ca="1" si="120"/>
        <v>0</v>
      </c>
      <c r="CU247" s="7">
        <f t="shared" ca="1" si="120"/>
        <v>0</v>
      </c>
      <c r="CV247" s="7">
        <f t="shared" ca="1" si="120"/>
        <v>0</v>
      </c>
      <c r="CW247" s="7">
        <f t="shared" ca="1" si="120"/>
        <v>0</v>
      </c>
      <c r="CX247" s="7">
        <f t="shared" ca="1" si="120"/>
        <v>0</v>
      </c>
      <c r="CY247" s="7">
        <f t="shared" ca="1" si="120"/>
        <v>0</v>
      </c>
      <c r="CZ247" s="7">
        <f t="shared" ca="1" si="120"/>
        <v>0</v>
      </c>
      <c r="DA247" s="7">
        <f t="shared" ca="1" si="120"/>
        <v>0</v>
      </c>
      <c r="DB247" s="7">
        <f t="shared" ca="1" si="120"/>
        <v>0</v>
      </c>
      <c r="DC247" s="7">
        <f t="shared" ca="1" si="120"/>
        <v>0</v>
      </c>
      <c r="DD247" s="7">
        <f t="shared" ca="1" si="120"/>
        <v>0</v>
      </c>
      <c r="DE247" s="7">
        <f t="shared" ca="1" si="120"/>
        <v>0</v>
      </c>
      <c r="DF247" s="7">
        <f t="shared" ca="1" si="120"/>
        <v>0</v>
      </c>
      <c r="DG247" s="7">
        <f t="shared" ca="1" si="120"/>
        <v>0</v>
      </c>
      <c r="DH247" s="7">
        <f t="shared" ca="1" si="120"/>
        <v>0</v>
      </c>
      <c r="DI247" s="7">
        <f t="shared" ca="1" si="120"/>
        <v>0</v>
      </c>
      <c r="DJ247" s="7">
        <f t="shared" ca="1" si="120"/>
        <v>0</v>
      </c>
      <c r="DK247" s="7">
        <f t="shared" ca="1" si="120"/>
        <v>0</v>
      </c>
      <c r="DL247" s="7">
        <f t="shared" ca="1" si="120"/>
        <v>0</v>
      </c>
      <c r="DM247" s="7">
        <f t="shared" ca="1" si="120"/>
        <v>0</v>
      </c>
      <c r="DN247" s="7">
        <f t="shared" ca="1" si="120"/>
        <v>0</v>
      </c>
      <c r="DO247" s="7">
        <f t="shared" ca="1" si="120"/>
        <v>0</v>
      </c>
      <c r="DP247" s="7">
        <f t="shared" ca="1" si="120"/>
        <v>0</v>
      </c>
      <c r="DQ247" s="7">
        <f t="shared" ca="1" si="120"/>
        <v>0</v>
      </c>
      <c r="DR247" s="7">
        <f t="shared" ca="1" si="120"/>
        <v>0</v>
      </c>
      <c r="DS247" s="7">
        <f t="shared" ca="1" si="120"/>
        <v>0</v>
      </c>
      <c r="DT247" s="7">
        <f t="shared" ca="1" si="120"/>
        <v>0</v>
      </c>
      <c r="DU247" s="7">
        <f t="shared" ca="1" si="120"/>
        <v>0</v>
      </c>
      <c r="DV247" s="7">
        <f t="shared" ca="1" si="120"/>
        <v>0</v>
      </c>
      <c r="DW247" s="7">
        <f t="shared" ca="1" si="120"/>
        <v>0</v>
      </c>
      <c r="DX247" s="7">
        <f t="shared" ca="1" si="120"/>
        <v>0</v>
      </c>
      <c r="DY247" s="7">
        <f t="shared" ca="1" si="120"/>
        <v>0</v>
      </c>
      <c r="DZ247" s="7">
        <f t="shared" ca="1" si="120"/>
        <v>0</v>
      </c>
      <c r="EA247" s="7">
        <f t="shared" ca="1" si="120"/>
        <v>0</v>
      </c>
      <c r="EB247" s="7">
        <f t="shared" ca="1" si="120"/>
        <v>0</v>
      </c>
      <c r="EC247" s="7">
        <f t="shared" ca="1" si="120"/>
        <v>0</v>
      </c>
      <c r="ED247" s="7">
        <f t="shared" ca="1" si="120"/>
        <v>0</v>
      </c>
      <c r="EE247" s="7">
        <f t="shared" ca="1" si="120"/>
        <v>0</v>
      </c>
      <c r="EF247" s="7">
        <f t="shared" ca="1" si="120"/>
        <v>0</v>
      </c>
      <c r="EG247" s="7">
        <f t="shared" ca="1" si="120"/>
        <v>0</v>
      </c>
      <c r="EH247" s="7">
        <f t="shared" ca="1" si="120"/>
        <v>0</v>
      </c>
      <c r="EI247" s="7">
        <f t="shared" ca="1" si="120"/>
        <v>0</v>
      </c>
      <c r="EJ247" s="7">
        <f t="shared" ca="1" si="120"/>
        <v>0</v>
      </c>
      <c r="EK247" s="7">
        <f t="shared" ca="1" si="120"/>
        <v>0</v>
      </c>
      <c r="EL247" s="7">
        <f t="shared" ca="1" si="120"/>
        <v>0</v>
      </c>
      <c r="EM247" s="7">
        <f t="shared" ca="1" si="120"/>
        <v>0</v>
      </c>
      <c r="EN247" s="7">
        <f t="shared" ca="1" si="120"/>
        <v>0</v>
      </c>
      <c r="EO247" s="7">
        <f t="shared" ca="1" si="120"/>
        <v>0</v>
      </c>
      <c r="EP247" s="7">
        <f t="shared" ca="1" si="120"/>
        <v>0</v>
      </c>
      <c r="EQ247" s="7">
        <f t="shared" ca="1" si="120"/>
        <v>0</v>
      </c>
      <c r="ER247" s="7">
        <f t="shared" ca="1" si="120"/>
        <v>0</v>
      </c>
      <c r="ES247" s="7">
        <f t="shared" ca="1" si="120"/>
        <v>3233873.99</v>
      </c>
      <c r="ET247" s="7">
        <f t="shared" ca="1" si="120"/>
        <v>0</v>
      </c>
      <c r="EU247" s="7">
        <f t="shared" ca="1" si="120"/>
        <v>0</v>
      </c>
      <c r="EV247" s="7">
        <f t="shared" ca="1" si="120"/>
        <v>0</v>
      </c>
      <c r="EW247" s="7">
        <f t="shared" ca="1" si="120"/>
        <v>0</v>
      </c>
      <c r="EX247" s="7">
        <f t="shared" ca="1" si="120"/>
        <v>0</v>
      </c>
      <c r="EY247" s="7">
        <f t="shared" ca="1" si="120"/>
        <v>0</v>
      </c>
      <c r="EZ247" s="7">
        <f t="shared" ca="1" si="120"/>
        <v>0</v>
      </c>
      <c r="FA247" s="7">
        <f t="shared" ca="1" si="120"/>
        <v>0</v>
      </c>
      <c r="FB247" s="7">
        <f t="shared" ca="1" si="120"/>
        <v>0</v>
      </c>
      <c r="FC247" s="7">
        <f t="shared" ca="1" si="120"/>
        <v>0</v>
      </c>
      <c r="FD247" s="7">
        <f t="shared" ca="1" si="120"/>
        <v>0</v>
      </c>
      <c r="FE247" s="7">
        <f t="shared" ca="1" si="120"/>
        <v>0</v>
      </c>
      <c r="FF247" s="7">
        <f t="shared" ca="1" si="120"/>
        <v>0</v>
      </c>
      <c r="FG247" s="7">
        <f t="shared" ca="1" si="120"/>
        <v>0</v>
      </c>
      <c r="FH247" s="7">
        <f t="shared" ca="1" si="120"/>
        <v>0</v>
      </c>
      <c r="FI247" s="7">
        <f t="shared" ca="1" si="120"/>
        <v>20113339.559999999</v>
      </c>
      <c r="FJ247" s="7">
        <f t="shared" ca="1" si="120"/>
        <v>0</v>
      </c>
      <c r="FK247" s="7">
        <f t="shared" ca="1" si="120"/>
        <v>0</v>
      </c>
      <c r="FL247" s="7">
        <f t="shared" ca="1" si="120"/>
        <v>0</v>
      </c>
      <c r="FM247" s="7">
        <f t="shared" ca="1" si="120"/>
        <v>0</v>
      </c>
      <c r="FN247" s="7">
        <f t="shared" ca="1" si="120"/>
        <v>0</v>
      </c>
      <c r="FO247" s="7">
        <f t="shared" ca="1" si="120"/>
        <v>0</v>
      </c>
      <c r="FP247" s="7">
        <f t="shared" ca="1" si="120"/>
        <v>0</v>
      </c>
      <c r="FQ247" s="7">
        <f t="shared" ca="1" si="120"/>
        <v>0</v>
      </c>
      <c r="FR247" s="7">
        <f t="shared" ca="1" si="120"/>
        <v>0</v>
      </c>
      <c r="FS247" s="7">
        <f t="shared" ca="1" si="120"/>
        <v>0</v>
      </c>
      <c r="FT247" s="7">
        <f t="shared" ca="1" si="120"/>
        <v>0</v>
      </c>
      <c r="FU247" s="7">
        <f t="shared" ca="1" si="120"/>
        <v>0</v>
      </c>
      <c r="FV247" s="7">
        <f t="shared" ca="1" si="120"/>
        <v>0</v>
      </c>
      <c r="FW247" s="7">
        <f t="shared" ca="1" si="120"/>
        <v>0</v>
      </c>
      <c r="FX247" s="7">
        <f t="shared" ca="1" si="120"/>
        <v>0</v>
      </c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</row>
    <row r="248" spans="1:193" ht="15.5" x14ac:dyDescent="0.35">
      <c r="A248" s="12" t="s">
        <v>1020</v>
      </c>
      <c r="B248" s="7" t="s">
        <v>1021</v>
      </c>
      <c r="C248" s="7">
        <f t="shared" ref="C248:FX248" ca="1" si="121">IF(C209=C237,C68,0)</f>
        <v>0</v>
      </c>
      <c r="D248" s="7">
        <f t="shared" ca="1" si="121"/>
        <v>0</v>
      </c>
      <c r="E248" s="7">
        <f t="shared" ca="1" si="121"/>
        <v>999999999</v>
      </c>
      <c r="F248" s="7">
        <f t="shared" ca="1" si="121"/>
        <v>999999999</v>
      </c>
      <c r="G248" s="7">
        <f t="shared" ca="1" si="121"/>
        <v>0</v>
      </c>
      <c r="H248" s="7">
        <f t="shared" ca="1" si="121"/>
        <v>0</v>
      </c>
      <c r="I248" s="7">
        <f t="shared" ca="1" si="121"/>
        <v>999999999</v>
      </c>
      <c r="J248" s="7">
        <f t="shared" ca="1" si="121"/>
        <v>0</v>
      </c>
      <c r="K248" s="7">
        <f t="shared" ca="1" si="121"/>
        <v>999999999</v>
      </c>
      <c r="L248" s="7">
        <f t="shared" ca="1" si="121"/>
        <v>0</v>
      </c>
      <c r="M248" s="7">
        <f t="shared" ca="1" si="121"/>
        <v>0</v>
      </c>
      <c r="N248" s="7">
        <f t="shared" ca="1" si="121"/>
        <v>0</v>
      </c>
      <c r="O248" s="7">
        <f t="shared" ca="1" si="121"/>
        <v>0</v>
      </c>
      <c r="P248" s="7">
        <f t="shared" ca="1" si="121"/>
        <v>0</v>
      </c>
      <c r="Q248" s="7">
        <f t="shared" ca="1" si="121"/>
        <v>0</v>
      </c>
      <c r="R248" s="7">
        <f t="shared" ca="1" si="121"/>
        <v>0</v>
      </c>
      <c r="S248" s="7">
        <f t="shared" ca="1" si="121"/>
        <v>0</v>
      </c>
      <c r="T248" s="7">
        <f t="shared" ca="1" si="121"/>
        <v>0</v>
      </c>
      <c r="U248" s="7">
        <f t="shared" ca="1" si="121"/>
        <v>0</v>
      </c>
      <c r="V248" s="7">
        <f t="shared" ca="1" si="121"/>
        <v>0</v>
      </c>
      <c r="W248" s="7">
        <f t="shared" ca="1" si="121"/>
        <v>999999999</v>
      </c>
      <c r="X248" s="7">
        <f t="shared" ca="1" si="121"/>
        <v>0</v>
      </c>
      <c r="Y248" s="7">
        <f t="shared" ca="1" si="121"/>
        <v>0</v>
      </c>
      <c r="Z248" s="7">
        <f t="shared" ca="1" si="121"/>
        <v>0</v>
      </c>
      <c r="AA248" s="7">
        <f t="shared" ca="1" si="121"/>
        <v>999999999</v>
      </c>
      <c r="AB248" s="7">
        <f t="shared" ca="1" si="121"/>
        <v>999999999</v>
      </c>
      <c r="AC248" s="7">
        <f t="shared" ca="1" si="121"/>
        <v>0</v>
      </c>
      <c r="AD248" s="7">
        <f t="shared" ca="1" si="121"/>
        <v>0</v>
      </c>
      <c r="AE248" s="7">
        <f t="shared" ca="1" si="121"/>
        <v>0</v>
      </c>
      <c r="AF248" s="7">
        <f t="shared" ca="1" si="121"/>
        <v>0</v>
      </c>
      <c r="AG248" s="7">
        <f t="shared" ca="1" si="121"/>
        <v>0</v>
      </c>
      <c r="AH248" s="7">
        <f t="shared" ca="1" si="121"/>
        <v>0</v>
      </c>
      <c r="AI248" s="7">
        <f t="shared" ca="1" si="121"/>
        <v>0</v>
      </c>
      <c r="AJ248" s="7">
        <f t="shared" ca="1" si="121"/>
        <v>0</v>
      </c>
      <c r="AK248" s="7">
        <f t="shared" ca="1" si="121"/>
        <v>0</v>
      </c>
      <c r="AL248" s="7">
        <f t="shared" ca="1" si="121"/>
        <v>0</v>
      </c>
      <c r="AM248" s="7">
        <f t="shared" ca="1" si="121"/>
        <v>0</v>
      </c>
      <c r="AN248" s="7">
        <f t="shared" ca="1" si="121"/>
        <v>0</v>
      </c>
      <c r="AO248" s="7">
        <f t="shared" ca="1" si="121"/>
        <v>0</v>
      </c>
      <c r="AP248" s="7">
        <f t="shared" ca="1" si="121"/>
        <v>9999999999</v>
      </c>
      <c r="AQ248" s="7">
        <f t="shared" ca="1" si="121"/>
        <v>0</v>
      </c>
      <c r="AR248" s="7">
        <f t="shared" ca="1" si="121"/>
        <v>0</v>
      </c>
      <c r="AS248" s="7">
        <f t="shared" ca="1" si="121"/>
        <v>999999999</v>
      </c>
      <c r="AT248" s="7">
        <f t="shared" ca="1" si="121"/>
        <v>0</v>
      </c>
      <c r="AU248" s="7">
        <f t="shared" ca="1" si="121"/>
        <v>999999999</v>
      </c>
      <c r="AV248" s="7">
        <f t="shared" ca="1" si="121"/>
        <v>0</v>
      </c>
      <c r="AW248" s="7">
        <f t="shared" ca="1" si="121"/>
        <v>0</v>
      </c>
      <c r="AX248" s="7">
        <f t="shared" ca="1" si="121"/>
        <v>0</v>
      </c>
      <c r="AY248" s="7">
        <f t="shared" ca="1" si="121"/>
        <v>0</v>
      </c>
      <c r="AZ248" s="7">
        <f t="shared" ca="1" si="121"/>
        <v>0</v>
      </c>
      <c r="BA248" s="7">
        <f t="shared" ca="1" si="121"/>
        <v>0</v>
      </c>
      <c r="BB248" s="7">
        <f t="shared" ca="1" si="121"/>
        <v>0</v>
      </c>
      <c r="BC248" s="7">
        <f t="shared" ca="1" si="121"/>
        <v>0</v>
      </c>
      <c r="BD248" s="7">
        <f t="shared" ca="1" si="121"/>
        <v>0</v>
      </c>
      <c r="BE248" s="7">
        <f t="shared" ca="1" si="121"/>
        <v>0</v>
      </c>
      <c r="BF248" s="7">
        <f t="shared" ca="1" si="121"/>
        <v>0</v>
      </c>
      <c r="BG248" s="7">
        <f t="shared" ca="1" si="121"/>
        <v>0</v>
      </c>
      <c r="BH248" s="7">
        <f t="shared" ca="1" si="121"/>
        <v>0</v>
      </c>
      <c r="BI248" s="7">
        <f t="shared" ca="1" si="121"/>
        <v>0</v>
      </c>
      <c r="BJ248" s="7">
        <f t="shared" ca="1" si="121"/>
        <v>0</v>
      </c>
      <c r="BK248" s="7">
        <f t="shared" ca="1" si="121"/>
        <v>999999999</v>
      </c>
      <c r="BL248" s="7">
        <f t="shared" ca="1" si="121"/>
        <v>999999999</v>
      </c>
      <c r="BM248" s="7">
        <f t="shared" ca="1" si="121"/>
        <v>999999999</v>
      </c>
      <c r="BN248" s="7">
        <f t="shared" ca="1" si="121"/>
        <v>0</v>
      </c>
      <c r="BO248" s="7">
        <f t="shared" ca="1" si="121"/>
        <v>0</v>
      </c>
      <c r="BP248" s="7">
        <f t="shared" ca="1" si="121"/>
        <v>0</v>
      </c>
      <c r="BQ248" s="7">
        <f t="shared" ca="1" si="121"/>
        <v>0</v>
      </c>
      <c r="BR248" s="7">
        <f t="shared" ca="1" si="121"/>
        <v>999999999</v>
      </c>
      <c r="BS248" s="7">
        <f t="shared" ca="1" si="121"/>
        <v>0</v>
      </c>
      <c r="BT248" s="7">
        <f t="shared" ca="1" si="121"/>
        <v>0</v>
      </c>
      <c r="BU248" s="7">
        <f t="shared" ca="1" si="121"/>
        <v>0</v>
      </c>
      <c r="BV248" s="7">
        <f t="shared" ca="1" si="121"/>
        <v>0</v>
      </c>
      <c r="BW248" s="7">
        <f t="shared" ca="1" si="121"/>
        <v>0</v>
      </c>
      <c r="BX248" s="7">
        <f t="shared" ca="1" si="121"/>
        <v>0</v>
      </c>
      <c r="BY248" s="7">
        <f t="shared" ca="1" si="121"/>
        <v>999999999</v>
      </c>
      <c r="BZ248" s="7">
        <f t="shared" ca="1" si="121"/>
        <v>0</v>
      </c>
      <c r="CA248" s="7">
        <f t="shared" ca="1" si="121"/>
        <v>0</v>
      </c>
      <c r="CB248" s="7">
        <f t="shared" ca="1" si="121"/>
        <v>0</v>
      </c>
      <c r="CC248" s="7">
        <f t="shared" ca="1" si="121"/>
        <v>0</v>
      </c>
      <c r="CD248" s="7">
        <f t="shared" ca="1" si="121"/>
        <v>999999999</v>
      </c>
      <c r="CE248" s="7">
        <f t="shared" ca="1" si="121"/>
        <v>0</v>
      </c>
      <c r="CF248" s="7">
        <f t="shared" ca="1" si="121"/>
        <v>0</v>
      </c>
      <c r="CG248" s="7">
        <f t="shared" ca="1" si="121"/>
        <v>0</v>
      </c>
      <c r="CH248" s="7">
        <f t="shared" ca="1" si="121"/>
        <v>0</v>
      </c>
      <c r="CI248" s="7">
        <f t="shared" ca="1" si="121"/>
        <v>0</v>
      </c>
      <c r="CJ248" s="7">
        <f t="shared" ca="1" si="121"/>
        <v>0</v>
      </c>
      <c r="CK248" s="7">
        <f t="shared" ca="1" si="121"/>
        <v>0</v>
      </c>
      <c r="CL248" s="7">
        <f t="shared" ca="1" si="121"/>
        <v>0</v>
      </c>
      <c r="CM248" s="7">
        <f t="shared" ca="1" si="121"/>
        <v>0</v>
      </c>
      <c r="CN248" s="7">
        <f t="shared" ca="1" si="121"/>
        <v>0</v>
      </c>
      <c r="CO248" s="7">
        <f t="shared" ca="1" si="121"/>
        <v>0</v>
      </c>
      <c r="CP248" s="7">
        <f t="shared" ca="1" si="121"/>
        <v>0</v>
      </c>
      <c r="CQ248" s="7">
        <f t="shared" ca="1" si="121"/>
        <v>0</v>
      </c>
      <c r="CR248" s="7">
        <f t="shared" ca="1" si="121"/>
        <v>0</v>
      </c>
      <c r="CS248" s="7">
        <f t="shared" ca="1" si="121"/>
        <v>0</v>
      </c>
      <c r="CT248" s="7">
        <f t="shared" ca="1" si="121"/>
        <v>0</v>
      </c>
      <c r="CU248" s="7">
        <f t="shared" ca="1" si="121"/>
        <v>0</v>
      </c>
      <c r="CV248" s="7">
        <f t="shared" ca="1" si="121"/>
        <v>0</v>
      </c>
      <c r="CW248" s="7">
        <f t="shared" ca="1" si="121"/>
        <v>0</v>
      </c>
      <c r="CX248" s="7">
        <f t="shared" ca="1" si="121"/>
        <v>0</v>
      </c>
      <c r="CY248" s="7">
        <f t="shared" ca="1" si="121"/>
        <v>0</v>
      </c>
      <c r="CZ248" s="7">
        <f t="shared" ca="1" si="121"/>
        <v>0</v>
      </c>
      <c r="DA248" s="7">
        <f t="shared" ca="1" si="121"/>
        <v>0</v>
      </c>
      <c r="DB248" s="7">
        <f t="shared" ca="1" si="121"/>
        <v>0</v>
      </c>
      <c r="DC248" s="7">
        <f t="shared" ca="1" si="121"/>
        <v>0</v>
      </c>
      <c r="DD248" s="7">
        <f t="shared" ca="1" si="121"/>
        <v>0</v>
      </c>
      <c r="DE248" s="7">
        <f t="shared" ca="1" si="121"/>
        <v>0</v>
      </c>
      <c r="DF248" s="7">
        <f t="shared" ca="1" si="121"/>
        <v>0</v>
      </c>
      <c r="DG248" s="7">
        <f t="shared" ca="1" si="121"/>
        <v>0</v>
      </c>
      <c r="DH248" s="7">
        <f t="shared" ca="1" si="121"/>
        <v>0</v>
      </c>
      <c r="DI248" s="7">
        <f t="shared" ca="1" si="121"/>
        <v>0</v>
      </c>
      <c r="DJ248" s="7">
        <f t="shared" ca="1" si="121"/>
        <v>0</v>
      </c>
      <c r="DK248" s="7">
        <f t="shared" ca="1" si="121"/>
        <v>0</v>
      </c>
      <c r="DL248" s="7">
        <f t="shared" ca="1" si="121"/>
        <v>0</v>
      </c>
      <c r="DM248" s="7">
        <f t="shared" ca="1" si="121"/>
        <v>0</v>
      </c>
      <c r="DN248" s="7">
        <f t="shared" ca="1" si="121"/>
        <v>0</v>
      </c>
      <c r="DO248" s="7">
        <f t="shared" ca="1" si="121"/>
        <v>0</v>
      </c>
      <c r="DP248" s="7">
        <f t="shared" ca="1" si="121"/>
        <v>0</v>
      </c>
      <c r="DQ248" s="7">
        <f t="shared" ca="1" si="121"/>
        <v>0</v>
      </c>
      <c r="DR248" s="7">
        <f t="shared" ca="1" si="121"/>
        <v>0</v>
      </c>
      <c r="DS248" s="7">
        <f t="shared" ca="1" si="121"/>
        <v>0</v>
      </c>
      <c r="DT248" s="7">
        <f t="shared" ca="1" si="121"/>
        <v>0</v>
      </c>
      <c r="DU248" s="7">
        <f t="shared" ca="1" si="121"/>
        <v>0</v>
      </c>
      <c r="DV248" s="7">
        <f t="shared" ca="1" si="121"/>
        <v>0</v>
      </c>
      <c r="DW248" s="7">
        <f t="shared" ca="1" si="121"/>
        <v>0</v>
      </c>
      <c r="DX248" s="7">
        <f t="shared" ca="1" si="121"/>
        <v>0</v>
      </c>
      <c r="DY248" s="7">
        <f t="shared" ca="1" si="121"/>
        <v>0</v>
      </c>
      <c r="DZ248" s="7">
        <f t="shared" ca="1" si="121"/>
        <v>0</v>
      </c>
      <c r="EA248" s="7">
        <f t="shared" ca="1" si="121"/>
        <v>0</v>
      </c>
      <c r="EB248" s="7">
        <f t="shared" ca="1" si="121"/>
        <v>0</v>
      </c>
      <c r="EC248" s="7">
        <f t="shared" ca="1" si="121"/>
        <v>0</v>
      </c>
      <c r="ED248" s="7">
        <f t="shared" ca="1" si="121"/>
        <v>0</v>
      </c>
      <c r="EE248" s="7">
        <f t="shared" ca="1" si="121"/>
        <v>0</v>
      </c>
      <c r="EF248" s="7">
        <f t="shared" ca="1" si="121"/>
        <v>0</v>
      </c>
      <c r="EG248" s="7">
        <f t="shared" ca="1" si="121"/>
        <v>0</v>
      </c>
      <c r="EH248" s="7">
        <f t="shared" ca="1" si="121"/>
        <v>0</v>
      </c>
      <c r="EI248" s="7">
        <f t="shared" ca="1" si="121"/>
        <v>0</v>
      </c>
      <c r="EJ248" s="7">
        <f t="shared" ca="1" si="121"/>
        <v>0</v>
      </c>
      <c r="EK248" s="7">
        <f t="shared" ca="1" si="121"/>
        <v>0</v>
      </c>
      <c r="EL248" s="7">
        <f t="shared" ca="1" si="121"/>
        <v>0</v>
      </c>
      <c r="EM248" s="7">
        <f t="shared" ca="1" si="121"/>
        <v>0</v>
      </c>
      <c r="EN248" s="7">
        <f t="shared" ca="1" si="121"/>
        <v>0</v>
      </c>
      <c r="EO248" s="7">
        <f t="shared" ca="1" si="121"/>
        <v>0</v>
      </c>
      <c r="EP248" s="7">
        <f t="shared" ca="1" si="121"/>
        <v>0</v>
      </c>
      <c r="EQ248" s="7">
        <f t="shared" ca="1" si="121"/>
        <v>0</v>
      </c>
      <c r="ER248" s="7">
        <f t="shared" ca="1" si="121"/>
        <v>0</v>
      </c>
      <c r="ES248" s="7">
        <f t="shared" ca="1" si="121"/>
        <v>999999999</v>
      </c>
      <c r="ET248" s="7">
        <f t="shared" ca="1" si="121"/>
        <v>0</v>
      </c>
      <c r="EU248" s="7">
        <f t="shared" ca="1" si="121"/>
        <v>0</v>
      </c>
      <c r="EV248" s="7">
        <f t="shared" ca="1" si="121"/>
        <v>0</v>
      </c>
      <c r="EW248" s="7">
        <f t="shared" ca="1" si="121"/>
        <v>0</v>
      </c>
      <c r="EX248" s="7">
        <f t="shared" ca="1" si="121"/>
        <v>0</v>
      </c>
      <c r="EY248" s="7">
        <f t="shared" ca="1" si="121"/>
        <v>0</v>
      </c>
      <c r="EZ248" s="7">
        <f t="shared" ca="1" si="121"/>
        <v>0</v>
      </c>
      <c r="FA248" s="7">
        <f t="shared" ca="1" si="121"/>
        <v>0</v>
      </c>
      <c r="FB248" s="7">
        <f t="shared" ca="1" si="121"/>
        <v>0</v>
      </c>
      <c r="FC248" s="7">
        <f t="shared" ca="1" si="121"/>
        <v>0</v>
      </c>
      <c r="FD248" s="7">
        <f t="shared" ca="1" si="121"/>
        <v>0</v>
      </c>
      <c r="FE248" s="7">
        <f t="shared" ca="1" si="121"/>
        <v>0</v>
      </c>
      <c r="FF248" s="7">
        <f t="shared" ca="1" si="121"/>
        <v>0</v>
      </c>
      <c r="FG248" s="7">
        <f t="shared" ca="1" si="121"/>
        <v>0</v>
      </c>
      <c r="FH248" s="7">
        <f t="shared" ca="1" si="121"/>
        <v>0</v>
      </c>
      <c r="FI248" s="7">
        <f t="shared" ca="1" si="121"/>
        <v>999999999</v>
      </c>
      <c r="FJ248" s="7">
        <f t="shared" ca="1" si="121"/>
        <v>0</v>
      </c>
      <c r="FK248" s="7">
        <f t="shared" ca="1" si="121"/>
        <v>0</v>
      </c>
      <c r="FL248" s="7">
        <f t="shared" ca="1" si="121"/>
        <v>0</v>
      </c>
      <c r="FM248" s="7">
        <f t="shared" ca="1" si="121"/>
        <v>0</v>
      </c>
      <c r="FN248" s="7">
        <f t="shared" ca="1" si="121"/>
        <v>0</v>
      </c>
      <c r="FO248" s="7">
        <f t="shared" ca="1" si="121"/>
        <v>0</v>
      </c>
      <c r="FP248" s="7">
        <f t="shared" ca="1" si="121"/>
        <v>0</v>
      </c>
      <c r="FQ248" s="7">
        <f t="shared" ca="1" si="121"/>
        <v>0</v>
      </c>
      <c r="FR248" s="7">
        <f t="shared" ca="1" si="121"/>
        <v>0</v>
      </c>
      <c r="FS248" s="7">
        <f t="shared" ca="1" si="121"/>
        <v>0</v>
      </c>
      <c r="FT248" s="7">
        <f t="shared" ca="1" si="121"/>
        <v>0</v>
      </c>
      <c r="FU248" s="7">
        <f t="shared" ca="1" si="121"/>
        <v>0</v>
      </c>
      <c r="FV248" s="7">
        <f t="shared" ca="1" si="121"/>
        <v>0</v>
      </c>
      <c r="FW248" s="7">
        <f t="shared" ca="1" si="121"/>
        <v>0</v>
      </c>
      <c r="FX248" s="7">
        <f t="shared" ca="1" si="121"/>
        <v>0</v>
      </c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</row>
    <row r="249" spans="1:193" ht="15.5" x14ac:dyDescent="0.35">
      <c r="A249" s="12" t="s">
        <v>1022</v>
      </c>
      <c r="B249" s="7" t="s">
        <v>1023</v>
      </c>
      <c r="C249" s="7">
        <f t="shared" ref="C249:FX249" ca="1" si="122">IF(MIN((C245-C247),(C248-C247))&gt;0,ROUND(MIN((C245-C247),(C248-C247)),2),0)</f>
        <v>0</v>
      </c>
      <c r="D249" s="7">
        <f t="shared" ca="1" si="122"/>
        <v>0</v>
      </c>
      <c r="E249" s="7">
        <f t="shared" ca="1" si="122"/>
        <v>380707.28</v>
      </c>
      <c r="F249" s="7">
        <f t="shared" ca="1" si="122"/>
        <v>288779.06</v>
      </c>
      <c r="G249" s="7">
        <f t="shared" ca="1" si="122"/>
        <v>0</v>
      </c>
      <c r="H249" s="7">
        <f t="shared" ca="1" si="122"/>
        <v>0</v>
      </c>
      <c r="I249" s="7">
        <f t="shared" ca="1" si="122"/>
        <v>496790.34</v>
      </c>
      <c r="J249" s="7">
        <f t="shared" ca="1" si="122"/>
        <v>0</v>
      </c>
      <c r="K249" s="7">
        <f t="shared" ca="1" si="122"/>
        <v>11142.06</v>
      </c>
      <c r="L249" s="7">
        <f t="shared" ca="1" si="122"/>
        <v>0</v>
      </c>
      <c r="M249" s="7">
        <f t="shared" ca="1" si="122"/>
        <v>0</v>
      </c>
      <c r="N249" s="7">
        <f t="shared" ca="1" si="122"/>
        <v>0</v>
      </c>
      <c r="O249" s="7">
        <f t="shared" ca="1" si="122"/>
        <v>0</v>
      </c>
      <c r="P249" s="7">
        <f t="shared" ca="1" si="122"/>
        <v>0</v>
      </c>
      <c r="Q249" s="7">
        <f t="shared" ca="1" si="122"/>
        <v>0</v>
      </c>
      <c r="R249" s="7">
        <f t="shared" ca="1" si="122"/>
        <v>0</v>
      </c>
      <c r="S249" s="7">
        <f t="shared" ca="1" si="122"/>
        <v>0</v>
      </c>
      <c r="T249" s="7">
        <f t="shared" ca="1" si="122"/>
        <v>0</v>
      </c>
      <c r="U249" s="7">
        <f t="shared" ca="1" si="122"/>
        <v>0</v>
      </c>
      <c r="V249" s="7">
        <f t="shared" ca="1" si="122"/>
        <v>0</v>
      </c>
      <c r="W249" s="7">
        <f t="shared" ca="1" si="122"/>
        <v>241107.55</v>
      </c>
      <c r="X249" s="7">
        <f t="shared" ca="1" si="122"/>
        <v>0</v>
      </c>
      <c r="Y249" s="7">
        <f t="shared" ca="1" si="122"/>
        <v>0</v>
      </c>
      <c r="Z249" s="7">
        <f t="shared" ca="1" si="122"/>
        <v>0</v>
      </c>
      <c r="AA249" s="7">
        <f t="shared" ca="1" si="122"/>
        <v>1075390.24</v>
      </c>
      <c r="AB249" s="7">
        <f t="shared" ca="1" si="122"/>
        <v>523612.51</v>
      </c>
      <c r="AC249" s="7">
        <f t="shared" ca="1" si="122"/>
        <v>0</v>
      </c>
      <c r="AD249" s="7">
        <f t="shared" ca="1" si="122"/>
        <v>0</v>
      </c>
      <c r="AE249" s="7">
        <f t="shared" ca="1" si="122"/>
        <v>0</v>
      </c>
      <c r="AF249" s="7">
        <f t="shared" ca="1" si="122"/>
        <v>0</v>
      </c>
      <c r="AG249" s="7">
        <f t="shared" ca="1" si="122"/>
        <v>0</v>
      </c>
      <c r="AH249" s="7">
        <f t="shared" ca="1" si="122"/>
        <v>0</v>
      </c>
      <c r="AI249" s="7">
        <f t="shared" ca="1" si="122"/>
        <v>0</v>
      </c>
      <c r="AJ249" s="7">
        <f t="shared" ca="1" si="122"/>
        <v>0</v>
      </c>
      <c r="AK249" s="7">
        <f t="shared" ca="1" si="122"/>
        <v>0</v>
      </c>
      <c r="AL249" s="7">
        <f t="shared" ca="1" si="122"/>
        <v>0</v>
      </c>
      <c r="AM249" s="7">
        <f t="shared" ca="1" si="122"/>
        <v>0</v>
      </c>
      <c r="AN249" s="7">
        <f t="shared" ca="1" si="122"/>
        <v>0</v>
      </c>
      <c r="AO249" s="7">
        <f t="shared" ca="1" si="122"/>
        <v>0</v>
      </c>
      <c r="AP249" s="7">
        <f t="shared" ca="1" si="122"/>
        <v>1754607.65</v>
      </c>
      <c r="AQ249" s="7">
        <f t="shared" ca="1" si="122"/>
        <v>0</v>
      </c>
      <c r="AR249" s="7">
        <f t="shared" ca="1" si="122"/>
        <v>0</v>
      </c>
      <c r="AS249" s="7">
        <f t="shared" ca="1" si="122"/>
        <v>95145.44</v>
      </c>
      <c r="AT249" s="7">
        <f t="shared" ca="1" si="122"/>
        <v>0</v>
      </c>
      <c r="AU249" s="7">
        <f t="shared" ca="1" si="122"/>
        <v>49003.56</v>
      </c>
      <c r="AV249" s="7">
        <f t="shared" ca="1" si="122"/>
        <v>0</v>
      </c>
      <c r="AW249" s="7">
        <f t="shared" ca="1" si="122"/>
        <v>0</v>
      </c>
      <c r="AX249" s="7">
        <f t="shared" ca="1" si="122"/>
        <v>0</v>
      </c>
      <c r="AY249" s="7">
        <f t="shared" ca="1" si="122"/>
        <v>0</v>
      </c>
      <c r="AZ249" s="7">
        <f t="shared" ca="1" si="122"/>
        <v>0</v>
      </c>
      <c r="BA249" s="7">
        <f t="shared" ca="1" si="122"/>
        <v>0</v>
      </c>
      <c r="BB249" s="7">
        <f t="shared" ca="1" si="122"/>
        <v>0</v>
      </c>
      <c r="BC249" s="7">
        <f t="shared" ca="1" si="122"/>
        <v>0</v>
      </c>
      <c r="BD249" s="7">
        <f t="shared" ca="1" si="122"/>
        <v>0</v>
      </c>
      <c r="BE249" s="7">
        <f t="shared" ca="1" si="122"/>
        <v>0</v>
      </c>
      <c r="BF249" s="7">
        <f t="shared" ca="1" si="122"/>
        <v>0</v>
      </c>
      <c r="BG249" s="7">
        <f t="shared" ca="1" si="122"/>
        <v>0</v>
      </c>
      <c r="BH249" s="7">
        <f t="shared" ca="1" si="122"/>
        <v>0</v>
      </c>
      <c r="BI249" s="7">
        <f t="shared" ca="1" si="122"/>
        <v>0</v>
      </c>
      <c r="BJ249" s="7">
        <f t="shared" ca="1" si="122"/>
        <v>0</v>
      </c>
      <c r="BK249" s="7">
        <f t="shared" ca="1" si="122"/>
        <v>294890.12</v>
      </c>
      <c r="BL249" s="7">
        <f t="shared" ca="1" si="122"/>
        <v>57299.13</v>
      </c>
      <c r="BM249" s="7">
        <f t="shared" ca="1" si="122"/>
        <v>50905.57</v>
      </c>
      <c r="BN249" s="7">
        <f t="shared" ca="1" si="122"/>
        <v>0</v>
      </c>
      <c r="BO249" s="7">
        <f t="shared" ca="1" si="122"/>
        <v>0</v>
      </c>
      <c r="BP249" s="7">
        <f t="shared" ca="1" si="122"/>
        <v>0</v>
      </c>
      <c r="BQ249" s="7">
        <f t="shared" ca="1" si="122"/>
        <v>0</v>
      </c>
      <c r="BR249" s="7">
        <f t="shared" ca="1" si="122"/>
        <v>97546.98</v>
      </c>
      <c r="BS249" s="7">
        <f t="shared" ca="1" si="122"/>
        <v>0</v>
      </c>
      <c r="BT249" s="7">
        <f t="shared" ca="1" si="122"/>
        <v>0</v>
      </c>
      <c r="BU249" s="7">
        <f t="shared" ca="1" si="122"/>
        <v>0</v>
      </c>
      <c r="BV249" s="7">
        <f t="shared" ca="1" si="122"/>
        <v>0</v>
      </c>
      <c r="BW249" s="7">
        <f t="shared" ca="1" si="122"/>
        <v>0</v>
      </c>
      <c r="BX249" s="7">
        <f t="shared" ca="1" si="122"/>
        <v>0</v>
      </c>
      <c r="BY249" s="7">
        <f t="shared" ca="1" si="122"/>
        <v>353537.03</v>
      </c>
      <c r="BZ249" s="7">
        <f t="shared" ca="1" si="122"/>
        <v>0</v>
      </c>
      <c r="CA249" s="7">
        <f t="shared" ca="1" si="122"/>
        <v>0</v>
      </c>
      <c r="CB249" s="7">
        <f t="shared" ca="1" si="122"/>
        <v>0</v>
      </c>
      <c r="CC249" s="7">
        <f t="shared" ca="1" si="122"/>
        <v>0</v>
      </c>
      <c r="CD249" s="7">
        <f t="shared" ca="1" si="122"/>
        <v>209830.73</v>
      </c>
      <c r="CE249" s="7">
        <f t="shared" ca="1" si="122"/>
        <v>0</v>
      </c>
      <c r="CF249" s="7">
        <f t="shared" ca="1" si="122"/>
        <v>0</v>
      </c>
      <c r="CG249" s="7">
        <f t="shared" ca="1" si="122"/>
        <v>0</v>
      </c>
      <c r="CH249" s="7">
        <f t="shared" ca="1" si="122"/>
        <v>0</v>
      </c>
      <c r="CI249" s="7">
        <f t="shared" ca="1" si="122"/>
        <v>0</v>
      </c>
      <c r="CJ249" s="7">
        <f t="shared" ca="1" si="122"/>
        <v>0</v>
      </c>
      <c r="CK249" s="7">
        <f t="shared" ca="1" si="122"/>
        <v>0</v>
      </c>
      <c r="CL249" s="7">
        <f t="shared" ca="1" si="122"/>
        <v>0</v>
      </c>
      <c r="CM249" s="7">
        <f t="shared" ca="1" si="122"/>
        <v>0</v>
      </c>
      <c r="CN249" s="7">
        <f t="shared" ca="1" si="122"/>
        <v>0</v>
      </c>
      <c r="CO249" s="7">
        <f t="shared" ca="1" si="122"/>
        <v>0</v>
      </c>
      <c r="CP249" s="7">
        <f t="shared" ca="1" si="122"/>
        <v>0</v>
      </c>
      <c r="CQ249" s="7">
        <f t="shared" ca="1" si="122"/>
        <v>0</v>
      </c>
      <c r="CR249" s="7">
        <f t="shared" ca="1" si="122"/>
        <v>0</v>
      </c>
      <c r="CS249" s="7">
        <f t="shared" ca="1" si="122"/>
        <v>0</v>
      </c>
      <c r="CT249" s="7">
        <f t="shared" ca="1" si="122"/>
        <v>0</v>
      </c>
      <c r="CU249" s="7">
        <f t="shared" ca="1" si="122"/>
        <v>0</v>
      </c>
      <c r="CV249" s="7">
        <f t="shared" ca="1" si="122"/>
        <v>0</v>
      </c>
      <c r="CW249" s="7">
        <f t="shared" ca="1" si="122"/>
        <v>0</v>
      </c>
      <c r="CX249" s="7">
        <f t="shared" ca="1" si="122"/>
        <v>0</v>
      </c>
      <c r="CY249" s="7">
        <f t="shared" ca="1" si="122"/>
        <v>0</v>
      </c>
      <c r="CZ249" s="7">
        <f t="shared" ca="1" si="122"/>
        <v>0</v>
      </c>
      <c r="DA249" s="7">
        <f t="shared" ca="1" si="122"/>
        <v>0</v>
      </c>
      <c r="DB249" s="7">
        <f t="shared" ca="1" si="122"/>
        <v>0</v>
      </c>
      <c r="DC249" s="7">
        <f t="shared" ca="1" si="122"/>
        <v>0</v>
      </c>
      <c r="DD249" s="7">
        <f t="shared" ca="1" si="122"/>
        <v>0</v>
      </c>
      <c r="DE249" s="7">
        <f t="shared" ca="1" si="122"/>
        <v>0</v>
      </c>
      <c r="DF249" s="7">
        <f t="shared" ca="1" si="122"/>
        <v>0</v>
      </c>
      <c r="DG249" s="7">
        <f t="shared" ca="1" si="122"/>
        <v>0</v>
      </c>
      <c r="DH249" s="7">
        <f t="shared" ca="1" si="122"/>
        <v>0</v>
      </c>
      <c r="DI249" s="7">
        <f t="shared" ca="1" si="122"/>
        <v>0</v>
      </c>
      <c r="DJ249" s="7">
        <f t="shared" ca="1" si="122"/>
        <v>0</v>
      </c>
      <c r="DK249" s="7">
        <f t="shared" ca="1" si="122"/>
        <v>0</v>
      </c>
      <c r="DL249" s="7">
        <f t="shared" ca="1" si="122"/>
        <v>0</v>
      </c>
      <c r="DM249" s="7">
        <f t="shared" ca="1" si="122"/>
        <v>0</v>
      </c>
      <c r="DN249" s="7">
        <f t="shared" ca="1" si="122"/>
        <v>0</v>
      </c>
      <c r="DO249" s="7">
        <f t="shared" ca="1" si="122"/>
        <v>0</v>
      </c>
      <c r="DP249" s="7">
        <f t="shared" ca="1" si="122"/>
        <v>0</v>
      </c>
      <c r="DQ249" s="7">
        <f t="shared" ca="1" si="122"/>
        <v>0</v>
      </c>
      <c r="DR249" s="7">
        <f t="shared" ca="1" si="122"/>
        <v>0</v>
      </c>
      <c r="DS249" s="7">
        <f t="shared" ca="1" si="122"/>
        <v>0</v>
      </c>
      <c r="DT249" s="7">
        <f t="shared" ca="1" si="122"/>
        <v>0</v>
      </c>
      <c r="DU249" s="7">
        <f t="shared" ca="1" si="122"/>
        <v>0</v>
      </c>
      <c r="DV249" s="7">
        <f t="shared" ca="1" si="122"/>
        <v>0</v>
      </c>
      <c r="DW249" s="7">
        <f t="shared" ca="1" si="122"/>
        <v>0</v>
      </c>
      <c r="DX249" s="7">
        <f t="shared" ca="1" si="122"/>
        <v>0</v>
      </c>
      <c r="DY249" s="7">
        <f t="shared" ca="1" si="122"/>
        <v>0</v>
      </c>
      <c r="DZ249" s="7">
        <f t="shared" ca="1" si="122"/>
        <v>0</v>
      </c>
      <c r="EA249" s="7">
        <f t="shared" ca="1" si="122"/>
        <v>0</v>
      </c>
      <c r="EB249" s="7">
        <f t="shared" ca="1" si="122"/>
        <v>0</v>
      </c>
      <c r="EC249" s="7">
        <f t="shared" ca="1" si="122"/>
        <v>0</v>
      </c>
      <c r="ED249" s="7">
        <f t="shared" ca="1" si="122"/>
        <v>0</v>
      </c>
      <c r="EE249" s="7">
        <f t="shared" ca="1" si="122"/>
        <v>0</v>
      </c>
      <c r="EF249" s="7">
        <f t="shared" ca="1" si="122"/>
        <v>0</v>
      </c>
      <c r="EG249" s="7">
        <f t="shared" ca="1" si="122"/>
        <v>0</v>
      </c>
      <c r="EH249" s="7">
        <f t="shared" ca="1" si="122"/>
        <v>0</v>
      </c>
      <c r="EI249" s="7">
        <f t="shared" ca="1" si="122"/>
        <v>0</v>
      </c>
      <c r="EJ249" s="7">
        <f t="shared" ca="1" si="122"/>
        <v>0</v>
      </c>
      <c r="EK249" s="7">
        <f t="shared" ca="1" si="122"/>
        <v>0</v>
      </c>
      <c r="EL249" s="7">
        <f t="shared" ca="1" si="122"/>
        <v>0</v>
      </c>
      <c r="EM249" s="7">
        <f t="shared" ca="1" si="122"/>
        <v>0</v>
      </c>
      <c r="EN249" s="7">
        <f t="shared" ca="1" si="122"/>
        <v>0</v>
      </c>
      <c r="EO249" s="7">
        <f t="shared" ca="1" si="122"/>
        <v>0</v>
      </c>
      <c r="EP249" s="7">
        <f t="shared" ca="1" si="122"/>
        <v>0</v>
      </c>
      <c r="EQ249" s="7">
        <f t="shared" ca="1" si="122"/>
        <v>0</v>
      </c>
      <c r="ER249" s="7">
        <f t="shared" ca="1" si="122"/>
        <v>0</v>
      </c>
      <c r="ES249" s="7">
        <f t="shared" ca="1" si="122"/>
        <v>19919.82</v>
      </c>
      <c r="ET249" s="7">
        <f t="shared" ca="1" si="122"/>
        <v>0</v>
      </c>
      <c r="EU249" s="7">
        <f t="shared" ca="1" si="122"/>
        <v>0</v>
      </c>
      <c r="EV249" s="7">
        <f t="shared" ca="1" si="122"/>
        <v>0</v>
      </c>
      <c r="EW249" s="7">
        <f t="shared" ca="1" si="122"/>
        <v>0</v>
      </c>
      <c r="EX249" s="7">
        <f t="shared" ca="1" si="122"/>
        <v>0</v>
      </c>
      <c r="EY249" s="7">
        <f t="shared" ca="1" si="122"/>
        <v>0</v>
      </c>
      <c r="EZ249" s="7">
        <f t="shared" ca="1" si="122"/>
        <v>0</v>
      </c>
      <c r="FA249" s="7">
        <f t="shared" ca="1" si="122"/>
        <v>0</v>
      </c>
      <c r="FB249" s="7">
        <f t="shared" ca="1" si="122"/>
        <v>0</v>
      </c>
      <c r="FC249" s="7">
        <f t="shared" ca="1" si="122"/>
        <v>0</v>
      </c>
      <c r="FD249" s="7">
        <f t="shared" ca="1" si="122"/>
        <v>0</v>
      </c>
      <c r="FE249" s="7">
        <f t="shared" ca="1" si="122"/>
        <v>0</v>
      </c>
      <c r="FF249" s="7">
        <f t="shared" ca="1" si="122"/>
        <v>0</v>
      </c>
      <c r="FG249" s="7">
        <f t="shared" ca="1" si="122"/>
        <v>0</v>
      </c>
      <c r="FH249" s="7">
        <f t="shared" ca="1" si="122"/>
        <v>0</v>
      </c>
      <c r="FI249" s="7">
        <f t="shared" ca="1" si="122"/>
        <v>20696.39</v>
      </c>
      <c r="FJ249" s="7">
        <f t="shared" ca="1" si="122"/>
        <v>0</v>
      </c>
      <c r="FK249" s="7">
        <f t="shared" ca="1" si="122"/>
        <v>0</v>
      </c>
      <c r="FL249" s="7">
        <f t="shared" ca="1" si="122"/>
        <v>0</v>
      </c>
      <c r="FM249" s="7">
        <f t="shared" ca="1" si="122"/>
        <v>0</v>
      </c>
      <c r="FN249" s="7">
        <f t="shared" ca="1" si="122"/>
        <v>0</v>
      </c>
      <c r="FO249" s="7">
        <f t="shared" ca="1" si="122"/>
        <v>0</v>
      </c>
      <c r="FP249" s="7">
        <f t="shared" ca="1" si="122"/>
        <v>0</v>
      </c>
      <c r="FQ249" s="7">
        <f t="shared" ca="1" si="122"/>
        <v>0</v>
      </c>
      <c r="FR249" s="7">
        <f t="shared" ca="1" si="122"/>
        <v>0</v>
      </c>
      <c r="FS249" s="7">
        <f t="shared" ca="1" si="122"/>
        <v>0</v>
      </c>
      <c r="FT249" s="7">
        <f t="shared" ca="1" si="122"/>
        <v>0</v>
      </c>
      <c r="FU249" s="7">
        <f t="shared" ca="1" si="122"/>
        <v>0</v>
      </c>
      <c r="FV249" s="7">
        <f t="shared" ca="1" si="122"/>
        <v>0</v>
      </c>
      <c r="FW249" s="7">
        <f t="shared" ca="1" si="122"/>
        <v>0</v>
      </c>
      <c r="FX249" s="7">
        <f t="shared" ca="1" si="122"/>
        <v>0</v>
      </c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</row>
    <row r="250" spans="1:193" ht="15.5" x14ac:dyDescent="0.35">
      <c r="A250" s="7"/>
      <c r="B250" s="7" t="s">
        <v>1024</v>
      </c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</row>
    <row r="251" spans="1:193" ht="15.5" x14ac:dyDescent="0.35">
      <c r="A251" s="7"/>
      <c r="B251" s="7" t="s">
        <v>1025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</row>
    <row r="252" spans="1:193" ht="15.5" x14ac:dyDescent="0.35">
      <c r="A252" s="7"/>
      <c r="B252" s="7" t="s">
        <v>1026</v>
      </c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</row>
    <row r="253" spans="1:193" ht="15.5" x14ac:dyDescent="0.35">
      <c r="A253" s="12" t="s">
        <v>1027</v>
      </c>
      <c r="B253" s="7" t="s">
        <v>1028</v>
      </c>
      <c r="C253" s="7">
        <f t="shared" ref="C253:FX253" ca="1" si="123">MIN(C73,C249)</f>
        <v>0</v>
      </c>
      <c r="D253" s="7">
        <f t="shared" ca="1" si="123"/>
        <v>0</v>
      </c>
      <c r="E253" s="7">
        <f t="shared" ca="1" si="123"/>
        <v>380707.28</v>
      </c>
      <c r="F253" s="7">
        <f t="shared" ca="1" si="123"/>
        <v>288779.06</v>
      </c>
      <c r="G253" s="7">
        <f t="shared" ca="1" si="123"/>
        <v>0</v>
      </c>
      <c r="H253" s="7">
        <f t="shared" ca="1" si="123"/>
        <v>0</v>
      </c>
      <c r="I253" s="7">
        <f t="shared" ca="1" si="123"/>
        <v>496790.34</v>
      </c>
      <c r="J253" s="7">
        <f t="shared" ca="1" si="123"/>
        <v>0</v>
      </c>
      <c r="K253" s="7">
        <f t="shared" ca="1" si="123"/>
        <v>11142.06</v>
      </c>
      <c r="L253" s="7">
        <f t="shared" ca="1" si="123"/>
        <v>0</v>
      </c>
      <c r="M253" s="7">
        <f t="shared" ca="1" si="123"/>
        <v>0</v>
      </c>
      <c r="N253" s="7">
        <f t="shared" ca="1" si="123"/>
        <v>0</v>
      </c>
      <c r="O253" s="7">
        <f t="shared" ca="1" si="123"/>
        <v>0</v>
      </c>
      <c r="P253" s="7">
        <f t="shared" ca="1" si="123"/>
        <v>0</v>
      </c>
      <c r="Q253" s="7">
        <f t="shared" ca="1" si="123"/>
        <v>0</v>
      </c>
      <c r="R253" s="7">
        <f t="shared" ca="1" si="123"/>
        <v>0</v>
      </c>
      <c r="S253" s="7">
        <f t="shared" ca="1" si="123"/>
        <v>0</v>
      </c>
      <c r="T253" s="7">
        <f t="shared" ca="1" si="123"/>
        <v>0</v>
      </c>
      <c r="U253" s="7">
        <f t="shared" ca="1" si="123"/>
        <v>0</v>
      </c>
      <c r="V253" s="7">
        <f t="shared" ca="1" si="123"/>
        <v>0</v>
      </c>
      <c r="W253" s="7">
        <f t="shared" ca="1" si="123"/>
        <v>241107.55</v>
      </c>
      <c r="X253" s="7">
        <f t="shared" ca="1" si="123"/>
        <v>0</v>
      </c>
      <c r="Y253" s="7">
        <f t="shared" ca="1" si="123"/>
        <v>0</v>
      </c>
      <c r="Z253" s="7">
        <f t="shared" ca="1" si="123"/>
        <v>0</v>
      </c>
      <c r="AA253" s="7">
        <f t="shared" ca="1" si="123"/>
        <v>1075390.24</v>
      </c>
      <c r="AB253" s="7">
        <f t="shared" ca="1" si="123"/>
        <v>523612.51</v>
      </c>
      <c r="AC253" s="7">
        <f t="shared" ca="1" si="123"/>
        <v>0</v>
      </c>
      <c r="AD253" s="7">
        <f t="shared" ca="1" si="123"/>
        <v>0</v>
      </c>
      <c r="AE253" s="7">
        <f t="shared" ca="1" si="123"/>
        <v>0</v>
      </c>
      <c r="AF253" s="7">
        <f t="shared" ca="1" si="123"/>
        <v>0</v>
      </c>
      <c r="AG253" s="7">
        <f t="shared" ca="1" si="123"/>
        <v>0</v>
      </c>
      <c r="AH253" s="7">
        <f t="shared" ca="1" si="123"/>
        <v>0</v>
      </c>
      <c r="AI253" s="7">
        <f t="shared" ca="1" si="123"/>
        <v>0</v>
      </c>
      <c r="AJ253" s="7">
        <f t="shared" ca="1" si="123"/>
        <v>0</v>
      </c>
      <c r="AK253" s="7">
        <f t="shared" ca="1" si="123"/>
        <v>0</v>
      </c>
      <c r="AL253" s="7">
        <f t="shared" ca="1" si="123"/>
        <v>0</v>
      </c>
      <c r="AM253" s="7">
        <f t="shared" ca="1" si="123"/>
        <v>0</v>
      </c>
      <c r="AN253" s="7">
        <f t="shared" ca="1" si="123"/>
        <v>0</v>
      </c>
      <c r="AO253" s="7">
        <f t="shared" ca="1" si="123"/>
        <v>0</v>
      </c>
      <c r="AP253" s="7">
        <f t="shared" ca="1" si="123"/>
        <v>1754607.65</v>
      </c>
      <c r="AQ253" s="7">
        <f t="shared" ca="1" si="123"/>
        <v>0</v>
      </c>
      <c r="AR253" s="7">
        <f t="shared" ca="1" si="123"/>
        <v>0</v>
      </c>
      <c r="AS253" s="7">
        <f t="shared" ca="1" si="123"/>
        <v>95145.44</v>
      </c>
      <c r="AT253" s="7">
        <f t="shared" ca="1" si="123"/>
        <v>0</v>
      </c>
      <c r="AU253" s="7">
        <f t="shared" ca="1" si="123"/>
        <v>49003.56</v>
      </c>
      <c r="AV253" s="7">
        <f t="shared" ca="1" si="123"/>
        <v>0</v>
      </c>
      <c r="AW253" s="7">
        <f t="shared" ca="1" si="123"/>
        <v>0</v>
      </c>
      <c r="AX253" s="7">
        <f t="shared" ca="1" si="123"/>
        <v>0</v>
      </c>
      <c r="AY253" s="7">
        <f t="shared" ca="1" si="123"/>
        <v>0</v>
      </c>
      <c r="AZ253" s="7">
        <f t="shared" ca="1" si="123"/>
        <v>0</v>
      </c>
      <c r="BA253" s="7">
        <f t="shared" ca="1" si="123"/>
        <v>0</v>
      </c>
      <c r="BB253" s="7">
        <f t="shared" ca="1" si="123"/>
        <v>0</v>
      </c>
      <c r="BC253" s="7">
        <f t="shared" ca="1" si="123"/>
        <v>0</v>
      </c>
      <c r="BD253" s="7">
        <f t="shared" ca="1" si="123"/>
        <v>0</v>
      </c>
      <c r="BE253" s="7">
        <f t="shared" ca="1" si="123"/>
        <v>0</v>
      </c>
      <c r="BF253" s="7">
        <f t="shared" ca="1" si="123"/>
        <v>0</v>
      </c>
      <c r="BG253" s="7">
        <f t="shared" ca="1" si="123"/>
        <v>0</v>
      </c>
      <c r="BH253" s="7">
        <f t="shared" ca="1" si="123"/>
        <v>0</v>
      </c>
      <c r="BI253" s="7">
        <f t="shared" ca="1" si="123"/>
        <v>0</v>
      </c>
      <c r="BJ253" s="7">
        <f t="shared" ca="1" si="123"/>
        <v>0</v>
      </c>
      <c r="BK253" s="7">
        <f t="shared" ca="1" si="123"/>
        <v>294890.12</v>
      </c>
      <c r="BL253" s="7">
        <f t="shared" ca="1" si="123"/>
        <v>57299.13</v>
      </c>
      <c r="BM253" s="7">
        <f t="shared" ca="1" si="123"/>
        <v>50905.57</v>
      </c>
      <c r="BN253" s="7">
        <f t="shared" ca="1" si="123"/>
        <v>0</v>
      </c>
      <c r="BO253" s="7">
        <f t="shared" ca="1" si="123"/>
        <v>0</v>
      </c>
      <c r="BP253" s="7">
        <f t="shared" ca="1" si="123"/>
        <v>0</v>
      </c>
      <c r="BQ253" s="7">
        <f t="shared" ca="1" si="123"/>
        <v>0</v>
      </c>
      <c r="BR253" s="7">
        <f t="shared" ca="1" si="123"/>
        <v>97546.98</v>
      </c>
      <c r="BS253" s="7">
        <f t="shared" ca="1" si="123"/>
        <v>0</v>
      </c>
      <c r="BT253" s="7">
        <f t="shared" ca="1" si="123"/>
        <v>0</v>
      </c>
      <c r="BU253" s="7">
        <f t="shared" ca="1" si="123"/>
        <v>0</v>
      </c>
      <c r="BV253" s="7">
        <f t="shared" ca="1" si="123"/>
        <v>0</v>
      </c>
      <c r="BW253" s="7">
        <f t="shared" ca="1" si="123"/>
        <v>0</v>
      </c>
      <c r="BX253" s="7">
        <f t="shared" ca="1" si="123"/>
        <v>0</v>
      </c>
      <c r="BY253" s="7">
        <f t="shared" ca="1" si="123"/>
        <v>353537.03</v>
      </c>
      <c r="BZ253" s="7">
        <f t="shared" ca="1" si="123"/>
        <v>0</v>
      </c>
      <c r="CA253" s="7">
        <f t="shared" ca="1" si="123"/>
        <v>0</v>
      </c>
      <c r="CB253" s="7">
        <f t="shared" ca="1" si="123"/>
        <v>0</v>
      </c>
      <c r="CC253" s="7">
        <f t="shared" ca="1" si="123"/>
        <v>0</v>
      </c>
      <c r="CD253" s="7">
        <f t="shared" ca="1" si="123"/>
        <v>209830.73</v>
      </c>
      <c r="CE253" s="7">
        <f t="shared" ca="1" si="123"/>
        <v>0</v>
      </c>
      <c r="CF253" s="7">
        <f t="shared" ca="1" si="123"/>
        <v>0</v>
      </c>
      <c r="CG253" s="7">
        <f t="shared" ca="1" si="123"/>
        <v>0</v>
      </c>
      <c r="CH253" s="7">
        <f t="shared" ca="1" si="123"/>
        <v>0</v>
      </c>
      <c r="CI253" s="7">
        <f t="shared" ca="1" si="123"/>
        <v>0</v>
      </c>
      <c r="CJ253" s="7">
        <f t="shared" ca="1" si="123"/>
        <v>0</v>
      </c>
      <c r="CK253" s="7">
        <f t="shared" ca="1" si="123"/>
        <v>0</v>
      </c>
      <c r="CL253" s="7">
        <f t="shared" ca="1" si="123"/>
        <v>0</v>
      </c>
      <c r="CM253" s="7">
        <f t="shared" ca="1" si="123"/>
        <v>0</v>
      </c>
      <c r="CN253" s="7">
        <f t="shared" ca="1" si="123"/>
        <v>0</v>
      </c>
      <c r="CO253" s="7">
        <f t="shared" ca="1" si="123"/>
        <v>0</v>
      </c>
      <c r="CP253" s="7">
        <f t="shared" ca="1" si="123"/>
        <v>0</v>
      </c>
      <c r="CQ253" s="7">
        <f t="shared" ca="1" si="123"/>
        <v>0</v>
      </c>
      <c r="CR253" s="7">
        <f t="shared" ca="1" si="123"/>
        <v>0</v>
      </c>
      <c r="CS253" s="7">
        <f t="shared" ca="1" si="123"/>
        <v>0</v>
      </c>
      <c r="CT253" s="7">
        <f t="shared" ca="1" si="123"/>
        <v>0</v>
      </c>
      <c r="CU253" s="7">
        <f t="shared" ca="1" si="123"/>
        <v>0</v>
      </c>
      <c r="CV253" s="7">
        <f t="shared" ca="1" si="123"/>
        <v>0</v>
      </c>
      <c r="CW253" s="7">
        <f t="shared" ca="1" si="123"/>
        <v>0</v>
      </c>
      <c r="CX253" s="7">
        <f t="shared" ca="1" si="123"/>
        <v>0</v>
      </c>
      <c r="CY253" s="7">
        <f t="shared" ca="1" si="123"/>
        <v>0</v>
      </c>
      <c r="CZ253" s="7">
        <f t="shared" ca="1" si="123"/>
        <v>0</v>
      </c>
      <c r="DA253" s="7">
        <f t="shared" ca="1" si="123"/>
        <v>0</v>
      </c>
      <c r="DB253" s="7">
        <f t="shared" ca="1" si="123"/>
        <v>0</v>
      </c>
      <c r="DC253" s="7">
        <f t="shared" ca="1" si="123"/>
        <v>0</v>
      </c>
      <c r="DD253" s="7">
        <f t="shared" ca="1" si="123"/>
        <v>0</v>
      </c>
      <c r="DE253" s="7">
        <f t="shared" ca="1" si="123"/>
        <v>0</v>
      </c>
      <c r="DF253" s="7">
        <f t="shared" ca="1" si="123"/>
        <v>0</v>
      </c>
      <c r="DG253" s="7">
        <f t="shared" ca="1" si="123"/>
        <v>0</v>
      </c>
      <c r="DH253" s="7">
        <f t="shared" ca="1" si="123"/>
        <v>0</v>
      </c>
      <c r="DI253" s="7">
        <f t="shared" ca="1" si="123"/>
        <v>0</v>
      </c>
      <c r="DJ253" s="7">
        <f t="shared" ca="1" si="123"/>
        <v>0</v>
      </c>
      <c r="DK253" s="7">
        <f t="shared" ca="1" si="123"/>
        <v>0</v>
      </c>
      <c r="DL253" s="7">
        <f t="shared" ca="1" si="123"/>
        <v>0</v>
      </c>
      <c r="DM253" s="7">
        <f t="shared" ca="1" si="123"/>
        <v>0</v>
      </c>
      <c r="DN253" s="7">
        <f t="shared" ca="1" si="123"/>
        <v>0</v>
      </c>
      <c r="DO253" s="7">
        <f t="shared" ca="1" si="123"/>
        <v>0</v>
      </c>
      <c r="DP253" s="7">
        <f t="shared" ca="1" si="123"/>
        <v>0</v>
      </c>
      <c r="DQ253" s="7">
        <f t="shared" ca="1" si="123"/>
        <v>0</v>
      </c>
      <c r="DR253" s="7">
        <f t="shared" ca="1" si="123"/>
        <v>0</v>
      </c>
      <c r="DS253" s="7">
        <f t="shared" ca="1" si="123"/>
        <v>0</v>
      </c>
      <c r="DT253" s="7">
        <f t="shared" ca="1" si="123"/>
        <v>0</v>
      </c>
      <c r="DU253" s="7">
        <f t="shared" ca="1" si="123"/>
        <v>0</v>
      </c>
      <c r="DV253" s="7">
        <f t="shared" ca="1" si="123"/>
        <v>0</v>
      </c>
      <c r="DW253" s="7">
        <f t="shared" ca="1" si="123"/>
        <v>0</v>
      </c>
      <c r="DX253" s="7">
        <f t="shared" ca="1" si="123"/>
        <v>0</v>
      </c>
      <c r="DY253" s="7">
        <f t="shared" ca="1" si="123"/>
        <v>0</v>
      </c>
      <c r="DZ253" s="7">
        <f t="shared" ca="1" si="123"/>
        <v>0</v>
      </c>
      <c r="EA253" s="7">
        <f t="shared" ca="1" si="123"/>
        <v>0</v>
      </c>
      <c r="EB253" s="7">
        <f t="shared" ca="1" si="123"/>
        <v>0</v>
      </c>
      <c r="EC253" s="7">
        <f t="shared" ca="1" si="123"/>
        <v>0</v>
      </c>
      <c r="ED253" s="7">
        <f t="shared" ca="1" si="123"/>
        <v>0</v>
      </c>
      <c r="EE253" s="7">
        <f t="shared" ca="1" si="123"/>
        <v>0</v>
      </c>
      <c r="EF253" s="7">
        <f t="shared" ca="1" si="123"/>
        <v>0</v>
      </c>
      <c r="EG253" s="7">
        <f t="shared" ca="1" si="123"/>
        <v>0</v>
      </c>
      <c r="EH253" s="7">
        <f t="shared" ca="1" si="123"/>
        <v>0</v>
      </c>
      <c r="EI253" s="7">
        <f t="shared" ca="1" si="123"/>
        <v>0</v>
      </c>
      <c r="EJ253" s="7">
        <f t="shared" ca="1" si="123"/>
        <v>0</v>
      </c>
      <c r="EK253" s="7">
        <f t="shared" ca="1" si="123"/>
        <v>0</v>
      </c>
      <c r="EL253" s="7">
        <f t="shared" ca="1" si="123"/>
        <v>0</v>
      </c>
      <c r="EM253" s="7">
        <f t="shared" ca="1" si="123"/>
        <v>0</v>
      </c>
      <c r="EN253" s="7">
        <f t="shared" ca="1" si="123"/>
        <v>0</v>
      </c>
      <c r="EO253" s="7">
        <f t="shared" ca="1" si="123"/>
        <v>0</v>
      </c>
      <c r="EP253" s="7">
        <f t="shared" ca="1" si="123"/>
        <v>0</v>
      </c>
      <c r="EQ253" s="7">
        <f t="shared" ca="1" si="123"/>
        <v>0</v>
      </c>
      <c r="ER253" s="7">
        <f t="shared" ca="1" si="123"/>
        <v>0</v>
      </c>
      <c r="ES253" s="7">
        <f t="shared" ca="1" si="123"/>
        <v>19919.82</v>
      </c>
      <c r="ET253" s="7">
        <f t="shared" ca="1" si="123"/>
        <v>0</v>
      </c>
      <c r="EU253" s="7">
        <f t="shared" ca="1" si="123"/>
        <v>0</v>
      </c>
      <c r="EV253" s="7">
        <f t="shared" ca="1" si="123"/>
        <v>0</v>
      </c>
      <c r="EW253" s="7">
        <f t="shared" ca="1" si="123"/>
        <v>0</v>
      </c>
      <c r="EX253" s="7">
        <f t="shared" ca="1" si="123"/>
        <v>0</v>
      </c>
      <c r="EY253" s="7">
        <f t="shared" ca="1" si="123"/>
        <v>0</v>
      </c>
      <c r="EZ253" s="7">
        <f t="shared" ca="1" si="123"/>
        <v>0</v>
      </c>
      <c r="FA253" s="7">
        <f t="shared" ca="1" si="123"/>
        <v>0</v>
      </c>
      <c r="FB253" s="7">
        <f t="shared" ca="1" si="123"/>
        <v>0</v>
      </c>
      <c r="FC253" s="7">
        <f t="shared" ca="1" si="123"/>
        <v>0</v>
      </c>
      <c r="FD253" s="7">
        <f t="shared" ca="1" si="123"/>
        <v>0</v>
      </c>
      <c r="FE253" s="7">
        <f t="shared" ca="1" si="123"/>
        <v>0</v>
      </c>
      <c r="FF253" s="7">
        <f t="shared" ca="1" si="123"/>
        <v>0</v>
      </c>
      <c r="FG253" s="7">
        <f t="shared" ca="1" si="123"/>
        <v>0</v>
      </c>
      <c r="FH253" s="7">
        <f t="shared" ca="1" si="123"/>
        <v>0</v>
      </c>
      <c r="FI253" s="7">
        <f t="shared" ca="1" si="123"/>
        <v>20696.39</v>
      </c>
      <c r="FJ253" s="7">
        <f t="shared" ca="1" si="123"/>
        <v>0</v>
      </c>
      <c r="FK253" s="7">
        <f t="shared" ca="1" si="123"/>
        <v>0</v>
      </c>
      <c r="FL253" s="7">
        <f t="shared" ca="1" si="123"/>
        <v>0</v>
      </c>
      <c r="FM253" s="7">
        <f t="shared" ca="1" si="123"/>
        <v>0</v>
      </c>
      <c r="FN253" s="7">
        <f t="shared" ca="1" si="123"/>
        <v>0</v>
      </c>
      <c r="FO253" s="7">
        <f t="shared" ca="1" si="123"/>
        <v>0</v>
      </c>
      <c r="FP253" s="7">
        <f t="shared" ca="1" si="123"/>
        <v>0</v>
      </c>
      <c r="FQ253" s="7">
        <f t="shared" ca="1" si="123"/>
        <v>0</v>
      </c>
      <c r="FR253" s="7">
        <f t="shared" ca="1" si="123"/>
        <v>0</v>
      </c>
      <c r="FS253" s="7">
        <f t="shared" ca="1" si="123"/>
        <v>0</v>
      </c>
      <c r="FT253" s="7">
        <f t="shared" ca="1" si="123"/>
        <v>0</v>
      </c>
      <c r="FU253" s="7">
        <f t="shared" ca="1" si="123"/>
        <v>0</v>
      </c>
      <c r="FV253" s="7">
        <f t="shared" ca="1" si="123"/>
        <v>0</v>
      </c>
      <c r="FW253" s="7">
        <f t="shared" ca="1" si="123"/>
        <v>0</v>
      </c>
      <c r="FX253" s="7">
        <f t="shared" ca="1" si="123"/>
        <v>0</v>
      </c>
      <c r="FY253" s="7"/>
      <c r="FZ253" s="7">
        <f ca="1">SUM(C253:FX253)</f>
        <v>6020911.4600000009</v>
      </c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</row>
    <row r="254" spans="1:193" ht="15.5" x14ac:dyDescent="0.35">
      <c r="A254" s="7"/>
      <c r="B254" s="7" t="s">
        <v>1029</v>
      </c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</row>
    <row r="255" spans="1:193" ht="15.5" x14ac:dyDescent="0.3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</row>
    <row r="256" spans="1:193" ht="15.5" x14ac:dyDescent="0.35">
      <c r="A256" s="12" t="s">
        <v>684</v>
      </c>
      <c r="B256" s="5" t="s">
        <v>1030</v>
      </c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7"/>
      <c r="FZ256" s="7"/>
      <c r="GA256" s="45"/>
      <c r="GB256" s="7"/>
      <c r="GC256" s="7"/>
      <c r="GD256" s="7"/>
      <c r="GE256" s="7"/>
      <c r="GF256" s="7"/>
      <c r="GG256" s="7"/>
      <c r="GH256" s="7"/>
      <c r="GI256" s="7"/>
      <c r="GJ256" s="7"/>
      <c r="GK256" s="7"/>
    </row>
    <row r="257" spans="1:193" ht="15.5" x14ac:dyDescent="0.35">
      <c r="A257" s="12" t="s">
        <v>672</v>
      </c>
      <c r="B257" s="7" t="s">
        <v>1031</v>
      </c>
      <c r="C257" s="7">
        <f ca="1">IFERROR(__xludf.DUMMYFUNCTION("+C237+C188"),79052053.6799999)</f>
        <v>79052053.679999903</v>
      </c>
      <c r="D257" s="7">
        <f ca="1">IFERROR(__xludf.DUMMYFUNCTION("+D237+D188"),445981124.5)</f>
        <v>445981124.5</v>
      </c>
      <c r="E257" s="7">
        <f ca="1">IFERROR(__xludf.DUMMYFUNCTION("+E237+E188"),71070893.15)</f>
        <v>71070893.150000006</v>
      </c>
      <c r="F257" s="7">
        <f ca="1">IFERROR(__xludf.DUMMYFUNCTION("+F237+F188"),278971081.16)</f>
        <v>278971081.16000003</v>
      </c>
      <c r="G257" s="7">
        <f ca="1">IFERROR(__xludf.DUMMYFUNCTION("+G237+G188"),22103743.82)</f>
        <v>22103743.82</v>
      </c>
      <c r="H257" s="7">
        <f ca="1">IFERROR(__xludf.DUMMYFUNCTION("+H237+H188"),13385447.9)</f>
        <v>13385447.9</v>
      </c>
      <c r="I257" s="7">
        <f ca="1">IFERROR(__xludf.DUMMYFUNCTION("+I237+I188"),98385570.3)</f>
        <v>98385570.299999997</v>
      </c>
      <c r="J257" s="7">
        <f ca="1">IFERROR(__xludf.DUMMYFUNCTION("+J237+J188"),24467328.6699999)</f>
        <v>24467328.669999901</v>
      </c>
      <c r="K257" s="7">
        <f ca="1">IFERROR(__xludf.DUMMYFUNCTION("+K237+K188"),4301296.19)</f>
        <v>4301296.1900000004</v>
      </c>
      <c r="L257" s="7">
        <f ca="1">IFERROR(__xludf.DUMMYFUNCTION("+L237+L188"),26165974.88)</f>
        <v>26165974.879999999</v>
      </c>
      <c r="M257" s="7">
        <f ca="1">IFERROR(__xludf.DUMMYFUNCTION("+M237+M188"),12949878.18)</f>
        <v>12949878.18</v>
      </c>
      <c r="N257" s="7">
        <f ca="1">IFERROR(__xludf.DUMMYFUNCTION("+N237+N188"),591734292.4)</f>
        <v>591734292.39999998</v>
      </c>
      <c r="O257" s="7">
        <f ca="1">IFERROR(__xludf.DUMMYFUNCTION("+O237+O188"),143765812.4)</f>
        <v>143765812.40000001</v>
      </c>
      <c r="P257" s="7">
        <f ca="1">IFERROR(__xludf.DUMMYFUNCTION("+P237+P188"),5256442.27)</f>
        <v>5256442.2699999996</v>
      </c>
      <c r="Q257" s="7">
        <f ca="1">IFERROR(__xludf.DUMMYFUNCTION("+Q237+Q188"),497020802.72)</f>
        <v>497020802.72000003</v>
      </c>
      <c r="R257" s="7">
        <f ca="1">IFERROR(__xludf.DUMMYFUNCTION("+R237+R188"),79746543.27)</f>
        <v>79746543.269999996</v>
      </c>
      <c r="S257" s="7">
        <f ca="1">IFERROR(__xludf.DUMMYFUNCTION("+S237+S188"),19269511.71)</f>
        <v>19269511.710000001</v>
      </c>
      <c r="T257" s="7">
        <f ca="1">IFERROR(__xludf.DUMMYFUNCTION("+T237+T188"),3318152.61999999)</f>
        <v>3318152.6199999899</v>
      </c>
      <c r="U257" s="7">
        <f ca="1">IFERROR(__xludf.DUMMYFUNCTION("+U237+U188"),1410288.68)</f>
        <v>1410288.68</v>
      </c>
      <c r="V257" s="7">
        <f ca="1">IFERROR(__xludf.DUMMYFUNCTION("+V237+V188"),4316362.38)</f>
        <v>4316362.38</v>
      </c>
      <c r="W257" s="7">
        <f ca="1">IFERROR(__xludf.DUMMYFUNCTION("+W237+W188"),1238970.21)</f>
        <v>1238970.21</v>
      </c>
      <c r="X257" s="7">
        <f ca="1">IFERROR(__xludf.DUMMYFUNCTION("+X237+X188"),1262581.68)</f>
        <v>1262581.68</v>
      </c>
      <c r="Y257" s="7">
        <f ca="1">IFERROR(__xludf.DUMMYFUNCTION("+Y237+Y188"),11169795.21)</f>
        <v>11169795.210000001</v>
      </c>
      <c r="Z257" s="7">
        <f ca="1">IFERROR(__xludf.DUMMYFUNCTION("+Z237+Z188"),3879323.23)</f>
        <v>3879323.23</v>
      </c>
      <c r="AA257" s="7">
        <f ca="1">IFERROR(__xludf.DUMMYFUNCTION("+AA237+AA188"),351337009.87)</f>
        <v>351337009.87</v>
      </c>
      <c r="AB257" s="7">
        <f ca="1">IFERROR(__xludf.DUMMYFUNCTION("+AB237+AB188"),312259192.83)</f>
        <v>312259192.82999998</v>
      </c>
      <c r="AC257" s="7">
        <f ca="1">IFERROR(__xludf.DUMMYFUNCTION("+AC237+AC188"),11265780.48)</f>
        <v>11265780.48</v>
      </c>
      <c r="AD257" s="7">
        <f ca="1">IFERROR(__xludf.DUMMYFUNCTION("+AD237+AD188"),16618866.03)</f>
        <v>16618866.029999999</v>
      </c>
      <c r="AE257" s="7">
        <f ca="1">IFERROR(__xludf.DUMMYFUNCTION("+AE237+AE188"),2241390.11)</f>
        <v>2241390.11</v>
      </c>
      <c r="AF257" s="7">
        <f ca="1">IFERROR(__xludf.DUMMYFUNCTION("+AF237+AF188"),3431505.06)</f>
        <v>3431505.06</v>
      </c>
      <c r="AG257" s="7">
        <f ca="1">IFERROR(__xludf.DUMMYFUNCTION("+AG237+AG188"),8030694.9)</f>
        <v>8030694.9000000004</v>
      </c>
      <c r="AH257" s="7">
        <f ca="1">IFERROR(__xludf.DUMMYFUNCTION("+AH237+AH188"),11751183.36)</f>
        <v>11751183.359999999</v>
      </c>
      <c r="AI257" s="7">
        <f ca="1">IFERROR(__xludf.DUMMYFUNCTION("+AI237+AI188"),5477456.77999999)</f>
        <v>5477456.77999999</v>
      </c>
      <c r="AJ257" s="7">
        <f ca="1">IFERROR(__xludf.DUMMYFUNCTION("+AJ237+AJ188"),3713794.01999999)</f>
        <v>3713794.0199999898</v>
      </c>
      <c r="AK257" s="7">
        <f ca="1">IFERROR(__xludf.DUMMYFUNCTION("+AK237+AK188"),3458406.28)</f>
        <v>3458406.28</v>
      </c>
      <c r="AL257" s="7">
        <f ca="1">IFERROR(__xludf.DUMMYFUNCTION("+AL237+AL188"),4717201.12)</f>
        <v>4717201.12</v>
      </c>
      <c r="AM257" s="7">
        <f ca="1">IFERROR(__xludf.DUMMYFUNCTION("+AM237+AM188"),5240217.44)</f>
        <v>5240217.4400000004</v>
      </c>
      <c r="AN257" s="7">
        <f ca="1">IFERROR(__xludf.DUMMYFUNCTION("+AN237+AN188"),4779906.71)</f>
        <v>4779906.71</v>
      </c>
      <c r="AO257" s="7">
        <f ca="1">IFERROR(__xludf.DUMMYFUNCTION("+AO237+AO188"),50534324.15)</f>
        <v>50534324.149999999</v>
      </c>
      <c r="AP257" s="7">
        <f ca="1">IFERROR(__xludf.DUMMYFUNCTION("+AP237+AP188"),1017751648.26)</f>
        <v>1017751648.26</v>
      </c>
      <c r="AQ257" s="7">
        <f ca="1">IFERROR(__xludf.DUMMYFUNCTION("+AQ237+AQ188"),4492088.36)</f>
        <v>4492088.3600000003</v>
      </c>
      <c r="AR257" s="7">
        <f ca="1">IFERROR(__xludf.DUMMYFUNCTION("+AR237+AR188"),694618771.509999)</f>
        <v>694618771.50999904</v>
      </c>
      <c r="AS257" s="7">
        <f ca="1">IFERROR(__xludf.DUMMYFUNCTION("+AS237+AS188"),79204693.69)</f>
        <v>79204693.689999998</v>
      </c>
      <c r="AT257" s="7">
        <f ca="1">IFERROR(__xludf.DUMMYFUNCTION("+AT237+AT188"),27506168.37)</f>
        <v>27506168.370000001</v>
      </c>
      <c r="AU257" s="7">
        <f ca="1">IFERROR(__xludf.DUMMYFUNCTION("+AU237+AU188"),4626914.62)</f>
        <v>4626914.62</v>
      </c>
      <c r="AV257" s="7">
        <f ca="1">IFERROR(__xludf.DUMMYFUNCTION("+AV237+AV188"),5120477.45)</f>
        <v>5120477.45</v>
      </c>
      <c r="AW257" s="7">
        <f ca="1">IFERROR(__xludf.DUMMYFUNCTION("+AW237+AW188"),4494358.13)</f>
        <v>4494358.13</v>
      </c>
      <c r="AX257" s="7">
        <f ca="1">IFERROR(__xludf.DUMMYFUNCTION("+AX237+AX188"),2057632.03)</f>
        <v>2057632.03</v>
      </c>
      <c r="AY257" s="7">
        <f ca="1">IFERROR(__xludf.DUMMYFUNCTION("+AY237+AY188"),6020645.18)</f>
        <v>6020645.1799999997</v>
      </c>
      <c r="AZ257" s="7">
        <f ca="1">IFERROR(__xludf.DUMMYFUNCTION("+AZ237+AZ188"),142626815.32)</f>
        <v>142626815.31999999</v>
      </c>
      <c r="BA257" s="7">
        <f ca="1">IFERROR(__xludf.DUMMYFUNCTION("+BA237+BA188"),100627416.67)</f>
        <v>100627416.67</v>
      </c>
      <c r="BB257" s="7">
        <f ca="1">IFERROR(__xludf.DUMMYFUNCTION("+BB237+BB188"),83817514.6199999)</f>
        <v>83817514.6199999</v>
      </c>
      <c r="BC257" s="7">
        <f ca="1">IFERROR(__xludf.DUMMYFUNCTION("+BC237+BC188"),282823004.07)</f>
        <v>282823004.06999999</v>
      </c>
      <c r="BD257" s="7">
        <f ca="1">IFERROR(__xludf.DUMMYFUNCTION("+BD237+BD188"),40101015.78)</f>
        <v>40101015.780000001</v>
      </c>
      <c r="BE257" s="7">
        <f ca="1">IFERROR(__xludf.DUMMYFUNCTION("+BE237+BE188"),14211729.34)</f>
        <v>14211729.34</v>
      </c>
      <c r="BF257" s="7">
        <f ca="1">IFERROR(__xludf.DUMMYFUNCTION("+BF237+BF188"),281878750.84)</f>
        <v>281878750.83999997</v>
      </c>
      <c r="BG257" s="7">
        <f ca="1">IFERROR(__xludf.DUMMYFUNCTION("+BG237+BG188"),11992392.61)</f>
        <v>11992392.609999999</v>
      </c>
      <c r="BH257" s="7">
        <f ca="1">IFERROR(__xludf.DUMMYFUNCTION("+BH237+BH188"),7631150.02)</f>
        <v>7631150.0199999996</v>
      </c>
      <c r="BI257" s="7">
        <f ca="1">IFERROR(__xludf.DUMMYFUNCTION("+BI237+BI188"),4655443.62)</f>
        <v>4655443.62</v>
      </c>
      <c r="BJ257" s="7">
        <f ca="1">IFERROR(__xludf.DUMMYFUNCTION("+BJ237+BJ188"),69582892.51)</f>
        <v>69582892.510000005</v>
      </c>
      <c r="BK257" s="7">
        <f ca="1">IFERROR(__xludf.DUMMYFUNCTION("+BK237+BK188"),390364211.15)</f>
        <v>390364211.14999998</v>
      </c>
      <c r="BL257" s="7">
        <f ca="1">IFERROR(__xludf.DUMMYFUNCTION("+BL237+BL188"),1910659.96)</f>
        <v>1910659.96</v>
      </c>
      <c r="BM257" s="7">
        <f ca="1">IFERROR(__xludf.DUMMYFUNCTION("+BM237+BM188"),5385298.12)</f>
        <v>5385298.1200000001</v>
      </c>
      <c r="BN257" s="7">
        <f ca="1">IFERROR(__xludf.DUMMYFUNCTION("+BN237+BN188"),35196799.29)</f>
        <v>35196799.289999999</v>
      </c>
      <c r="BO257" s="7">
        <f ca="1">IFERROR(__xludf.DUMMYFUNCTION("+BO237+BO188"),14707253.09)</f>
        <v>14707253.09</v>
      </c>
      <c r="BP257" s="7">
        <f ca="1">IFERROR(__xludf.DUMMYFUNCTION("+BP237+BP188"),3342513.9)</f>
        <v>3342513.9</v>
      </c>
      <c r="BQ257" s="7">
        <f ca="1">IFERROR(__xludf.DUMMYFUNCTION("+BQ237+BQ188"),73180073.38)</f>
        <v>73180073.379999995</v>
      </c>
      <c r="BR257" s="7">
        <f ca="1">IFERROR(__xludf.DUMMYFUNCTION("+BR237+BR188"),51741414.12)</f>
        <v>51741414.119999997</v>
      </c>
      <c r="BS257" s="7">
        <f ca="1">IFERROR(__xludf.DUMMYFUNCTION("+BS237+BS188"),14896672.88)</f>
        <v>14896672.880000001</v>
      </c>
      <c r="BT257" s="7">
        <f ca="1">IFERROR(__xludf.DUMMYFUNCTION("+BT237+BT188"),5808684.24999999)</f>
        <v>5808684.2499999898</v>
      </c>
      <c r="BU257" s="7">
        <f ca="1">IFERROR(__xludf.DUMMYFUNCTION("+BU237+BU188"),6031635.75)</f>
        <v>6031635.75</v>
      </c>
      <c r="BV257" s="7">
        <f ca="1">IFERROR(__xludf.DUMMYFUNCTION("+BV237+BV188"),14808759.19)</f>
        <v>14808759.189999999</v>
      </c>
      <c r="BW257" s="7">
        <f ca="1">IFERROR(__xludf.DUMMYFUNCTION("+BW237+BW188"),23767201.8099999)</f>
        <v>23767201.809999902</v>
      </c>
      <c r="BX257" s="7">
        <f ca="1">IFERROR(__xludf.DUMMYFUNCTION("+BX237+BX188"),1747493.26)</f>
        <v>1747493.26</v>
      </c>
      <c r="BY257" s="7">
        <f ca="1">IFERROR(__xludf.DUMMYFUNCTION("+BY237+BY188"),5872898.39)</f>
        <v>5872898.3899999997</v>
      </c>
      <c r="BZ257" s="7">
        <f ca="1">IFERROR(__xludf.DUMMYFUNCTION("+BZ237+BZ188"),4027229.55)</f>
        <v>4027229.55</v>
      </c>
      <c r="CA257" s="7">
        <f ca="1">IFERROR(__xludf.DUMMYFUNCTION("+CA237+CA188"),3145296)</f>
        <v>3145296</v>
      </c>
      <c r="CB257" s="7">
        <f ca="1">IFERROR(__xludf.DUMMYFUNCTION("+CB237+CB188"),829325795.82)</f>
        <v>829325795.82000005</v>
      </c>
      <c r="CC257" s="7">
        <f ca="1">IFERROR(__xludf.DUMMYFUNCTION("+CC237+CC188"),3591422.38)</f>
        <v>3591422.38</v>
      </c>
      <c r="CD257" s="7">
        <f ca="1">IFERROR(__xludf.DUMMYFUNCTION("+CD237+CD188"),1002113.67)</f>
        <v>1002113.67</v>
      </c>
      <c r="CE257" s="7">
        <f ca="1">IFERROR(__xludf.DUMMYFUNCTION("+CE237+CE188"),3165905.17)</f>
        <v>3165905.17</v>
      </c>
      <c r="CF257" s="7">
        <f ca="1">IFERROR(__xludf.DUMMYFUNCTION("+CF237+CF188"),2391611.64)</f>
        <v>2391611.64</v>
      </c>
      <c r="CG257" s="7">
        <f ca="1">IFERROR(__xludf.DUMMYFUNCTION("+CG237+CG188"),3672390.33)</f>
        <v>3672390.33</v>
      </c>
      <c r="CH257" s="7">
        <f ca="1">IFERROR(__xludf.DUMMYFUNCTION("+CH237+CH188"),2254948.56)</f>
        <v>2254948.56</v>
      </c>
      <c r="CI257" s="7">
        <f ca="1">IFERROR(__xludf.DUMMYFUNCTION("+CI237+CI188"),8604631.92)</f>
        <v>8604631.9199999999</v>
      </c>
      <c r="CJ257" s="7">
        <f ca="1">IFERROR(__xludf.DUMMYFUNCTION("+CJ237+CJ188"),11489962.68)</f>
        <v>11489962.68</v>
      </c>
      <c r="CK257" s="7">
        <f ca="1">IFERROR(__xludf.DUMMYFUNCTION("+CK237+CK188"),57230299.68)</f>
        <v>57230299.68</v>
      </c>
      <c r="CL257" s="7">
        <f ca="1">IFERROR(__xludf.DUMMYFUNCTION("+CL237+CL188"),15245739.86)</f>
        <v>15245739.859999999</v>
      </c>
      <c r="CM257" s="7">
        <f ca="1">IFERROR(__xludf.DUMMYFUNCTION("+CM237+CM188"),9332190.89)</f>
        <v>9332190.8900000006</v>
      </c>
      <c r="CN257" s="7">
        <f ca="1">IFERROR(__xludf.DUMMYFUNCTION("+CN237+CN188"),346567499.32)</f>
        <v>346567499.31999999</v>
      </c>
      <c r="CO257" s="7">
        <f ca="1">IFERROR(__xludf.DUMMYFUNCTION("+CO237+CO188"),158501756.33)</f>
        <v>158501756.33000001</v>
      </c>
      <c r="CP257" s="7">
        <f ca="1">IFERROR(__xludf.DUMMYFUNCTION("+CP237+CP188"),12173967.7)</f>
        <v>12173967.699999999</v>
      </c>
      <c r="CQ257" s="7">
        <f ca="1">IFERROR(__xludf.DUMMYFUNCTION("+CQ237+CQ188"),10319943.82)</f>
        <v>10319943.82</v>
      </c>
      <c r="CR257" s="7">
        <f ca="1">IFERROR(__xludf.DUMMYFUNCTION("+CR237+CR188"),3879878.58)</f>
        <v>3879878.58</v>
      </c>
      <c r="CS257" s="7">
        <f ca="1">IFERROR(__xludf.DUMMYFUNCTION("+CS237+CS188"),4486541.02)</f>
        <v>4486541.0199999996</v>
      </c>
      <c r="CT257" s="7">
        <f ca="1">IFERROR(__xludf.DUMMYFUNCTION("+CT237+CT188"),2570076.59)</f>
        <v>2570076.59</v>
      </c>
      <c r="CU257" s="7">
        <f ca="1">IFERROR(__xludf.DUMMYFUNCTION("+CU237+CU188"),5447546.14)</f>
        <v>5447546.1399999997</v>
      </c>
      <c r="CV257" s="7">
        <f ca="1">IFERROR(__xludf.DUMMYFUNCTION("+CV237+CV188"),1176684.73)</f>
        <v>1176684.73</v>
      </c>
      <c r="CW257" s="7">
        <f ca="1">IFERROR(__xludf.DUMMYFUNCTION("+CW237+CW188"),3791096.75)</f>
        <v>3791096.75</v>
      </c>
      <c r="CX257" s="7">
        <f ca="1">IFERROR(__xludf.DUMMYFUNCTION("+CX237+CX188"),6133963.31999999)</f>
        <v>6133963.3199999901</v>
      </c>
      <c r="CY257" s="7">
        <f ca="1">IFERROR(__xludf.DUMMYFUNCTION("+CY237+CY188"),1248005.03)</f>
        <v>1248005.03</v>
      </c>
      <c r="CZ257" s="7">
        <f ca="1">IFERROR(__xludf.DUMMYFUNCTION("+CZ237+CZ188"),21008137.97)</f>
        <v>21008137.969999999</v>
      </c>
      <c r="DA257" s="7">
        <f ca="1">IFERROR(__xludf.DUMMYFUNCTION("+DA237+DA188"),3739031.96999999)</f>
        <v>3739031.96999999</v>
      </c>
      <c r="DB257" s="7">
        <f ca="1">IFERROR(__xludf.DUMMYFUNCTION("+DB237+DB188"),4880964.34)</f>
        <v>4880964.34</v>
      </c>
      <c r="DC257" s="7">
        <f ca="1">IFERROR(__xludf.DUMMYFUNCTION("+DC237+DC188"),3660350.21)</f>
        <v>3660350.21</v>
      </c>
      <c r="DD257" s="7">
        <f ca="1">IFERROR(__xludf.DUMMYFUNCTION("+DD237+DD188"),3579436.51)</f>
        <v>3579436.51</v>
      </c>
      <c r="DE257" s="7">
        <f ca="1">IFERROR(__xludf.DUMMYFUNCTION("+DE237+DE188"),4615219.92)</f>
        <v>4615219.92</v>
      </c>
      <c r="DF257" s="7">
        <f ca="1">IFERROR(__xludf.DUMMYFUNCTION("+DF237+DF188"),229732560.37)</f>
        <v>229732560.37</v>
      </c>
      <c r="DG257" s="7">
        <f ca="1">IFERROR(__xludf.DUMMYFUNCTION("+DG237+DG188"),2234952.04)</f>
        <v>2234952.04</v>
      </c>
      <c r="DH257" s="7">
        <f ca="1">IFERROR(__xludf.DUMMYFUNCTION("+DH237+DH188"),20650989.93)</f>
        <v>20650989.93</v>
      </c>
      <c r="DI257" s="7">
        <f ca="1">IFERROR(__xludf.DUMMYFUNCTION("+DI237+DI188"),28043177.52)</f>
        <v>28043177.52</v>
      </c>
      <c r="DJ257" s="7">
        <f ca="1">IFERROR(__xludf.DUMMYFUNCTION("+DJ237+DJ188"),8211576.39999999)</f>
        <v>8211576.3999999901</v>
      </c>
      <c r="DK257" s="7">
        <f ca="1">IFERROR(__xludf.DUMMYFUNCTION("+DK237+DK188"),6295019.49999999)</f>
        <v>6295019.4999999898</v>
      </c>
      <c r="DL257" s="7">
        <f ca="1">IFERROR(__xludf.DUMMYFUNCTION("+DL237+DL188"),66823620.41)</f>
        <v>66823620.409999996</v>
      </c>
      <c r="DM257" s="7">
        <f ca="1">IFERROR(__xludf.DUMMYFUNCTION("+DM237+DM188"),4440075.55)</f>
        <v>4440075.55</v>
      </c>
      <c r="DN257" s="7">
        <f ca="1">IFERROR(__xludf.DUMMYFUNCTION("+DN237+DN188"),16075280.2299999)</f>
        <v>16075280.2299999</v>
      </c>
      <c r="DO257" s="7">
        <f ca="1">IFERROR(__xludf.DUMMYFUNCTION("+DO237+DO188"),38630398.16)</f>
        <v>38630398.159999996</v>
      </c>
      <c r="DP257" s="7">
        <f ca="1">IFERROR(__xludf.DUMMYFUNCTION("+DP237+DP188"),3881904.38)</f>
        <v>3881904.38</v>
      </c>
      <c r="DQ257" s="7">
        <f ca="1">IFERROR(__xludf.DUMMYFUNCTION("+DQ237+DQ188"),11138997.6)</f>
        <v>11138997.6</v>
      </c>
      <c r="DR257" s="7">
        <f ca="1">IFERROR(__xludf.DUMMYFUNCTION("+DR237+DR188"),16125868.59)</f>
        <v>16125868.59</v>
      </c>
      <c r="DS257" s="7">
        <f ca="1">IFERROR(__xludf.DUMMYFUNCTION("+DS237+DS188"),8220717.54)</f>
        <v>8220717.54</v>
      </c>
      <c r="DT257" s="7">
        <f ca="1">IFERROR(__xludf.DUMMYFUNCTION("+DT237+DT188"),3708126.51)</f>
        <v>3708126.51</v>
      </c>
      <c r="DU257" s="7">
        <f ca="1">IFERROR(__xludf.DUMMYFUNCTION("+DU237+DU188"),5288530.89)</f>
        <v>5288530.8899999997</v>
      </c>
      <c r="DV257" s="7">
        <f ca="1">IFERROR(__xludf.DUMMYFUNCTION("+DV237+DV188"),3870179.44)</f>
        <v>3870179.44</v>
      </c>
      <c r="DW257" s="7">
        <f ca="1">IFERROR(__xludf.DUMMYFUNCTION("+DW237+DW188"),4762020.52)</f>
        <v>4762020.5199999996</v>
      </c>
      <c r="DX257" s="7">
        <f ca="1">IFERROR(__xludf.DUMMYFUNCTION("+DX237+DX188"),3811652.82)</f>
        <v>3811652.82</v>
      </c>
      <c r="DY257" s="7">
        <f ca="1">IFERROR(__xludf.DUMMYFUNCTION("+DY237+DY188"),5093286.76)</f>
        <v>5093286.76</v>
      </c>
      <c r="DZ257" s="7">
        <f ca="1">IFERROR(__xludf.DUMMYFUNCTION("+DZ237+DZ188"),9153990.49)</f>
        <v>9153990.4900000002</v>
      </c>
      <c r="EA257" s="7">
        <f ca="1">IFERROR(__xludf.DUMMYFUNCTION("+EA237+EA188"),7265995.8)</f>
        <v>7265995.7999999998</v>
      </c>
      <c r="EB257" s="7">
        <f ca="1">IFERROR(__xludf.DUMMYFUNCTION("+EB237+EB188"),7038996.62999999)</f>
        <v>7038996.6299999896</v>
      </c>
      <c r="EC257" s="7">
        <f ca="1">IFERROR(__xludf.DUMMYFUNCTION("+EC237+EC188"),4335034.81)</f>
        <v>4335034.8099999996</v>
      </c>
      <c r="ED257" s="7">
        <f ca="1">IFERROR(__xludf.DUMMYFUNCTION("+ED237+ED188"),23689244.56)</f>
        <v>23689244.559999999</v>
      </c>
      <c r="EE257" s="7">
        <f ca="1">IFERROR(__xludf.DUMMYFUNCTION("+EE237+EE188"),3687045.68)</f>
        <v>3687045.68</v>
      </c>
      <c r="EF257" s="7">
        <f ca="1">IFERROR(__xludf.DUMMYFUNCTION("+EF237+EF188"),16370469.2399999)</f>
        <v>16370469.2399999</v>
      </c>
      <c r="EG257" s="7">
        <f ca="1">IFERROR(__xludf.DUMMYFUNCTION("+EG237+EG188"),4175170.92999999)</f>
        <v>4175170.9299999899</v>
      </c>
      <c r="EH257" s="7">
        <f ca="1">IFERROR(__xludf.DUMMYFUNCTION("+EH237+EH188"),4140789.67999999)</f>
        <v>4140789.6799999899</v>
      </c>
      <c r="EI257" s="7">
        <f ca="1">IFERROR(__xludf.DUMMYFUNCTION("+EI237+EI188"),162554647.53)</f>
        <v>162554647.53</v>
      </c>
      <c r="EJ257" s="7">
        <f ca="1">IFERROR(__xludf.DUMMYFUNCTION("+EJ237+EJ188"),112123605.77)</f>
        <v>112123605.77</v>
      </c>
      <c r="EK257" s="7">
        <f ca="1">IFERROR(__xludf.DUMMYFUNCTION("+EK237+EK188"),8375153.32999999)</f>
        <v>8375153.3299999898</v>
      </c>
      <c r="EL257" s="7">
        <f ca="1">IFERROR(__xludf.DUMMYFUNCTION("+EL237+EL188"),5899050.43999999)</f>
        <v>5899050.4399999902</v>
      </c>
      <c r="EM257" s="7">
        <f ca="1">IFERROR(__xludf.DUMMYFUNCTION("+EM237+EM188"),5485560.56)</f>
        <v>5485560.5599999996</v>
      </c>
      <c r="EN257" s="7">
        <f ca="1">IFERROR(__xludf.DUMMYFUNCTION("+EN237+EN188"),11829639.6399999)</f>
        <v>11829639.6399999</v>
      </c>
      <c r="EO257" s="7">
        <f ca="1">IFERROR(__xludf.DUMMYFUNCTION("+EO237+EO188"),4726223.44)</f>
        <v>4726223.4400000004</v>
      </c>
      <c r="EP257" s="7">
        <f ca="1">IFERROR(__xludf.DUMMYFUNCTION("+EP237+EP188"),6204234.51)</f>
        <v>6204234.5099999998</v>
      </c>
      <c r="EQ257" s="7">
        <f ca="1">IFERROR(__xludf.DUMMYFUNCTION("+EQ237+EQ188"),30746048.29)</f>
        <v>30746048.289999999</v>
      </c>
      <c r="ER257" s="7">
        <f ca="1">IFERROR(__xludf.DUMMYFUNCTION("+ER237+ER188"),5131906.5)</f>
        <v>5131906.5</v>
      </c>
      <c r="ES257" s="7">
        <f ca="1">IFERROR(__xludf.DUMMYFUNCTION("+ES237+ES188"),3333873.99)</f>
        <v>3333873.99</v>
      </c>
      <c r="ET257" s="7">
        <f ca="1">IFERROR(__xludf.DUMMYFUNCTION("+ET237+ET188"),4356324.13)</f>
        <v>4356324.13</v>
      </c>
      <c r="EU257" s="7">
        <f ca="1">IFERROR(__xludf.DUMMYFUNCTION("+EU237+EU188"),7963315.68)</f>
        <v>7963315.6799999997</v>
      </c>
      <c r="EV257" s="7">
        <f ca="1">IFERROR(__xludf.DUMMYFUNCTION("+EV237+EV188"),1890492.83)</f>
        <v>1890492.83</v>
      </c>
      <c r="EW257" s="7">
        <f ca="1">IFERROR(__xludf.DUMMYFUNCTION("+EW237+EW188"),13309322.11)</f>
        <v>13309322.109999999</v>
      </c>
      <c r="EX257" s="7">
        <f ca="1">IFERROR(__xludf.DUMMYFUNCTION("+EX237+EX188"),3791058.94999999)</f>
        <v>3791058.9499999899</v>
      </c>
      <c r="EY257" s="7">
        <f ca="1">IFERROR(__xludf.DUMMYFUNCTION("+EY237+EY188"),7759567.24)</f>
        <v>7759567.2400000002</v>
      </c>
      <c r="EZ257" s="7">
        <f ca="1">IFERROR(__xludf.DUMMYFUNCTION("+EZ237+EZ188"),2820167.82)</f>
        <v>2820167.82</v>
      </c>
      <c r="FA257" s="7">
        <f ca="1">IFERROR(__xludf.DUMMYFUNCTION("+FA237+FA188"),42112505.41)</f>
        <v>42112505.409999996</v>
      </c>
      <c r="FB257" s="7">
        <f ca="1">IFERROR(__xludf.DUMMYFUNCTION("+FB237+FB188"),4797387.76)</f>
        <v>4797387.76</v>
      </c>
      <c r="FC257" s="7">
        <f ca="1">IFERROR(__xludf.DUMMYFUNCTION("+FC237+FC188"),21147856.9199999)</f>
        <v>21147856.919999901</v>
      </c>
      <c r="FD257" s="7">
        <f ca="1">IFERROR(__xludf.DUMMYFUNCTION("+FD237+FD188"),5770108.44)</f>
        <v>5770108.4400000004</v>
      </c>
      <c r="FE257" s="7">
        <f ca="1">IFERROR(__xludf.DUMMYFUNCTION("+FE237+FE188"),1963010.65)</f>
        <v>1963010.65</v>
      </c>
      <c r="FF257" s="7">
        <f ca="1">IFERROR(__xludf.DUMMYFUNCTION("+FF237+FF188"),3691748.16)</f>
        <v>3691748.16</v>
      </c>
      <c r="FG257" s="7">
        <f ca="1">IFERROR(__xludf.DUMMYFUNCTION("+FG237+FG188"),2729985.41)</f>
        <v>2729985.41</v>
      </c>
      <c r="FH257" s="7">
        <f ca="1">IFERROR(__xludf.DUMMYFUNCTION("+FH237+FH188"),1718391.59999999)</f>
        <v>1718391.5999999901</v>
      </c>
      <c r="FI257" s="7">
        <f ca="1">IFERROR(__xludf.DUMMYFUNCTION("+FI237+FI188"),20423007.29)</f>
        <v>20423007.289999999</v>
      </c>
      <c r="FJ257" s="7">
        <f ca="1">IFERROR(__xludf.DUMMYFUNCTION("+FJ237+FJ188"),22797589.83)</f>
        <v>22797589.829999998</v>
      </c>
      <c r="FK257" s="7">
        <f ca="1">IFERROR(__xludf.DUMMYFUNCTION("+FK237+FK188"),29294622.9399999)</f>
        <v>29294622.939999901</v>
      </c>
      <c r="FL257" s="7">
        <f ca="1">IFERROR(__xludf.DUMMYFUNCTION("+FL237+FL188"),94168128.03)</f>
        <v>94168128.030000001</v>
      </c>
      <c r="FM257" s="7">
        <f ca="1">IFERROR(__xludf.DUMMYFUNCTION("+FM237+FM188"),44634765.0199999)</f>
        <v>44634765.019999899</v>
      </c>
      <c r="FN257" s="7">
        <f ca="1">IFERROR(__xludf.DUMMYFUNCTION("+FN237+FN188"),263482240.59)</f>
        <v>263482240.59</v>
      </c>
      <c r="FO257" s="7">
        <f ca="1">IFERROR(__xludf.DUMMYFUNCTION("+FO237+FO188"),13522225.61)</f>
        <v>13522225.609999999</v>
      </c>
      <c r="FP257" s="7">
        <f ca="1">IFERROR(__xludf.DUMMYFUNCTION("+FP237+FP188"),27763436.34)</f>
        <v>27763436.34</v>
      </c>
      <c r="FQ257" s="7">
        <f ca="1">IFERROR(__xludf.DUMMYFUNCTION("+FQ237+FQ188"),12038652.4)</f>
        <v>12038652.4</v>
      </c>
      <c r="FR257" s="7">
        <f ca="1">IFERROR(__xludf.DUMMYFUNCTION("+FR237+FR188"),3396557.44)</f>
        <v>3396557.44</v>
      </c>
      <c r="FS257" s="7">
        <f ca="1">IFERROR(__xludf.DUMMYFUNCTION("+FS237+FS188"),3389803.97)</f>
        <v>3389803.97</v>
      </c>
      <c r="FT257" s="7">
        <f ca="1">IFERROR(__xludf.DUMMYFUNCTION("+FT237+FT188"),1489181.21)</f>
        <v>1489181.21</v>
      </c>
      <c r="FU257" s="7">
        <f ca="1">IFERROR(__xludf.DUMMYFUNCTION("+FU237+FU188"),10636237.18)</f>
        <v>10636237.18</v>
      </c>
      <c r="FV257" s="7">
        <f ca="1">IFERROR(__xludf.DUMMYFUNCTION("+FV237+FV188"),9131296.11)</f>
        <v>9131296.1099999994</v>
      </c>
      <c r="FW257" s="7">
        <f ca="1">IFERROR(__xludf.DUMMYFUNCTION("+FW237+FW188"),3213284.85)</f>
        <v>3213284.85</v>
      </c>
      <c r="FX257" s="7">
        <f ca="1">IFERROR(__xludf.DUMMYFUNCTION("+FX237+FX188"),1701192.38)</f>
        <v>1701192.38</v>
      </c>
      <c r="FY257" s="7"/>
      <c r="FZ257" s="7">
        <f t="shared" ref="FZ257:FZ259" ca="1" si="124">SUM(C257:FX257)</f>
        <v>9932152011.5700016</v>
      </c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</row>
    <row r="258" spans="1:193" ht="15.5" x14ac:dyDescent="0.35">
      <c r="A258" s="12" t="s">
        <v>675</v>
      </c>
      <c r="B258" s="7" t="s">
        <v>1032</v>
      </c>
      <c r="C258" s="7">
        <f t="shared" ref="C258:FX258" ca="1" si="125">C253</f>
        <v>0</v>
      </c>
      <c r="D258" s="7">
        <f t="shared" ca="1" si="125"/>
        <v>0</v>
      </c>
      <c r="E258" s="7">
        <f t="shared" ca="1" si="125"/>
        <v>380707.28</v>
      </c>
      <c r="F258" s="7">
        <f t="shared" ca="1" si="125"/>
        <v>288779.06</v>
      </c>
      <c r="G258" s="7">
        <f t="shared" ca="1" si="125"/>
        <v>0</v>
      </c>
      <c r="H258" s="7">
        <f t="shared" ca="1" si="125"/>
        <v>0</v>
      </c>
      <c r="I258" s="7">
        <f t="shared" ca="1" si="125"/>
        <v>496790.34</v>
      </c>
      <c r="J258" s="7">
        <f t="shared" ca="1" si="125"/>
        <v>0</v>
      </c>
      <c r="K258" s="7">
        <f t="shared" ca="1" si="125"/>
        <v>11142.06</v>
      </c>
      <c r="L258" s="7">
        <f t="shared" ca="1" si="125"/>
        <v>0</v>
      </c>
      <c r="M258" s="7">
        <f t="shared" ca="1" si="125"/>
        <v>0</v>
      </c>
      <c r="N258" s="7">
        <f t="shared" ca="1" si="125"/>
        <v>0</v>
      </c>
      <c r="O258" s="7">
        <f t="shared" ca="1" si="125"/>
        <v>0</v>
      </c>
      <c r="P258" s="7">
        <f t="shared" ca="1" si="125"/>
        <v>0</v>
      </c>
      <c r="Q258" s="7">
        <f t="shared" ca="1" si="125"/>
        <v>0</v>
      </c>
      <c r="R258" s="7">
        <f t="shared" ca="1" si="125"/>
        <v>0</v>
      </c>
      <c r="S258" s="7">
        <f t="shared" ca="1" si="125"/>
        <v>0</v>
      </c>
      <c r="T258" s="7">
        <f t="shared" ca="1" si="125"/>
        <v>0</v>
      </c>
      <c r="U258" s="7">
        <f t="shared" ca="1" si="125"/>
        <v>0</v>
      </c>
      <c r="V258" s="7">
        <f t="shared" ca="1" si="125"/>
        <v>0</v>
      </c>
      <c r="W258" s="7">
        <f t="shared" ca="1" si="125"/>
        <v>241107.55</v>
      </c>
      <c r="X258" s="7">
        <f t="shared" ca="1" si="125"/>
        <v>0</v>
      </c>
      <c r="Y258" s="7">
        <f t="shared" ca="1" si="125"/>
        <v>0</v>
      </c>
      <c r="Z258" s="7">
        <f t="shared" ca="1" si="125"/>
        <v>0</v>
      </c>
      <c r="AA258" s="7">
        <f t="shared" ca="1" si="125"/>
        <v>1075390.24</v>
      </c>
      <c r="AB258" s="7">
        <f t="shared" ca="1" si="125"/>
        <v>523612.51</v>
      </c>
      <c r="AC258" s="7">
        <f t="shared" ca="1" si="125"/>
        <v>0</v>
      </c>
      <c r="AD258" s="7">
        <f t="shared" ca="1" si="125"/>
        <v>0</v>
      </c>
      <c r="AE258" s="7">
        <f t="shared" ca="1" si="125"/>
        <v>0</v>
      </c>
      <c r="AF258" s="7">
        <f t="shared" ca="1" si="125"/>
        <v>0</v>
      </c>
      <c r="AG258" s="7">
        <f t="shared" ca="1" si="125"/>
        <v>0</v>
      </c>
      <c r="AH258" s="7">
        <f t="shared" ca="1" si="125"/>
        <v>0</v>
      </c>
      <c r="AI258" s="7">
        <f t="shared" ca="1" si="125"/>
        <v>0</v>
      </c>
      <c r="AJ258" s="7">
        <f t="shared" ca="1" si="125"/>
        <v>0</v>
      </c>
      <c r="AK258" s="7">
        <f t="shared" ca="1" si="125"/>
        <v>0</v>
      </c>
      <c r="AL258" s="7">
        <f t="shared" ca="1" si="125"/>
        <v>0</v>
      </c>
      <c r="AM258" s="7">
        <f t="shared" ca="1" si="125"/>
        <v>0</v>
      </c>
      <c r="AN258" s="7">
        <f t="shared" ca="1" si="125"/>
        <v>0</v>
      </c>
      <c r="AO258" s="7">
        <f t="shared" ca="1" si="125"/>
        <v>0</v>
      </c>
      <c r="AP258" s="7">
        <f t="shared" ca="1" si="125"/>
        <v>1754607.65</v>
      </c>
      <c r="AQ258" s="7">
        <f t="shared" ca="1" si="125"/>
        <v>0</v>
      </c>
      <c r="AR258" s="7">
        <f t="shared" ca="1" si="125"/>
        <v>0</v>
      </c>
      <c r="AS258" s="7">
        <f t="shared" ca="1" si="125"/>
        <v>95145.44</v>
      </c>
      <c r="AT258" s="7">
        <f t="shared" ca="1" si="125"/>
        <v>0</v>
      </c>
      <c r="AU258" s="7">
        <f t="shared" ca="1" si="125"/>
        <v>49003.56</v>
      </c>
      <c r="AV258" s="7">
        <f t="shared" ca="1" si="125"/>
        <v>0</v>
      </c>
      <c r="AW258" s="7">
        <f t="shared" ca="1" si="125"/>
        <v>0</v>
      </c>
      <c r="AX258" s="7">
        <f t="shared" ca="1" si="125"/>
        <v>0</v>
      </c>
      <c r="AY258" s="7">
        <f t="shared" ca="1" si="125"/>
        <v>0</v>
      </c>
      <c r="AZ258" s="7">
        <f t="shared" ca="1" si="125"/>
        <v>0</v>
      </c>
      <c r="BA258" s="7">
        <f t="shared" ca="1" si="125"/>
        <v>0</v>
      </c>
      <c r="BB258" s="7">
        <f t="shared" ca="1" si="125"/>
        <v>0</v>
      </c>
      <c r="BC258" s="7">
        <f t="shared" ca="1" si="125"/>
        <v>0</v>
      </c>
      <c r="BD258" s="7">
        <f t="shared" ca="1" si="125"/>
        <v>0</v>
      </c>
      <c r="BE258" s="7">
        <f t="shared" ca="1" si="125"/>
        <v>0</v>
      </c>
      <c r="BF258" s="7">
        <f t="shared" ca="1" si="125"/>
        <v>0</v>
      </c>
      <c r="BG258" s="7">
        <f t="shared" ca="1" si="125"/>
        <v>0</v>
      </c>
      <c r="BH258" s="7">
        <f t="shared" ca="1" si="125"/>
        <v>0</v>
      </c>
      <c r="BI258" s="7">
        <f t="shared" ca="1" si="125"/>
        <v>0</v>
      </c>
      <c r="BJ258" s="7">
        <f t="shared" ca="1" si="125"/>
        <v>0</v>
      </c>
      <c r="BK258" s="7">
        <f t="shared" ca="1" si="125"/>
        <v>294890.12</v>
      </c>
      <c r="BL258" s="7">
        <f t="shared" ca="1" si="125"/>
        <v>57299.13</v>
      </c>
      <c r="BM258" s="7">
        <f t="shared" ca="1" si="125"/>
        <v>50905.57</v>
      </c>
      <c r="BN258" s="7">
        <f t="shared" ca="1" si="125"/>
        <v>0</v>
      </c>
      <c r="BO258" s="7">
        <f t="shared" ca="1" si="125"/>
        <v>0</v>
      </c>
      <c r="BP258" s="7">
        <f t="shared" ca="1" si="125"/>
        <v>0</v>
      </c>
      <c r="BQ258" s="7">
        <f t="shared" ca="1" si="125"/>
        <v>0</v>
      </c>
      <c r="BR258" s="7">
        <f t="shared" ca="1" si="125"/>
        <v>97546.98</v>
      </c>
      <c r="BS258" s="7">
        <f t="shared" ca="1" si="125"/>
        <v>0</v>
      </c>
      <c r="BT258" s="7">
        <f t="shared" ca="1" si="125"/>
        <v>0</v>
      </c>
      <c r="BU258" s="7">
        <f t="shared" ca="1" si="125"/>
        <v>0</v>
      </c>
      <c r="BV258" s="7">
        <f t="shared" ca="1" si="125"/>
        <v>0</v>
      </c>
      <c r="BW258" s="7">
        <f t="shared" ca="1" si="125"/>
        <v>0</v>
      </c>
      <c r="BX258" s="7">
        <f t="shared" ca="1" si="125"/>
        <v>0</v>
      </c>
      <c r="BY258" s="7">
        <f t="shared" ca="1" si="125"/>
        <v>353537.03</v>
      </c>
      <c r="BZ258" s="7">
        <f t="shared" ca="1" si="125"/>
        <v>0</v>
      </c>
      <c r="CA258" s="7">
        <f t="shared" ca="1" si="125"/>
        <v>0</v>
      </c>
      <c r="CB258" s="7">
        <f t="shared" ca="1" si="125"/>
        <v>0</v>
      </c>
      <c r="CC258" s="7">
        <f t="shared" ca="1" si="125"/>
        <v>0</v>
      </c>
      <c r="CD258" s="7">
        <f t="shared" ca="1" si="125"/>
        <v>209830.73</v>
      </c>
      <c r="CE258" s="7">
        <f t="shared" ca="1" si="125"/>
        <v>0</v>
      </c>
      <c r="CF258" s="7">
        <f t="shared" ca="1" si="125"/>
        <v>0</v>
      </c>
      <c r="CG258" s="7">
        <f t="shared" ca="1" si="125"/>
        <v>0</v>
      </c>
      <c r="CH258" s="7">
        <f t="shared" ca="1" si="125"/>
        <v>0</v>
      </c>
      <c r="CI258" s="7">
        <f t="shared" ca="1" si="125"/>
        <v>0</v>
      </c>
      <c r="CJ258" s="7">
        <f t="shared" ca="1" si="125"/>
        <v>0</v>
      </c>
      <c r="CK258" s="7">
        <f t="shared" ca="1" si="125"/>
        <v>0</v>
      </c>
      <c r="CL258" s="7">
        <f t="shared" ca="1" si="125"/>
        <v>0</v>
      </c>
      <c r="CM258" s="7">
        <f t="shared" ca="1" si="125"/>
        <v>0</v>
      </c>
      <c r="CN258" s="7">
        <f t="shared" ca="1" si="125"/>
        <v>0</v>
      </c>
      <c r="CO258" s="7">
        <f t="shared" ca="1" si="125"/>
        <v>0</v>
      </c>
      <c r="CP258" s="7">
        <f t="shared" ca="1" si="125"/>
        <v>0</v>
      </c>
      <c r="CQ258" s="7">
        <f t="shared" ca="1" si="125"/>
        <v>0</v>
      </c>
      <c r="CR258" s="7">
        <f t="shared" ca="1" si="125"/>
        <v>0</v>
      </c>
      <c r="CS258" s="7">
        <f t="shared" ca="1" si="125"/>
        <v>0</v>
      </c>
      <c r="CT258" s="7">
        <f t="shared" ca="1" si="125"/>
        <v>0</v>
      </c>
      <c r="CU258" s="7">
        <f t="shared" ca="1" si="125"/>
        <v>0</v>
      </c>
      <c r="CV258" s="7">
        <f t="shared" ca="1" si="125"/>
        <v>0</v>
      </c>
      <c r="CW258" s="7">
        <f t="shared" ca="1" si="125"/>
        <v>0</v>
      </c>
      <c r="CX258" s="7">
        <f t="shared" ca="1" si="125"/>
        <v>0</v>
      </c>
      <c r="CY258" s="7">
        <f t="shared" ca="1" si="125"/>
        <v>0</v>
      </c>
      <c r="CZ258" s="7">
        <f t="shared" ca="1" si="125"/>
        <v>0</v>
      </c>
      <c r="DA258" s="7">
        <f t="shared" ca="1" si="125"/>
        <v>0</v>
      </c>
      <c r="DB258" s="7">
        <f t="shared" ca="1" si="125"/>
        <v>0</v>
      </c>
      <c r="DC258" s="7">
        <f t="shared" ca="1" si="125"/>
        <v>0</v>
      </c>
      <c r="DD258" s="7">
        <f t="shared" ca="1" si="125"/>
        <v>0</v>
      </c>
      <c r="DE258" s="7">
        <f t="shared" ca="1" si="125"/>
        <v>0</v>
      </c>
      <c r="DF258" s="7">
        <f t="shared" ca="1" si="125"/>
        <v>0</v>
      </c>
      <c r="DG258" s="7">
        <f t="shared" ca="1" si="125"/>
        <v>0</v>
      </c>
      <c r="DH258" s="7">
        <f t="shared" ca="1" si="125"/>
        <v>0</v>
      </c>
      <c r="DI258" s="7">
        <f t="shared" ca="1" si="125"/>
        <v>0</v>
      </c>
      <c r="DJ258" s="7">
        <f t="shared" ca="1" si="125"/>
        <v>0</v>
      </c>
      <c r="DK258" s="7">
        <f t="shared" ca="1" si="125"/>
        <v>0</v>
      </c>
      <c r="DL258" s="7">
        <f t="shared" ca="1" si="125"/>
        <v>0</v>
      </c>
      <c r="DM258" s="7">
        <f t="shared" ca="1" si="125"/>
        <v>0</v>
      </c>
      <c r="DN258" s="7">
        <f t="shared" ca="1" si="125"/>
        <v>0</v>
      </c>
      <c r="DO258" s="7">
        <f t="shared" ca="1" si="125"/>
        <v>0</v>
      </c>
      <c r="DP258" s="7">
        <f t="shared" ca="1" si="125"/>
        <v>0</v>
      </c>
      <c r="DQ258" s="7">
        <f t="shared" ca="1" si="125"/>
        <v>0</v>
      </c>
      <c r="DR258" s="7">
        <f t="shared" ca="1" si="125"/>
        <v>0</v>
      </c>
      <c r="DS258" s="7">
        <f t="shared" ca="1" si="125"/>
        <v>0</v>
      </c>
      <c r="DT258" s="7">
        <f t="shared" ca="1" si="125"/>
        <v>0</v>
      </c>
      <c r="DU258" s="7">
        <f t="shared" ca="1" si="125"/>
        <v>0</v>
      </c>
      <c r="DV258" s="7">
        <f t="shared" ca="1" si="125"/>
        <v>0</v>
      </c>
      <c r="DW258" s="7">
        <f t="shared" ca="1" si="125"/>
        <v>0</v>
      </c>
      <c r="DX258" s="7">
        <f t="shared" ca="1" si="125"/>
        <v>0</v>
      </c>
      <c r="DY258" s="7">
        <f t="shared" ca="1" si="125"/>
        <v>0</v>
      </c>
      <c r="DZ258" s="7">
        <f t="shared" ca="1" si="125"/>
        <v>0</v>
      </c>
      <c r="EA258" s="7">
        <f t="shared" ca="1" si="125"/>
        <v>0</v>
      </c>
      <c r="EB258" s="7">
        <f t="shared" ca="1" si="125"/>
        <v>0</v>
      </c>
      <c r="EC258" s="7">
        <f t="shared" ca="1" si="125"/>
        <v>0</v>
      </c>
      <c r="ED258" s="7">
        <f t="shared" ca="1" si="125"/>
        <v>0</v>
      </c>
      <c r="EE258" s="7">
        <f t="shared" ca="1" si="125"/>
        <v>0</v>
      </c>
      <c r="EF258" s="7">
        <f t="shared" ca="1" si="125"/>
        <v>0</v>
      </c>
      <c r="EG258" s="7">
        <f t="shared" ca="1" si="125"/>
        <v>0</v>
      </c>
      <c r="EH258" s="7">
        <f t="shared" ca="1" si="125"/>
        <v>0</v>
      </c>
      <c r="EI258" s="7">
        <f t="shared" ca="1" si="125"/>
        <v>0</v>
      </c>
      <c r="EJ258" s="7">
        <f t="shared" ca="1" si="125"/>
        <v>0</v>
      </c>
      <c r="EK258" s="7">
        <f t="shared" ca="1" si="125"/>
        <v>0</v>
      </c>
      <c r="EL258" s="7">
        <f t="shared" ca="1" si="125"/>
        <v>0</v>
      </c>
      <c r="EM258" s="7">
        <f t="shared" ca="1" si="125"/>
        <v>0</v>
      </c>
      <c r="EN258" s="7">
        <f t="shared" ca="1" si="125"/>
        <v>0</v>
      </c>
      <c r="EO258" s="7">
        <f t="shared" ca="1" si="125"/>
        <v>0</v>
      </c>
      <c r="EP258" s="7">
        <f t="shared" ca="1" si="125"/>
        <v>0</v>
      </c>
      <c r="EQ258" s="7">
        <f t="shared" ca="1" si="125"/>
        <v>0</v>
      </c>
      <c r="ER258" s="7">
        <f t="shared" ca="1" si="125"/>
        <v>0</v>
      </c>
      <c r="ES258" s="7">
        <f t="shared" ca="1" si="125"/>
        <v>19919.82</v>
      </c>
      <c r="ET258" s="7">
        <f t="shared" ca="1" si="125"/>
        <v>0</v>
      </c>
      <c r="EU258" s="7">
        <f t="shared" ca="1" si="125"/>
        <v>0</v>
      </c>
      <c r="EV258" s="7">
        <f t="shared" ca="1" si="125"/>
        <v>0</v>
      </c>
      <c r="EW258" s="7">
        <f t="shared" ca="1" si="125"/>
        <v>0</v>
      </c>
      <c r="EX258" s="7">
        <f t="shared" ca="1" si="125"/>
        <v>0</v>
      </c>
      <c r="EY258" s="7">
        <f t="shared" ca="1" si="125"/>
        <v>0</v>
      </c>
      <c r="EZ258" s="7">
        <f t="shared" ca="1" si="125"/>
        <v>0</v>
      </c>
      <c r="FA258" s="7">
        <f t="shared" ca="1" si="125"/>
        <v>0</v>
      </c>
      <c r="FB258" s="7">
        <f t="shared" ca="1" si="125"/>
        <v>0</v>
      </c>
      <c r="FC258" s="7">
        <f t="shared" ca="1" si="125"/>
        <v>0</v>
      </c>
      <c r="FD258" s="7">
        <f t="shared" ca="1" si="125"/>
        <v>0</v>
      </c>
      <c r="FE258" s="7">
        <f t="shared" ca="1" si="125"/>
        <v>0</v>
      </c>
      <c r="FF258" s="7">
        <f t="shared" ca="1" si="125"/>
        <v>0</v>
      </c>
      <c r="FG258" s="7">
        <f t="shared" ca="1" si="125"/>
        <v>0</v>
      </c>
      <c r="FH258" s="7">
        <f t="shared" ca="1" si="125"/>
        <v>0</v>
      </c>
      <c r="FI258" s="7">
        <f t="shared" ca="1" si="125"/>
        <v>20696.39</v>
      </c>
      <c r="FJ258" s="7">
        <f t="shared" ca="1" si="125"/>
        <v>0</v>
      </c>
      <c r="FK258" s="7">
        <f t="shared" ca="1" si="125"/>
        <v>0</v>
      </c>
      <c r="FL258" s="7">
        <f t="shared" ca="1" si="125"/>
        <v>0</v>
      </c>
      <c r="FM258" s="7">
        <f t="shared" ca="1" si="125"/>
        <v>0</v>
      </c>
      <c r="FN258" s="7">
        <f t="shared" ca="1" si="125"/>
        <v>0</v>
      </c>
      <c r="FO258" s="7">
        <f t="shared" ca="1" si="125"/>
        <v>0</v>
      </c>
      <c r="FP258" s="7">
        <f t="shared" ca="1" si="125"/>
        <v>0</v>
      </c>
      <c r="FQ258" s="7">
        <f t="shared" ca="1" si="125"/>
        <v>0</v>
      </c>
      <c r="FR258" s="7">
        <f t="shared" ca="1" si="125"/>
        <v>0</v>
      </c>
      <c r="FS258" s="7">
        <f t="shared" ca="1" si="125"/>
        <v>0</v>
      </c>
      <c r="FT258" s="7">
        <f t="shared" ca="1" si="125"/>
        <v>0</v>
      </c>
      <c r="FU258" s="7">
        <f t="shared" ca="1" si="125"/>
        <v>0</v>
      </c>
      <c r="FV258" s="7">
        <f t="shared" ca="1" si="125"/>
        <v>0</v>
      </c>
      <c r="FW258" s="7">
        <f t="shared" ca="1" si="125"/>
        <v>0</v>
      </c>
      <c r="FX258" s="7">
        <f t="shared" ca="1" si="125"/>
        <v>0</v>
      </c>
      <c r="FY258" s="49"/>
      <c r="FZ258" s="7">
        <f t="shared" ca="1" si="124"/>
        <v>6020911.4600000009</v>
      </c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</row>
    <row r="259" spans="1:193" ht="15.5" x14ac:dyDescent="0.35">
      <c r="A259" s="12" t="s">
        <v>677</v>
      </c>
      <c r="B259" s="7" t="s">
        <v>1033</v>
      </c>
      <c r="C259" s="7">
        <f t="shared" ref="C259:FX259" ca="1" si="126">ROUND(C257+C258,2)</f>
        <v>79052053.680000007</v>
      </c>
      <c r="D259" s="7">
        <f t="shared" ca="1" si="126"/>
        <v>445981124.5</v>
      </c>
      <c r="E259" s="7">
        <f t="shared" ca="1" si="126"/>
        <v>71451600.430000007</v>
      </c>
      <c r="F259" s="7">
        <f t="shared" ca="1" si="126"/>
        <v>279259860.22000003</v>
      </c>
      <c r="G259" s="7">
        <f t="shared" ca="1" si="126"/>
        <v>22103743.82</v>
      </c>
      <c r="H259" s="7">
        <f t="shared" ca="1" si="126"/>
        <v>13385447.9</v>
      </c>
      <c r="I259" s="7">
        <f t="shared" ca="1" si="126"/>
        <v>98882360.640000001</v>
      </c>
      <c r="J259" s="7">
        <f t="shared" ca="1" si="126"/>
        <v>24467328.670000002</v>
      </c>
      <c r="K259" s="7">
        <f t="shared" ca="1" si="126"/>
        <v>4312438.25</v>
      </c>
      <c r="L259" s="7">
        <f t="shared" ca="1" si="126"/>
        <v>26165974.879999999</v>
      </c>
      <c r="M259" s="7">
        <f t="shared" ca="1" si="126"/>
        <v>12949878.18</v>
      </c>
      <c r="N259" s="7">
        <f t="shared" ca="1" si="126"/>
        <v>591734292.39999998</v>
      </c>
      <c r="O259" s="7">
        <f t="shared" ca="1" si="126"/>
        <v>143765812.40000001</v>
      </c>
      <c r="P259" s="7">
        <f t="shared" ca="1" si="126"/>
        <v>5256442.2699999996</v>
      </c>
      <c r="Q259" s="7">
        <f t="shared" ca="1" si="126"/>
        <v>497020802.72000003</v>
      </c>
      <c r="R259" s="7">
        <f t="shared" ca="1" si="126"/>
        <v>79746543.269999996</v>
      </c>
      <c r="S259" s="7">
        <f t="shared" ca="1" si="126"/>
        <v>19269511.710000001</v>
      </c>
      <c r="T259" s="7">
        <f t="shared" ca="1" si="126"/>
        <v>3318152.62</v>
      </c>
      <c r="U259" s="7">
        <f t="shared" ca="1" si="126"/>
        <v>1410288.68</v>
      </c>
      <c r="V259" s="7">
        <f t="shared" ca="1" si="126"/>
        <v>4316362.38</v>
      </c>
      <c r="W259" s="7">
        <f t="shared" ca="1" si="126"/>
        <v>1480077.76</v>
      </c>
      <c r="X259" s="7">
        <f t="shared" ca="1" si="126"/>
        <v>1262581.68</v>
      </c>
      <c r="Y259" s="7">
        <f t="shared" ca="1" si="126"/>
        <v>11169795.210000001</v>
      </c>
      <c r="Z259" s="7">
        <f t="shared" ca="1" si="126"/>
        <v>3879323.23</v>
      </c>
      <c r="AA259" s="7">
        <f t="shared" ca="1" si="126"/>
        <v>352412400.11000001</v>
      </c>
      <c r="AB259" s="7">
        <f t="shared" ca="1" si="126"/>
        <v>312782805.33999997</v>
      </c>
      <c r="AC259" s="7">
        <f t="shared" ca="1" si="126"/>
        <v>11265780.48</v>
      </c>
      <c r="AD259" s="7">
        <f t="shared" ca="1" si="126"/>
        <v>16618866.029999999</v>
      </c>
      <c r="AE259" s="7">
        <f t="shared" ca="1" si="126"/>
        <v>2241390.11</v>
      </c>
      <c r="AF259" s="7">
        <f t="shared" ca="1" si="126"/>
        <v>3431505.06</v>
      </c>
      <c r="AG259" s="7">
        <f t="shared" ca="1" si="126"/>
        <v>8030694.9000000004</v>
      </c>
      <c r="AH259" s="7">
        <f t="shared" ca="1" si="126"/>
        <v>11751183.359999999</v>
      </c>
      <c r="AI259" s="7">
        <f t="shared" ca="1" si="126"/>
        <v>5477456.7800000003</v>
      </c>
      <c r="AJ259" s="7">
        <f t="shared" ca="1" si="126"/>
        <v>3713794.02</v>
      </c>
      <c r="AK259" s="7">
        <f t="shared" ca="1" si="126"/>
        <v>3458406.28</v>
      </c>
      <c r="AL259" s="7">
        <f t="shared" ca="1" si="126"/>
        <v>4717201.12</v>
      </c>
      <c r="AM259" s="7">
        <f t="shared" ca="1" si="126"/>
        <v>5240217.4400000004</v>
      </c>
      <c r="AN259" s="7">
        <f t="shared" ca="1" si="126"/>
        <v>4779906.71</v>
      </c>
      <c r="AO259" s="7">
        <f t="shared" ca="1" si="126"/>
        <v>50534324.149999999</v>
      </c>
      <c r="AP259" s="7">
        <f t="shared" ca="1" si="126"/>
        <v>1019506255.91</v>
      </c>
      <c r="AQ259" s="7">
        <f t="shared" ca="1" si="126"/>
        <v>4492088.3600000003</v>
      </c>
      <c r="AR259" s="7">
        <f t="shared" ca="1" si="126"/>
        <v>694618771.50999999</v>
      </c>
      <c r="AS259" s="7">
        <f t="shared" ca="1" si="126"/>
        <v>79299839.129999995</v>
      </c>
      <c r="AT259" s="7">
        <f t="shared" ca="1" si="126"/>
        <v>27506168.370000001</v>
      </c>
      <c r="AU259" s="7">
        <f t="shared" ca="1" si="126"/>
        <v>4675918.18</v>
      </c>
      <c r="AV259" s="7">
        <f t="shared" ca="1" si="126"/>
        <v>5120477.45</v>
      </c>
      <c r="AW259" s="7">
        <f t="shared" ca="1" si="126"/>
        <v>4494358.13</v>
      </c>
      <c r="AX259" s="7">
        <f t="shared" ca="1" si="126"/>
        <v>2057632.03</v>
      </c>
      <c r="AY259" s="7">
        <f t="shared" ca="1" si="126"/>
        <v>6020645.1799999997</v>
      </c>
      <c r="AZ259" s="7">
        <f t="shared" ca="1" si="126"/>
        <v>142626815.31999999</v>
      </c>
      <c r="BA259" s="7">
        <f t="shared" ca="1" si="126"/>
        <v>100627416.67</v>
      </c>
      <c r="BB259" s="7">
        <f t="shared" ca="1" si="126"/>
        <v>83817514.620000005</v>
      </c>
      <c r="BC259" s="7">
        <f t="shared" ca="1" si="126"/>
        <v>282823004.06999999</v>
      </c>
      <c r="BD259" s="7">
        <f t="shared" ca="1" si="126"/>
        <v>40101015.780000001</v>
      </c>
      <c r="BE259" s="7">
        <f t="shared" ca="1" si="126"/>
        <v>14211729.34</v>
      </c>
      <c r="BF259" s="7">
        <f t="shared" ca="1" si="126"/>
        <v>281878750.83999997</v>
      </c>
      <c r="BG259" s="7">
        <f t="shared" ca="1" si="126"/>
        <v>11992392.609999999</v>
      </c>
      <c r="BH259" s="7">
        <f t="shared" ca="1" si="126"/>
        <v>7631150.0199999996</v>
      </c>
      <c r="BI259" s="7">
        <f t="shared" ca="1" si="126"/>
        <v>4655443.62</v>
      </c>
      <c r="BJ259" s="7">
        <f t="shared" ca="1" si="126"/>
        <v>69582892.510000005</v>
      </c>
      <c r="BK259" s="7">
        <f t="shared" ca="1" si="126"/>
        <v>390659101.26999998</v>
      </c>
      <c r="BL259" s="7">
        <f t="shared" ca="1" si="126"/>
        <v>1967959.09</v>
      </c>
      <c r="BM259" s="7">
        <f t="shared" ca="1" si="126"/>
        <v>5436203.6900000004</v>
      </c>
      <c r="BN259" s="7">
        <f t="shared" ca="1" si="126"/>
        <v>35196799.289999999</v>
      </c>
      <c r="BO259" s="7">
        <f t="shared" ca="1" si="126"/>
        <v>14707253.09</v>
      </c>
      <c r="BP259" s="7">
        <f t="shared" ca="1" si="126"/>
        <v>3342513.9</v>
      </c>
      <c r="BQ259" s="7">
        <f t="shared" ca="1" si="126"/>
        <v>73180073.379999995</v>
      </c>
      <c r="BR259" s="7">
        <f t="shared" ca="1" si="126"/>
        <v>51838961.100000001</v>
      </c>
      <c r="BS259" s="7">
        <f t="shared" ca="1" si="126"/>
        <v>14896672.880000001</v>
      </c>
      <c r="BT259" s="7">
        <f t="shared" ca="1" si="126"/>
        <v>5808684.25</v>
      </c>
      <c r="BU259" s="7">
        <f t="shared" ca="1" si="126"/>
        <v>6031635.75</v>
      </c>
      <c r="BV259" s="7">
        <f t="shared" ca="1" si="126"/>
        <v>14808759.189999999</v>
      </c>
      <c r="BW259" s="7">
        <f t="shared" ca="1" si="126"/>
        <v>23767201.809999999</v>
      </c>
      <c r="BX259" s="7">
        <f t="shared" ca="1" si="126"/>
        <v>1747493.26</v>
      </c>
      <c r="BY259" s="7">
        <f t="shared" ca="1" si="126"/>
        <v>6226435.4199999999</v>
      </c>
      <c r="BZ259" s="7">
        <f t="shared" ca="1" si="126"/>
        <v>4027229.55</v>
      </c>
      <c r="CA259" s="7">
        <f t="shared" ca="1" si="126"/>
        <v>3145296</v>
      </c>
      <c r="CB259" s="7">
        <f t="shared" ca="1" si="126"/>
        <v>829325795.82000005</v>
      </c>
      <c r="CC259" s="7">
        <f t="shared" ca="1" si="126"/>
        <v>3591422.38</v>
      </c>
      <c r="CD259" s="7">
        <f t="shared" ca="1" si="126"/>
        <v>1211944.3999999999</v>
      </c>
      <c r="CE259" s="7">
        <f t="shared" ca="1" si="126"/>
        <v>3165905.17</v>
      </c>
      <c r="CF259" s="7">
        <f t="shared" ca="1" si="126"/>
        <v>2391611.64</v>
      </c>
      <c r="CG259" s="7">
        <f t="shared" ca="1" si="126"/>
        <v>3672390.33</v>
      </c>
      <c r="CH259" s="7">
        <f t="shared" ca="1" si="126"/>
        <v>2254948.56</v>
      </c>
      <c r="CI259" s="7">
        <f t="shared" ca="1" si="126"/>
        <v>8604631.9199999999</v>
      </c>
      <c r="CJ259" s="7">
        <f t="shared" ca="1" si="126"/>
        <v>11489962.68</v>
      </c>
      <c r="CK259" s="7">
        <f t="shared" ca="1" si="126"/>
        <v>57230299.68</v>
      </c>
      <c r="CL259" s="7">
        <f t="shared" ca="1" si="126"/>
        <v>15245739.859999999</v>
      </c>
      <c r="CM259" s="7">
        <f t="shared" ca="1" si="126"/>
        <v>9332190.8900000006</v>
      </c>
      <c r="CN259" s="7">
        <f t="shared" ca="1" si="126"/>
        <v>346567499.31999999</v>
      </c>
      <c r="CO259" s="7">
        <f t="shared" ca="1" si="126"/>
        <v>158501756.33000001</v>
      </c>
      <c r="CP259" s="7">
        <f t="shared" ca="1" si="126"/>
        <v>12173967.699999999</v>
      </c>
      <c r="CQ259" s="7">
        <f t="shared" ca="1" si="126"/>
        <v>10319943.82</v>
      </c>
      <c r="CR259" s="7">
        <f t="shared" ca="1" si="126"/>
        <v>3879878.58</v>
      </c>
      <c r="CS259" s="7">
        <f t="shared" ca="1" si="126"/>
        <v>4486541.0199999996</v>
      </c>
      <c r="CT259" s="7">
        <f t="shared" ca="1" si="126"/>
        <v>2570076.59</v>
      </c>
      <c r="CU259" s="7">
        <f t="shared" ca="1" si="126"/>
        <v>5447546.1399999997</v>
      </c>
      <c r="CV259" s="7">
        <f t="shared" ca="1" si="126"/>
        <v>1176684.73</v>
      </c>
      <c r="CW259" s="7">
        <f t="shared" ca="1" si="126"/>
        <v>3791096.75</v>
      </c>
      <c r="CX259" s="7">
        <f t="shared" ca="1" si="126"/>
        <v>6133963.3200000003</v>
      </c>
      <c r="CY259" s="7">
        <f t="shared" ca="1" si="126"/>
        <v>1248005.03</v>
      </c>
      <c r="CZ259" s="7">
        <f t="shared" ca="1" si="126"/>
        <v>21008137.969999999</v>
      </c>
      <c r="DA259" s="7">
        <f t="shared" ca="1" si="126"/>
        <v>3739031.97</v>
      </c>
      <c r="DB259" s="7">
        <f t="shared" ca="1" si="126"/>
        <v>4880964.34</v>
      </c>
      <c r="DC259" s="7">
        <f t="shared" ca="1" si="126"/>
        <v>3660350.21</v>
      </c>
      <c r="DD259" s="7">
        <f t="shared" ca="1" si="126"/>
        <v>3579436.51</v>
      </c>
      <c r="DE259" s="7">
        <f t="shared" ca="1" si="126"/>
        <v>4615219.92</v>
      </c>
      <c r="DF259" s="7">
        <f t="shared" ca="1" si="126"/>
        <v>229732560.37</v>
      </c>
      <c r="DG259" s="7">
        <f t="shared" ca="1" si="126"/>
        <v>2234952.04</v>
      </c>
      <c r="DH259" s="7">
        <f t="shared" ca="1" si="126"/>
        <v>20650989.93</v>
      </c>
      <c r="DI259" s="7">
        <f t="shared" ca="1" si="126"/>
        <v>28043177.52</v>
      </c>
      <c r="DJ259" s="7">
        <f t="shared" ca="1" si="126"/>
        <v>8211576.4000000004</v>
      </c>
      <c r="DK259" s="7">
        <f t="shared" ca="1" si="126"/>
        <v>6295019.5</v>
      </c>
      <c r="DL259" s="7">
        <f t="shared" ca="1" si="126"/>
        <v>66823620.409999996</v>
      </c>
      <c r="DM259" s="7">
        <f t="shared" ca="1" si="126"/>
        <v>4440075.55</v>
      </c>
      <c r="DN259" s="7">
        <f t="shared" ca="1" si="126"/>
        <v>16075280.23</v>
      </c>
      <c r="DO259" s="7">
        <f t="shared" ca="1" si="126"/>
        <v>38630398.159999996</v>
      </c>
      <c r="DP259" s="7">
        <f t="shared" ca="1" si="126"/>
        <v>3881904.38</v>
      </c>
      <c r="DQ259" s="7">
        <f t="shared" ca="1" si="126"/>
        <v>11138997.6</v>
      </c>
      <c r="DR259" s="7">
        <f t="shared" ca="1" si="126"/>
        <v>16125868.59</v>
      </c>
      <c r="DS259" s="7">
        <f t="shared" ca="1" si="126"/>
        <v>8220717.54</v>
      </c>
      <c r="DT259" s="7">
        <f t="shared" ca="1" si="126"/>
        <v>3708126.51</v>
      </c>
      <c r="DU259" s="7">
        <f t="shared" ca="1" si="126"/>
        <v>5288530.8899999997</v>
      </c>
      <c r="DV259" s="7">
        <f t="shared" ca="1" si="126"/>
        <v>3870179.44</v>
      </c>
      <c r="DW259" s="7">
        <f t="shared" ca="1" si="126"/>
        <v>4762020.5199999996</v>
      </c>
      <c r="DX259" s="7">
        <f t="shared" ca="1" si="126"/>
        <v>3811652.82</v>
      </c>
      <c r="DY259" s="7">
        <f t="shared" ca="1" si="126"/>
        <v>5093286.76</v>
      </c>
      <c r="DZ259" s="7">
        <f t="shared" ca="1" si="126"/>
        <v>9153990.4900000002</v>
      </c>
      <c r="EA259" s="7">
        <f t="shared" ca="1" si="126"/>
        <v>7265995.7999999998</v>
      </c>
      <c r="EB259" s="7">
        <f t="shared" ca="1" si="126"/>
        <v>7038996.6299999999</v>
      </c>
      <c r="EC259" s="7">
        <f t="shared" ca="1" si="126"/>
        <v>4335034.8099999996</v>
      </c>
      <c r="ED259" s="7">
        <f t="shared" ca="1" si="126"/>
        <v>23689244.559999999</v>
      </c>
      <c r="EE259" s="7">
        <f t="shared" ca="1" si="126"/>
        <v>3687045.68</v>
      </c>
      <c r="EF259" s="7">
        <f t="shared" ca="1" si="126"/>
        <v>16370469.24</v>
      </c>
      <c r="EG259" s="7">
        <f t="shared" ca="1" si="126"/>
        <v>4175170.93</v>
      </c>
      <c r="EH259" s="7">
        <f t="shared" ca="1" si="126"/>
        <v>4140789.68</v>
      </c>
      <c r="EI259" s="7">
        <f t="shared" ca="1" si="126"/>
        <v>162554647.53</v>
      </c>
      <c r="EJ259" s="7">
        <f t="shared" ca="1" si="126"/>
        <v>112123605.77</v>
      </c>
      <c r="EK259" s="7">
        <f t="shared" ca="1" si="126"/>
        <v>8375153.3300000001</v>
      </c>
      <c r="EL259" s="7">
        <f t="shared" ca="1" si="126"/>
        <v>5899050.4400000004</v>
      </c>
      <c r="EM259" s="7">
        <f t="shared" ca="1" si="126"/>
        <v>5485560.5599999996</v>
      </c>
      <c r="EN259" s="7">
        <f t="shared" ca="1" si="126"/>
        <v>11829639.640000001</v>
      </c>
      <c r="EO259" s="7">
        <f t="shared" ca="1" si="126"/>
        <v>4726223.4400000004</v>
      </c>
      <c r="EP259" s="7">
        <f t="shared" ca="1" si="126"/>
        <v>6204234.5099999998</v>
      </c>
      <c r="EQ259" s="7">
        <f t="shared" ca="1" si="126"/>
        <v>30746048.289999999</v>
      </c>
      <c r="ER259" s="7">
        <f t="shared" ca="1" si="126"/>
        <v>5131906.5</v>
      </c>
      <c r="ES259" s="7">
        <f t="shared" ca="1" si="126"/>
        <v>3353793.81</v>
      </c>
      <c r="ET259" s="7">
        <f t="shared" ca="1" si="126"/>
        <v>4356324.13</v>
      </c>
      <c r="EU259" s="7">
        <f t="shared" ca="1" si="126"/>
        <v>7963315.6799999997</v>
      </c>
      <c r="EV259" s="7">
        <f t="shared" ca="1" si="126"/>
        <v>1890492.83</v>
      </c>
      <c r="EW259" s="7">
        <f t="shared" ca="1" si="126"/>
        <v>13309322.109999999</v>
      </c>
      <c r="EX259" s="7">
        <f t="shared" ca="1" si="126"/>
        <v>3791058.95</v>
      </c>
      <c r="EY259" s="7">
        <f t="shared" ca="1" si="126"/>
        <v>7759567.2400000002</v>
      </c>
      <c r="EZ259" s="7">
        <f t="shared" ca="1" si="126"/>
        <v>2820167.82</v>
      </c>
      <c r="FA259" s="7">
        <f t="shared" ca="1" si="126"/>
        <v>42112505.409999996</v>
      </c>
      <c r="FB259" s="7">
        <f t="shared" ca="1" si="126"/>
        <v>4797387.76</v>
      </c>
      <c r="FC259" s="7">
        <f t="shared" ca="1" si="126"/>
        <v>21147856.920000002</v>
      </c>
      <c r="FD259" s="7">
        <f t="shared" ca="1" si="126"/>
        <v>5770108.4400000004</v>
      </c>
      <c r="FE259" s="7">
        <f t="shared" ca="1" si="126"/>
        <v>1963010.65</v>
      </c>
      <c r="FF259" s="7">
        <f t="shared" ca="1" si="126"/>
        <v>3691748.16</v>
      </c>
      <c r="FG259" s="7">
        <f t="shared" ca="1" si="126"/>
        <v>2729985.41</v>
      </c>
      <c r="FH259" s="7">
        <f t="shared" ca="1" si="126"/>
        <v>1718391.6</v>
      </c>
      <c r="FI259" s="7">
        <f t="shared" ca="1" si="126"/>
        <v>20443703.68</v>
      </c>
      <c r="FJ259" s="7">
        <f t="shared" ca="1" si="126"/>
        <v>22797589.829999998</v>
      </c>
      <c r="FK259" s="7">
        <f t="shared" ca="1" si="126"/>
        <v>29294622.940000001</v>
      </c>
      <c r="FL259" s="7">
        <f t="shared" ca="1" si="126"/>
        <v>94168128.030000001</v>
      </c>
      <c r="FM259" s="7">
        <f t="shared" ca="1" si="126"/>
        <v>44634765.020000003</v>
      </c>
      <c r="FN259" s="7">
        <f t="shared" ca="1" si="126"/>
        <v>263482240.59</v>
      </c>
      <c r="FO259" s="7">
        <f t="shared" ca="1" si="126"/>
        <v>13522225.609999999</v>
      </c>
      <c r="FP259" s="7">
        <f t="shared" ca="1" si="126"/>
        <v>27763436.34</v>
      </c>
      <c r="FQ259" s="7">
        <f t="shared" ca="1" si="126"/>
        <v>12038652.4</v>
      </c>
      <c r="FR259" s="7">
        <f t="shared" ca="1" si="126"/>
        <v>3396557.44</v>
      </c>
      <c r="FS259" s="7">
        <f t="shared" ca="1" si="126"/>
        <v>3389803.97</v>
      </c>
      <c r="FT259" s="7">
        <f t="shared" ca="1" si="126"/>
        <v>1489181.21</v>
      </c>
      <c r="FU259" s="7">
        <f t="shared" ca="1" si="126"/>
        <v>10636237.18</v>
      </c>
      <c r="FV259" s="7">
        <f t="shared" ca="1" si="126"/>
        <v>9131296.1099999994</v>
      </c>
      <c r="FW259" s="7">
        <f t="shared" ca="1" si="126"/>
        <v>3213284.85</v>
      </c>
      <c r="FX259" s="7">
        <f t="shared" ca="1" si="126"/>
        <v>1701192.38</v>
      </c>
      <c r="FY259" s="7"/>
      <c r="FZ259" s="7">
        <f t="shared" ca="1" si="124"/>
        <v>9938172923.0300045</v>
      </c>
      <c r="GA259" s="62"/>
      <c r="GB259" s="7">
        <f ca="1">FZ259-GA259</f>
        <v>9938172923.0300045</v>
      </c>
      <c r="GC259" s="7"/>
      <c r="GD259" s="7"/>
      <c r="GE259" s="7"/>
      <c r="GF259" s="7"/>
      <c r="GG259" s="7"/>
      <c r="GH259" s="7"/>
      <c r="GI259" s="7"/>
      <c r="GJ259" s="7"/>
      <c r="GK259" s="7"/>
    </row>
    <row r="260" spans="1:193" ht="15.5" x14ac:dyDescent="0.35">
      <c r="A260" s="7"/>
      <c r="B260" s="7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7"/>
      <c r="FZ260" s="7"/>
      <c r="GA260" s="45"/>
      <c r="GB260" s="7"/>
      <c r="GC260" s="7"/>
      <c r="GD260" s="7"/>
      <c r="GE260" s="7"/>
      <c r="GF260" s="7"/>
      <c r="GG260" s="7"/>
      <c r="GH260" s="7"/>
      <c r="GI260" s="7"/>
      <c r="GJ260" s="7"/>
      <c r="GK260" s="7"/>
    </row>
    <row r="261" spans="1:193" ht="15.5" x14ac:dyDescent="0.35">
      <c r="A261" s="12" t="s">
        <v>684</v>
      </c>
      <c r="B261" s="5" t="s">
        <v>685</v>
      </c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</row>
    <row r="262" spans="1:193" ht="15.5" x14ac:dyDescent="0.35">
      <c r="A262" s="12" t="s">
        <v>686</v>
      </c>
      <c r="B262" s="7" t="s">
        <v>1034</v>
      </c>
      <c r="C262" s="45">
        <f t="shared" ref="C262:DM262" si="127">C49</f>
        <v>2.7E-2</v>
      </c>
      <c r="D262" s="45">
        <f t="shared" si="127"/>
        <v>2.7E-2</v>
      </c>
      <c r="E262" s="45">
        <f t="shared" si="127"/>
        <v>2.7E-2</v>
      </c>
      <c r="F262" s="45">
        <f t="shared" si="127"/>
        <v>2.7E-2</v>
      </c>
      <c r="G262" s="45">
        <f t="shared" si="127"/>
        <v>2.5264999999999999E-2</v>
      </c>
      <c r="H262" s="45">
        <f t="shared" si="127"/>
        <v>2.7E-2</v>
      </c>
      <c r="I262" s="45">
        <f t="shared" si="127"/>
        <v>2.7E-2</v>
      </c>
      <c r="J262" s="45">
        <f t="shared" si="127"/>
        <v>2.7E-2</v>
      </c>
      <c r="K262" s="45">
        <f t="shared" si="127"/>
        <v>2.7E-2</v>
      </c>
      <c r="L262" s="45">
        <f t="shared" si="127"/>
        <v>2.6894999999999999E-2</v>
      </c>
      <c r="M262" s="45">
        <f t="shared" si="127"/>
        <v>2.5946999999999998E-2</v>
      </c>
      <c r="N262" s="45">
        <f t="shared" si="127"/>
        <v>1.8756000000000002E-2</v>
      </c>
      <c r="O262" s="45">
        <f t="shared" si="127"/>
        <v>2.7E-2</v>
      </c>
      <c r="P262" s="45">
        <f t="shared" si="127"/>
        <v>2.7E-2</v>
      </c>
      <c r="Q262" s="45">
        <f t="shared" si="127"/>
        <v>2.7E-2</v>
      </c>
      <c r="R262" s="45">
        <f t="shared" si="127"/>
        <v>2.7E-2</v>
      </c>
      <c r="S262" s="45">
        <f t="shared" si="127"/>
        <v>2.6013999999999999E-2</v>
      </c>
      <c r="T262" s="45">
        <f t="shared" si="127"/>
        <v>2.4301E-2</v>
      </c>
      <c r="U262" s="45">
        <f t="shared" si="127"/>
        <v>2.3800999999999999E-2</v>
      </c>
      <c r="V262" s="45">
        <f t="shared" si="127"/>
        <v>2.7E-2</v>
      </c>
      <c r="W262" s="45">
        <f t="shared" si="127"/>
        <v>2.7E-2</v>
      </c>
      <c r="X262" s="45">
        <f t="shared" si="127"/>
        <v>1.5755999999999999E-2</v>
      </c>
      <c r="Y262" s="45">
        <f t="shared" si="127"/>
        <v>2.4498000000000002E-2</v>
      </c>
      <c r="Z262" s="45">
        <f t="shared" si="127"/>
        <v>2.359E-2</v>
      </c>
      <c r="AA262" s="45">
        <f t="shared" si="127"/>
        <v>2.7E-2</v>
      </c>
      <c r="AB262" s="45">
        <f t="shared" si="127"/>
        <v>2.7E-2</v>
      </c>
      <c r="AC262" s="45">
        <f t="shared" si="127"/>
        <v>2.0982000000000001E-2</v>
      </c>
      <c r="AD262" s="45">
        <f t="shared" si="127"/>
        <v>1.9693000000000002E-2</v>
      </c>
      <c r="AE262" s="45">
        <f t="shared" si="127"/>
        <v>1.2814000000000001E-2</v>
      </c>
      <c r="AF262" s="45">
        <f t="shared" si="127"/>
        <v>1.1674E-2</v>
      </c>
      <c r="AG262" s="45">
        <f t="shared" si="127"/>
        <v>1.2485E-2</v>
      </c>
      <c r="AH262" s="45">
        <f t="shared" si="127"/>
        <v>2.2123E-2</v>
      </c>
      <c r="AI262" s="45">
        <f t="shared" si="127"/>
        <v>2.7E-2</v>
      </c>
      <c r="AJ262" s="45">
        <f t="shared" si="127"/>
        <v>2.3788E-2</v>
      </c>
      <c r="AK262" s="45">
        <f t="shared" si="127"/>
        <v>2.128E-2</v>
      </c>
      <c r="AL262" s="45">
        <f t="shared" si="127"/>
        <v>2.7E-2</v>
      </c>
      <c r="AM262" s="45">
        <f t="shared" si="127"/>
        <v>2.1449000000000003E-2</v>
      </c>
      <c r="AN262" s="45">
        <f t="shared" si="127"/>
        <v>2.7E-2</v>
      </c>
      <c r="AO262" s="45">
        <f t="shared" si="127"/>
        <v>2.7E-2</v>
      </c>
      <c r="AP262" s="45">
        <f t="shared" si="127"/>
        <v>2.7E-2</v>
      </c>
      <c r="AQ262" s="45">
        <f t="shared" si="127"/>
        <v>1.8685E-2</v>
      </c>
      <c r="AR262" s="45">
        <f t="shared" si="127"/>
        <v>2.7E-2</v>
      </c>
      <c r="AS262" s="45">
        <f t="shared" si="127"/>
        <v>1.2137999999999999E-2</v>
      </c>
      <c r="AT262" s="45">
        <f t="shared" si="127"/>
        <v>2.7E-2</v>
      </c>
      <c r="AU262" s="45">
        <f t="shared" si="127"/>
        <v>2.4187999999999998E-2</v>
      </c>
      <c r="AV262" s="45">
        <f t="shared" si="127"/>
        <v>2.7E-2</v>
      </c>
      <c r="AW262" s="45">
        <f t="shared" si="127"/>
        <v>2.4431000000000001E-2</v>
      </c>
      <c r="AX262" s="45">
        <f t="shared" si="127"/>
        <v>2.1797999999999998E-2</v>
      </c>
      <c r="AY262" s="45">
        <f t="shared" si="127"/>
        <v>2.7E-2</v>
      </c>
      <c r="AZ262" s="45">
        <f t="shared" si="127"/>
        <v>1.5720000000000001E-2</v>
      </c>
      <c r="BA262" s="45">
        <f t="shared" si="127"/>
        <v>2.6893999999999998E-2</v>
      </c>
      <c r="BB262" s="45">
        <f t="shared" si="127"/>
        <v>2.4684000000000001E-2</v>
      </c>
      <c r="BC262" s="45">
        <f t="shared" si="127"/>
        <v>2.0715000000000001E-2</v>
      </c>
      <c r="BD262" s="45">
        <f t="shared" si="127"/>
        <v>2.7E-2</v>
      </c>
      <c r="BE262" s="45">
        <f t="shared" si="127"/>
        <v>2.7E-2</v>
      </c>
      <c r="BF262" s="45">
        <f t="shared" si="127"/>
        <v>2.7E-2</v>
      </c>
      <c r="BG262" s="45">
        <f t="shared" si="127"/>
        <v>2.7E-2</v>
      </c>
      <c r="BH262" s="45">
        <f t="shared" si="127"/>
        <v>2.6419000000000002E-2</v>
      </c>
      <c r="BI262" s="45">
        <f t="shared" si="127"/>
        <v>1.3433E-2</v>
      </c>
      <c r="BJ262" s="45">
        <f t="shared" si="127"/>
        <v>2.7E-2</v>
      </c>
      <c r="BK262" s="45">
        <f t="shared" si="127"/>
        <v>2.7E-2</v>
      </c>
      <c r="BL262" s="45">
        <f t="shared" si="127"/>
        <v>2.7E-2</v>
      </c>
      <c r="BM262" s="45">
        <f t="shared" si="127"/>
        <v>2.5833999999999999E-2</v>
      </c>
      <c r="BN262" s="45">
        <f t="shared" si="127"/>
        <v>2.7E-2</v>
      </c>
      <c r="BO262" s="45">
        <f t="shared" si="127"/>
        <v>2.0202999999999999E-2</v>
      </c>
      <c r="BP262" s="45">
        <f t="shared" si="127"/>
        <v>2.6702E-2</v>
      </c>
      <c r="BQ262" s="45">
        <f t="shared" si="127"/>
        <v>2.6759000000000002E-2</v>
      </c>
      <c r="BR262" s="45">
        <f t="shared" si="127"/>
        <v>9.6999999999999986E-3</v>
      </c>
      <c r="BS262" s="45">
        <f t="shared" si="127"/>
        <v>4.3949999999999996E-3</v>
      </c>
      <c r="BT262" s="45">
        <f t="shared" si="127"/>
        <v>6.6509999999999998E-3</v>
      </c>
      <c r="BU262" s="45">
        <f t="shared" si="127"/>
        <v>1.3811E-2</v>
      </c>
      <c r="BV262" s="45">
        <f t="shared" si="127"/>
        <v>1.0330000000000001E-2</v>
      </c>
      <c r="BW262" s="45">
        <f t="shared" si="127"/>
        <v>1.5736E-2</v>
      </c>
      <c r="BX262" s="45">
        <f t="shared" si="127"/>
        <v>1.9067000000000001E-2</v>
      </c>
      <c r="BY262" s="45">
        <f t="shared" si="127"/>
        <v>2.7E-2</v>
      </c>
      <c r="BZ262" s="45">
        <f t="shared" si="127"/>
        <v>2.7E-2</v>
      </c>
      <c r="CA262" s="45">
        <f t="shared" si="127"/>
        <v>2.3040999999999999E-2</v>
      </c>
      <c r="CB262" s="45">
        <f t="shared" si="127"/>
        <v>2.7E-2</v>
      </c>
      <c r="CC262" s="45">
        <f t="shared" si="127"/>
        <v>2.7E-2</v>
      </c>
      <c r="CD262" s="45">
        <f t="shared" si="127"/>
        <v>2.452E-2</v>
      </c>
      <c r="CE262" s="45">
        <f t="shared" si="127"/>
        <v>2.7E-2</v>
      </c>
      <c r="CF262" s="45">
        <f t="shared" si="127"/>
        <v>2.4333999999999998E-2</v>
      </c>
      <c r="CG262" s="45">
        <f t="shared" si="127"/>
        <v>2.7E-2</v>
      </c>
      <c r="CH262" s="45">
        <f t="shared" si="127"/>
        <v>2.7E-2</v>
      </c>
      <c r="CI262" s="45">
        <f t="shared" si="127"/>
        <v>2.7E-2</v>
      </c>
      <c r="CJ262" s="45">
        <f t="shared" si="127"/>
        <v>2.6513999999999999E-2</v>
      </c>
      <c r="CK262" s="45">
        <f t="shared" si="127"/>
        <v>1.1601E-2</v>
      </c>
      <c r="CL262" s="45">
        <f t="shared" si="127"/>
        <v>1.3228999999999999E-2</v>
      </c>
      <c r="CM262" s="45">
        <f t="shared" si="127"/>
        <v>7.2740000000000001E-3</v>
      </c>
      <c r="CN262" s="45">
        <f t="shared" si="127"/>
        <v>2.7E-2</v>
      </c>
      <c r="CO262" s="45">
        <f t="shared" si="127"/>
        <v>2.7E-2</v>
      </c>
      <c r="CP262" s="45">
        <f t="shared" si="127"/>
        <v>1.8135999999999999E-2</v>
      </c>
      <c r="CQ262" s="45">
        <f t="shared" si="127"/>
        <v>1.7426999999999998E-2</v>
      </c>
      <c r="CR262" s="45">
        <f t="shared" si="127"/>
        <v>4.169E-3</v>
      </c>
      <c r="CS262" s="45">
        <f t="shared" si="127"/>
        <v>2.7E-2</v>
      </c>
      <c r="CT262" s="45">
        <f t="shared" si="127"/>
        <v>1.3519999999999999E-2</v>
      </c>
      <c r="CU262" s="45">
        <f t="shared" si="127"/>
        <v>2.4615999999999999E-2</v>
      </c>
      <c r="CV262" s="45">
        <f t="shared" si="127"/>
        <v>1.5979E-2</v>
      </c>
      <c r="CW262" s="45">
        <f t="shared" si="127"/>
        <v>1.7379000000000002E-2</v>
      </c>
      <c r="CX262" s="45">
        <f t="shared" si="127"/>
        <v>2.6824000000000001E-2</v>
      </c>
      <c r="CY262" s="45">
        <f t="shared" si="127"/>
        <v>2.7E-2</v>
      </c>
      <c r="CZ262" s="45">
        <f t="shared" si="127"/>
        <v>2.7E-2</v>
      </c>
      <c r="DA262" s="45">
        <f t="shared" si="127"/>
        <v>2.7E-2</v>
      </c>
      <c r="DB262" s="45">
        <f t="shared" si="127"/>
        <v>2.7E-2</v>
      </c>
      <c r="DC262" s="45">
        <f t="shared" si="127"/>
        <v>2.2418E-2</v>
      </c>
      <c r="DD262" s="45">
        <f t="shared" si="127"/>
        <v>3.4300000000000003E-3</v>
      </c>
      <c r="DE262" s="45">
        <f t="shared" si="127"/>
        <v>1.1894999999999999E-2</v>
      </c>
      <c r="DF262" s="45">
        <f t="shared" si="127"/>
        <v>2.7E-2</v>
      </c>
      <c r="DG262" s="45">
        <f t="shared" si="127"/>
        <v>2.5453E-2</v>
      </c>
      <c r="DH262" s="45">
        <f t="shared" si="127"/>
        <v>2.5515999999999997E-2</v>
      </c>
      <c r="DI262" s="45">
        <f t="shared" si="127"/>
        <v>2.3844999999999998E-2</v>
      </c>
      <c r="DJ262" s="45">
        <f t="shared" si="127"/>
        <v>2.5883E-2</v>
      </c>
      <c r="DK262" s="45">
        <f t="shared" si="127"/>
        <v>2.0658000000000003E-2</v>
      </c>
      <c r="DL262" s="45">
        <f t="shared" si="127"/>
        <v>2.6966999999999998E-2</v>
      </c>
      <c r="DM262" s="45">
        <f t="shared" si="127"/>
        <v>2.4899000000000001E-2</v>
      </c>
      <c r="DN262" s="45">
        <v>2.7E-2</v>
      </c>
      <c r="DO262" s="45">
        <f t="shared" ref="DO262:DP262" si="128">DO49</f>
        <v>2.7E-2</v>
      </c>
      <c r="DP262" s="45">
        <f t="shared" si="128"/>
        <v>2.7E-2</v>
      </c>
      <c r="DQ262" s="45">
        <v>2.4545000000000001E-2</v>
      </c>
      <c r="DR262" s="45">
        <f t="shared" ref="DR262:FH262" si="129">DR49</f>
        <v>2.7E-2</v>
      </c>
      <c r="DS262" s="45">
        <f t="shared" si="129"/>
        <v>2.7E-2</v>
      </c>
      <c r="DT262" s="45">
        <f t="shared" si="129"/>
        <v>2.6728999999999999E-2</v>
      </c>
      <c r="DU262" s="45">
        <f t="shared" si="129"/>
        <v>2.7E-2</v>
      </c>
      <c r="DV262" s="45">
        <f t="shared" si="129"/>
        <v>2.7E-2</v>
      </c>
      <c r="DW262" s="45">
        <f t="shared" si="129"/>
        <v>2.6997E-2</v>
      </c>
      <c r="DX262" s="45">
        <f t="shared" si="129"/>
        <v>2.3931000000000001E-2</v>
      </c>
      <c r="DY262" s="45">
        <f t="shared" si="129"/>
        <v>1.7927999999999999E-2</v>
      </c>
      <c r="DZ262" s="45">
        <f t="shared" si="129"/>
        <v>2.2661999999999998E-2</v>
      </c>
      <c r="EA262" s="45">
        <f t="shared" si="129"/>
        <v>1.1192000000000001E-2</v>
      </c>
      <c r="EB262" s="45">
        <f t="shared" si="129"/>
        <v>2.7E-2</v>
      </c>
      <c r="EC262" s="45">
        <f t="shared" si="129"/>
        <v>2.7E-2</v>
      </c>
      <c r="ED262" s="45">
        <f t="shared" si="129"/>
        <v>4.084E-3</v>
      </c>
      <c r="EE262" s="45">
        <f t="shared" si="129"/>
        <v>2.7E-2</v>
      </c>
      <c r="EF262" s="45">
        <f t="shared" si="129"/>
        <v>2.4594999999999999E-2</v>
      </c>
      <c r="EG262" s="45">
        <f t="shared" si="129"/>
        <v>2.7E-2</v>
      </c>
      <c r="EH262" s="45">
        <f t="shared" si="129"/>
        <v>2.7E-2</v>
      </c>
      <c r="EI262" s="45">
        <f t="shared" si="129"/>
        <v>2.7E-2</v>
      </c>
      <c r="EJ262" s="45">
        <f t="shared" si="129"/>
        <v>2.7E-2</v>
      </c>
      <c r="EK262" s="45">
        <f t="shared" si="129"/>
        <v>5.7670000000000004E-3</v>
      </c>
      <c r="EL262" s="45">
        <f t="shared" si="129"/>
        <v>6.143E-3</v>
      </c>
      <c r="EM262" s="45">
        <f t="shared" si="129"/>
        <v>2.1308000000000001E-2</v>
      </c>
      <c r="EN262" s="45">
        <f t="shared" si="129"/>
        <v>2.7E-2</v>
      </c>
      <c r="EO262" s="45">
        <f t="shared" si="129"/>
        <v>2.7E-2</v>
      </c>
      <c r="EP262" s="45">
        <f t="shared" si="129"/>
        <v>2.5585999999999998E-2</v>
      </c>
      <c r="EQ262" s="45">
        <f t="shared" si="129"/>
        <v>5.5929999999999999E-3</v>
      </c>
      <c r="ER262" s="45">
        <f t="shared" si="129"/>
        <v>2.1283E-2</v>
      </c>
      <c r="ES262" s="45">
        <f t="shared" si="129"/>
        <v>2.7E-2</v>
      </c>
      <c r="ET262" s="45">
        <f t="shared" si="129"/>
        <v>2.7E-2</v>
      </c>
      <c r="EU262" s="45">
        <f t="shared" si="129"/>
        <v>2.7E-2</v>
      </c>
      <c r="EV262" s="45">
        <f t="shared" si="129"/>
        <v>1.5009E-2</v>
      </c>
      <c r="EW262" s="45">
        <f t="shared" si="129"/>
        <v>7.2809999999999993E-3</v>
      </c>
      <c r="EX262" s="45">
        <f t="shared" si="129"/>
        <v>8.9099999999999995E-3</v>
      </c>
      <c r="EY262" s="45">
        <f t="shared" si="129"/>
        <v>2.7E-2</v>
      </c>
      <c r="EZ262" s="45">
        <f t="shared" si="129"/>
        <v>2.7E-2</v>
      </c>
      <c r="FA262" s="45">
        <f t="shared" si="129"/>
        <v>1.0666E-2</v>
      </c>
      <c r="FB262" s="45">
        <f t="shared" si="129"/>
        <v>9.6240000000000006E-3</v>
      </c>
      <c r="FC262" s="45">
        <f t="shared" si="129"/>
        <v>2.7E-2</v>
      </c>
      <c r="FD262" s="45">
        <f t="shared" si="129"/>
        <v>2.7E-2</v>
      </c>
      <c r="FE262" s="45">
        <f t="shared" si="129"/>
        <v>1.9181E-2</v>
      </c>
      <c r="FF262" s="45">
        <f t="shared" si="129"/>
        <v>2.7E-2</v>
      </c>
      <c r="FG262" s="45">
        <f t="shared" si="129"/>
        <v>2.7E-2</v>
      </c>
      <c r="FH262" s="45">
        <f t="shared" si="129"/>
        <v>2.4771999999999999E-2</v>
      </c>
      <c r="FI262" s="45">
        <v>9.639E-3</v>
      </c>
      <c r="FJ262" s="45">
        <v>2.2207999999999999E-2</v>
      </c>
      <c r="FK262" s="45">
        <f t="shared" ref="FK262:FX262" si="130">FK49</f>
        <v>1.0845E-2</v>
      </c>
      <c r="FL262" s="45">
        <f t="shared" si="130"/>
        <v>2.7E-2</v>
      </c>
      <c r="FM262" s="45">
        <f t="shared" si="130"/>
        <v>2.3414000000000001E-2</v>
      </c>
      <c r="FN262" s="45">
        <f t="shared" si="130"/>
        <v>2.7E-2</v>
      </c>
      <c r="FO262" s="45">
        <f t="shared" si="130"/>
        <v>4.2009999999999999E-3</v>
      </c>
      <c r="FP262" s="45">
        <f t="shared" si="130"/>
        <v>1.2143000000000001E-2</v>
      </c>
      <c r="FQ262" s="45">
        <f t="shared" si="130"/>
        <v>2.188E-2</v>
      </c>
      <c r="FR262" s="45">
        <f t="shared" si="130"/>
        <v>5.9360000000000003E-3</v>
      </c>
      <c r="FS262" s="45">
        <f t="shared" si="130"/>
        <v>5.0679999999999996E-3</v>
      </c>
      <c r="FT262" s="45">
        <f t="shared" si="130"/>
        <v>3.3940000000000003E-3</v>
      </c>
      <c r="FU262" s="45">
        <f t="shared" si="130"/>
        <v>2.3344999999999998E-2</v>
      </c>
      <c r="FV262" s="45">
        <f t="shared" si="130"/>
        <v>2.0032000000000001E-2</v>
      </c>
      <c r="FW262" s="45">
        <f t="shared" si="130"/>
        <v>2.6498000000000001E-2</v>
      </c>
      <c r="FX262" s="45">
        <f t="shared" si="130"/>
        <v>2.4674999999999999E-2</v>
      </c>
      <c r="FY262" s="49"/>
      <c r="FZ262" s="7"/>
      <c r="GA262" s="45"/>
      <c r="GB262" s="7"/>
      <c r="GC262" s="7"/>
      <c r="GD262" s="7"/>
      <c r="GE262" s="7"/>
      <c r="GF262" s="7"/>
      <c r="GG262" s="7"/>
      <c r="GH262" s="7"/>
      <c r="GI262" s="7"/>
      <c r="GJ262" s="7"/>
      <c r="GK262" s="7"/>
    </row>
    <row r="263" spans="1:193" ht="15.5" x14ac:dyDescent="0.35">
      <c r="A263" s="7"/>
      <c r="B263" s="7" t="s">
        <v>1035</v>
      </c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7"/>
      <c r="FZ263" s="7"/>
      <c r="GA263" s="45"/>
      <c r="GB263" s="7"/>
      <c r="GC263" s="7"/>
      <c r="GD263" s="7"/>
      <c r="GE263" s="7"/>
      <c r="GF263" s="7"/>
      <c r="GG263" s="7"/>
      <c r="GH263" s="7"/>
      <c r="GI263" s="7"/>
      <c r="GJ263" s="7"/>
      <c r="GK263" s="7"/>
    </row>
    <row r="264" spans="1:193" ht="15.5" x14ac:dyDescent="0.35">
      <c r="A264" s="12" t="s">
        <v>688</v>
      </c>
      <c r="B264" s="7" t="s">
        <v>1036</v>
      </c>
      <c r="C264" s="45">
        <f t="shared" ref="C264:FX264" ca="1" si="131">ROUND((C259-(C103*C44)-C47)/C48,6)</f>
        <v>6.1508E-2</v>
      </c>
      <c r="D264" s="45">
        <f t="shared" ca="1" si="131"/>
        <v>9.7318000000000002E-2</v>
      </c>
      <c r="E264" s="45">
        <f t="shared" ca="1" si="131"/>
        <v>5.7189999999999998E-2</v>
      </c>
      <c r="F264" s="45">
        <f t="shared" ca="1" si="131"/>
        <v>8.3756999999999998E-2</v>
      </c>
      <c r="G264" s="45">
        <f t="shared" ca="1" si="131"/>
        <v>3.7770999999999999E-2</v>
      </c>
      <c r="H264" s="45">
        <f t="shared" ca="1" si="131"/>
        <v>9.0628E-2</v>
      </c>
      <c r="I264" s="45">
        <f t="shared" ca="1" si="131"/>
        <v>8.2101999999999994E-2</v>
      </c>
      <c r="J264" s="45">
        <f t="shared" ca="1" si="131"/>
        <v>0.12246899999999999</v>
      </c>
      <c r="K264" s="45">
        <f t="shared" ca="1" si="131"/>
        <v>8.0715999999999996E-2</v>
      </c>
      <c r="L264" s="45">
        <f t="shared" ca="1" si="131"/>
        <v>2.7886999999999999E-2</v>
      </c>
      <c r="M264" s="45">
        <f t="shared" ca="1" si="131"/>
        <v>3.8036E-2</v>
      </c>
      <c r="N264" s="45">
        <f t="shared" ca="1" si="131"/>
        <v>6.0356E-2</v>
      </c>
      <c r="O264" s="45">
        <f t="shared" ca="1" si="131"/>
        <v>5.0716999999999998E-2</v>
      </c>
      <c r="P264" s="45">
        <f t="shared" ca="1" si="131"/>
        <v>9.0088000000000001E-2</v>
      </c>
      <c r="Q264" s="45">
        <f t="shared" ca="1" si="131"/>
        <v>8.5032999999999997E-2</v>
      </c>
      <c r="R264" s="45">
        <f t="shared" ca="1" si="131"/>
        <v>1.0488139999999999</v>
      </c>
      <c r="S264" s="45">
        <f t="shared" ca="1" si="131"/>
        <v>3.0165999999999998E-2</v>
      </c>
      <c r="T264" s="45">
        <f t="shared" ca="1" si="131"/>
        <v>0.120188</v>
      </c>
      <c r="U264" s="45">
        <f t="shared" ca="1" si="131"/>
        <v>4.3728000000000003E-2</v>
      </c>
      <c r="V264" s="45">
        <f t="shared" ca="1" si="131"/>
        <v>0.10774300000000001</v>
      </c>
      <c r="W264" s="45">
        <f t="shared" ca="1" si="131"/>
        <v>0.21429300000000001</v>
      </c>
      <c r="X264" s="45">
        <f t="shared" ca="1" si="131"/>
        <v>6.5107999999999999E-2</v>
      </c>
      <c r="Y264" s="45">
        <f t="shared" ca="1" si="131"/>
        <v>0.139709</v>
      </c>
      <c r="Z264" s="45">
        <f t="shared" ca="1" si="131"/>
        <v>0.13707800000000001</v>
      </c>
      <c r="AA264" s="45">
        <f t="shared" ca="1" si="131"/>
        <v>5.0337E-2</v>
      </c>
      <c r="AB264" s="45">
        <f t="shared" ca="1" si="131"/>
        <v>2.8625999999999999E-2</v>
      </c>
      <c r="AC264" s="45">
        <f t="shared" ca="1" si="131"/>
        <v>2.2325999999999999E-2</v>
      </c>
      <c r="AD264" s="45">
        <f t="shared" ca="1" si="131"/>
        <v>3.1029000000000001E-2</v>
      </c>
      <c r="AE264" s="45">
        <f t="shared" ca="1" si="131"/>
        <v>4.2696999999999999E-2</v>
      </c>
      <c r="AF264" s="45">
        <f t="shared" ca="1" si="131"/>
        <v>3.4006000000000002E-2</v>
      </c>
      <c r="AG264" s="45">
        <f t="shared" ca="1" si="131"/>
        <v>2.0084000000000001E-2</v>
      </c>
      <c r="AH264" s="45">
        <f t="shared" ca="1" si="131"/>
        <v>0.24319099999999999</v>
      </c>
      <c r="AI264" s="45">
        <f t="shared" ca="1" si="131"/>
        <v>0.44144</v>
      </c>
      <c r="AJ264" s="45">
        <f t="shared" ca="1" si="131"/>
        <v>8.6027000000000006E-2</v>
      </c>
      <c r="AK264" s="45">
        <f t="shared" ca="1" si="131"/>
        <v>4.9742000000000001E-2</v>
      </c>
      <c r="AL264" s="45">
        <f t="shared" ca="1" si="131"/>
        <v>4.9598000000000003E-2</v>
      </c>
      <c r="AM264" s="45">
        <f t="shared" ca="1" si="131"/>
        <v>8.2642999999999994E-2</v>
      </c>
      <c r="AN264" s="45">
        <f t="shared" ca="1" si="131"/>
        <v>2.4712999999999999E-2</v>
      </c>
      <c r="AO264" s="45">
        <f t="shared" ca="1" si="131"/>
        <v>8.1105999999999998E-2</v>
      </c>
      <c r="AP264" s="45">
        <f t="shared" ca="1" si="131"/>
        <v>3.9326E-2</v>
      </c>
      <c r="AQ264" s="45">
        <f t="shared" ca="1" si="131"/>
        <v>4.5935999999999998E-2</v>
      </c>
      <c r="AR264" s="45">
        <f t="shared" ca="1" si="131"/>
        <v>6.2470999999999999E-2</v>
      </c>
      <c r="AS264" s="45">
        <f t="shared" ca="1" si="131"/>
        <v>1.5776999999999999E-2</v>
      </c>
      <c r="AT264" s="45">
        <f t="shared" ca="1" si="131"/>
        <v>6.4527000000000001E-2</v>
      </c>
      <c r="AU264" s="45">
        <f t="shared" ca="1" si="131"/>
        <v>6.2559000000000003E-2</v>
      </c>
      <c r="AV264" s="45">
        <f t="shared" ca="1" si="131"/>
        <v>0.10671899999999999</v>
      </c>
      <c r="AW264" s="45">
        <f t="shared" ca="1" si="131"/>
        <v>0.11186400000000001</v>
      </c>
      <c r="AX264" s="45">
        <f t="shared" ca="1" si="131"/>
        <v>6.4928E-2</v>
      </c>
      <c r="AY264" s="45">
        <f t="shared" ca="1" si="131"/>
        <v>9.5295000000000005E-2</v>
      </c>
      <c r="AZ264" s="45">
        <f t="shared" ca="1" si="131"/>
        <v>0.126579</v>
      </c>
      <c r="BA264" s="45">
        <f t="shared" ca="1" si="131"/>
        <v>0.101007</v>
      </c>
      <c r="BB264" s="45">
        <f t="shared" ca="1" si="131"/>
        <v>0.28892200000000001</v>
      </c>
      <c r="BC264" s="45">
        <f t="shared" ca="1" si="131"/>
        <v>5.8321999999999999E-2</v>
      </c>
      <c r="BD264" s="45">
        <f t="shared" ca="1" si="131"/>
        <v>6.1289000000000003E-2</v>
      </c>
      <c r="BE264" s="45">
        <f t="shared" ca="1" si="131"/>
        <v>6.5756999999999996E-2</v>
      </c>
      <c r="BF264" s="45">
        <f t="shared" ca="1" si="131"/>
        <v>9.0316999999999995E-2</v>
      </c>
      <c r="BG264" s="45">
        <f t="shared" ca="1" si="131"/>
        <v>0.17169699999999999</v>
      </c>
      <c r="BH264" s="45">
        <f t="shared" ca="1" si="131"/>
        <v>8.7753999999999999E-2</v>
      </c>
      <c r="BI264" s="45">
        <f t="shared" ca="1" si="131"/>
        <v>8.3139000000000005E-2</v>
      </c>
      <c r="BJ264" s="45">
        <f t="shared" ca="1" si="131"/>
        <v>6.5578999999999998E-2</v>
      </c>
      <c r="BK264" s="45">
        <f t="shared" ca="1" si="131"/>
        <v>0.19450200000000001</v>
      </c>
      <c r="BL264" s="45">
        <f t="shared" ca="1" si="131"/>
        <v>0.242314</v>
      </c>
      <c r="BM264" s="45">
        <f t="shared" ca="1" si="131"/>
        <v>0.12171</v>
      </c>
      <c r="BN264" s="45">
        <f t="shared" ca="1" si="131"/>
        <v>8.4947999999999996E-2</v>
      </c>
      <c r="BO264" s="45">
        <f t="shared" ca="1" si="131"/>
        <v>6.6615999999999995E-2</v>
      </c>
      <c r="BP264" s="45">
        <f t="shared" ca="1" si="131"/>
        <v>2.9499000000000001E-2</v>
      </c>
      <c r="BQ264" s="45">
        <f t="shared" ca="1" si="131"/>
        <v>3.3183999999999998E-2</v>
      </c>
      <c r="BR264" s="45">
        <f t="shared" ca="1" si="131"/>
        <v>4.2313000000000003E-2</v>
      </c>
      <c r="BS264" s="45">
        <f t="shared" ca="1" si="131"/>
        <v>1.5782999999999998E-2</v>
      </c>
      <c r="BT264" s="45">
        <f t="shared" ca="1" si="131"/>
        <v>1.2191E-2</v>
      </c>
      <c r="BU264" s="45">
        <f t="shared" ca="1" si="131"/>
        <v>3.3484E-2</v>
      </c>
      <c r="BV264" s="45">
        <f t="shared" ca="1" si="131"/>
        <v>9.4529999999999996E-3</v>
      </c>
      <c r="BW264" s="45">
        <f t="shared" ca="1" si="131"/>
        <v>1.9473000000000001E-2</v>
      </c>
      <c r="BX264" s="45">
        <f t="shared" ca="1" si="131"/>
        <v>2.3036000000000001E-2</v>
      </c>
      <c r="BY264" s="45">
        <f t="shared" ca="1" si="131"/>
        <v>4.3463000000000002E-2</v>
      </c>
      <c r="BZ264" s="45">
        <f t="shared" ca="1" si="131"/>
        <v>8.7156999999999998E-2</v>
      </c>
      <c r="CA264" s="45">
        <f t="shared" ca="1" si="131"/>
        <v>2.5080000000000002E-2</v>
      </c>
      <c r="CB264" s="45">
        <f t="shared" ca="1" si="131"/>
        <v>5.4474000000000002E-2</v>
      </c>
      <c r="CC264" s="45">
        <f t="shared" ca="1" si="131"/>
        <v>0.16129199999999999</v>
      </c>
      <c r="CD264" s="45">
        <f t="shared" ca="1" si="131"/>
        <v>5.7376999999999997E-2</v>
      </c>
      <c r="CE264" s="45">
        <f t="shared" ca="1" si="131"/>
        <v>6.6434000000000007E-2</v>
      </c>
      <c r="CF264" s="45">
        <f t="shared" ca="1" si="131"/>
        <v>7.1512000000000006E-2</v>
      </c>
      <c r="CG264" s="45">
        <f t="shared" ca="1" si="131"/>
        <v>0.13756199999999999</v>
      </c>
      <c r="CH264" s="45">
        <f t="shared" ca="1" si="131"/>
        <v>0.11892800000000001</v>
      </c>
      <c r="CI264" s="45">
        <f t="shared" ca="1" si="131"/>
        <v>6.5819000000000003E-2</v>
      </c>
      <c r="CJ264" s="45">
        <f t="shared" ca="1" si="131"/>
        <v>2.5294000000000001E-2</v>
      </c>
      <c r="CK264" s="45">
        <f t="shared" ca="1" si="131"/>
        <v>3.1884999999999997E-2</v>
      </c>
      <c r="CL264" s="45">
        <f t="shared" ca="1" si="131"/>
        <v>5.4946000000000002E-2</v>
      </c>
      <c r="CM264" s="45">
        <f t="shared" ca="1" si="131"/>
        <v>3.1767999999999998E-2</v>
      </c>
      <c r="CN264" s="45">
        <f t="shared" ca="1" si="131"/>
        <v>6.2745999999999996E-2</v>
      </c>
      <c r="CO264" s="45">
        <f t="shared" ca="1" si="131"/>
        <v>4.2549999999999998E-2</v>
      </c>
      <c r="CP264" s="45">
        <f t="shared" ca="1" si="131"/>
        <v>1.6775999999999999E-2</v>
      </c>
      <c r="CQ264" s="45">
        <f t="shared" ca="1" si="131"/>
        <v>5.4100000000000002E-2</v>
      </c>
      <c r="CR264" s="45">
        <f t="shared" ca="1" si="131"/>
        <v>2.3147000000000001E-2</v>
      </c>
      <c r="CS264" s="45">
        <f t="shared" ca="1" si="131"/>
        <v>7.2602E-2</v>
      </c>
      <c r="CT264" s="45">
        <f t="shared" ca="1" si="131"/>
        <v>3.7747000000000003E-2</v>
      </c>
      <c r="CU264" s="45">
        <f t="shared" ca="1" si="131"/>
        <v>0.27166899999999999</v>
      </c>
      <c r="CV264" s="45">
        <f t="shared" ca="1" si="131"/>
        <v>4.5741999999999998E-2</v>
      </c>
      <c r="CW264" s="45">
        <f t="shared" ca="1" si="131"/>
        <v>4.6713999999999999E-2</v>
      </c>
      <c r="CX264" s="45">
        <f t="shared" ca="1" si="131"/>
        <v>6.4882999999999996E-2</v>
      </c>
      <c r="CY264" s="45">
        <f t="shared" ca="1" si="131"/>
        <v>0.180703</v>
      </c>
      <c r="CZ264" s="45">
        <f t="shared" ca="1" si="131"/>
        <v>7.9286999999999996E-2</v>
      </c>
      <c r="DA264" s="45">
        <f t="shared" ca="1" si="131"/>
        <v>7.4381000000000003E-2</v>
      </c>
      <c r="DB264" s="45">
        <f t="shared" ca="1" si="131"/>
        <v>0.109482</v>
      </c>
      <c r="DC264" s="45">
        <f t="shared" ca="1" si="131"/>
        <v>5.7710999999999998E-2</v>
      </c>
      <c r="DD264" s="45">
        <f t="shared" ca="1" si="131"/>
        <v>1.1904E-2</v>
      </c>
      <c r="DE264" s="45">
        <f t="shared" ca="1" si="131"/>
        <v>2.5041000000000001E-2</v>
      </c>
      <c r="DF264" s="45">
        <f t="shared" ca="1" si="131"/>
        <v>7.7312000000000006E-2</v>
      </c>
      <c r="DG264" s="45">
        <f t="shared" ca="1" si="131"/>
        <v>3.2145E-2</v>
      </c>
      <c r="DH264" s="45">
        <f t="shared" ca="1" si="131"/>
        <v>4.8702000000000002E-2</v>
      </c>
      <c r="DI264" s="45">
        <f t="shared" ca="1" si="131"/>
        <v>4.4318000000000003E-2</v>
      </c>
      <c r="DJ264" s="45">
        <f t="shared" ca="1" si="131"/>
        <v>0.11706</v>
      </c>
      <c r="DK264" s="45">
        <f t="shared" ca="1" si="131"/>
        <v>9.5847000000000002E-2</v>
      </c>
      <c r="DL264" s="45">
        <f t="shared" ca="1" si="131"/>
        <v>7.0185999999999998E-2</v>
      </c>
      <c r="DM264" s="45">
        <f t="shared" ca="1" si="131"/>
        <v>0.156995</v>
      </c>
      <c r="DN264" s="45">
        <f t="shared" ca="1" si="131"/>
        <v>5.4709000000000001E-2</v>
      </c>
      <c r="DO264" s="45">
        <f t="shared" ca="1" si="131"/>
        <v>9.8741999999999996E-2</v>
      </c>
      <c r="DP264" s="45">
        <f t="shared" ca="1" si="131"/>
        <v>0.111955</v>
      </c>
      <c r="DQ264" s="45">
        <f t="shared" ca="1" si="131"/>
        <v>2.1427000000000002E-2</v>
      </c>
      <c r="DR264" s="45">
        <f t="shared" ca="1" si="131"/>
        <v>0.15935099999999999</v>
      </c>
      <c r="DS264" s="45">
        <f t="shared" ca="1" si="131"/>
        <v>0.17827299999999999</v>
      </c>
      <c r="DT264" s="45">
        <f t="shared" ca="1" si="131"/>
        <v>0.29880000000000001</v>
      </c>
      <c r="DU264" s="45">
        <f t="shared" ca="1" si="131"/>
        <v>0.16015799999999999</v>
      </c>
      <c r="DV264" s="45">
        <f t="shared" ca="1" si="131"/>
        <v>0.39111200000000002</v>
      </c>
      <c r="DW264" s="45">
        <f t="shared" ca="1" si="131"/>
        <v>0.191693</v>
      </c>
      <c r="DX264" s="45">
        <f t="shared" ca="1" si="131"/>
        <v>3.1219E-2</v>
      </c>
      <c r="DY264" s="45">
        <f t="shared" ca="1" si="131"/>
        <v>2.1909999999999999E-2</v>
      </c>
      <c r="DZ264" s="45">
        <f t="shared" ca="1" si="131"/>
        <v>3.3728000000000001E-2</v>
      </c>
      <c r="EA264" s="45">
        <f t="shared" ca="1" si="131"/>
        <v>1.0126E-2</v>
      </c>
      <c r="EB264" s="45">
        <f t="shared" ca="1" si="131"/>
        <v>7.3562000000000002E-2</v>
      </c>
      <c r="EC264" s="45">
        <f t="shared" ca="1" si="131"/>
        <v>0.105424</v>
      </c>
      <c r="ED264" s="45">
        <f t="shared" ca="1" si="131"/>
        <v>3.947E-3</v>
      </c>
      <c r="EE264" s="45">
        <f t="shared" ca="1" si="131"/>
        <v>0.19247600000000001</v>
      </c>
      <c r="EF264" s="45">
        <f t="shared" ca="1" si="131"/>
        <v>0.14743700000000001</v>
      </c>
      <c r="EG264" s="45">
        <f t="shared" ca="1" si="131"/>
        <v>0.12374300000000001</v>
      </c>
      <c r="EH264" s="45">
        <f t="shared" ca="1" si="131"/>
        <v>0.264048</v>
      </c>
      <c r="EI264" s="45">
        <f t="shared" ca="1" si="131"/>
        <v>0.104382</v>
      </c>
      <c r="EJ264" s="45">
        <f t="shared" ca="1" si="131"/>
        <v>8.9653999999999998E-2</v>
      </c>
      <c r="EK264" s="45">
        <f t="shared" ca="1" si="131"/>
        <v>1.3658E-2</v>
      </c>
      <c r="EL264" s="45">
        <f t="shared" ca="1" si="131"/>
        <v>2.0278999999999998E-2</v>
      </c>
      <c r="EM264" s="45">
        <f t="shared" ca="1" si="131"/>
        <v>3.8809000000000003E-2</v>
      </c>
      <c r="EN264" s="45">
        <f t="shared" ca="1" si="131"/>
        <v>0.134602</v>
      </c>
      <c r="EO264" s="45">
        <f t="shared" ca="1" si="131"/>
        <v>9.6532000000000007E-2</v>
      </c>
      <c r="EP264" s="45">
        <f t="shared" ca="1" si="131"/>
        <v>3.8483000000000003E-2</v>
      </c>
      <c r="EQ264" s="45">
        <f t="shared" ca="1" si="131"/>
        <v>1.5221E-2</v>
      </c>
      <c r="ER264" s="45">
        <f t="shared" ca="1" si="131"/>
        <v>3.3116E-2</v>
      </c>
      <c r="ES264" s="45">
        <f t="shared" ca="1" si="131"/>
        <v>8.5150000000000003E-2</v>
      </c>
      <c r="ET264" s="45">
        <f t="shared" ca="1" si="131"/>
        <v>7.5217000000000006E-2</v>
      </c>
      <c r="EU264" s="45">
        <f t="shared" ca="1" si="131"/>
        <v>0.16251199999999999</v>
      </c>
      <c r="EV264" s="45">
        <f t="shared" ca="1" si="131"/>
        <v>2.2506999999999999E-2</v>
      </c>
      <c r="EW264" s="45">
        <f t="shared" ca="1" si="131"/>
        <v>9.6640000000000007E-3</v>
      </c>
      <c r="EX264" s="45">
        <f t="shared" ca="1" si="131"/>
        <v>6.4603999999999995E-2</v>
      </c>
      <c r="EY264" s="45">
        <f t="shared" ca="1" si="131"/>
        <v>0.22116</v>
      </c>
      <c r="EZ264" s="45">
        <f t="shared" ca="1" si="131"/>
        <v>9.0414999999999995E-2</v>
      </c>
      <c r="FA264" s="45">
        <f t="shared" ca="1" si="131"/>
        <v>1.0598E-2</v>
      </c>
      <c r="FB264" s="45">
        <f t="shared" ca="1" si="131"/>
        <v>8.8140000000000007E-3</v>
      </c>
      <c r="FC264" s="45">
        <f t="shared" ca="1" si="131"/>
        <v>4.2423000000000002E-2</v>
      </c>
      <c r="FD264" s="45">
        <f t="shared" ca="1" si="131"/>
        <v>0.101026</v>
      </c>
      <c r="FE264" s="45">
        <f t="shared" ca="1" si="131"/>
        <v>5.6217000000000003E-2</v>
      </c>
      <c r="FF264" s="45">
        <f t="shared" ca="1" si="131"/>
        <v>0.14469199999999999</v>
      </c>
      <c r="FG264" s="45">
        <f t="shared" ca="1" si="131"/>
        <v>8.6225999999999997E-2</v>
      </c>
      <c r="FH264" s="45">
        <f t="shared" ca="1" si="131"/>
        <v>4.2486000000000003E-2</v>
      </c>
      <c r="FI264" s="45">
        <f t="shared" ca="1" si="131"/>
        <v>1.3938000000000001E-2</v>
      </c>
      <c r="FJ264" s="45">
        <f t="shared" ca="1" si="131"/>
        <v>2.2075999999999998E-2</v>
      </c>
      <c r="FK264" s="45">
        <f t="shared" ca="1" si="131"/>
        <v>1.3099E-2</v>
      </c>
      <c r="FL264" s="45">
        <f t="shared" ca="1" si="131"/>
        <v>4.0219999999999999E-2</v>
      </c>
      <c r="FM264" s="45">
        <f t="shared" ca="1" si="131"/>
        <v>3.7274000000000002E-2</v>
      </c>
      <c r="FN264" s="45">
        <f t="shared" ca="1" si="131"/>
        <v>8.5705000000000003E-2</v>
      </c>
      <c r="FO264" s="45">
        <f t="shared" ca="1" si="131"/>
        <v>3.9909999999999998E-3</v>
      </c>
      <c r="FP264" s="45">
        <f t="shared" ca="1" si="131"/>
        <v>1.7513999999999998E-2</v>
      </c>
      <c r="FQ264" s="45">
        <f t="shared" ca="1" si="131"/>
        <v>2.1521999999999999E-2</v>
      </c>
      <c r="FR264" s="45">
        <f t="shared" ca="1" si="131"/>
        <v>5.6270000000000001E-3</v>
      </c>
      <c r="FS264" s="45">
        <f t="shared" ca="1" si="131"/>
        <v>7.456E-3</v>
      </c>
      <c r="FT264" s="45">
        <f t="shared" ca="1" si="131"/>
        <v>3.0049999999999999E-3</v>
      </c>
      <c r="FU264" s="45">
        <f t="shared" ca="1" si="131"/>
        <v>5.9750999999999999E-2</v>
      </c>
      <c r="FV264" s="45">
        <f t="shared" ca="1" si="131"/>
        <v>6.1904000000000001E-2</v>
      </c>
      <c r="FW264" s="45">
        <f t="shared" ca="1" si="131"/>
        <v>0.15074399999999999</v>
      </c>
      <c r="FX264" s="45">
        <f t="shared" ca="1" si="131"/>
        <v>9.4374E-2</v>
      </c>
      <c r="FY264" s="45"/>
      <c r="FZ264" s="45">
        <f ca="1">SUM(C264:FX264)</f>
        <v>15.131465999999991</v>
      </c>
      <c r="GA264" s="45"/>
      <c r="GB264" s="7"/>
      <c r="GC264" s="7"/>
      <c r="GD264" s="7"/>
      <c r="GE264" s="7"/>
      <c r="GF264" s="7"/>
      <c r="GG264" s="7"/>
      <c r="GH264" s="7"/>
      <c r="GI264" s="7"/>
      <c r="GJ264" s="7"/>
      <c r="GK264" s="7"/>
    </row>
    <row r="265" spans="1:193" ht="15.5" x14ac:dyDescent="0.35">
      <c r="A265" s="7"/>
      <c r="B265" s="7" t="s">
        <v>1037</v>
      </c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7"/>
      <c r="GC265" s="7"/>
      <c r="GD265" s="7"/>
      <c r="GE265" s="7"/>
      <c r="GF265" s="7"/>
      <c r="GG265" s="7"/>
      <c r="GH265" s="7"/>
      <c r="GI265" s="7"/>
      <c r="GJ265" s="7"/>
      <c r="GK265" s="7"/>
    </row>
    <row r="266" spans="1:193" ht="15.5" x14ac:dyDescent="0.35">
      <c r="A266" s="7"/>
      <c r="B266" s="7" t="s">
        <v>1038</v>
      </c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78"/>
      <c r="GB266" s="45"/>
      <c r="GC266" s="45"/>
      <c r="GD266" s="45"/>
      <c r="GE266" s="7"/>
      <c r="GF266" s="7"/>
      <c r="GG266" s="7"/>
      <c r="GH266" s="7"/>
      <c r="GI266" s="7"/>
      <c r="GJ266" s="7"/>
      <c r="GK266" s="7"/>
    </row>
    <row r="267" spans="1:193" ht="15.5" x14ac:dyDescent="0.35">
      <c r="A267" s="12" t="s">
        <v>690</v>
      </c>
      <c r="B267" s="7" t="s">
        <v>1039</v>
      </c>
      <c r="C267" s="45">
        <f t="shared" ref="C267:FX267" si="132">ROUND(((C50)*(1+C206+C207))/C48,6)</f>
        <v>0.82068099999999999</v>
      </c>
      <c r="D267" s="45">
        <f t="shared" si="132"/>
        <v>0.22354299999999999</v>
      </c>
      <c r="E267" s="45">
        <f t="shared" si="132"/>
        <v>0.79738900000000001</v>
      </c>
      <c r="F267" s="45">
        <f t="shared" si="132"/>
        <v>0.32048900000000002</v>
      </c>
      <c r="G267" s="45">
        <f t="shared" si="132"/>
        <v>2.1136089999999998</v>
      </c>
      <c r="H267" s="45">
        <f t="shared" si="132"/>
        <v>6.9286669999999999</v>
      </c>
      <c r="I267" s="45">
        <f t="shared" si="132"/>
        <v>0.83926000000000001</v>
      </c>
      <c r="J267" s="45">
        <f t="shared" si="132"/>
        <v>5.1646640000000001</v>
      </c>
      <c r="K267" s="45">
        <f t="shared" si="132"/>
        <v>18.520233999999999</v>
      </c>
      <c r="L267" s="45">
        <f t="shared" si="132"/>
        <v>1.1280140000000001</v>
      </c>
      <c r="M267" s="45">
        <f t="shared" si="132"/>
        <v>2.9483860000000002</v>
      </c>
      <c r="N267" s="45">
        <f t="shared" si="132"/>
        <v>0.106126</v>
      </c>
      <c r="O267" s="45">
        <f t="shared" si="132"/>
        <v>0.366703</v>
      </c>
      <c r="P267" s="45">
        <f t="shared" si="132"/>
        <v>16.269812000000002</v>
      </c>
      <c r="Q267" s="45">
        <f t="shared" si="132"/>
        <v>0.184976</v>
      </c>
      <c r="R267" s="45">
        <f t="shared" si="132"/>
        <v>15.700101</v>
      </c>
      <c r="S267" s="45">
        <f t="shared" si="132"/>
        <v>1.682744</v>
      </c>
      <c r="T267" s="45">
        <f t="shared" si="132"/>
        <v>37.247829000000003</v>
      </c>
      <c r="U267" s="45">
        <f t="shared" si="132"/>
        <v>35.287210000000002</v>
      </c>
      <c r="V267" s="45">
        <f t="shared" si="132"/>
        <v>25.677700000000002</v>
      </c>
      <c r="W267" s="45">
        <f t="shared" si="132"/>
        <v>45.336992000000002</v>
      </c>
      <c r="X267" s="45">
        <f t="shared" si="132"/>
        <v>53.754275999999997</v>
      </c>
      <c r="Y267" s="45">
        <f t="shared" si="132"/>
        <v>12.277279</v>
      </c>
      <c r="Z267" s="45">
        <f t="shared" si="132"/>
        <v>36.845472000000001</v>
      </c>
      <c r="AA267" s="45">
        <f t="shared" si="132"/>
        <v>0.148733</v>
      </c>
      <c r="AB267" s="45">
        <f t="shared" si="132"/>
        <v>9.6793000000000004E-2</v>
      </c>
      <c r="AC267" s="45">
        <f t="shared" si="132"/>
        <v>2.0783390000000002</v>
      </c>
      <c r="AD267" s="45">
        <f t="shared" si="132"/>
        <v>2.0359560000000001</v>
      </c>
      <c r="AE267" s="45">
        <f t="shared" si="132"/>
        <v>20.540614999999999</v>
      </c>
      <c r="AF267" s="45">
        <f t="shared" si="132"/>
        <v>10.134547</v>
      </c>
      <c r="AG267" s="45">
        <f t="shared" si="132"/>
        <v>2.617915</v>
      </c>
      <c r="AH267" s="45">
        <f t="shared" si="132"/>
        <v>21.06034</v>
      </c>
      <c r="AI267" s="45">
        <f t="shared" si="132"/>
        <v>79.794419000000005</v>
      </c>
      <c r="AJ267" s="45">
        <f t="shared" si="132"/>
        <v>26.784884000000002</v>
      </c>
      <c r="AK267" s="45">
        <f t="shared" si="132"/>
        <v>14.632489</v>
      </c>
      <c r="AL267" s="45">
        <f t="shared" si="132"/>
        <v>11.23227</v>
      </c>
      <c r="AM267" s="45">
        <f t="shared" si="132"/>
        <v>15.664788</v>
      </c>
      <c r="AN267" s="45">
        <f t="shared" si="132"/>
        <v>5.542116</v>
      </c>
      <c r="AO267" s="45">
        <f t="shared" si="132"/>
        <v>1.71848</v>
      </c>
      <c r="AP267" s="45">
        <f t="shared" si="132"/>
        <v>4.1408E-2</v>
      </c>
      <c r="AQ267" s="45">
        <f t="shared" si="132"/>
        <v>11.273180999999999</v>
      </c>
      <c r="AR267" s="45">
        <f t="shared" si="132"/>
        <v>9.3760999999999997E-2</v>
      </c>
      <c r="AS267" s="45">
        <f t="shared" si="132"/>
        <v>0.20654900000000001</v>
      </c>
      <c r="AT267" s="45">
        <f t="shared" si="132"/>
        <v>2.2399209999999998</v>
      </c>
      <c r="AU267" s="45">
        <f t="shared" si="132"/>
        <v>12.660380999999999</v>
      </c>
      <c r="AV267" s="45">
        <f t="shared" si="132"/>
        <v>21.946553999999999</v>
      </c>
      <c r="AW267" s="45">
        <f t="shared" si="132"/>
        <v>26.176794000000001</v>
      </c>
      <c r="AX267" s="45">
        <f t="shared" si="132"/>
        <v>40.831927</v>
      </c>
      <c r="AY267" s="45">
        <f t="shared" si="132"/>
        <v>15.875455000000001</v>
      </c>
      <c r="AZ267" s="45">
        <f t="shared" si="132"/>
        <v>9.7699999999999992E-3</v>
      </c>
      <c r="BA267" s="45">
        <f t="shared" si="132"/>
        <v>1.0456749999999999</v>
      </c>
      <c r="BB267" s="45">
        <f t="shared" si="132"/>
        <v>3.5444469999999999</v>
      </c>
      <c r="BC267" s="45">
        <f t="shared" si="132"/>
        <v>0.208232</v>
      </c>
      <c r="BD267" s="45">
        <f t="shared" si="132"/>
        <v>1.6215759999999999</v>
      </c>
      <c r="BE267" s="45">
        <f t="shared" si="132"/>
        <v>4.650353</v>
      </c>
      <c r="BF267" s="45">
        <f t="shared" si="132"/>
        <v>0.33544299999999999</v>
      </c>
      <c r="BG267" s="45">
        <f t="shared" si="132"/>
        <v>15.124406</v>
      </c>
      <c r="BH267" s="45">
        <f t="shared" si="132"/>
        <v>11.861191</v>
      </c>
      <c r="BI267" s="45">
        <f t="shared" si="132"/>
        <v>18.512799000000001</v>
      </c>
      <c r="BJ267" s="45">
        <f t="shared" si="132"/>
        <v>0.99343999999999999</v>
      </c>
      <c r="BK267" s="45">
        <f t="shared" si="132"/>
        <v>0.57792200000000005</v>
      </c>
      <c r="BL267" s="45">
        <f t="shared" si="132"/>
        <v>102.206666</v>
      </c>
      <c r="BM267" s="45">
        <f t="shared" si="132"/>
        <v>20.007045999999999</v>
      </c>
      <c r="BN267" s="45">
        <f t="shared" si="132"/>
        <v>2.5072679999999998</v>
      </c>
      <c r="BO267" s="45">
        <f t="shared" si="132"/>
        <v>4.6539739999999998</v>
      </c>
      <c r="BP267" s="45">
        <f t="shared" si="132"/>
        <v>9.2293839999999996</v>
      </c>
      <c r="BQ267" s="45">
        <f t="shared" si="132"/>
        <v>0.46864499999999998</v>
      </c>
      <c r="BR267" s="45">
        <f t="shared" si="132"/>
        <v>0.84040700000000002</v>
      </c>
      <c r="BS267" s="45">
        <f t="shared" si="132"/>
        <v>1.1435550000000001</v>
      </c>
      <c r="BT267" s="45">
        <f t="shared" si="132"/>
        <v>2.1250749999999998</v>
      </c>
      <c r="BU267" s="45">
        <f t="shared" si="132"/>
        <v>5.4678610000000001</v>
      </c>
      <c r="BV267" s="45">
        <f t="shared" si="132"/>
        <v>0.69814200000000004</v>
      </c>
      <c r="BW267" s="45">
        <f t="shared" si="132"/>
        <v>0.87441500000000005</v>
      </c>
      <c r="BX267" s="45">
        <f t="shared" si="132"/>
        <v>13.758169000000001</v>
      </c>
      <c r="BY267" s="45">
        <f t="shared" si="132"/>
        <v>6.9209800000000001</v>
      </c>
      <c r="BZ267" s="45">
        <f t="shared" si="132"/>
        <v>25.350218000000002</v>
      </c>
      <c r="CA267" s="45">
        <f t="shared" si="132"/>
        <v>9.0611060000000005</v>
      </c>
      <c r="CB267" s="45">
        <f t="shared" si="132"/>
        <v>6.8140000000000006E-2</v>
      </c>
      <c r="CC267" s="45">
        <f t="shared" si="132"/>
        <v>47.456476000000002</v>
      </c>
      <c r="CD267" s="45">
        <f t="shared" si="132"/>
        <v>13.077076999999999</v>
      </c>
      <c r="CE267" s="45">
        <f t="shared" si="132"/>
        <v>23.128343999999998</v>
      </c>
      <c r="CF267" s="45">
        <f t="shared" si="132"/>
        <v>31.084896000000001</v>
      </c>
      <c r="CG267" s="45">
        <f t="shared" si="132"/>
        <v>38.810487000000002</v>
      </c>
      <c r="CH267" s="45">
        <f t="shared" si="132"/>
        <v>52.790570000000002</v>
      </c>
      <c r="CI267" s="45">
        <f t="shared" si="132"/>
        <v>8.0185220000000008</v>
      </c>
      <c r="CJ267" s="45">
        <f t="shared" si="132"/>
        <v>2.253708</v>
      </c>
      <c r="CK267" s="45">
        <f t="shared" si="132"/>
        <v>0.508355</v>
      </c>
      <c r="CL267" s="45">
        <f t="shared" si="132"/>
        <v>3.6202320000000001</v>
      </c>
      <c r="CM267" s="45">
        <f t="shared" si="132"/>
        <v>3.3125249999999999</v>
      </c>
      <c r="CN267" s="45">
        <f t="shared" si="132"/>
        <v>0.183971</v>
      </c>
      <c r="CO267" s="45">
        <f t="shared" si="132"/>
        <v>0.28107799999999999</v>
      </c>
      <c r="CP267" s="45">
        <f t="shared" si="132"/>
        <v>1.443859</v>
      </c>
      <c r="CQ267" s="45">
        <f t="shared" si="132"/>
        <v>5.5507369999999998</v>
      </c>
      <c r="CR267" s="45">
        <f t="shared" si="132"/>
        <v>5.7779100000000003</v>
      </c>
      <c r="CS267" s="45">
        <f t="shared" si="132"/>
        <v>16.609103000000001</v>
      </c>
      <c r="CT267" s="45">
        <f t="shared" si="132"/>
        <v>16.963875999999999</v>
      </c>
      <c r="CU267" s="45">
        <f t="shared" si="132"/>
        <v>59.433349999999997</v>
      </c>
      <c r="CV267" s="45">
        <f t="shared" si="132"/>
        <v>41.454071999999996</v>
      </c>
      <c r="CW267" s="45">
        <f t="shared" si="132"/>
        <v>12.615394</v>
      </c>
      <c r="CX267" s="45">
        <f t="shared" si="132"/>
        <v>11.242189</v>
      </c>
      <c r="CY267" s="45">
        <f t="shared" si="132"/>
        <v>150.40974700000001</v>
      </c>
      <c r="CZ267" s="45">
        <f t="shared" si="132"/>
        <v>3.903232</v>
      </c>
      <c r="DA267" s="45">
        <f t="shared" si="132"/>
        <v>21.459251999999999</v>
      </c>
      <c r="DB267" s="45">
        <f t="shared" si="132"/>
        <v>23.096388999999999</v>
      </c>
      <c r="DC267" s="45">
        <f t="shared" si="132"/>
        <v>17.526589000000001</v>
      </c>
      <c r="DD267" s="45">
        <f t="shared" si="132"/>
        <v>3.9032789999999999</v>
      </c>
      <c r="DE267" s="45">
        <f t="shared" si="132"/>
        <v>5.6757280000000003</v>
      </c>
      <c r="DF267" s="45">
        <f t="shared" si="132"/>
        <v>0.35256700000000002</v>
      </c>
      <c r="DG267" s="45">
        <f t="shared" si="132"/>
        <v>14.001253999999999</v>
      </c>
      <c r="DH267" s="45">
        <f t="shared" si="132"/>
        <v>2.4620600000000001</v>
      </c>
      <c r="DI267" s="45">
        <f t="shared" si="132"/>
        <v>1.664112</v>
      </c>
      <c r="DJ267" s="45">
        <f t="shared" si="132"/>
        <v>14.539145</v>
      </c>
      <c r="DK267" s="45">
        <f t="shared" si="132"/>
        <v>15.139419999999999</v>
      </c>
      <c r="DL267" s="45">
        <f t="shared" si="132"/>
        <v>1.1086320000000001</v>
      </c>
      <c r="DM267" s="45">
        <f t="shared" si="132"/>
        <v>37.158763999999998</v>
      </c>
      <c r="DN267" s="45">
        <f t="shared" si="132"/>
        <v>3.5587420000000001</v>
      </c>
      <c r="DO267" s="45">
        <f t="shared" si="132"/>
        <v>2.7010529999999999</v>
      </c>
      <c r="DP267" s="45">
        <f t="shared" si="132"/>
        <v>30.356963</v>
      </c>
      <c r="DQ267" s="45">
        <f t="shared" si="132"/>
        <v>2.1722290000000002</v>
      </c>
      <c r="DR267" s="45">
        <f t="shared" si="132"/>
        <v>10.201463</v>
      </c>
      <c r="DS267" s="45">
        <f t="shared" si="132"/>
        <v>21.373501999999998</v>
      </c>
      <c r="DT267" s="45">
        <f t="shared" si="132"/>
        <v>84.333353000000002</v>
      </c>
      <c r="DU267" s="45">
        <f t="shared" si="132"/>
        <v>30.924934</v>
      </c>
      <c r="DV267" s="45">
        <f t="shared" si="132"/>
        <v>101.843009</v>
      </c>
      <c r="DW267" s="45">
        <f t="shared" si="132"/>
        <v>41.111671999999999</v>
      </c>
      <c r="DX267" s="45">
        <f t="shared" si="132"/>
        <v>8.9568309999999993</v>
      </c>
      <c r="DY267" s="45">
        <f t="shared" si="132"/>
        <v>4.4637510000000002</v>
      </c>
      <c r="DZ267" s="45">
        <f t="shared" si="132"/>
        <v>3.7727750000000002</v>
      </c>
      <c r="EA267" s="45">
        <f t="shared" si="132"/>
        <v>1.553606</v>
      </c>
      <c r="EB267" s="45">
        <f t="shared" si="132"/>
        <v>10.446809999999999</v>
      </c>
      <c r="EC267" s="45">
        <f t="shared" si="132"/>
        <v>24.530719999999999</v>
      </c>
      <c r="ED267" s="45">
        <f t="shared" si="132"/>
        <v>0.17483799999999999</v>
      </c>
      <c r="EE267" s="45">
        <f t="shared" si="132"/>
        <v>54.8217</v>
      </c>
      <c r="EF267" s="45">
        <f t="shared" si="132"/>
        <v>9.0781080000000003</v>
      </c>
      <c r="EG267" s="45">
        <f t="shared" si="132"/>
        <v>31.661463000000001</v>
      </c>
      <c r="EH267" s="45">
        <f t="shared" si="132"/>
        <v>65.895966000000001</v>
      </c>
      <c r="EI267" s="45">
        <f t="shared" si="132"/>
        <v>0.65723900000000002</v>
      </c>
      <c r="EJ267" s="45">
        <f t="shared" si="132"/>
        <v>0.82562100000000005</v>
      </c>
      <c r="EK267" s="45">
        <f t="shared" si="132"/>
        <v>1.6617710000000001</v>
      </c>
      <c r="EL267" s="45">
        <f t="shared" si="132"/>
        <v>3.4287649999999998</v>
      </c>
      <c r="EM267" s="45">
        <f t="shared" si="132"/>
        <v>7.4484079999999997</v>
      </c>
      <c r="EN267" s="45">
        <f t="shared" si="132"/>
        <v>11.453071</v>
      </c>
      <c r="EO267" s="45">
        <f t="shared" si="132"/>
        <v>20.965554000000001</v>
      </c>
      <c r="EP267" s="45">
        <f t="shared" si="132"/>
        <v>6.7172599999999996</v>
      </c>
      <c r="EQ267" s="45">
        <f t="shared" si="132"/>
        <v>5.1110000000000001E-3</v>
      </c>
      <c r="ER267" s="45">
        <f t="shared" si="132"/>
        <v>6.745393</v>
      </c>
      <c r="ES267" s="45">
        <f t="shared" si="132"/>
        <v>24.167446000000002</v>
      </c>
      <c r="ET267" s="45">
        <f t="shared" si="132"/>
        <v>18.809619000000001</v>
      </c>
      <c r="EU267" s="45">
        <f t="shared" si="132"/>
        <v>21.410661000000001</v>
      </c>
      <c r="EV267" s="45">
        <f t="shared" si="132"/>
        <v>11.506788999999999</v>
      </c>
      <c r="EW267" s="45">
        <f t="shared" si="132"/>
        <v>0.74494099999999996</v>
      </c>
      <c r="EX267" s="45">
        <f t="shared" si="132"/>
        <v>17.949508999999999</v>
      </c>
      <c r="EY267" s="45">
        <f t="shared" si="132"/>
        <v>25.016197999999999</v>
      </c>
      <c r="EZ267" s="45">
        <f t="shared" si="132"/>
        <v>34.112124999999999</v>
      </c>
      <c r="FA267" s="45">
        <f t="shared" si="132"/>
        <v>0.26301999999999998</v>
      </c>
      <c r="FB267" s="45">
        <f t="shared" si="132"/>
        <v>2.0325359999999999</v>
      </c>
      <c r="FC267" s="45">
        <f t="shared" si="132"/>
        <v>1.9987159999999999</v>
      </c>
      <c r="FD267" s="45">
        <f t="shared" si="132"/>
        <v>18.268684</v>
      </c>
      <c r="FE267" s="45">
        <f t="shared" si="132"/>
        <v>28.73339</v>
      </c>
      <c r="FF267" s="45">
        <f t="shared" si="132"/>
        <v>38.750109000000002</v>
      </c>
      <c r="FG267" s="45">
        <f t="shared" si="132"/>
        <v>31.645886999999998</v>
      </c>
      <c r="FH267" s="45">
        <f t="shared" si="132"/>
        <v>27.173542999999999</v>
      </c>
      <c r="FI267" s="45">
        <f t="shared" si="132"/>
        <v>0.702349</v>
      </c>
      <c r="FJ267" s="45">
        <f t="shared" si="132"/>
        <v>1.0213909999999999</v>
      </c>
      <c r="FK267" s="45">
        <f t="shared" si="132"/>
        <v>0.46440300000000001</v>
      </c>
      <c r="FL267" s="45">
        <f t="shared" si="132"/>
        <v>0.45844099999999999</v>
      </c>
      <c r="FM267" s="45">
        <f t="shared" si="132"/>
        <v>0.88541000000000003</v>
      </c>
      <c r="FN267" s="45">
        <f t="shared" si="132"/>
        <v>0.34502699999999997</v>
      </c>
      <c r="FO267" s="45">
        <f t="shared" si="132"/>
        <v>0.32521</v>
      </c>
      <c r="FP267" s="45">
        <f t="shared" si="132"/>
        <v>0.68081999999999998</v>
      </c>
      <c r="FQ267" s="45">
        <f t="shared" si="132"/>
        <v>1.8896409999999999</v>
      </c>
      <c r="FR267" s="45">
        <f t="shared" si="132"/>
        <v>1.7747120000000001</v>
      </c>
      <c r="FS267" s="45">
        <f t="shared" si="132"/>
        <v>2.1545399999999999</v>
      </c>
      <c r="FT267" s="45">
        <f t="shared" si="132"/>
        <v>2.135494</v>
      </c>
      <c r="FU267" s="45">
        <f t="shared" si="132"/>
        <v>5.7515049999999999</v>
      </c>
      <c r="FV267" s="45">
        <f t="shared" si="132"/>
        <v>6.2886170000000003</v>
      </c>
      <c r="FW267" s="45">
        <f t="shared" si="132"/>
        <v>45.825476000000002</v>
      </c>
      <c r="FX267" s="45">
        <f t="shared" si="132"/>
        <v>65.331834999999998</v>
      </c>
      <c r="FY267" s="45"/>
      <c r="FZ267" s="45"/>
      <c r="GA267" s="45"/>
      <c r="GB267" s="45"/>
      <c r="GC267" s="45"/>
      <c r="GD267" s="45"/>
      <c r="GE267" s="7"/>
      <c r="GF267" s="7"/>
      <c r="GG267" s="7"/>
      <c r="GH267" s="7"/>
      <c r="GI267" s="7"/>
      <c r="GJ267" s="7"/>
      <c r="GK267" s="7"/>
    </row>
    <row r="268" spans="1:193" ht="15.5" x14ac:dyDescent="0.35">
      <c r="A268" s="7"/>
      <c r="B268" s="7" t="s">
        <v>1040</v>
      </c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7"/>
      <c r="GB268" s="45"/>
      <c r="GC268" s="45"/>
      <c r="GD268" s="45"/>
      <c r="GE268" s="7"/>
      <c r="GF268" s="7"/>
      <c r="GG268" s="7"/>
      <c r="GH268" s="7"/>
      <c r="GI268" s="7"/>
      <c r="GJ268" s="7"/>
      <c r="GK268" s="7"/>
    </row>
    <row r="269" spans="1:193" ht="15.5" x14ac:dyDescent="0.35">
      <c r="A269" s="7"/>
      <c r="B269" s="7" t="s">
        <v>1041</v>
      </c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7"/>
      <c r="GB269" s="45"/>
      <c r="GC269" s="45"/>
      <c r="GD269" s="45"/>
      <c r="GE269" s="7"/>
      <c r="GF269" s="7"/>
      <c r="GG269" s="7"/>
      <c r="GH269" s="7"/>
      <c r="GI269" s="7"/>
      <c r="GJ269" s="7"/>
      <c r="GK269" s="7"/>
    </row>
    <row r="270" spans="1:193" ht="15.5" x14ac:dyDescent="0.35">
      <c r="A270" s="12" t="s">
        <v>692</v>
      </c>
      <c r="B270" s="7" t="s">
        <v>1042</v>
      </c>
      <c r="C270" s="45">
        <f t="shared" ref="C270:FX270" ca="1" si="133">MIN(C262,C264)</f>
        <v>2.7E-2</v>
      </c>
      <c r="D270" s="45">
        <f t="shared" ca="1" si="133"/>
        <v>2.7E-2</v>
      </c>
      <c r="E270" s="45">
        <f t="shared" ca="1" si="133"/>
        <v>2.7E-2</v>
      </c>
      <c r="F270" s="45">
        <f t="shared" ca="1" si="133"/>
        <v>2.7E-2</v>
      </c>
      <c r="G270" s="45">
        <f t="shared" ca="1" si="133"/>
        <v>2.5264999999999999E-2</v>
      </c>
      <c r="H270" s="45">
        <f t="shared" ca="1" si="133"/>
        <v>2.7E-2</v>
      </c>
      <c r="I270" s="45">
        <f t="shared" ca="1" si="133"/>
        <v>2.7E-2</v>
      </c>
      <c r="J270" s="45">
        <f t="shared" ca="1" si="133"/>
        <v>2.7E-2</v>
      </c>
      <c r="K270" s="45">
        <f t="shared" ca="1" si="133"/>
        <v>2.7E-2</v>
      </c>
      <c r="L270" s="45">
        <f t="shared" ca="1" si="133"/>
        <v>2.6894999999999999E-2</v>
      </c>
      <c r="M270" s="45">
        <f t="shared" ca="1" si="133"/>
        <v>2.5946999999999998E-2</v>
      </c>
      <c r="N270" s="45">
        <f t="shared" ca="1" si="133"/>
        <v>1.8756000000000002E-2</v>
      </c>
      <c r="O270" s="45">
        <f t="shared" ca="1" si="133"/>
        <v>2.7E-2</v>
      </c>
      <c r="P270" s="45">
        <f t="shared" ca="1" si="133"/>
        <v>2.7E-2</v>
      </c>
      <c r="Q270" s="45">
        <f t="shared" ca="1" si="133"/>
        <v>2.7E-2</v>
      </c>
      <c r="R270" s="45">
        <f t="shared" ca="1" si="133"/>
        <v>2.7E-2</v>
      </c>
      <c r="S270" s="45">
        <f t="shared" ca="1" si="133"/>
        <v>2.6013999999999999E-2</v>
      </c>
      <c r="T270" s="45">
        <f t="shared" ca="1" si="133"/>
        <v>2.4301E-2</v>
      </c>
      <c r="U270" s="45">
        <f t="shared" ca="1" si="133"/>
        <v>2.3800999999999999E-2</v>
      </c>
      <c r="V270" s="45">
        <f t="shared" ca="1" si="133"/>
        <v>2.7E-2</v>
      </c>
      <c r="W270" s="45">
        <f t="shared" ca="1" si="133"/>
        <v>2.7E-2</v>
      </c>
      <c r="X270" s="45">
        <f t="shared" ca="1" si="133"/>
        <v>1.5755999999999999E-2</v>
      </c>
      <c r="Y270" s="45">
        <f t="shared" ca="1" si="133"/>
        <v>2.4498000000000002E-2</v>
      </c>
      <c r="Z270" s="45">
        <f t="shared" ca="1" si="133"/>
        <v>2.359E-2</v>
      </c>
      <c r="AA270" s="45">
        <f t="shared" ca="1" si="133"/>
        <v>2.7E-2</v>
      </c>
      <c r="AB270" s="45">
        <f t="shared" ca="1" si="133"/>
        <v>2.7E-2</v>
      </c>
      <c r="AC270" s="45">
        <f t="shared" ca="1" si="133"/>
        <v>2.0982000000000001E-2</v>
      </c>
      <c r="AD270" s="45">
        <f t="shared" ca="1" si="133"/>
        <v>1.9693000000000002E-2</v>
      </c>
      <c r="AE270" s="45">
        <f t="shared" ca="1" si="133"/>
        <v>1.2814000000000001E-2</v>
      </c>
      <c r="AF270" s="45">
        <f t="shared" ca="1" si="133"/>
        <v>1.1674E-2</v>
      </c>
      <c r="AG270" s="45">
        <f t="shared" ca="1" si="133"/>
        <v>1.2485E-2</v>
      </c>
      <c r="AH270" s="45">
        <f t="shared" ca="1" si="133"/>
        <v>2.2123E-2</v>
      </c>
      <c r="AI270" s="45">
        <f t="shared" ca="1" si="133"/>
        <v>2.7E-2</v>
      </c>
      <c r="AJ270" s="45">
        <f t="shared" ca="1" si="133"/>
        <v>2.3788E-2</v>
      </c>
      <c r="AK270" s="45">
        <f t="shared" ca="1" si="133"/>
        <v>2.128E-2</v>
      </c>
      <c r="AL270" s="45">
        <f t="shared" ca="1" si="133"/>
        <v>2.7E-2</v>
      </c>
      <c r="AM270" s="45">
        <f t="shared" ca="1" si="133"/>
        <v>2.1449000000000003E-2</v>
      </c>
      <c r="AN270" s="45">
        <f t="shared" ca="1" si="133"/>
        <v>2.4712999999999999E-2</v>
      </c>
      <c r="AO270" s="45">
        <f t="shared" ca="1" si="133"/>
        <v>2.7E-2</v>
      </c>
      <c r="AP270" s="45">
        <f t="shared" ca="1" si="133"/>
        <v>2.7E-2</v>
      </c>
      <c r="AQ270" s="45">
        <f t="shared" ca="1" si="133"/>
        <v>1.8685E-2</v>
      </c>
      <c r="AR270" s="45">
        <f t="shared" ca="1" si="133"/>
        <v>2.7E-2</v>
      </c>
      <c r="AS270" s="45">
        <f t="shared" ca="1" si="133"/>
        <v>1.2137999999999999E-2</v>
      </c>
      <c r="AT270" s="45">
        <f t="shared" ca="1" si="133"/>
        <v>2.7E-2</v>
      </c>
      <c r="AU270" s="45">
        <f t="shared" ca="1" si="133"/>
        <v>2.4187999999999998E-2</v>
      </c>
      <c r="AV270" s="45">
        <f t="shared" ca="1" si="133"/>
        <v>2.7E-2</v>
      </c>
      <c r="AW270" s="45">
        <f t="shared" ca="1" si="133"/>
        <v>2.4431000000000001E-2</v>
      </c>
      <c r="AX270" s="45">
        <f t="shared" ca="1" si="133"/>
        <v>2.1797999999999998E-2</v>
      </c>
      <c r="AY270" s="45">
        <f t="shared" ca="1" si="133"/>
        <v>2.7E-2</v>
      </c>
      <c r="AZ270" s="45">
        <f t="shared" ca="1" si="133"/>
        <v>1.5720000000000001E-2</v>
      </c>
      <c r="BA270" s="45">
        <f t="shared" ca="1" si="133"/>
        <v>2.6893999999999998E-2</v>
      </c>
      <c r="BB270" s="45">
        <f t="shared" ca="1" si="133"/>
        <v>2.4684000000000001E-2</v>
      </c>
      <c r="BC270" s="45">
        <f t="shared" ca="1" si="133"/>
        <v>2.0715000000000001E-2</v>
      </c>
      <c r="BD270" s="45">
        <f t="shared" ca="1" si="133"/>
        <v>2.7E-2</v>
      </c>
      <c r="BE270" s="45">
        <f t="shared" ca="1" si="133"/>
        <v>2.7E-2</v>
      </c>
      <c r="BF270" s="45">
        <f t="shared" ca="1" si="133"/>
        <v>2.7E-2</v>
      </c>
      <c r="BG270" s="45">
        <f t="shared" ca="1" si="133"/>
        <v>2.7E-2</v>
      </c>
      <c r="BH270" s="45">
        <f t="shared" ca="1" si="133"/>
        <v>2.6419000000000002E-2</v>
      </c>
      <c r="BI270" s="45">
        <f t="shared" ca="1" si="133"/>
        <v>1.3433E-2</v>
      </c>
      <c r="BJ270" s="45">
        <f t="shared" ca="1" si="133"/>
        <v>2.7E-2</v>
      </c>
      <c r="BK270" s="45">
        <f t="shared" ca="1" si="133"/>
        <v>2.7E-2</v>
      </c>
      <c r="BL270" s="45">
        <f t="shared" ca="1" si="133"/>
        <v>2.7E-2</v>
      </c>
      <c r="BM270" s="45">
        <f t="shared" ca="1" si="133"/>
        <v>2.5833999999999999E-2</v>
      </c>
      <c r="BN270" s="45">
        <f t="shared" ca="1" si="133"/>
        <v>2.7E-2</v>
      </c>
      <c r="BO270" s="45">
        <f t="shared" ca="1" si="133"/>
        <v>2.0202999999999999E-2</v>
      </c>
      <c r="BP270" s="45">
        <f t="shared" ca="1" si="133"/>
        <v>2.6702E-2</v>
      </c>
      <c r="BQ270" s="45">
        <f t="shared" ca="1" si="133"/>
        <v>2.6759000000000002E-2</v>
      </c>
      <c r="BR270" s="45">
        <f t="shared" ca="1" si="133"/>
        <v>9.6999999999999986E-3</v>
      </c>
      <c r="BS270" s="45">
        <f t="shared" ca="1" si="133"/>
        <v>4.3949999999999996E-3</v>
      </c>
      <c r="BT270" s="45">
        <f t="shared" ca="1" si="133"/>
        <v>6.6509999999999998E-3</v>
      </c>
      <c r="BU270" s="45">
        <f t="shared" ca="1" si="133"/>
        <v>1.3811E-2</v>
      </c>
      <c r="BV270" s="45">
        <f t="shared" ca="1" si="133"/>
        <v>9.4529999999999996E-3</v>
      </c>
      <c r="BW270" s="45">
        <f t="shared" ca="1" si="133"/>
        <v>1.5736E-2</v>
      </c>
      <c r="BX270" s="45">
        <f t="shared" ca="1" si="133"/>
        <v>1.9067000000000001E-2</v>
      </c>
      <c r="BY270" s="45">
        <f t="shared" ca="1" si="133"/>
        <v>2.7E-2</v>
      </c>
      <c r="BZ270" s="45">
        <f t="shared" ca="1" si="133"/>
        <v>2.7E-2</v>
      </c>
      <c r="CA270" s="45">
        <f t="shared" ca="1" si="133"/>
        <v>2.3040999999999999E-2</v>
      </c>
      <c r="CB270" s="45">
        <f t="shared" ca="1" si="133"/>
        <v>2.7E-2</v>
      </c>
      <c r="CC270" s="45">
        <f t="shared" ca="1" si="133"/>
        <v>2.7E-2</v>
      </c>
      <c r="CD270" s="45">
        <f t="shared" ca="1" si="133"/>
        <v>2.452E-2</v>
      </c>
      <c r="CE270" s="45">
        <f t="shared" ca="1" si="133"/>
        <v>2.7E-2</v>
      </c>
      <c r="CF270" s="45">
        <f t="shared" ca="1" si="133"/>
        <v>2.4333999999999998E-2</v>
      </c>
      <c r="CG270" s="45">
        <f t="shared" ca="1" si="133"/>
        <v>2.7E-2</v>
      </c>
      <c r="CH270" s="45">
        <f t="shared" ca="1" si="133"/>
        <v>2.7E-2</v>
      </c>
      <c r="CI270" s="45">
        <f t="shared" ca="1" si="133"/>
        <v>2.7E-2</v>
      </c>
      <c r="CJ270" s="45">
        <f t="shared" ca="1" si="133"/>
        <v>2.5294000000000001E-2</v>
      </c>
      <c r="CK270" s="45">
        <f t="shared" ca="1" si="133"/>
        <v>1.1601E-2</v>
      </c>
      <c r="CL270" s="45">
        <f t="shared" ca="1" si="133"/>
        <v>1.3228999999999999E-2</v>
      </c>
      <c r="CM270" s="45">
        <f t="shared" ca="1" si="133"/>
        <v>7.2740000000000001E-3</v>
      </c>
      <c r="CN270" s="45">
        <f t="shared" ca="1" si="133"/>
        <v>2.7E-2</v>
      </c>
      <c r="CO270" s="45">
        <f t="shared" ca="1" si="133"/>
        <v>2.7E-2</v>
      </c>
      <c r="CP270" s="45">
        <f t="shared" ca="1" si="133"/>
        <v>1.6775999999999999E-2</v>
      </c>
      <c r="CQ270" s="45">
        <f t="shared" ca="1" si="133"/>
        <v>1.7426999999999998E-2</v>
      </c>
      <c r="CR270" s="45">
        <f t="shared" ca="1" si="133"/>
        <v>4.169E-3</v>
      </c>
      <c r="CS270" s="45">
        <f t="shared" ca="1" si="133"/>
        <v>2.7E-2</v>
      </c>
      <c r="CT270" s="45">
        <f t="shared" ca="1" si="133"/>
        <v>1.3519999999999999E-2</v>
      </c>
      <c r="CU270" s="45">
        <f t="shared" ca="1" si="133"/>
        <v>2.4615999999999999E-2</v>
      </c>
      <c r="CV270" s="45">
        <f t="shared" ca="1" si="133"/>
        <v>1.5979E-2</v>
      </c>
      <c r="CW270" s="45">
        <f t="shared" ca="1" si="133"/>
        <v>1.7379000000000002E-2</v>
      </c>
      <c r="CX270" s="45">
        <f t="shared" ca="1" si="133"/>
        <v>2.6824000000000001E-2</v>
      </c>
      <c r="CY270" s="45">
        <f t="shared" ca="1" si="133"/>
        <v>2.7E-2</v>
      </c>
      <c r="CZ270" s="45">
        <f t="shared" ca="1" si="133"/>
        <v>2.7E-2</v>
      </c>
      <c r="DA270" s="45">
        <f t="shared" ca="1" si="133"/>
        <v>2.7E-2</v>
      </c>
      <c r="DB270" s="45">
        <f t="shared" ca="1" si="133"/>
        <v>2.7E-2</v>
      </c>
      <c r="DC270" s="45">
        <f t="shared" ca="1" si="133"/>
        <v>2.2418E-2</v>
      </c>
      <c r="DD270" s="45">
        <f t="shared" ca="1" si="133"/>
        <v>3.4300000000000003E-3</v>
      </c>
      <c r="DE270" s="45">
        <f t="shared" ca="1" si="133"/>
        <v>1.1894999999999999E-2</v>
      </c>
      <c r="DF270" s="45">
        <f t="shared" ca="1" si="133"/>
        <v>2.7E-2</v>
      </c>
      <c r="DG270" s="45">
        <f t="shared" ca="1" si="133"/>
        <v>2.5453E-2</v>
      </c>
      <c r="DH270" s="45">
        <f t="shared" ca="1" si="133"/>
        <v>2.5515999999999997E-2</v>
      </c>
      <c r="DI270" s="45">
        <f t="shared" ca="1" si="133"/>
        <v>2.3844999999999998E-2</v>
      </c>
      <c r="DJ270" s="45">
        <f t="shared" ca="1" si="133"/>
        <v>2.5883E-2</v>
      </c>
      <c r="DK270" s="45">
        <f t="shared" ca="1" si="133"/>
        <v>2.0658000000000003E-2</v>
      </c>
      <c r="DL270" s="45">
        <f t="shared" ca="1" si="133"/>
        <v>2.6966999999999998E-2</v>
      </c>
      <c r="DM270" s="45">
        <f t="shared" ca="1" si="133"/>
        <v>2.4899000000000001E-2</v>
      </c>
      <c r="DN270" s="45">
        <f t="shared" ca="1" si="133"/>
        <v>2.7E-2</v>
      </c>
      <c r="DO270" s="45">
        <f t="shared" ca="1" si="133"/>
        <v>2.7E-2</v>
      </c>
      <c r="DP270" s="45">
        <f t="shared" ca="1" si="133"/>
        <v>2.7E-2</v>
      </c>
      <c r="DQ270" s="45">
        <f t="shared" ca="1" si="133"/>
        <v>2.1427000000000002E-2</v>
      </c>
      <c r="DR270" s="45">
        <f t="shared" ca="1" si="133"/>
        <v>2.7E-2</v>
      </c>
      <c r="DS270" s="45">
        <f t="shared" ca="1" si="133"/>
        <v>2.7E-2</v>
      </c>
      <c r="DT270" s="45">
        <f t="shared" ca="1" si="133"/>
        <v>2.6728999999999999E-2</v>
      </c>
      <c r="DU270" s="45">
        <f t="shared" ca="1" si="133"/>
        <v>2.7E-2</v>
      </c>
      <c r="DV270" s="45">
        <f t="shared" ca="1" si="133"/>
        <v>2.7E-2</v>
      </c>
      <c r="DW270" s="45">
        <f t="shared" ca="1" si="133"/>
        <v>2.6997E-2</v>
      </c>
      <c r="DX270" s="45">
        <f t="shared" ca="1" si="133"/>
        <v>2.3931000000000001E-2</v>
      </c>
      <c r="DY270" s="45">
        <f t="shared" ca="1" si="133"/>
        <v>1.7927999999999999E-2</v>
      </c>
      <c r="DZ270" s="45">
        <f t="shared" ca="1" si="133"/>
        <v>2.2661999999999998E-2</v>
      </c>
      <c r="EA270" s="45">
        <f t="shared" ca="1" si="133"/>
        <v>1.0126E-2</v>
      </c>
      <c r="EB270" s="45">
        <f t="shared" ca="1" si="133"/>
        <v>2.7E-2</v>
      </c>
      <c r="EC270" s="45">
        <f t="shared" ca="1" si="133"/>
        <v>2.7E-2</v>
      </c>
      <c r="ED270" s="45">
        <f t="shared" ca="1" si="133"/>
        <v>3.947E-3</v>
      </c>
      <c r="EE270" s="45">
        <f t="shared" ca="1" si="133"/>
        <v>2.7E-2</v>
      </c>
      <c r="EF270" s="45">
        <f t="shared" ca="1" si="133"/>
        <v>2.4594999999999999E-2</v>
      </c>
      <c r="EG270" s="45">
        <f t="shared" ca="1" si="133"/>
        <v>2.7E-2</v>
      </c>
      <c r="EH270" s="45">
        <f t="shared" ca="1" si="133"/>
        <v>2.7E-2</v>
      </c>
      <c r="EI270" s="45">
        <f t="shared" ca="1" si="133"/>
        <v>2.7E-2</v>
      </c>
      <c r="EJ270" s="45">
        <f t="shared" ca="1" si="133"/>
        <v>2.7E-2</v>
      </c>
      <c r="EK270" s="45">
        <f t="shared" ca="1" si="133"/>
        <v>5.7670000000000004E-3</v>
      </c>
      <c r="EL270" s="45">
        <f t="shared" ca="1" si="133"/>
        <v>6.143E-3</v>
      </c>
      <c r="EM270" s="45">
        <f t="shared" ca="1" si="133"/>
        <v>2.1308000000000001E-2</v>
      </c>
      <c r="EN270" s="45">
        <f t="shared" ca="1" si="133"/>
        <v>2.7E-2</v>
      </c>
      <c r="EO270" s="45">
        <f t="shared" ca="1" si="133"/>
        <v>2.7E-2</v>
      </c>
      <c r="EP270" s="45">
        <f t="shared" ca="1" si="133"/>
        <v>2.5585999999999998E-2</v>
      </c>
      <c r="EQ270" s="45">
        <f t="shared" ca="1" si="133"/>
        <v>5.5929999999999999E-3</v>
      </c>
      <c r="ER270" s="45">
        <f t="shared" ca="1" si="133"/>
        <v>2.1283E-2</v>
      </c>
      <c r="ES270" s="45">
        <f t="shared" ca="1" si="133"/>
        <v>2.7E-2</v>
      </c>
      <c r="ET270" s="45">
        <f t="shared" ca="1" si="133"/>
        <v>2.7E-2</v>
      </c>
      <c r="EU270" s="45">
        <f t="shared" ca="1" si="133"/>
        <v>2.7E-2</v>
      </c>
      <c r="EV270" s="45">
        <f t="shared" ca="1" si="133"/>
        <v>1.5009E-2</v>
      </c>
      <c r="EW270" s="45">
        <f t="shared" ca="1" si="133"/>
        <v>7.2809999999999993E-3</v>
      </c>
      <c r="EX270" s="45">
        <f t="shared" ca="1" si="133"/>
        <v>8.9099999999999995E-3</v>
      </c>
      <c r="EY270" s="45">
        <f t="shared" ca="1" si="133"/>
        <v>2.7E-2</v>
      </c>
      <c r="EZ270" s="45">
        <f t="shared" ca="1" si="133"/>
        <v>2.7E-2</v>
      </c>
      <c r="FA270" s="45">
        <f t="shared" ca="1" si="133"/>
        <v>1.0598E-2</v>
      </c>
      <c r="FB270" s="45">
        <f t="shared" ca="1" si="133"/>
        <v>8.8140000000000007E-3</v>
      </c>
      <c r="FC270" s="45">
        <f t="shared" ca="1" si="133"/>
        <v>2.7E-2</v>
      </c>
      <c r="FD270" s="45">
        <f t="shared" ca="1" si="133"/>
        <v>2.7E-2</v>
      </c>
      <c r="FE270" s="45">
        <f t="shared" ca="1" si="133"/>
        <v>1.9181E-2</v>
      </c>
      <c r="FF270" s="45">
        <f t="shared" ca="1" si="133"/>
        <v>2.7E-2</v>
      </c>
      <c r="FG270" s="45">
        <f t="shared" ca="1" si="133"/>
        <v>2.7E-2</v>
      </c>
      <c r="FH270" s="45">
        <f t="shared" ca="1" si="133"/>
        <v>2.4771999999999999E-2</v>
      </c>
      <c r="FI270" s="45">
        <f t="shared" ca="1" si="133"/>
        <v>9.639E-3</v>
      </c>
      <c r="FJ270" s="45">
        <f t="shared" ca="1" si="133"/>
        <v>2.2075999999999998E-2</v>
      </c>
      <c r="FK270" s="45">
        <f t="shared" ca="1" si="133"/>
        <v>1.0845E-2</v>
      </c>
      <c r="FL270" s="45">
        <f t="shared" ca="1" si="133"/>
        <v>2.7E-2</v>
      </c>
      <c r="FM270" s="45">
        <f t="shared" ca="1" si="133"/>
        <v>2.3414000000000001E-2</v>
      </c>
      <c r="FN270" s="45">
        <f t="shared" ca="1" si="133"/>
        <v>2.7E-2</v>
      </c>
      <c r="FO270" s="45">
        <f t="shared" ca="1" si="133"/>
        <v>3.9909999999999998E-3</v>
      </c>
      <c r="FP270" s="45">
        <f t="shared" ca="1" si="133"/>
        <v>1.2143000000000001E-2</v>
      </c>
      <c r="FQ270" s="45">
        <f t="shared" ca="1" si="133"/>
        <v>2.1521999999999999E-2</v>
      </c>
      <c r="FR270" s="45">
        <f t="shared" ca="1" si="133"/>
        <v>5.6270000000000001E-3</v>
      </c>
      <c r="FS270" s="45">
        <f t="shared" ca="1" si="133"/>
        <v>5.0679999999999996E-3</v>
      </c>
      <c r="FT270" s="45">
        <f t="shared" ca="1" si="133"/>
        <v>3.0049999999999999E-3</v>
      </c>
      <c r="FU270" s="45">
        <f t="shared" ca="1" si="133"/>
        <v>2.3344999999999998E-2</v>
      </c>
      <c r="FV270" s="45">
        <f t="shared" ca="1" si="133"/>
        <v>2.0032000000000001E-2</v>
      </c>
      <c r="FW270" s="45">
        <f t="shared" ca="1" si="133"/>
        <v>2.6498000000000001E-2</v>
      </c>
      <c r="FX270" s="45">
        <f t="shared" ca="1" si="133"/>
        <v>2.4674999999999999E-2</v>
      </c>
      <c r="FY270" s="45"/>
      <c r="FZ270" s="45"/>
      <c r="GA270" s="7"/>
      <c r="GB270" s="45"/>
      <c r="GC270" s="45"/>
      <c r="GD270" s="45"/>
      <c r="GE270" s="7"/>
      <c r="GF270" s="7"/>
      <c r="GG270" s="7"/>
      <c r="GH270" s="7"/>
      <c r="GI270" s="7"/>
      <c r="GJ270" s="7"/>
      <c r="GK270" s="7"/>
    </row>
    <row r="271" spans="1:193" ht="15.5" x14ac:dyDescent="0.35">
      <c r="A271" s="7"/>
      <c r="B271" s="7" t="s">
        <v>1043</v>
      </c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7"/>
      <c r="GB271" s="45"/>
      <c r="GC271" s="45"/>
      <c r="GD271" s="45"/>
      <c r="GE271" s="7"/>
      <c r="GF271" s="7"/>
      <c r="GG271" s="7"/>
      <c r="GH271" s="7"/>
      <c r="GI271" s="7"/>
      <c r="GJ271" s="7"/>
      <c r="GK271" s="7"/>
    </row>
    <row r="272" spans="1:193" ht="15.5" x14ac:dyDescent="0.35">
      <c r="A272" s="12" t="s">
        <v>1044</v>
      </c>
      <c r="B272" s="7" t="s">
        <v>1045</v>
      </c>
      <c r="C272" s="76">
        <v>0</v>
      </c>
      <c r="D272" s="76">
        <v>0</v>
      </c>
      <c r="E272" s="76">
        <v>0</v>
      </c>
      <c r="F272" s="76">
        <v>0</v>
      </c>
      <c r="G272" s="76">
        <v>0</v>
      </c>
      <c r="H272" s="76">
        <v>0</v>
      </c>
      <c r="I272" s="76">
        <v>0</v>
      </c>
      <c r="J272" s="76">
        <v>0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0</v>
      </c>
      <c r="Q272" s="76">
        <v>0</v>
      </c>
      <c r="R272" s="76">
        <v>0</v>
      </c>
      <c r="S272" s="76">
        <v>0</v>
      </c>
      <c r="T272" s="76">
        <v>0</v>
      </c>
      <c r="U272" s="76">
        <v>0</v>
      </c>
      <c r="V272" s="76">
        <v>0</v>
      </c>
      <c r="W272" s="76">
        <v>0</v>
      </c>
      <c r="X272" s="76">
        <v>0</v>
      </c>
      <c r="Y272" s="76">
        <v>0</v>
      </c>
      <c r="Z272" s="76">
        <v>0</v>
      </c>
      <c r="AA272" s="76">
        <v>0</v>
      </c>
      <c r="AB272" s="76">
        <v>0</v>
      </c>
      <c r="AC272" s="76">
        <v>0</v>
      </c>
      <c r="AD272" s="76">
        <v>0</v>
      </c>
      <c r="AE272" s="76">
        <v>0</v>
      </c>
      <c r="AF272" s="76">
        <v>0</v>
      </c>
      <c r="AG272" s="76">
        <v>0</v>
      </c>
      <c r="AH272" s="76">
        <v>0</v>
      </c>
      <c r="AI272" s="76">
        <v>0</v>
      </c>
      <c r="AJ272" s="76">
        <v>0</v>
      </c>
      <c r="AK272" s="76">
        <v>0</v>
      </c>
      <c r="AL272" s="76">
        <v>0</v>
      </c>
      <c r="AM272" s="76">
        <v>0</v>
      </c>
      <c r="AN272" s="76">
        <v>0</v>
      </c>
      <c r="AO272" s="76">
        <v>0</v>
      </c>
      <c r="AP272" s="76">
        <v>0</v>
      </c>
      <c r="AQ272" s="76">
        <v>0</v>
      </c>
      <c r="AR272" s="76">
        <v>0</v>
      </c>
      <c r="AS272" s="76">
        <v>0</v>
      </c>
      <c r="AT272" s="76">
        <v>0</v>
      </c>
      <c r="AU272" s="76">
        <v>0</v>
      </c>
      <c r="AV272" s="76">
        <v>0</v>
      </c>
      <c r="AW272" s="76">
        <v>0</v>
      </c>
      <c r="AX272" s="76">
        <v>0</v>
      </c>
      <c r="AY272" s="76">
        <v>0</v>
      </c>
      <c r="AZ272" s="76">
        <v>0</v>
      </c>
      <c r="BA272" s="76">
        <v>0</v>
      </c>
      <c r="BB272" s="76">
        <v>0</v>
      </c>
      <c r="BC272" s="76">
        <v>0</v>
      </c>
      <c r="BD272" s="76">
        <v>0</v>
      </c>
      <c r="BE272" s="76">
        <v>0</v>
      </c>
      <c r="BF272" s="76">
        <v>0</v>
      </c>
      <c r="BG272" s="76">
        <v>0</v>
      </c>
      <c r="BH272" s="76">
        <v>0</v>
      </c>
      <c r="BI272" s="76">
        <v>0</v>
      </c>
      <c r="BJ272" s="76">
        <v>0</v>
      </c>
      <c r="BK272" s="76">
        <v>0</v>
      </c>
      <c r="BL272" s="76">
        <v>0</v>
      </c>
      <c r="BM272" s="76">
        <v>0</v>
      </c>
      <c r="BN272" s="76">
        <v>0</v>
      </c>
      <c r="BO272" s="76">
        <v>0</v>
      </c>
      <c r="BP272" s="76">
        <v>0</v>
      </c>
      <c r="BQ272" s="76">
        <v>0</v>
      </c>
      <c r="BR272" s="76">
        <v>0</v>
      </c>
      <c r="BS272" s="76">
        <v>0</v>
      </c>
      <c r="BT272" s="76">
        <v>0</v>
      </c>
      <c r="BU272" s="76">
        <v>0</v>
      </c>
      <c r="BV272" s="76">
        <v>0</v>
      </c>
      <c r="BW272" s="76">
        <v>0</v>
      </c>
      <c r="BX272" s="76">
        <v>0</v>
      </c>
      <c r="BY272" s="76">
        <v>0</v>
      </c>
      <c r="BZ272" s="76">
        <v>0</v>
      </c>
      <c r="CA272" s="76">
        <v>0</v>
      </c>
      <c r="CB272" s="76">
        <v>0</v>
      </c>
      <c r="CC272" s="76">
        <v>0</v>
      </c>
      <c r="CD272" s="76">
        <v>0</v>
      </c>
      <c r="CE272" s="76">
        <v>0</v>
      </c>
      <c r="CF272" s="76">
        <v>0</v>
      </c>
      <c r="CG272" s="76">
        <v>0</v>
      </c>
      <c r="CH272" s="76">
        <v>0</v>
      </c>
      <c r="CI272" s="76">
        <v>0</v>
      </c>
      <c r="CJ272" s="76">
        <v>0</v>
      </c>
      <c r="CK272" s="76">
        <v>0</v>
      </c>
      <c r="CL272" s="76">
        <v>0</v>
      </c>
      <c r="CM272" s="76">
        <v>0</v>
      </c>
      <c r="CN272" s="76">
        <v>0</v>
      </c>
      <c r="CO272" s="76">
        <v>0</v>
      </c>
      <c r="CP272" s="76">
        <v>0</v>
      </c>
      <c r="CQ272" s="76">
        <v>0</v>
      </c>
      <c r="CR272" s="76">
        <v>0</v>
      </c>
      <c r="CS272" s="76">
        <v>0</v>
      </c>
      <c r="CT272" s="76">
        <v>0</v>
      </c>
      <c r="CU272" s="76">
        <v>0</v>
      </c>
      <c r="CV272" s="76">
        <v>0</v>
      </c>
      <c r="CW272" s="76">
        <v>0</v>
      </c>
      <c r="CX272" s="76">
        <v>0</v>
      </c>
      <c r="CY272" s="76">
        <v>0</v>
      </c>
      <c r="CZ272" s="76">
        <v>0</v>
      </c>
      <c r="DA272" s="76">
        <v>0</v>
      </c>
      <c r="DB272" s="76">
        <v>0</v>
      </c>
      <c r="DC272" s="76">
        <v>0</v>
      </c>
      <c r="DD272" s="76">
        <v>0</v>
      </c>
      <c r="DE272" s="76">
        <v>0</v>
      </c>
      <c r="DF272" s="76">
        <v>0</v>
      </c>
      <c r="DG272" s="76">
        <v>0</v>
      </c>
      <c r="DH272" s="76">
        <v>0</v>
      </c>
      <c r="DI272" s="76">
        <v>0</v>
      </c>
      <c r="DJ272" s="76">
        <v>0</v>
      </c>
      <c r="DK272" s="76">
        <v>0</v>
      </c>
      <c r="DL272" s="76">
        <v>0</v>
      </c>
      <c r="DM272" s="76">
        <v>0</v>
      </c>
      <c r="DN272" s="76">
        <v>0</v>
      </c>
      <c r="DO272" s="76">
        <v>0</v>
      </c>
      <c r="DP272" s="76">
        <v>0</v>
      </c>
      <c r="DQ272" s="76">
        <v>0</v>
      </c>
      <c r="DR272" s="76">
        <v>0</v>
      </c>
      <c r="DS272" s="76">
        <v>0</v>
      </c>
      <c r="DT272" s="76">
        <v>0</v>
      </c>
      <c r="DU272" s="76">
        <v>0</v>
      </c>
      <c r="DV272" s="76">
        <v>0</v>
      </c>
      <c r="DW272" s="76">
        <v>0</v>
      </c>
      <c r="DX272" s="76">
        <v>0</v>
      </c>
      <c r="DY272" s="76">
        <v>0</v>
      </c>
      <c r="DZ272" s="76">
        <v>0</v>
      </c>
      <c r="EA272" s="76">
        <v>0</v>
      </c>
      <c r="EB272" s="76">
        <v>0</v>
      </c>
      <c r="EC272" s="76">
        <v>0</v>
      </c>
      <c r="ED272" s="76">
        <v>0</v>
      </c>
      <c r="EE272" s="76">
        <v>0</v>
      </c>
      <c r="EF272" s="76">
        <v>0</v>
      </c>
      <c r="EG272" s="76">
        <v>0</v>
      </c>
      <c r="EH272" s="76">
        <v>0</v>
      </c>
      <c r="EI272" s="76">
        <v>0</v>
      </c>
      <c r="EJ272" s="76">
        <v>0</v>
      </c>
      <c r="EK272" s="76">
        <v>0</v>
      </c>
      <c r="EL272" s="76">
        <v>0</v>
      </c>
      <c r="EM272" s="76">
        <v>0</v>
      </c>
      <c r="EN272" s="76">
        <v>0</v>
      </c>
      <c r="EO272" s="76">
        <v>0</v>
      </c>
      <c r="EP272" s="76">
        <v>0</v>
      </c>
      <c r="EQ272" s="76">
        <v>0</v>
      </c>
      <c r="ER272" s="76">
        <v>0</v>
      </c>
      <c r="ES272" s="76">
        <v>0</v>
      </c>
      <c r="ET272" s="76">
        <v>0</v>
      </c>
      <c r="EU272" s="76">
        <v>0</v>
      </c>
      <c r="EV272" s="76">
        <v>0</v>
      </c>
      <c r="EW272" s="76">
        <v>0</v>
      </c>
      <c r="EX272" s="76">
        <v>0</v>
      </c>
      <c r="EY272" s="76">
        <v>0</v>
      </c>
      <c r="EZ272" s="76">
        <v>0</v>
      </c>
      <c r="FA272" s="76">
        <v>0</v>
      </c>
      <c r="FB272" s="76">
        <v>0</v>
      </c>
      <c r="FC272" s="76">
        <v>0</v>
      </c>
      <c r="FD272" s="76">
        <v>0</v>
      </c>
      <c r="FE272" s="76">
        <v>0</v>
      </c>
      <c r="FF272" s="76">
        <v>0</v>
      </c>
      <c r="FG272" s="76">
        <v>0</v>
      </c>
      <c r="FH272" s="76">
        <v>0</v>
      </c>
      <c r="FI272" s="76">
        <v>0</v>
      </c>
      <c r="FJ272" s="76">
        <v>0</v>
      </c>
      <c r="FK272" s="76">
        <v>0</v>
      </c>
      <c r="FL272" s="76">
        <v>0</v>
      </c>
      <c r="FM272" s="76">
        <v>0</v>
      </c>
      <c r="FN272" s="76">
        <v>0</v>
      </c>
      <c r="FO272" s="76">
        <v>0</v>
      </c>
      <c r="FP272" s="76">
        <v>0</v>
      </c>
      <c r="FQ272" s="76">
        <v>0</v>
      </c>
      <c r="FR272" s="76">
        <v>0</v>
      </c>
      <c r="FS272" s="76">
        <v>0</v>
      </c>
      <c r="FT272" s="76">
        <v>0</v>
      </c>
      <c r="FU272" s="76">
        <v>0</v>
      </c>
      <c r="FV272" s="76">
        <v>0</v>
      </c>
      <c r="FW272" s="76">
        <v>0</v>
      </c>
      <c r="FX272" s="76">
        <v>0</v>
      </c>
      <c r="FY272" s="45"/>
      <c r="FZ272" s="45"/>
      <c r="GA272" s="45"/>
      <c r="GB272" s="45"/>
      <c r="GC272" s="45"/>
      <c r="GD272" s="45"/>
      <c r="GE272" s="7"/>
      <c r="GF272" s="7"/>
      <c r="GG272" s="7"/>
      <c r="GH272" s="7"/>
      <c r="GI272" s="7"/>
      <c r="GJ272" s="7"/>
      <c r="GK272" s="7"/>
    </row>
    <row r="273" spans="1:193" ht="15.5" x14ac:dyDescent="0.35">
      <c r="A273" s="12" t="s">
        <v>1046</v>
      </c>
      <c r="B273" s="7" t="s">
        <v>1047</v>
      </c>
      <c r="C273" s="45">
        <f t="shared" ref="C273:FX273" ca="1" si="134">IF(C272&gt;0,C272,C270)</f>
        <v>2.7E-2</v>
      </c>
      <c r="D273" s="45">
        <f t="shared" ca="1" si="134"/>
        <v>2.7E-2</v>
      </c>
      <c r="E273" s="45">
        <f t="shared" ca="1" si="134"/>
        <v>2.7E-2</v>
      </c>
      <c r="F273" s="45">
        <f t="shared" ca="1" si="134"/>
        <v>2.7E-2</v>
      </c>
      <c r="G273" s="45">
        <f t="shared" ca="1" si="134"/>
        <v>2.5264999999999999E-2</v>
      </c>
      <c r="H273" s="45">
        <f t="shared" ca="1" si="134"/>
        <v>2.7E-2</v>
      </c>
      <c r="I273" s="45">
        <f t="shared" ca="1" si="134"/>
        <v>2.7E-2</v>
      </c>
      <c r="J273" s="45">
        <f t="shared" ca="1" si="134"/>
        <v>2.7E-2</v>
      </c>
      <c r="K273" s="45">
        <f t="shared" ca="1" si="134"/>
        <v>2.7E-2</v>
      </c>
      <c r="L273" s="45">
        <f t="shared" ca="1" si="134"/>
        <v>2.6894999999999999E-2</v>
      </c>
      <c r="M273" s="45">
        <f t="shared" ca="1" si="134"/>
        <v>2.5946999999999998E-2</v>
      </c>
      <c r="N273" s="45">
        <f t="shared" ca="1" si="134"/>
        <v>1.8756000000000002E-2</v>
      </c>
      <c r="O273" s="45">
        <f t="shared" ca="1" si="134"/>
        <v>2.7E-2</v>
      </c>
      <c r="P273" s="45">
        <f t="shared" ca="1" si="134"/>
        <v>2.7E-2</v>
      </c>
      <c r="Q273" s="45">
        <f t="shared" ca="1" si="134"/>
        <v>2.7E-2</v>
      </c>
      <c r="R273" s="45">
        <f t="shared" ca="1" si="134"/>
        <v>2.7E-2</v>
      </c>
      <c r="S273" s="45">
        <f t="shared" ca="1" si="134"/>
        <v>2.6013999999999999E-2</v>
      </c>
      <c r="T273" s="45">
        <f t="shared" ca="1" si="134"/>
        <v>2.4301E-2</v>
      </c>
      <c r="U273" s="45">
        <f t="shared" ca="1" si="134"/>
        <v>2.3800999999999999E-2</v>
      </c>
      <c r="V273" s="45">
        <f t="shared" ca="1" si="134"/>
        <v>2.7E-2</v>
      </c>
      <c r="W273" s="45">
        <f t="shared" ca="1" si="134"/>
        <v>2.7E-2</v>
      </c>
      <c r="X273" s="45">
        <f t="shared" ca="1" si="134"/>
        <v>1.5755999999999999E-2</v>
      </c>
      <c r="Y273" s="45">
        <f t="shared" ca="1" si="134"/>
        <v>2.4498000000000002E-2</v>
      </c>
      <c r="Z273" s="45">
        <f t="shared" ca="1" si="134"/>
        <v>2.359E-2</v>
      </c>
      <c r="AA273" s="45">
        <f t="shared" ca="1" si="134"/>
        <v>2.7E-2</v>
      </c>
      <c r="AB273" s="45">
        <f t="shared" ca="1" si="134"/>
        <v>2.7E-2</v>
      </c>
      <c r="AC273" s="45">
        <f t="shared" ca="1" si="134"/>
        <v>2.0982000000000001E-2</v>
      </c>
      <c r="AD273" s="45">
        <f t="shared" ca="1" si="134"/>
        <v>1.9693000000000002E-2</v>
      </c>
      <c r="AE273" s="45">
        <f t="shared" ca="1" si="134"/>
        <v>1.2814000000000001E-2</v>
      </c>
      <c r="AF273" s="45">
        <f t="shared" ca="1" si="134"/>
        <v>1.1674E-2</v>
      </c>
      <c r="AG273" s="45">
        <f t="shared" ca="1" si="134"/>
        <v>1.2485E-2</v>
      </c>
      <c r="AH273" s="45">
        <f t="shared" ca="1" si="134"/>
        <v>2.2123E-2</v>
      </c>
      <c r="AI273" s="45">
        <f t="shared" ca="1" si="134"/>
        <v>2.7E-2</v>
      </c>
      <c r="AJ273" s="45">
        <f t="shared" ca="1" si="134"/>
        <v>2.3788E-2</v>
      </c>
      <c r="AK273" s="45">
        <f t="shared" ca="1" si="134"/>
        <v>2.128E-2</v>
      </c>
      <c r="AL273" s="45">
        <f t="shared" ca="1" si="134"/>
        <v>2.7E-2</v>
      </c>
      <c r="AM273" s="45">
        <f t="shared" ca="1" si="134"/>
        <v>2.1449000000000003E-2</v>
      </c>
      <c r="AN273" s="45">
        <f t="shared" ca="1" si="134"/>
        <v>2.4712999999999999E-2</v>
      </c>
      <c r="AO273" s="45">
        <f t="shared" ca="1" si="134"/>
        <v>2.7E-2</v>
      </c>
      <c r="AP273" s="45">
        <f t="shared" ca="1" si="134"/>
        <v>2.7E-2</v>
      </c>
      <c r="AQ273" s="45">
        <f t="shared" ca="1" si="134"/>
        <v>1.8685E-2</v>
      </c>
      <c r="AR273" s="45">
        <f t="shared" ca="1" si="134"/>
        <v>2.7E-2</v>
      </c>
      <c r="AS273" s="45">
        <f t="shared" ca="1" si="134"/>
        <v>1.2137999999999999E-2</v>
      </c>
      <c r="AT273" s="45">
        <f t="shared" ca="1" si="134"/>
        <v>2.7E-2</v>
      </c>
      <c r="AU273" s="45">
        <f t="shared" ca="1" si="134"/>
        <v>2.4187999999999998E-2</v>
      </c>
      <c r="AV273" s="45">
        <f t="shared" ca="1" si="134"/>
        <v>2.7E-2</v>
      </c>
      <c r="AW273" s="45">
        <f t="shared" ca="1" si="134"/>
        <v>2.4431000000000001E-2</v>
      </c>
      <c r="AX273" s="45">
        <f t="shared" ca="1" si="134"/>
        <v>2.1797999999999998E-2</v>
      </c>
      <c r="AY273" s="45">
        <f t="shared" ca="1" si="134"/>
        <v>2.7E-2</v>
      </c>
      <c r="AZ273" s="45">
        <f t="shared" ca="1" si="134"/>
        <v>1.5720000000000001E-2</v>
      </c>
      <c r="BA273" s="45">
        <f t="shared" ca="1" si="134"/>
        <v>2.6893999999999998E-2</v>
      </c>
      <c r="BB273" s="45">
        <f t="shared" ca="1" si="134"/>
        <v>2.4684000000000001E-2</v>
      </c>
      <c r="BC273" s="45">
        <f t="shared" ca="1" si="134"/>
        <v>2.0715000000000001E-2</v>
      </c>
      <c r="BD273" s="45">
        <f t="shared" ca="1" si="134"/>
        <v>2.7E-2</v>
      </c>
      <c r="BE273" s="45">
        <f t="shared" ca="1" si="134"/>
        <v>2.7E-2</v>
      </c>
      <c r="BF273" s="45">
        <f t="shared" ca="1" si="134"/>
        <v>2.7E-2</v>
      </c>
      <c r="BG273" s="45">
        <f t="shared" ca="1" si="134"/>
        <v>2.7E-2</v>
      </c>
      <c r="BH273" s="45">
        <f t="shared" ca="1" si="134"/>
        <v>2.6419000000000002E-2</v>
      </c>
      <c r="BI273" s="45">
        <f t="shared" ca="1" si="134"/>
        <v>1.3433E-2</v>
      </c>
      <c r="BJ273" s="45">
        <f t="shared" ca="1" si="134"/>
        <v>2.7E-2</v>
      </c>
      <c r="BK273" s="45">
        <f t="shared" ca="1" si="134"/>
        <v>2.7E-2</v>
      </c>
      <c r="BL273" s="45">
        <f t="shared" ca="1" si="134"/>
        <v>2.7E-2</v>
      </c>
      <c r="BM273" s="45">
        <f t="shared" ca="1" si="134"/>
        <v>2.5833999999999999E-2</v>
      </c>
      <c r="BN273" s="45">
        <f t="shared" ca="1" si="134"/>
        <v>2.7E-2</v>
      </c>
      <c r="BO273" s="45">
        <f t="shared" ca="1" si="134"/>
        <v>2.0202999999999999E-2</v>
      </c>
      <c r="BP273" s="45">
        <f t="shared" ca="1" si="134"/>
        <v>2.6702E-2</v>
      </c>
      <c r="BQ273" s="45">
        <f t="shared" ca="1" si="134"/>
        <v>2.6759000000000002E-2</v>
      </c>
      <c r="BR273" s="45">
        <f t="shared" ca="1" si="134"/>
        <v>9.6999999999999986E-3</v>
      </c>
      <c r="BS273" s="45">
        <f t="shared" ca="1" si="134"/>
        <v>4.3949999999999996E-3</v>
      </c>
      <c r="BT273" s="45">
        <f t="shared" ca="1" si="134"/>
        <v>6.6509999999999998E-3</v>
      </c>
      <c r="BU273" s="45">
        <f t="shared" ca="1" si="134"/>
        <v>1.3811E-2</v>
      </c>
      <c r="BV273" s="45">
        <f t="shared" ca="1" si="134"/>
        <v>9.4529999999999996E-3</v>
      </c>
      <c r="BW273" s="45">
        <f t="shared" ca="1" si="134"/>
        <v>1.5736E-2</v>
      </c>
      <c r="BX273" s="45">
        <f t="shared" ca="1" si="134"/>
        <v>1.9067000000000001E-2</v>
      </c>
      <c r="BY273" s="45">
        <f t="shared" ca="1" si="134"/>
        <v>2.7E-2</v>
      </c>
      <c r="BZ273" s="45">
        <f t="shared" ca="1" si="134"/>
        <v>2.7E-2</v>
      </c>
      <c r="CA273" s="45">
        <f t="shared" ca="1" si="134"/>
        <v>2.3040999999999999E-2</v>
      </c>
      <c r="CB273" s="45">
        <f t="shared" ca="1" si="134"/>
        <v>2.7E-2</v>
      </c>
      <c r="CC273" s="45">
        <f t="shared" ca="1" si="134"/>
        <v>2.7E-2</v>
      </c>
      <c r="CD273" s="45">
        <f t="shared" ca="1" si="134"/>
        <v>2.452E-2</v>
      </c>
      <c r="CE273" s="45">
        <f t="shared" ca="1" si="134"/>
        <v>2.7E-2</v>
      </c>
      <c r="CF273" s="45">
        <f t="shared" ca="1" si="134"/>
        <v>2.4333999999999998E-2</v>
      </c>
      <c r="CG273" s="45">
        <f t="shared" ca="1" si="134"/>
        <v>2.7E-2</v>
      </c>
      <c r="CH273" s="45">
        <f t="shared" ca="1" si="134"/>
        <v>2.7E-2</v>
      </c>
      <c r="CI273" s="45">
        <f t="shared" ca="1" si="134"/>
        <v>2.7E-2</v>
      </c>
      <c r="CJ273" s="45">
        <f t="shared" ca="1" si="134"/>
        <v>2.5294000000000001E-2</v>
      </c>
      <c r="CK273" s="45">
        <f t="shared" ca="1" si="134"/>
        <v>1.1601E-2</v>
      </c>
      <c r="CL273" s="45">
        <f t="shared" ca="1" si="134"/>
        <v>1.3228999999999999E-2</v>
      </c>
      <c r="CM273" s="45">
        <f t="shared" ca="1" si="134"/>
        <v>7.2740000000000001E-3</v>
      </c>
      <c r="CN273" s="45">
        <f t="shared" ca="1" si="134"/>
        <v>2.7E-2</v>
      </c>
      <c r="CO273" s="45">
        <f t="shared" ca="1" si="134"/>
        <v>2.7E-2</v>
      </c>
      <c r="CP273" s="45">
        <f t="shared" ca="1" si="134"/>
        <v>1.6775999999999999E-2</v>
      </c>
      <c r="CQ273" s="45">
        <f t="shared" ca="1" si="134"/>
        <v>1.7426999999999998E-2</v>
      </c>
      <c r="CR273" s="45">
        <f t="shared" ca="1" si="134"/>
        <v>4.169E-3</v>
      </c>
      <c r="CS273" s="45">
        <f t="shared" ca="1" si="134"/>
        <v>2.7E-2</v>
      </c>
      <c r="CT273" s="45">
        <f t="shared" ca="1" si="134"/>
        <v>1.3519999999999999E-2</v>
      </c>
      <c r="CU273" s="45">
        <f t="shared" ca="1" si="134"/>
        <v>2.4615999999999999E-2</v>
      </c>
      <c r="CV273" s="45">
        <f t="shared" ca="1" si="134"/>
        <v>1.5979E-2</v>
      </c>
      <c r="CW273" s="45">
        <f t="shared" ca="1" si="134"/>
        <v>1.7379000000000002E-2</v>
      </c>
      <c r="CX273" s="45">
        <f t="shared" ca="1" si="134"/>
        <v>2.6824000000000001E-2</v>
      </c>
      <c r="CY273" s="45">
        <f t="shared" ca="1" si="134"/>
        <v>2.7E-2</v>
      </c>
      <c r="CZ273" s="45">
        <f t="shared" ca="1" si="134"/>
        <v>2.7E-2</v>
      </c>
      <c r="DA273" s="45">
        <f t="shared" ca="1" si="134"/>
        <v>2.7E-2</v>
      </c>
      <c r="DB273" s="45">
        <f t="shared" ca="1" si="134"/>
        <v>2.7E-2</v>
      </c>
      <c r="DC273" s="45">
        <f t="shared" ca="1" si="134"/>
        <v>2.2418E-2</v>
      </c>
      <c r="DD273" s="45">
        <f t="shared" ca="1" si="134"/>
        <v>3.4300000000000003E-3</v>
      </c>
      <c r="DE273" s="45">
        <f t="shared" ca="1" si="134"/>
        <v>1.1894999999999999E-2</v>
      </c>
      <c r="DF273" s="45">
        <f t="shared" ca="1" si="134"/>
        <v>2.7E-2</v>
      </c>
      <c r="DG273" s="45">
        <f t="shared" ca="1" si="134"/>
        <v>2.5453E-2</v>
      </c>
      <c r="DH273" s="45">
        <f t="shared" ca="1" si="134"/>
        <v>2.5515999999999997E-2</v>
      </c>
      <c r="DI273" s="45">
        <f t="shared" ca="1" si="134"/>
        <v>2.3844999999999998E-2</v>
      </c>
      <c r="DJ273" s="45">
        <f t="shared" ca="1" si="134"/>
        <v>2.5883E-2</v>
      </c>
      <c r="DK273" s="45">
        <f t="shared" ca="1" si="134"/>
        <v>2.0658000000000003E-2</v>
      </c>
      <c r="DL273" s="45">
        <f t="shared" ca="1" si="134"/>
        <v>2.6966999999999998E-2</v>
      </c>
      <c r="DM273" s="45">
        <f t="shared" ca="1" si="134"/>
        <v>2.4899000000000001E-2</v>
      </c>
      <c r="DN273" s="45">
        <f t="shared" ca="1" si="134"/>
        <v>2.7E-2</v>
      </c>
      <c r="DO273" s="45">
        <f t="shared" ca="1" si="134"/>
        <v>2.7E-2</v>
      </c>
      <c r="DP273" s="45">
        <f t="shared" ca="1" si="134"/>
        <v>2.7E-2</v>
      </c>
      <c r="DQ273" s="45">
        <f t="shared" ca="1" si="134"/>
        <v>2.1427000000000002E-2</v>
      </c>
      <c r="DR273" s="45">
        <f t="shared" ca="1" si="134"/>
        <v>2.7E-2</v>
      </c>
      <c r="DS273" s="45">
        <f t="shared" ca="1" si="134"/>
        <v>2.7E-2</v>
      </c>
      <c r="DT273" s="45">
        <f t="shared" ca="1" si="134"/>
        <v>2.6728999999999999E-2</v>
      </c>
      <c r="DU273" s="45">
        <f t="shared" ca="1" si="134"/>
        <v>2.7E-2</v>
      </c>
      <c r="DV273" s="45">
        <f t="shared" ca="1" si="134"/>
        <v>2.7E-2</v>
      </c>
      <c r="DW273" s="45">
        <f t="shared" ca="1" si="134"/>
        <v>2.6997E-2</v>
      </c>
      <c r="DX273" s="45">
        <f t="shared" ca="1" si="134"/>
        <v>2.3931000000000001E-2</v>
      </c>
      <c r="DY273" s="45">
        <f t="shared" ca="1" si="134"/>
        <v>1.7927999999999999E-2</v>
      </c>
      <c r="DZ273" s="45">
        <f t="shared" ca="1" si="134"/>
        <v>2.2661999999999998E-2</v>
      </c>
      <c r="EA273" s="45">
        <f t="shared" ca="1" si="134"/>
        <v>1.0126E-2</v>
      </c>
      <c r="EB273" s="45">
        <f t="shared" ca="1" si="134"/>
        <v>2.7E-2</v>
      </c>
      <c r="EC273" s="45">
        <f t="shared" ca="1" si="134"/>
        <v>2.7E-2</v>
      </c>
      <c r="ED273" s="45">
        <f t="shared" ca="1" si="134"/>
        <v>3.947E-3</v>
      </c>
      <c r="EE273" s="45">
        <f t="shared" ca="1" si="134"/>
        <v>2.7E-2</v>
      </c>
      <c r="EF273" s="45">
        <f t="shared" ca="1" si="134"/>
        <v>2.4594999999999999E-2</v>
      </c>
      <c r="EG273" s="45">
        <f t="shared" ca="1" si="134"/>
        <v>2.7E-2</v>
      </c>
      <c r="EH273" s="45">
        <f t="shared" ca="1" si="134"/>
        <v>2.7E-2</v>
      </c>
      <c r="EI273" s="45">
        <f t="shared" ca="1" si="134"/>
        <v>2.7E-2</v>
      </c>
      <c r="EJ273" s="45">
        <f t="shared" ca="1" si="134"/>
        <v>2.7E-2</v>
      </c>
      <c r="EK273" s="45">
        <f t="shared" ca="1" si="134"/>
        <v>5.7670000000000004E-3</v>
      </c>
      <c r="EL273" s="45">
        <f t="shared" ca="1" si="134"/>
        <v>6.143E-3</v>
      </c>
      <c r="EM273" s="45">
        <f t="shared" ca="1" si="134"/>
        <v>2.1308000000000001E-2</v>
      </c>
      <c r="EN273" s="45">
        <f t="shared" ca="1" si="134"/>
        <v>2.7E-2</v>
      </c>
      <c r="EO273" s="45">
        <f t="shared" ca="1" si="134"/>
        <v>2.7E-2</v>
      </c>
      <c r="EP273" s="45">
        <f t="shared" ca="1" si="134"/>
        <v>2.5585999999999998E-2</v>
      </c>
      <c r="EQ273" s="45">
        <f t="shared" ca="1" si="134"/>
        <v>5.5929999999999999E-3</v>
      </c>
      <c r="ER273" s="45">
        <f t="shared" ca="1" si="134"/>
        <v>2.1283E-2</v>
      </c>
      <c r="ES273" s="45">
        <f t="shared" ca="1" si="134"/>
        <v>2.7E-2</v>
      </c>
      <c r="ET273" s="45">
        <f t="shared" ca="1" si="134"/>
        <v>2.7E-2</v>
      </c>
      <c r="EU273" s="45">
        <f t="shared" ca="1" si="134"/>
        <v>2.7E-2</v>
      </c>
      <c r="EV273" s="45">
        <f t="shared" ca="1" si="134"/>
        <v>1.5009E-2</v>
      </c>
      <c r="EW273" s="45">
        <f t="shared" ca="1" si="134"/>
        <v>7.2809999999999993E-3</v>
      </c>
      <c r="EX273" s="45">
        <f t="shared" ca="1" si="134"/>
        <v>8.9099999999999995E-3</v>
      </c>
      <c r="EY273" s="45">
        <f t="shared" ca="1" si="134"/>
        <v>2.7E-2</v>
      </c>
      <c r="EZ273" s="45">
        <f t="shared" ca="1" si="134"/>
        <v>2.7E-2</v>
      </c>
      <c r="FA273" s="45">
        <f t="shared" ca="1" si="134"/>
        <v>1.0598E-2</v>
      </c>
      <c r="FB273" s="45">
        <f t="shared" ca="1" si="134"/>
        <v>8.8140000000000007E-3</v>
      </c>
      <c r="FC273" s="45">
        <f t="shared" ca="1" si="134"/>
        <v>2.7E-2</v>
      </c>
      <c r="FD273" s="45">
        <f t="shared" ca="1" si="134"/>
        <v>2.7E-2</v>
      </c>
      <c r="FE273" s="45">
        <f t="shared" ca="1" si="134"/>
        <v>1.9181E-2</v>
      </c>
      <c r="FF273" s="45">
        <f t="shared" ca="1" si="134"/>
        <v>2.7E-2</v>
      </c>
      <c r="FG273" s="45">
        <f t="shared" ca="1" si="134"/>
        <v>2.7E-2</v>
      </c>
      <c r="FH273" s="45">
        <f t="shared" ca="1" si="134"/>
        <v>2.4771999999999999E-2</v>
      </c>
      <c r="FI273" s="45">
        <f t="shared" ca="1" si="134"/>
        <v>9.639E-3</v>
      </c>
      <c r="FJ273" s="45">
        <f t="shared" ca="1" si="134"/>
        <v>2.2075999999999998E-2</v>
      </c>
      <c r="FK273" s="45">
        <f t="shared" ca="1" si="134"/>
        <v>1.0845E-2</v>
      </c>
      <c r="FL273" s="45">
        <f t="shared" ca="1" si="134"/>
        <v>2.7E-2</v>
      </c>
      <c r="FM273" s="45">
        <f t="shared" ca="1" si="134"/>
        <v>2.3414000000000001E-2</v>
      </c>
      <c r="FN273" s="45">
        <f t="shared" ca="1" si="134"/>
        <v>2.7E-2</v>
      </c>
      <c r="FO273" s="45">
        <f t="shared" ca="1" si="134"/>
        <v>3.9909999999999998E-3</v>
      </c>
      <c r="FP273" s="45">
        <f t="shared" ca="1" si="134"/>
        <v>1.2143000000000001E-2</v>
      </c>
      <c r="FQ273" s="45">
        <f t="shared" ca="1" si="134"/>
        <v>2.1521999999999999E-2</v>
      </c>
      <c r="FR273" s="45">
        <f t="shared" ca="1" si="134"/>
        <v>5.6270000000000001E-3</v>
      </c>
      <c r="FS273" s="45">
        <f t="shared" ca="1" si="134"/>
        <v>5.0679999999999996E-3</v>
      </c>
      <c r="FT273" s="45">
        <f t="shared" ca="1" si="134"/>
        <v>3.0049999999999999E-3</v>
      </c>
      <c r="FU273" s="45">
        <f t="shared" ca="1" si="134"/>
        <v>2.3344999999999998E-2</v>
      </c>
      <c r="FV273" s="45">
        <f t="shared" ca="1" si="134"/>
        <v>2.0032000000000001E-2</v>
      </c>
      <c r="FW273" s="45">
        <f t="shared" ca="1" si="134"/>
        <v>2.6498000000000001E-2</v>
      </c>
      <c r="FX273" s="45">
        <f t="shared" ca="1" si="134"/>
        <v>2.4674999999999999E-2</v>
      </c>
      <c r="FY273" s="45"/>
      <c r="FZ273" s="45">
        <f ca="1">ROUND(SUM(C273:FX273)*1000,6)</f>
        <v>3905.654</v>
      </c>
      <c r="GA273" s="45"/>
      <c r="GB273" s="45"/>
      <c r="GC273" s="45"/>
      <c r="GD273" s="45"/>
      <c r="GE273" s="7"/>
      <c r="GF273" s="7"/>
      <c r="GG273" s="7"/>
      <c r="GH273" s="7"/>
      <c r="GI273" s="7"/>
      <c r="GJ273" s="7"/>
      <c r="GK273" s="7"/>
    </row>
    <row r="274" spans="1:193" ht="15.5" x14ac:dyDescent="0.35">
      <c r="A274" s="7"/>
      <c r="B274" s="7" t="s">
        <v>1048</v>
      </c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76"/>
      <c r="FZ274" s="78"/>
      <c r="GA274" s="45"/>
      <c r="GB274" s="45"/>
      <c r="GC274" s="45"/>
      <c r="GD274" s="45"/>
      <c r="GE274" s="7"/>
      <c r="GF274" s="7"/>
      <c r="GG274" s="7"/>
      <c r="GH274" s="7"/>
      <c r="GI274" s="7"/>
      <c r="GJ274" s="7"/>
      <c r="GK274" s="7"/>
    </row>
    <row r="275" spans="1:193" ht="15.5" x14ac:dyDescent="0.35">
      <c r="A275" s="12" t="s">
        <v>1049</v>
      </c>
      <c r="B275" s="7" t="s">
        <v>1050</v>
      </c>
      <c r="C275" s="45">
        <f t="shared" ref="C275:EP275" ca="1" si="135">C262-C273-C281</f>
        <v>0</v>
      </c>
      <c r="D275" s="45">
        <f t="shared" ca="1" si="135"/>
        <v>0</v>
      </c>
      <c r="E275" s="45">
        <f t="shared" ca="1" si="135"/>
        <v>0</v>
      </c>
      <c r="F275" s="45">
        <f t="shared" ca="1" si="135"/>
        <v>0</v>
      </c>
      <c r="G275" s="45">
        <f t="shared" ca="1" si="135"/>
        <v>0</v>
      </c>
      <c r="H275" s="45">
        <f t="shared" ca="1" si="135"/>
        <v>0</v>
      </c>
      <c r="I275" s="45">
        <f t="shared" ca="1" si="135"/>
        <v>0</v>
      </c>
      <c r="J275" s="45">
        <f t="shared" ca="1" si="135"/>
        <v>0</v>
      </c>
      <c r="K275" s="45">
        <f t="shared" ca="1" si="135"/>
        <v>0</v>
      </c>
      <c r="L275" s="45">
        <f t="shared" ca="1" si="135"/>
        <v>0</v>
      </c>
      <c r="M275" s="45">
        <f t="shared" ca="1" si="135"/>
        <v>0</v>
      </c>
      <c r="N275" s="45">
        <f t="shared" ca="1" si="135"/>
        <v>0</v>
      </c>
      <c r="O275" s="45">
        <f t="shared" ca="1" si="135"/>
        <v>0</v>
      </c>
      <c r="P275" s="45">
        <f t="shared" ca="1" si="135"/>
        <v>0</v>
      </c>
      <c r="Q275" s="45">
        <f t="shared" ca="1" si="135"/>
        <v>0</v>
      </c>
      <c r="R275" s="45">
        <f t="shared" ca="1" si="135"/>
        <v>0</v>
      </c>
      <c r="S275" s="45">
        <f t="shared" ca="1" si="135"/>
        <v>0</v>
      </c>
      <c r="T275" s="45">
        <f t="shared" ca="1" si="135"/>
        <v>0</v>
      </c>
      <c r="U275" s="45">
        <f t="shared" ca="1" si="135"/>
        <v>0</v>
      </c>
      <c r="V275" s="45">
        <f t="shared" ca="1" si="135"/>
        <v>0</v>
      </c>
      <c r="W275" s="45">
        <f t="shared" ca="1" si="135"/>
        <v>0</v>
      </c>
      <c r="X275" s="45">
        <f t="shared" ca="1" si="135"/>
        <v>0</v>
      </c>
      <c r="Y275" s="45">
        <f t="shared" ca="1" si="135"/>
        <v>0</v>
      </c>
      <c r="Z275" s="45">
        <f t="shared" ca="1" si="135"/>
        <v>0</v>
      </c>
      <c r="AA275" s="45">
        <f t="shared" ca="1" si="135"/>
        <v>0</v>
      </c>
      <c r="AB275" s="45">
        <f t="shared" ca="1" si="135"/>
        <v>0</v>
      </c>
      <c r="AC275" s="45">
        <f t="shared" ca="1" si="135"/>
        <v>0</v>
      </c>
      <c r="AD275" s="45">
        <f t="shared" ca="1" si="135"/>
        <v>0</v>
      </c>
      <c r="AE275" s="45">
        <f t="shared" ca="1" si="135"/>
        <v>0</v>
      </c>
      <c r="AF275" s="45">
        <f t="shared" ca="1" si="135"/>
        <v>0</v>
      </c>
      <c r="AG275" s="45">
        <f t="shared" ca="1" si="135"/>
        <v>0</v>
      </c>
      <c r="AH275" s="45">
        <f t="shared" ca="1" si="135"/>
        <v>0</v>
      </c>
      <c r="AI275" s="45">
        <f t="shared" ca="1" si="135"/>
        <v>0</v>
      </c>
      <c r="AJ275" s="45">
        <f t="shared" ca="1" si="135"/>
        <v>0</v>
      </c>
      <c r="AK275" s="45">
        <f t="shared" ca="1" si="135"/>
        <v>0</v>
      </c>
      <c r="AL275" s="45">
        <f t="shared" ca="1" si="135"/>
        <v>0</v>
      </c>
      <c r="AM275" s="45">
        <f t="shared" ca="1" si="135"/>
        <v>0</v>
      </c>
      <c r="AN275" s="45">
        <f t="shared" ca="1" si="135"/>
        <v>1.3080000000000008E-3</v>
      </c>
      <c r="AO275" s="45">
        <f t="shared" ca="1" si="135"/>
        <v>0</v>
      </c>
      <c r="AP275" s="45">
        <f t="shared" ca="1" si="135"/>
        <v>0</v>
      </c>
      <c r="AQ275" s="45">
        <f t="shared" ca="1" si="135"/>
        <v>0</v>
      </c>
      <c r="AR275" s="45">
        <f t="shared" ca="1" si="135"/>
        <v>0</v>
      </c>
      <c r="AS275" s="45">
        <f t="shared" ca="1" si="135"/>
        <v>0</v>
      </c>
      <c r="AT275" s="45">
        <f t="shared" ca="1" si="135"/>
        <v>0</v>
      </c>
      <c r="AU275" s="45">
        <f t="shared" ca="1" si="135"/>
        <v>0</v>
      </c>
      <c r="AV275" s="45">
        <f t="shared" ca="1" si="135"/>
        <v>0</v>
      </c>
      <c r="AW275" s="45">
        <f t="shared" ca="1" si="135"/>
        <v>0</v>
      </c>
      <c r="AX275" s="45">
        <f t="shared" ca="1" si="135"/>
        <v>0</v>
      </c>
      <c r="AY275" s="45">
        <f t="shared" ca="1" si="135"/>
        <v>0</v>
      </c>
      <c r="AZ275" s="45">
        <f t="shared" ca="1" si="135"/>
        <v>0</v>
      </c>
      <c r="BA275" s="45">
        <f t="shared" ca="1" si="135"/>
        <v>0</v>
      </c>
      <c r="BB275" s="45">
        <f t="shared" ca="1" si="135"/>
        <v>0</v>
      </c>
      <c r="BC275" s="45">
        <f t="shared" ca="1" si="135"/>
        <v>0</v>
      </c>
      <c r="BD275" s="45">
        <f t="shared" ca="1" si="135"/>
        <v>0</v>
      </c>
      <c r="BE275" s="45">
        <f t="shared" ca="1" si="135"/>
        <v>0</v>
      </c>
      <c r="BF275" s="45">
        <f t="shared" ca="1" si="135"/>
        <v>0</v>
      </c>
      <c r="BG275" s="45">
        <f t="shared" ca="1" si="135"/>
        <v>0</v>
      </c>
      <c r="BH275" s="45">
        <f t="shared" ca="1" si="135"/>
        <v>0</v>
      </c>
      <c r="BI275" s="45">
        <f t="shared" ca="1" si="135"/>
        <v>0</v>
      </c>
      <c r="BJ275" s="45">
        <f t="shared" ca="1" si="135"/>
        <v>0</v>
      </c>
      <c r="BK275" s="45">
        <f t="shared" ca="1" si="135"/>
        <v>0</v>
      </c>
      <c r="BL275" s="45">
        <f t="shared" ca="1" si="135"/>
        <v>0</v>
      </c>
      <c r="BM275" s="45">
        <f t="shared" ca="1" si="135"/>
        <v>0</v>
      </c>
      <c r="BN275" s="45">
        <f t="shared" ca="1" si="135"/>
        <v>0</v>
      </c>
      <c r="BO275" s="45">
        <f t="shared" ca="1" si="135"/>
        <v>0</v>
      </c>
      <c r="BP275" s="45">
        <f t="shared" ca="1" si="135"/>
        <v>0</v>
      </c>
      <c r="BQ275" s="45">
        <f t="shared" ca="1" si="135"/>
        <v>0</v>
      </c>
      <c r="BR275" s="45">
        <f t="shared" ca="1" si="135"/>
        <v>0</v>
      </c>
      <c r="BS275" s="45">
        <f t="shared" ca="1" si="135"/>
        <v>0</v>
      </c>
      <c r="BT275" s="45">
        <f t="shared" ca="1" si="135"/>
        <v>0</v>
      </c>
      <c r="BU275" s="45">
        <f t="shared" ca="1" si="135"/>
        <v>0</v>
      </c>
      <c r="BV275" s="45">
        <f t="shared" ca="1" si="135"/>
        <v>4.1600000000000106E-4</v>
      </c>
      <c r="BW275" s="45">
        <f t="shared" ca="1" si="135"/>
        <v>0</v>
      </c>
      <c r="BX275" s="45">
        <f t="shared" ca="1" si="135"/>
        <v>0</v>
      </c>
      <c r="BY275" s="45">
        <f t="shared" ca="1" si="135"/>
        <v>0</v>
      </c>
      <c r="BZ275" s="45">
        <f t="shared" ca="1" si="135"/>
        <v>0</v>
      </c>
      <c r="CA275" s="45">
        <f t="shared" ca="1" si="135"/>
        <v>0</v>
      </c>
      <c r="CB275" s="45">
        <f t="shared" ca="1" si="135"/>
        <v>0</v>
      </c>
      <c r="CC275" s="45">
        <f t="shared" ca="1" si="135"/>
        <v>0</v>
      </c>
      <c r="CD275" s="45">
        <f t="shared" ca="1" si="135"/>
        <v>0</v>
      </c>
      <c r="CE275" s="45">
        <f t="shared" ca="1" si="135"/>
        <v>0</v>
      </c>
      <c r="CF275" s="45">
        <f t="shared" ca="1" si="135"/>
        <v>0</v>
      </c>
      <c r="CG275" s="45">
        <f t="shared" ca="1" si="135"/>
        <v>0</v>
      </c>
      <c r="CH275" s="45">
        <f t="shared" ca="1" si="135"/>
        <v>0</v>
      </c>
      <c r="CI275" s="45">
        <f t="shared" ca="1" si="135"/>
        <v>0</v>
      </c>
      <c r="CJ275" s="45">
        <f t="shared" ca="1" si="135"/>
        <v>9.9999999999883168E-7</v>
      </c>
      <c r="CK275" s="45">
        <f t="shared" ca="1" si="135"/>
        <v>0</v>
      </c>
      <c r="CL275" s="45">
        <f t="shared" ca="1" si="135"/>
        <v>0</v>
      </c>
      <c r="CM275" s="45">
        <f t="shared" ca="1" si="135"/>
        <v>0</v>
      </c>
      <c r="CN275" s="45">
        <f t="shared" ca="1" si="135"/>
        <v>0</v>
      </c>
      <c r="CO275" s="45">
        <f t="shared" ca="1" si="135"/>
        <v>0</v>
      </c>
      <c r="CP275" s="45">
        <f t="shared" ca="1" si="135"/>
        <v>6.7500000000000014E-4</v>
      </c>
      <c r="CQ275" s="45">
        <f t="shared" ca="1" si="135"/>
        <v>0</v>
      </c>
      <c r="CR275" s="45">
        <f t="shared" ca="1" si="135"/>
        <v>0</v>
      </c>
      <c r="CS275" s="45">
        <f t="shared" ca="1" si="135"/>
        <v>0</v>
      </c>
      <c r="CT275" s="45">
        <f t="shared" ca="1" si="135"/>
        <v>0</v>
      </c>
      <c r="CU275" s="45">
        <f t="shared" ca="1" si="135"/>
        <v>0</v>
      </c>
      <c r="CV275" s="45">
        <f t="shared" ca="1" si="135"/>
        <v>0</v>
      </c>
      <c r="CW275" s="45">
        <f t="shared" ca="1" si="135"/>
        <v>0</v>
      </c>
      <c r="CX275" s="45">
        <f t="shared" ca="1" si="135"/>
        <v>0</v>
      </c>
      <c r="CY275" s="45">
        <f t="shared" ca="1" si="135"/>
        <v>0</v>
      </c>
      <c r="CZ275" s="45">
        <f t="shared" ca="1" si="135"/>
        <v>0</v>
      </c>
      <c r="DA275" s="45">
        <f t="shared" ca="1" si="135"/>
        <v>0</v>
      </c>
      <c r="DB275" s="45">
        <f t="shared" ca="1" si="135"/>
        <v>0</v>
      </c>
      <c r="DC275" s="45">
        <f t="shared" ca="1" si="135"/>
        <v>0</v>
      </c>
      <c r="DD275" s="45">
        <f t="shared" ca="1" si="135"/>
        <v>0</v>
      </c>
      <c r="DE275" s="45">
        <f t="shared" ca="1" si="135"/>
        <v>0</v>
      </c>
      <c r="DF275" s="45">
        <f t="shared" ca="1" si="135"/>
        <v>0</v>
      </c>
      <c r="DG275" s="45">
        <f t="shared" ca="1" si="135"/>
        <v>0</v>
      </c>
      <c r="DH275" s="45">
        <f t="shared" ca="1" si="135"/>
        <v>0</v>
      </c>
      <c r="DI275" s="45">
        <f t="shared" ca="1" si="135"/>
        <v>0</v>
      </c>
      <c r="DJ275" s="45">
        <f t="shared" ca="1" si="135"/>
        <v>0</v>
      </c>
      <c r="DK275" s="45">
        <f t="shared" ca="1" si="135"/>
        <v>0</v>
      </c>
      <c r="DL275" s="45">
        <f t="shared" ca="1" si="135"/>
        <v>0</v>
      </c>
      <c r="DM275" s="45">
        <f t="shared" ca="1" si="135"/>
        <v>0</v>
      </c>
      <c r="DN275" s="45">
        <f t="shared" ca="1" si="135"/>
        <v>0</v>
      </c>
      <c r="DO275" s="45">
        <f t="shared" ca="1" si="135"/>
        <v>0</v>
      </c>
      <c r="DP275" s="45">
        <f t="shared" ca="1" si="135"/>
        <v>0</v>
      </c>
      <c r="DQ275" s="45">
        <f t="shared" ca="1" si="135"/>
        <v>2.4029999999999993E-3</v>
      </c>
      <c r="DR275" s="45">
        <f t="shared" ca="1" si="135"/>
        <v>0</v>
      </c>
      <c r="DS275" s="45">
        <f t="shared" ca="1" si="135"/>
        <v>0</v>
      </c>
      <c r="DT275" s="45">
        <f t="shared" ca="1" si="135"/>
        <v>0</v>
      </c>
      <c r="DU275" s="45">
        <f t="shared" ca="1" si="135"/>
        <v>0</v>
      </c>
      <c r="DV275" s="45">
        <f t="shared" ca="1" si="135"/>
        <v>0</v>
      </c>
      <c r="DW275" s="45">
        <f t="shared" ca="1" si="135"/>
        <v>0</v>
      </c>
      <c r="DX275" s="45">
        <f t="shared" ca="1" si="135"/>
        <v>0</v>
      </c>
      <c r="DY275" s="45">
        <f t="shared" ca="1" si="135"/>
        <v>0</v>
      </c>
      <c r="DZ275" s="45">
        <f t="shared" ca="1" si="135"/>
        <v>0</v>
      </c>
      <c r="EA275" s="45">
        <f t="shared" ca="1" si="135"/>
        <v>2.5700000000000104E-4</v>
      </c>
      <c r="EB275" s="45">
        <f t="shared" ca="1" si="135"/>
        <v>0</v>
      </c>
      <c r="EC275" s="45">
        <f t="shared" ca="1" si="135"/>
        <v>0</v>
      </c>
      <c r="ED275" s="45">
        <f t="shared" ca="1" si="135"/>
        <v>0</v>
      </c>
      <c r="EE275" s="45">
        <f t="shared" ca="1" si="135"/>
        <v>0</v>
      </c>
      <c r="EF275" s="45">
        <f t="shared" ca="1" si="135"/>
        <v>0</v>
      </c>
      <c r="EG275" s="45">
        <f t="shared" ca="1" si="135"/>
        <v>0</v>
      </c>
      <c r="EH275" s="45">
        <f t="shared" ca="1" si="135"/>
        <v>0</v>
      </c>
      <c r="EI275" s="45">
        <f t="shared" ca="1" si="135"/>
        <v>0</v>
      </c>
      <c r="EJ275" s="45">
        <f t="shared" ca="1" si="135"/>
        <v>0</v>
      </c>
      <c r="EK275" s="45">
        <f t="shared" ca="1" si="135"/>
        <v>0</v>
      </c>
      <c r="EL275" s="45">
        <f t="shared" ca="1" si="135"/>
        <v>0</v>
      </c>
      <c r="EM275" s="45">
        <f t="shared" ca="1" si="135"/>
        <v>0</v>
      </c>
      <c r="EN275" s="45">
        <f t="shared" ca="1" si="135"/>
        <v>0</v>
      </c>
      <c r="EO275" s="45">
        <f t="shared" ca="1" si="135"/>
        <v>0</v>
      </c>
      <c r="EP275" s="45">
        <f t="shared" ca="1" si="135"/>
        <v>0</v>
      </c>
      <c r="EQ275" s="45">
        <v>0</v>
      </c>
      <c r="ER275" s="45">
        <f t="shared" ref="ER275:FX275" ca="1" si="136">ER262-ER273-ER281</f>
        <v>0</v>
      </c>
      <c r="ES275" s="45">
        <f t="shared" ca="1" si="136"/>
        <v>0</v>
      </c>
      <c r="ET275" s="45">
        <f t="shared" ca="1" si="136"/>
        <v>0</v>
      </c>
      <c r="EU275" s="45">
        <f t="shared" ca="1" si="136"/>
        <v>0</v>
      </c>
      <c r="EV275" s="45">
        <f t="shared" ca="1" si="136"/>
        <v>0</v>
      </c>
      <c r="EW275" s="45">
        <f t="shared" ca="1" si="136"/>
        <v>0</v>
      </c>
      <c r="EX275" s="45">
        <f t="shared" ca="1" si="136"/>
        <v>0</v>
      </c>
      <c r="EY275" s="45">
        <f t="shared" ca="1" si="136"/>
        <v>0</v>
      </c>
      <c r="EZ275" s="45">
        <f t="shared" ca="1" si="136"/>
        <v>0</v>
      </c>
      <c r="FA275" s="45">
        <f t="shared" ca="1" si="136"/>
        <v>3.5236570605778894E-19</v>
      </c>
      <c r="FB275" s="45">
        <f t="shared" ca="1" si="136"/>
        <v>2.7799999999999993E-4</v>
      </c>
      <c r="FC275" s="45">
        <f t="shared" ca="1" si="136"/>
        <v>0</v>
      </c>
      <c r="FD275" s="45">
        <f t="shared" ca="1" si="136"/>
        <v>0</v>
      </c>
      <c r="FE275" s="45">
        <f t="shared" ca="1" si="136"/>
        <v>0</v>
      </c>
      <c r="FF275" s="45">
        <f t="shared" ca="1" si="136"/>
        <v>0</v>
      </c>
      <c r="FG275" s="45">
        <f t="shared" ca="1" si="136"/>
        <v>0</v>
      </c>
      <c r="FH275" s="45">
        <f t="shared" ca="1" si="136"/>
        <v>0</v>
      </c>
      <c r="FI275" s="45">
        <f t="shared" ca="1" si="136"/>
        <v>0</v>
      </c>
      <c r="FJ275" s="45">
        <f t="shared" ca="1" si="136"/>
        <v>0</v>
      </c>
      <c r="FK275" s="45">
        <f t="shared" ca="1" si="136"/>
        <v>0</v>
      </c>
      <c r="FL275" s="45">
        <f t="shared" ca="1" si="136"/>
        <v>0</v>
      </c>
      <c r="FM275" s="45">
        <f t="shared" ca="1" si="136"/>
        <v>0</v>
      </c>
      <c r="FN275" s="45">
        <f t="shared" ca="1" si="136"/>
        <v>0</v>
      </c>
      <c r="FO275" s="45">
        <f t="shared" ca="1" si="136"/>
        <v>2.2000000000000128E-5</v>
      </c>
      <c r="FP275" s="45">
        <f t="shared" ca="1" si="136"/>
        <v>0</v>
      </c>
      <c r="FQ275" s="45">
        <f t="shared" ca="1" si="136"/>
        <v>7.0473141211557788E-19</v>
      </c>
      <c r="FR275" s="45">
        <f t="shared" ca="1" si="136"/>
        <v>1.5500000000000024E-4</v>
      </c>
      <c r="FS275" s="45">
        <f t="shared" ca="1" si="136"/>
        <v>0</v>
      </c>
      <c r="FT275" s="45">
        <f t="shared" ca="1" si="136"/>
        <v>2.3900000000000044E-4</v>
      </c>
      <c r="FU275" s="45">
        <f t="shared" ca="1" si="136"/>
        <v>0</v>
      </c>
      <c r="FV275" s="45">
        <f t="shared" ca="1" si="136"/>
        <v>0</v>
      </c>
      <c r="FW275" s="45">
        <f t="shared" ca="1" si="136"/>
        <v>0</v>
      </c>
      <c r="FX275" s="45">
        <f t="shared" ca="1" si="136"/>
        <v>0</v>
      </c>
      <c r="FY275" s="76"/>
      <c r="FZ275" s="45">
        <f ca="1">ROUND(SUM(C275:FX275)*1000,6)</f>
        <v>5.7539999999999996</v>
      </c>
      <c r="GA275" s="45"/>
      <c r="GB275" s="45"/>
      <c r="GC275" s="45"/>
      <c r="GD275" s="45"/>
      <c r="GE275" s="7"/>
      <c r="GF275" s="7"/>
      <c r="GG275" s="7"/>
      <c r="GH275" s="7"/>
      <c r="GI275" s="7"/>
      <c r="GJ275" s="7"/>
      <c r="GK275" s="7"/>
    </row>
    <row r="276" spans="1:193" ht="15.5" x14ac:dyDescent="0.35">
      <c r="A276" s="12" t="s">
        <v>684</v>
      </c>
      <c r="B276" s="7" t="s">
        <v>684</v>
      </c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>
        <v>4.931</v>
      </c>
      <c r="FR276" s="45">
        <v>6.2590000000000003</v>
      </c>
      <c r="FS276" s="45">
        <v>1.266</v>
      </c>
      <c r="FT276" s="45">
        <v>2.6150000000000002</v>
      </c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7"/>
      <c r="GF276" s="7"/>
      <c r="GG276" s="7"/>
      <c r="GH276" s="7"/>
      <c r="GI276" s="7"/>
      <c r="GJ276" s="7"/>
      <c r="GK276" s="7"/>
    </row>
    <row r="277" spans="1:193" ht="15.5" x14ac:dyDescent="0.35">
      <c r="A277" s="12" t="s">
        <v>684</v>
      </c>
      <c r="B277" s="5" t="s">
        <v>694</v>
      </c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7"/>
      <c r="FZ277" s="7"/>
      <c r="GA277" s="45"/>
      <c r="GB277" s="78"/>
      <c r="GC277" s="78"/>
      <c r="GD277" s="32"/>
      <c r="GE277" s="7"/>
      <c r="GF277" s="7"/>
      <c r="GG277" s="7"/>
      <c r="GH277" s="7"/>
      <c r="GI277" s="7"/>
      <c r="GJ277" s="7"/>
      <c r="GK277" s="7"/>
    </row>
    <row r="278" spans="1:193" ht="15.5" x14ac:dyDescent="0.35">
      <c r="A278" s="12" t="s">
        <v>695</v>
      </c>
      <c r="B278" s="7" t="s">
        <v>1051</v>
      </c>
      <c r="C278" s="7">
        <f t="shared" ref="C278:FX278" si="137">C63</f>
        <v>3975359.6368625555</v>
      </c>
      <c r="D278" s="7">
        <f t="shared" si="137"/>
        <v>20560272.927547358</v>
      </c>
      <c r="E278" s="7">
        <f t="shared" si="137"/>
        <v>3957336.3845604667</v>
      </c>
      <c r="F278" s="7">
        <f t="shared" si="137"/>
        <v>11725720.408169016</v>
      </c>
      <c r="G278" s="7">
        <f t="shared" si="137"/>
        <v>749134.75238927116</v>
      </c>
      <c r="H278" s="7">
        <f t="shared" si="137"/>
        <v>875460.61353472143</v>
      </c>
      <c r="I278" s="7">
        <f t="shared" si="137"/>
        <v>4950900.101165615</v>
      </c>
      <c r="J278" s="7">
        <f t="shared" si="137"/>
        <v>1174607.3430782808</v>
      </c>
      <c r="K278" s="7">
        <f t="shared" si="137"/>
        <v>148174.02762891745</v>
      </c>
      <c r="L278" s="7">
        <f t="shared" si="137"/>
        <v>1809566.9849713142</v>
      </c>
      <c r="M278" s="7">
        <f t="shared" si="137"/>
        <v>720101.2592620654</v>
      </c>
      <c r="N278" s="7">
        <f t="shared" si="137"/>
        <v>33573698.057299666</v>
      </c>
      <c r="O278" s="7">
        <f t="shared" si="137"/>
        <v>7951652.0108887823</v>
      </c>
      <c r="P278" s="7">
        <f t="shared" si="137"/>
        <v>238195.42090387226</v>
      </c>
      <c r="Q278" s="7">
        <f t="shared" si="137"/>
        <v>24475693.320616804</v>
      </c>
      <c r="R278" s="7">
        <f t="shared" si="137"/>
        <v>2088234.5235152012</v>
      </c>
      <c r="S278" s="7">
        <f t="shared" si="137"/>
        <v>840187.19638839783</v>
      </c>
      <c r="T278" s="7">
        <f t="shared" si="137"/>
        <v>108965.2725716104</v>
      </c>
      <c r="U278" s="7">
        <f t="shared" si="137"/>
        <v>37193.431668595564</v>
      </c>
      <c r="V278" s="7">
        <f t="shared" si="137"/>
        <v>167495.00150570075</v>
      </c>
      <c r="W278" s="7">
        <f t="shared" si="137"/>
        <v>33789.81845509413</v>
      </c>
      <c r="X278" s="7">
        <f t="shared" si="137"/>
        <v>26750.286612030377</v>
      </c>
      <c r="Y278" s="7">
        <f t="shared" si="137"/>
        <v>420565.66285922786</v>
      </c>
      <c r="Z278" s="7">
        <f t="shared" si="137"/>
        <v>145527.75335373165</v>
      </c>
      <c r="AA278" s="7">
        <f t="shared" si="137"/>
        <v>17895248.291801848</v>
      </c>
      <c r="AB278" s="7">
        <f t="shared" si="137"/>
        <v>17593969.441777565</v>
      </c>
      <c r="AC278" s="7">
        <f t="shared" si="137"/>
        <v>549855.02079579222</v>
      </c>
      <c r="AD278" s="7">
        <f t="shared" si="137"/>
        <v>566683.47791309236</v>
      </c>
      <c r="AE278" s="7">
        <f t="shared" si="137"/>
        <v>81308.454960299423</v>
      </c>
      <c r="AF278" s="7">
        <f t="shared" si="137"/>
        <v>123406.36554046549</v>
      </c>
      <c r="AG278" s="7">
        <f t="shared" si="137"/>
        <v>434649.92047845712</v>
      </c>
      <c r="AH278" s="7">
        <f t="shared" si="137"/>
        <v>514721.37188820203</v>
      </c>
      <c r="AI278" s="7">
        <f t="shared" si="137"/>
        <v>123369.26925853235</v>
      </c>
      <c r="AJ278" s="7">
        <f t="shared" si="137"/>
        <v>93298.180480559633</v>
      </c>
      <c r="AK278" s="7">
        <f t="shared" si="137"/>
        <v>108855.95357231262</v>
      </c>
      <c r="AL278" s="7">
        <f t="shared" si="137"/>
        <v>100022.79577645517</v>
      </c>
      <c r="AM278" s="7">
        <f t="shared" si="137"/>
        <v>251077.82193562208</v>
      </c>
      <c r="AN278" s="7">
        <f t="shared" si="137"/>
        <v>173117.44740056197</v>
      </c>
      <c r="AO278" s="7">
        <f t="shared" si="137"/>
        <v>2738424.7613501702</v>
      </c>
      <c r="AP278" s="7">
        <f t="shared" si="137"/>
        <v>49269592.772665814</v>
      </c>
      <c r="AQ278" s="7">
        <f t="shared" si="137"/>
        <v>204769.52257544457</v>
      </c>
      <c r="AR278" s="7">
        <f t="shared" si="137"/>
        <v>32081581.68313745</v>
      </c>
      <c r="AS278" s="7">
        <f t="shared" si="137"/>
        <v>3523721.4669548324</v>
      </c>
      <c r="AT278" s="7">
        <f t="shared" si="137"/>
        <v>1303247.3953737842</v>
      </c>
      <c r="AU278" s="7">
        <f t="shared" si="137"/>
        <v>216355.0149062376</v>
      </c>
      <c r="AV278" s="7">
        <f t="shared" si="137"/>
        <v>254468.35091938285</v>
      </c>
      <c r="AW278" s="7">
        <f t="shared" si="137"/>
        <v>155306.61526432243</v>
      </c>
      <c r="AX278" s="7">
        <f t="shared" si="137"/>
        <v>81260.452573746647</v>
      </c>
      <c r="AY278" s="7">
        <f t="shared" si="137"/>
        <v>304725.76989508385</v>
      </c>
      <c r="AZ278" s="7">
        <f t="shared" si="137"/>
        <v>6306805.3758183587</v>
      </c>
      <c r="BA278" s="7">
        <f t="shared" si="137"/>
        <v>5489607.5711656148</v>
      </c>
      <c r="BB278" s="7">
        <f t="shared" si="137"/>
        <v>6155948.8893297724</v>
      </c>
      <c r="BC278" s="7">
        <f t="shared" si="137"/>
        <v>10935575.765983488</v>
      </c>
      <c r="BD278" s="7">
        <f t="shared" si="137"/>
        <v>1547641.3968382713</v>
      </c>
      <c r="BE278" s="7">
        <f t="shared" si="137"/>
        <v>696507.8364247221</v>
      </c>
      <c r="BF278" s="7">
        <f t="shared" si="137"/>
        <v>9915498.5603788272</v>
      </c>
      <c r="BG278" s="7">
        <f t="shared" si="137"/>
        <v>596242.4494212087</v>
      </c>
      <c r="BH278" s="7">
        <f t="shared" si="137"/>
        <v>328311.70143720863</v>
      </c>
      <c r="BI278" s="7">
        <f t="shared" si="137"/>
        <v>241110.96726936224</v>
      </c>
      <c r="BJ278" s="7">
        <f t="shared" si="137"/>
        <v>2846222.1441412461</v>
      </c>
      <c r="BK278" s="7">
        <f t="shared" si="137"/>
        <v>11067242.313914524</v>
      </c>
      <c r="BL278" s="7">
        <f t="shared" si="137"/>
        <v>82561.460373204944</v>
      </c>
      <c r="BM278" s="7">
        <f t="shared" si="137"/>
        <v>396650.24049345305</v>
      </c>
      <c r="BN278" s="7">
        <f t="shared" si="137"/>
        <v>1938189.9087948226</v>
      </c>
      <c r="BO278" s="7">
        <f t="shared" si="137"/>
        <v>982847.09158799471</v>
      </c>
      <c r="BP278" s="7">
        <f t="shared" si="137"/>
        <v>117815.55602096832</v>
      </c>
      <c r="BQ278" s="7">
        <f t="shared" si="137"/>
        <v>2891628.4715609546</v>
      </c>
      <c r="BR278" s="7">
        <f t="shared" si="137"/>
        <v>2287490.4209619872</v>
      </c>
      <c r="BS278" s="7">
        <f t="shared" si="137"/>
        <v>562639.48752807383</v>
      </c>
      <c r="BT278" s="7">
        <f t="shared" si="137"/>
        <v>216225.53547308687</v>
      </c>
      <c r="BU278" s="7">
        <f t="shared" si="137"/>
        <v>232339.53380005827</v>
      </c>
      <c r="BV278" s="7">
        <f t="shared" si="137"/>
        <v>683641.06110556971</v>
      </c>
      <c r="BW278" s="7">
        <f t="shared" si="137"/>
        <v>846721.21781425888</v>
      </c>
      <c r="BX278" s="7">
        <f t="shared" si="137"/>
        <v>58107.016577187038</v>
      </c>
      <c r="BY278" s="7">
        <f t="shared" si="137"/>
        <v>428323.47825513745</v>
      </c>
      <c r="BZ278" s="7">
        <f t="shared" si="137"/>
        <v>149598.21046641792</v>
      </c>
      <c r="CA278" s="7">
        <f t="shared" si="137"/>
        <v>57816.581214433165</v>
      </c>
      <c r="CB278" s="7">
        <f t="shared" si="137"/>
        <v>39322975.835512385</v>
      </c>
      <c r="CC278" s="7">
        <f t="shared" si="137"/>
        <v>129384.2568167835</v>
      </c>
      <c r="CD278" s="7">
        <f t="shared" si="137"/>
        <v>27599.405618017885</v>
      </c>
      <c r="CE278" s="7">
        <f t="shared" si="137"/>
        <v>151475.69035242582</v>
      </c>
      <c r="CF278" s="7">
        <f t="shared" si="137"/>
        <v>72740.328148000757</v>
      </c>
      <c r="CG278" s="7">
        <f t="shared" si="137"/>
        <v>122773.86791181409</v>
      </c>
      <c r="CH278" s="7">
        <f t="shared" si="137"/>
        <v>81934.396361887222</v>
      </c>
      <c r="CI278" s="7">
        <f t="shared" si="137"/>
        <v>498560.82741916185</v>
      </c>
      <c r="CJ278" s="7">
        <f t="shared" si="137"/>
        <v>621085.91641571827</v>
      </c>
      <c r="CK278" s="7">
        <f t="shared" si="137"/>
        <v>3235219.7712578927</v>
      </c>
      <c r="CL278" s="7">
        <f t="shared" si="137"/>
        <v>887033.79710856453</v>
      </c>
      <c r="CM278" s="7">
        <f t="shared" si="137"/>
        <v>528492.52589113661</v>
      </c>
      <c r="CN278" s="7">
        <f t="shared" si="137"/>
        <v>15541079.608868385</v>
      </c>
      <c r="CO278" s="7">
        <f t="shared" si="137"/>
        <v>7951642.5939582326</v>
      </c>
      <c r="CP278" s="7">
        <f t="shared" si="137"/>
        <v>467722.82009106758</v>
      </c>
      <c r="CQ278" s="7">
        <f t="shared" si="137"/>
        <v>613383.0888482664</v>
      </c>
      <c r="CR278" s="7">
        <f t="shared" si="137"/>
        <v>175619.76823391014</v>
      </c>
      <c r="CS278" s="7">
        <f t="shared" si="137"/>
        <v>172824.97477906602</v>
      </c>
      <c r="CT278" s="7">
        <f t="shared" si="137"/>
        <v>102289.6096285465</v>
      </c>
      <c r="CU278" s="7">
        <f t="shared" si="137"/>
        <v>96441.5474873106</v>
      </c>
      <c r="CV278" s="7">
        <f t="shared" si="137"/>
        <v>46466.156612030383</v>
      </c>
      <c r="CW278" s="7">
        <f t="shared" si="137"/>
        <v>185389.55671093561</v>
      </c>
      <c r="CX278" s="7">
        <f t="shared" si="137"/>
        <v>378680.81769251748</v>
      </c>
      <c r="CY278" s="7">
        <f t="shared" si="137"/>
        <v>40319.767191755403</v>
      </c>
      <c r="CZ278" s="7">
        <f t="shared" si="137"/>
        <v>1445360.3518001593</v>
      </c>
      <c r="DA278" s="7">
        <f t="shared" si="137"/>
        <v>118761.57728543418</v>
      </c>
      <c r="DB278" s="7">
        <f t="shared" si="137"/>
        <v>230980.96268869838</v>
      </c>
      <c r="DC278" s="7">
        <f t="shared" si="137"/>
        <v>184644.23070619485</v>
      </c>
      <c r="DD278" s="7">
        <f t="shared" si="137"/>
        <v>107823.8875335956</v>
      </c>
      <c r="DE278" s="7">
        <f t="shared" si="137"/>
        <v>170910.24276903531</v>
      </c>
      <c r="DF278" s="7">
        <f t="shared" si="137"/>
        <v>13856826.092310289</v>
      </c>
      <c r="DG278" s="7">
        <f t="shared" si="137"/>
        <v>46615.189704227072</v>
      </c>
      <c r="DH278" s="7">
        <f t="shared" si="137"/>
        <v>1180004.4695122996</v>
      </c>
      <c r="DI278" s="7">
        <f t="shared" si="137"/>
        <v>1803958.9666310013</v>
      </c>
      <c r="DJ278" s="7">
        <f t="shared" si="137"/>
        <v>384848.61456185119</v>
      </c>
      <c r="DK278" s="7">
        <f t="shared" si="137"/>
        <v>277162.55962692905</v>
      </c>
      <c r="DL278" s="7">
        <f t="shared" si="137"/>
        <v>3301078.4921195148</v>
      </c>
      <c r="DM278" s="7">
        <f t="shared" si="137"/>
        <v>258586.006587004</v>
      </c>
      <c r="DN278" s="7">
        <f t="shared" si="137"/>
        <v>788062.09909076511</v>
      </c>
      <c r="DO278" s="7">
        <f t="shared" si="137"/>
        <v>1688269.4853138258</v>
      </c>
      <c r="DP278" s="7">
        <f t="shared" si="137"/>
        <v>166594.73793269598</v>
      </c>
      <c r="DQ278" s="7">
        <f t="shared" si="137"/>
        <v>358354.62037811964</v>
      </c>
      <c r="DR278" s="7">
        <f t="shared" si="137"/>
        <v>767204.8997198554</v>
      </c>
      <c r="DS278" s="7">
        <f t="shared" si="137"/>
        <v>345603.91752007912</v>
      </c>
      <c r="DT278" s="7">
        <f t="shared" si="137"/>
        <v>63361.576432750931</v>
      </c>
      <c r="DU278" s="7">
        <f t="shared" si="137"/>
        <v>149205.17810480119</v>
      </c>
      <c r="DV278" s="7">
        <f t="shared" si="137"/>
        <v>98441.847109261129</v>
      </c>
      <c r="DW278" s="7">
        <f t="shared" si="137"/>
        <v>123873.17229779011</v>
      </c>
      <c r="DX278" s="7">
        <f t="shared" si="137"/>
        <v>93206.578928209172</v>
      </c>
      <c r="DY278" s="7">
        <f t="shared" si="137"/>
        <v>196534.16107701175</v>
      </c>
      <c r="DZ278" s="7">
        <f t="shared" si="137"/>
        <v>625321.34965118638</v>
      </c>
      <c r="EA278" s="7">
        <f t="shared" si="137"/>
        <v>532449.43882370694</v>
      </c>
      <c r="EB278" s="7">
        <f t="shared" si="137"/>
        <v>414187.58427971142</v>
      </c>
      <c r="EC278" s="7">
        <f t="shared" si="137"/>
        <v>207798.65111541696</v>
      </c>
      <c r="ED278" s="7">
        <f t="shared" si="137"/>
        <v>925536.09880404407</v>
      </c>
      <c r="EE278" s="7">
        <f t="shared" si="137"/>
        <v>94435.066005391389</v>
      </c>
      <c r="EF278" s="7">
        <f t="shared" si="137"/>
        <v>766840.28550778679</v>
      </c>
      <c r="EG278" s="7">
        <f t="shared" si="137"/>
        <v>132080.91287295337</v>
      </c>
      <c r="EH278" s="7">
        <f t="shared" si="137"/>
        <v>111448.8269026858</v>
      </c>
      <c r="EI278" s="7">
        <f t="shared" si="137"/>
        <v>8409210.7053326871</v>
      </c>
      <c r="EJ278" s="7">
        <f t="shared" si="137"/>
        <v>6070945.2586546866</v>
      </c>
      <c r="EK278" s="7">
        <f t="shared" si="137"/>
        <v>331709.13961849996</v>
      </c>
      <c r="EL278" s="7">
        <f t="shared" si="137"/>
        <v>359004.14726938715</v>
      </c>
      <c r="EM278" s="7">
        <f t="shared" si="137"/>
        <v>133629.31033063785</v>
      </c>
      <c r="EN278" s="7">
        <f t="shared" si="137"/>
        <v>599040.85408002674</v>
      </c>
      <c r="EO278" s="7">
        <f t="shared" si="137"/>
        <v>110515.75472165953</v>
      </c>
      <c r="EP278" s="7">
        <f t="shared" si="137"/>
        <v>198467.1499845293</v>
      </c>
      <c r="EQ278" s="7">
        <f t="shared" si="137"/>
        <v>1482699.5302336456</v>
      </c>
      <c r="ER278" s="7">
        <f t="shared" si="137"/>
        <v>178186.99681049981</v>
      </c>
      <c r="ES278" s="7">
        <f t="shared" si="137"/>
        <v>86407.437255903089</v>
      </c>
      <c r="ET278" s="7">
        <f t="shared" si="137"/>
        <v>99167.860137511045</v>
      </c>
      <c r="EU278" s="7">
        <f t="shared" si="137"/>
        <v>322912.49758654094</v>
      </c>
      <c r="EV278" s="7">
        <f t="shared" si="137"/>
        <v>43628.739060467371</v>
      </c>
      <c r="EW278" s="7">
        <f t="shared" si="137"/>
        <v>369514.55207151332</v>
      </c>
      <c r="EX278" s="7">
        <f t="shared" si="137"/>
        <v>81318.092788917696</v>
      </c>
      <c r="EY278" s="7">
        <f t="shared" si="137"/>
        <v>429529.24359690119</v>
      </c>
      <c r="EZ278" s="7">
        <f t="shared" si="137"/>
        <v>87699.390095574476</v>
      </c>
      <c r="FA278" s="7">
        <f t="shared" si="137"/>
        <v>1826713.564192686</v>
      </c>
      <c r="FB278" s="7">
        <f t="shared" si="137"/>
        <v>261415.66140057801</v>
      </c>
      <c r="FC278" s="7">
        <f t="shared" si="137"/>
        <v>1118743.3030608119</v>
      </c>
      <c r="FD278" s="7">
        <f t="shared" si="137"/>
        <v>347007.27838893526</v>
      </c>
      <c r="FE278" s="7">
        <f t="shared" si="137"/>
        <v>73495.369355636954</v>
      </c>
      <c r="FF278" s="7">
        <f t="shared" si="137"/>
        <v>194612.29182576112</v>
      </c>
      <c r="FG278" s="7">
        <f t="shared" si="137"/>
        <v>84433.012111264994</v>
      </c>
      <c r="FH278" s="7">
        <f t="shared" si="137"/>
        <v>86807.970763982477</v>
      </c>
      <c r="FI278" s="7">
        <f t="shared" si="137"/>
        <v>1197393.3302733083</v>
      </c>
      <c r="FJ278" s="7">
        <f t="shared" si="137"/>
        <v>801762.05190615822</v>
      </c>
      <c r="FK278" s="7">
        <f t="shared" si="137"/>
        <v>1253001.4648258083</v>
      </c>
      <c r="FL278" s="7">
        <f t="shared" si="137"/>
        <v>3501094.1756532299</v>
      </c>
      <c r="FM278" s="7">
        <f t="shared" si="137"/>
        <v>1963488.5233917458</v>
      </c>
      <c r="FN278" s="7">
        <f t="shared" si="137"/>
        <v>11231428.410913067</v>
      </c>
      <c r="FO278" s="7">
        <f t="shared" si="137"/>
        <v>607592.63138315966</v>
      </c>
      <c r="FP278" s="7">
        <f t="shared" si="137"/>
        <v>1267504.9977336868</v>
      </c>
      <c r="FQ278" s="7">
        <f t="shared" si="137"/>
        <v>603021.10860051261</v>
      </c>
      <c r="FR278" s="7">
        <f t="shared" si="137"/>
        <v>88488.239989595269</v>
      </c>
      <c r="FS278" s="7">
        <f t="shared" si="137"/>
        <v>82384.211328193938</v>
      </c>
      <c r="FT278" s="7">
        <f t="shared" si="137"/>
        <v>69243.539168030751</v>
      </c>
      <c r="FU278" s="7">
        <f t="shared" si="137"/>
        <v>591729.33694608184</v>
      </c>
      <c r="FV278" s="7">
        <f t="shared" si="137"/>
        <v>438814.89076443302</v>
      </c>
      <c r="FW278" s="7">
        <f t="shared" si="137"/>
        <v>104794.87353843845</v>
      </c>
      <c r="FX278" s="7">
        <f t="shared" si="137"/>
        <v>35710.539170131822</v>
      </c>
      <c r="FY278" s="7"/>
      <c r="FZ278" s="7"/>
      <c r="GA278" s="45"/>
      <c r="GB278" s="45"/>
      <c r="GC278" s="45"/>
      <c r="GD278" s="45"/>
      <c r="GE278" s="7"/>
      <c r="GF278" s="7"/>
      <c r="GG278" s="7"/>
      <c r="GH278" s="7"/>
      <c r="GI278" s="7"/>
      <c r="GJ278" s="7"/>
      <c r="GK278" s="7"/>
    </row>
    <row r="279" spans="1:193" ht="15.5" x14ac:dyDescent="0.35">
      <c r="A279" s="12" t="s">
        <v>697</v>
      </c>
      <c r="B279" s="7" t="s">
        <v>1052</v>
      </c>
      <c r="C279" s="45">
        <f t="shared" ref="C279:FX279" si="138">ROUND(C278/C48,6)</f>
        <v>3.1970000000000002E-3</v>
      </c>
      <c r="D279" s="45">
        <f t="shared" si="138"/>
        <v>4.548E-3</v>
      </c>
      <c r="E279" s="45">
        <f t="shared" si="138"/>
        <v>3.2330000000000002E-3</v>
      </c>
      <c r="F279" s="45">
        <f t="shared" si="138"/>
        <v>3.545E-3</v>
      </c>
      <c r="G279" s="45">
        <f t="shared" si="138"/>
        <v>1.305E-3</v>
      </c>
      <c r="H279" s="45">
        <f t="shared" si="138"/>
        <v>6.0099999999999997E-3</v>
      </c>
      <c r="I279" s="45">
        <f t="shared" si="138"/>
        <v>4.1869999999999997E-3</v>
      </c>
      <c r="J279" s="45">
        <f t="shared" si="138"/>
        <v>6.0270000000000002E-3</v>
      </c>
      <c r="K279" s="45">
        <f t="shared" si="138"/>
        <v>2.8730000000000001E-3</v>
      </c>
      <c r="L279" s="45">
        <f t="shared" si="138"/>
        <v>2.0279999999999999E-3</v>
      </c>
      <c r="M279" s="45">
        <f t="shared" si="138"/>
        <v>2.199E-3</v>
      </c>
      <c r="N279" s="45">
        <f t="shared" si="138"/>
        <v>3.5010000000000002E-3</v>
      </c>
      <c r="O279" s="45">
        <f t="shared" si="138"/>
        <v>2.9099999999999998E-3</v>
      </c>
      <c r="P279" s="45">
        <f t="shared" si="138"/>
        <v>4.1599999999999996E-3</v>
      </c>
      <c r="Q279" s="45">
        <f t="shared" si="138"/>
        <v>4.2469999999999999E-3</v>
      </c>
      <c r="R279" s="45">
        <f t="shared" si="138"/>
        <v>2.7505000000000002E-2</v>
      </c>
      <c r="S279" s="45">
        <f t="shared" si="138"/>
        <v>1.3829999999999999E-3</v>
      </c>
      <c r="T279" s="45">
        <f t="shared" si="138"/>
        <v>4.0080000000000003E-3</v>
      </c>
      <c r="U279" s="45">
        <f t="shared" si="138"/>
        <v>1.1969999999999999E-3</v>
      </c>
      <c r="V279" s="45">
        <f t="shared" si="138"/>
        <v>4.2709999999999996E-3</v>
      </c>
      <c r="W279" s="45">
        <f t="shared" si="138"/>
        <v>4.9610000000000001E-3</v>
      </c>
      <c r="X279" s="45">
        <f t="shared" si="138"/>
        <v>1.4059999999999999E-3</v>
      </c>
      <c r="Y279" s="45">
        <f t="shared" si="138"/>
        <v>5.3299999999999997E-3</v>
      </c>
      <c r="Z279" s="45">
        <f t="shared" si="138"/>
        <v>5.228E-3</v>
      </c>
      <c r="AA279" s="45">
        <f t="shared" si="138"/>
        <v>2.6059999999999998E-3</v>
      </c>
      <c r="AB279" s="45">
        <f t="shared" si="138"/>
        <v>1.676E-3</v>
      </c>
      <c r="AC279" s="45">
        <f t="shared" si="138"/>
        <v>1.1490000000000001E-3</v>
      </c>
      <c r="AD279" s="45">
        <f t="shared" si="138"/>
        <v>1.1050000000000001E-3</v>
      </c>
      <c r="AE279" s="45">
        <f t="shared" si="138"/>
        <v>1.583E-3</v>
      </c>
      <c r="AF279" s="45">
        <f t="shared" si="138"/>
        <v>1.255E-3</v>
      </c>
      <c r="AG279" s="45">
        <f t="shared" si="138"/>
        <v>1.1329999999999999E-3</v>
      </c>
      <c r="AH279" s="45">
        <f t="shared" si="138"/>
        <v>1.0810999999999999E-2</v>
      </c>
      <c r="AI279" s="45">
        <f t="shared" si="138"/>
        <v>1.004E-2</v>
      </c>
      <c r="AJ279" s="45">
        <f t="shared" si="138"/>
        <v>2.238E-3</v>
      </c>
      <c r="AK279" s="45">
        <f t="shared" si="138"/>
        <v>1.6000000000000001E-3</v>
      </c>
      <c r="AL279" s="45">
        <f t="shared" si="138"/>
        <v>1.0740000000000001E-3</v>
      </c>
      <c r="AM279" s="45">
        <f t="shared" si="138"/>
        <v>4.0489999999999996E-3</v>
      </c>
      <c r="AN279" s="45">
        <f t="shared" si="138"/>
        <v>9.7999999999999997E-4</v>
      </c>
      <c r="AO279" s="45">
        <f t="shared" si="138"/>
        <v>4.5459999999999997E-3</v>
      </c>
      <c r="AP279" s="45">
        <f t="shared" si="138"/>
        <v>1.9729999999999999E-3</v>
      </c>
      <c r="AQ279" s="45">
        <f t="shared" si="138"/>
        <v>2.14E-3</v>
      </c>
      <c r="AR279" s="45">
        <f t="shared" si="138"/>
        <v>2.9789999999999999E-3</v>
      </c>
      <c r="AS279" s="45">
        <f t="shared" si="138"/>
        <v>7.2400000000000003E-4</v>
      </c>
      <c r="AT279" s="45">
        <f t="shared" si="138"/>
        <v>3.1930000000000001E-3</v>
      </c>
      <c r="AU279" s="45">
        <f t="shared" si="138"/>
        <v>3.0100000000000001E-3</v>
      </c>
      <c r="AV279" s="45">
        <f t="shared" si="138"/>
        <v>5.496E-3</v>
      </c>
      <c r="AW279" s="45">
        <f t="shared" si="138"/>
        <v>3.9560000000000003E-3</v>
      </c>
      <c r="AX279" s="45">
        <f t="shared" si="138"/>
        <v>2.666E-3</v>
      </c>
      <c r="AY279" s="45">
        <f t="shared" si="138"/>
        <v>4.927E-3</v>
      </c>
      <c r="AZ279" s="45">
        <f t="shared" si="138"/>
        <v>5.6569999999999997E-3</v>
      </c>
      <c r="BA279" s="45">
        <f t="shared" si="138"/>
        <v>5.633E-3</v>
      </c>
      <c r="BB279" s="45">
        <f t="shared" si="138"/>
        <v>2.1343000000000001E-2</v>
      </c>
      <c r="BC279" s="45">
        <f t="shared" si="138"/>
        <v>2.3249999999999998E-3</v>
      </c>
      <c r="BD279" s="45">
        <f t="shared" si="138"/>
        <v>2.4520000000000002E-3</v>
      </c>
      <c r="BE279" s="45">
        <f t="shared" si="138"/>
        <v>3.3219999999999999E-3</v>
      </c>
      <c r="BF279" s="45">
        <f t="shared" si="138"/>
        <v>3.258E-3</v>
      </c>
      <c r="BG279" s="45">
        <f t="shared" si="138"/>
        <v>8.6199999999999992E-3</v>
      </c>
      <c r="BH279" s="45">
        <f t="shared" si="138"/>
        <v>3.8500000000000001E-3</v>
      </c>
      <c r="BI279" s="45">
        <f t="shared" si="138"/>
        <v>4.3579999999999999E-3</v>
      </c>
      <c r="BJ279" s="45">
        <f t="shared" si="138"/>
        <v>2.7590000000000002E-3</v>
      </c>
      <c r="BK279" s="45">
        <f t="shared" si="138"/>
        <v>5.5250000000000004E-3</v>
      </c>
      <c r="BL279" s="45">
        <f t="shared" si="138"/>
        <v>1.0260999999999999E-2</v>
      </c>
      <c r="BM279" s="45">
        <f t="shared" si="138"/>
        <v>9.0329999999999994E-3</v>
      </c>
      <c r="BN279" s="45">
        <f t="shared" si="138"/>
        <v>4.8339999999999998E-3</v>
      </c>
      <c r="BO279" s="45">
        <f t="shared" si="138"/>
        <v>4.5750000000000001E-3</v>
      </c>
      <c r="BP279" s="45">
        <f t="shared" si="138"/>
        <v>1.122E-3</v>
      </c>
      <c r="BQ279" s="45">
        <f t="shared" si="138"/>
        <v>1.343E-3</v>
      </c>
      <c r="BR279" s="45">
        <f t="shared" si="138"/>
        <v>1.884E-3</v>
      </c>
      <c r="BS279" s="45">
        <f t="shared" si="138"/>
        <v>6.0700000000000001E-4</v>
      </c>
      <c r="BT279" s="45">
        <f t="shared" si="138"/>
        <v>4.66E-4</v>
      </c>
      <c r="BU279" s="45">
        <f t="shared" si="138"/>
        <v>1.3140000000000001E-3</v>
      </c>
      <c r="BV279" s="45">
        <f t="shared" si="138"/>
        <v>4.6200000000000001E-4</v>
      </c>
      <c r="BW279" s="45">
        <f t="shared" si="138"/>
        <v>7.1500000000000003E-4</v>
      </c>
      <c r="BX279" s="45">
        <f t="shared" si="138"/>
        <v>8.12E-4</v>
      </c>
      <c r="BY279" s="45">
        <f t="shared" si="138"/>
        <v>3.0860000000000002E-3</v>
      </c>
      <c r="BZ279" s="45">
        <f t="shared" si="138"/>
        <v>3.32E-3</v>
      </c>
      <c r="CA279" s="45">
        <f t="shared" si="138"/>
        <v>5.2700000000000002E-4</v>
      </c>
      <c r="CB279" s="45">
        <f t="shared" si="138"/>
        <v>2.6619999999999999E-3</v>
      </c>
      <c r="CC279" s="45">
        <f t="shared" si="138"/>
        <v>5.9620000000000003E-3</v>
      </c>
      <c r="CD279" s="45">
        <f t="shared" si="138"/>
        <v>1.39E-3</v>
      </c>
      <c r="CE279" s="45">
        <f t="shared" si="138"/>
        <v>3.287E-3</v>
      </c>
      <c r="CF279" s="45">
        <f t="shared" si="138"/>
        <v>2.2560000000000002E-3</v>
      </c>
      <c r="CG279" s="45">
        <f t="shared" si="138"/>
        <v>4.6940000000000003E-3</v>
      </c>
      <c r="CH279" s="45">
        <f t="shared" si="138"/>
        <v>4.3860000000000001E-3</v>
      </c>
      <c r="CI279" s="45">
        <f t="shared" si="138"/>
        <v>3.9610000000000001E-3</v>
      </c>
      <c r="CJ279" s="45">
        <f t="shared" si="138"/>
        <v>1.4059999999999999E-3</v>
      </c>
      <c r="CK279" s="45">
        <f t="shared" si="138"/>
        <v>1.8519999999999999E-3</v>
      </c>
      <c r="CL279" s="45">
        <f t="shared" si="138"/>
        <v>3.2469999999999999E-3</v>
      </c>
      <c r="CM279" s="45">
        <f t="shared" si="138"/>
        <v>1.8209999999999999E-3</v>
      </c>
      <c r="CN279" s="45">
        <f t="shared" si="138"/>
        <v>2.885E-3</v>
      </c>
      <c r="CO279" s="45">
        <f t="shared" si="138"/>
        <v>2.2060000000000001E-3</v>
      </c>
      <c r="CP279" s="45">
        <f t="shared" si="138"/>
        <v>6.8599999999999998E-4</v>
      </c>
      <c r="CQ279" s="45">
        <f t="shared" si="138"/>
        <v>3.3409999999999998E-3</v>
      </c>
      <c r="CR279" s="45">
        <f t="shared" si="138"/>
        <v>1.07E-3</v>
      </c>
      <c r="CS279" s="45">
        <f t="shared" si="138"/>
        <v>2.96E-3</v>
      </c>
      <c r="CT279" s="45">
        <f t="shared" si="138"/>
        <v>1.554E-3</v>
      </c>
      <c r="CU279" s="45">
        <f t="shared" si="138"/>
        <v>4.862E-3</v>
      </c>
      <c r="CV279" s="45">
        <f t="shared" si="138"/>
        <v>1.8829999999999999E-3</v>
      </c>
      <c r="CW279" s="45">
        <f t="shared" si="138"/>
        <v>2.3679999999999999E-3</v>
      </c>
      <c r="CX279" s="45">
        <f t="shared" si="138"/>
        <v>4.1710000000000002E-3</v>
      </c>
      <c r="CY279" s="45">
        <f t="shared" si="138"/>
        <v>5.9280000000000001E-3</v>
      </c>
      <c r="CZ279" s="45">
        <f t="shared" si="138"/>
        <v>5.6239999999999997E-3</v>
      </c>
      <c r="DA279" s="45">
        <f t="shared" si="138"/>
        <v>2.4429999999999999E-3</v>
      </c>
      <c r="DB279" s="45">
        <f t="shared" si="138"/>
        <v>5.2909999999999997E-3</v>
      </c>
      <c r="DC279" s="45">
        <f t="shared" si="138"/>
        <v>3.003E-3</v>
      </c>
      <c r="DD279" s="45">
        <f t="shared" si="138"/>
        <v>3.6900000000000002E-4</v>
      </c>
      <c r="DE279" s="45">
        <f t="shared" si="138"/>
        <v>9.8900000000000008E-4</v>
      </c>
      <c r="DF279" s="45">
        <f t="shared" si="138"/>
        <v>4.8279999999999998E-3</v>
      </c>
      <c r="DG279" s="45">
        <f t="shared" si="138"/>
        <v>7.0799999999999997E-4</v>
      </c>
      <c r="DH279" s="45">
        <f t="shared" si="138"/>
        <v>2.9250000000000001E-3</v>
      </c>
      <c r="DI279" s="45">
        <f t="shared" si="138"/>
        <v>2.9750000000000002E-3</v>
      </c>
      <c r="DJ279" s="45">
        <f t="shared" si="138"/>
        <v>5.6020000000000002E-3</v>
      </c>
      <c r="DK279" s="45">
        <f t="shared" si="138"/>
        <v>4.28E-3</v>
      </c>
      <c r="DL279" s="45">
        <f t="shared" si="138"/>
        <v>3.5969999999999999E-3</v>
      </c>
      <c r="DM279" s="45">
        <f t="shared" si="138"/>
        <v>9.306E-3</v>
      </c>
      <c r="DN279" s="45">
        <f t="shared" si="138"/>
        <v>2.7910000000000001E-3</v>
      </c>
      <c r="DO279" s="45">
        <f t="shared" si="138"/>
        <v>4.4019999999999997E-3</v>
      </c>
      <c r="DP279" s="45">
        <f t="shared" si="138"/>
        <v>4.9020000000000001E-3</v>
      </c>
      <c r="DQ279" s="45">
        <f t="shared" si="138"/>
        <v>7.1599999999999995E-4</v>
      </c>
      <c r="DR279" s="45">
        <f t="shared" si="138"/>
        <v>7.8120000000000004E-3</v>
      </c>
      <c r="DS279" s="45">
        <f t="shared" si="138"/>
        <v>7.6800000000000002E-3</v>
      </c>
      <c r="DT279" s="45">
        <f t="shared" si="138"/>
        <v>5.1799999999999997E-3</v>
      </c>
      <c r="DU279" s="45">
        <f t="shared" si="138"/>
        <v>4.6309999999999997E-3</v>
      </c>
      <c r="DV279" s="45">
        <f t="shared" si="138"/>
        <v>1.0076E-2</v>
      </c>
      <c r="DW279" s="45">
        <f t="shared" si="138"/>
        <v>5.1000000000000004E-3</v>
      </c>
      <c r="DX279" s="45">
        <f t="shared" si="138"/>
        <v>7.9799999999999999E-4</v>
      </c>
      <c r="DY279" s="45">
        <f t="shared" si="138"/>
        <v>8.8199999999999997E-4</v>
      </c>
      <c r="DZ279" s="45">
        <f t="shared" si="138"/>
        <v>2.4199999999999998E-3</v>
      </c>
      <c r="EA279" s="45">
        <f t="shared" si="138"/>
        <v>8.0999999999999996E-4</v>
      </c>
      <c r="EB279" s="45">
        <f t="shared" si="138"/>
        <v>4.4980000000000003E-3</v>
      </c>
      <c r="EC279" s="45">
        <f t="shared" si="138"/>
        <v>5.1879999999999999E-3</v>
      </c>
      <c r="ED279" s="45">
        <f t="shared" si="138"/>
        <v>1.5799999999999999E-4</v>
      </c>
      <c r="EE279" s="45">
        <f t="shared" si="138"/>
        <v>5.0239999999999998E-3</v>
      </c>
      <c r="EF279" s="45">
        <f t="shared" si="138"/>
        <v>7.0470000000000003E-3</v>
      </c>
      <c r="EG279" s="45">
        <f t="shared" si="138"/>
        <v>4.0309999999999999E-3</v>
      </c>
      <c r="EH279" s="45">
        <f t="shared" si="138"/>
        <v>7.1960000000000001E-3</v>
      </c>
      <c r="EI279" s="45">
        <f t="shared" si="138"/>
        <v>5.5129999999999997E-3</v>
      </c>
      <c r="EJ279" s="45">
        <f t="shared" si="138"/>
        <v>4.9449999999999997E-3</v>
      </c>
      <c r="EK279" s="45">
        <f t="shared" si="138"/>
        <v>5.5000000000000003E-4</v>
      </c>
      <c r="EL279" s="45">
        <f t="shared" si="138"/>
        <v>1.242E-3</v>
      </c>
      <c r="EM279" s="45">
        <f t="shared" si="138"/>
        <v>9.8999999999999999E-4</v>
      </c>
      <c r="EN279" s="45">
        <f t="shared" si="138"/>
        <v>6.9839999999999998E-3</v>
      </c>
      <c r="EO279" s="45">
        <f t="shared" si="138"/>
        <v>2.3289999999999999E-3</v>
      </c>
      <c r="EP279" s="45">
        <f t="shared" si="138"/>
        <v>1.2769999999999999E-3</v>
      </c>
      <c r="EQ279" s="45">
        <f t="shared" si="138"/>
        <v>7.5900000000000002E-4</v>
      </c>
      <c r="ER279" s="45">
        <f t="shared" si="138"/>
        <v>1.199E-3</v>
      </c>
      <c r="ES279" s="45">
        <f t="shared" si="138"/>
        <v>2.2659999999999998E-3</v>
      </c>
      <c r="ET279" s="45">
        <f t="shared" si="138"/>
        <v>1.7669999999999999E-3</v>
      </c>
      <c r="EU279" s="45">
        <f t="shared" si="138"/>
        <v>6.7499999999999999E-3</v>
      </c>
      <c r="EV279" s="45">
        <f t="shared" si="138"/>
        <v>5.3200000000000003E-4</v>
      </c>
      <c r="EW279" s="45">
        <f t="shared" si="138"/>
        <v>2.7500000000000002E-4</v>
      </c>
      <c r="EX279" s="45">
        <f t="shared" si="138"/>
        <v>1.3929999999999999E-3</v>
      </c>
      <c r="EY279" s="45">
        <f t="shared" si="138"/>
        <v>1.2411999999999999E-2</v>
      </c>
      <c r="EZ279" s="45">
        <f t="shared" si="138"/>
        <v>2.9069999999999999E-3</v>
      </c>
      <c r="FA279" s="45">
        <f t="shared" si="138"/>
        <v>4.7800000000000002E-4</v>
      </c>
      <c r="FB279" s="45">
        <f t="shared" si="138"/>
        <v>5.3200000000000003E-4</v>
      </c>
      <c r="FC279" s="45">
        <f t="shared" si="138"/>
        <v>2.3470000000000001E-3</v>
      </c>
      <c r="FD279" s="45">
        <f t="shared" si="138"/>
        <v>6.2459999999999998E-3</v>
      </c>
      <c r="FE279" s="45">
        <f t="shared" si="138"/>
        <v>2.1770000000000001E-3</v>
      </c>
      <c r="FF279" s="45">
        <f t="shared" si="138"/>
        <v>7.7759999999999999E-3</v>
      </c>
      <c r="FG279" s="45">
        <f t="shared" si="138"/>
        <v>2.7390000000000001E-3</v>
      </c>
      <c r="FH279" s="45">
        <f t="shared" si="138"/>
        <v>2.2959999999999999E-3</v>
      </c>
      <c r="FI279" s="45">
        <f t="shared" si="138"/>
        <v>8.3900000000000001E-4</v>
      </c>
      <c r="FJ279" s="45">
        <f t="shared" si="138"/>
        <v>8.0699999999999999E-4</v>
      </c>
      <c r="FK279" s="45">
        <f t="shared" si="138"/>
        <v>5.7899999999999998E-4</v>
      </c>
      <c r="FL279" s="45">
        <f t="shared" si="138"/>
        <v>1.5250000000000001E-3</v>
      </c>
      <c r="FM279" s="45">
        <f t="shared" si="138"/>
        <v>1.66E-3</v>
      </c>
      <c r="FN279" s="45">
        <f t="shared" si="138"/>
        <v>3.7030000000000001E-3</v>
      </c>
      <c r="FO279" s="45">
        <f t="shared" si="138"/>
        <v>1.8799999999999999E-4</v>
      </c>
      <c r="FP279" s="45">
        <f t="shared" si="138"/>
        <v>8.2200000000000003E-4</v>
      </c>
      <c r="FQ279" s="45">
        <f t="shared" si="138"/>
        <v>1.116E-3</v>
      </c>
      <c r="FR279" s="45">
        <f t="shared" si="138"/>
        <v>1.55E-4</v>
      </c>
      <c r="FS279" s="45">
        <f t="shared" si="138"/>
        <v>1.85E-4</v>
      </c>
      <c r="FT279" s="45">
        <f t="shared" si="138"/>
        <v>1.5100000000000001E-4</v>
      </c>
      <c r="FU279" s="45">
        <f t="shared" si="138"/>
        <v>3.4199999999999999E-3</v>
      </c>
      <c r="FV279" s="45">
        <f t="shared" si="138"/>
        <v>3.0400000000000002E-3</v>
      </c>
      <c r="FW279" s="45">
        <f t="shared" si="138"/>
        <v>4.9909999999999998E-3</v>
      </c>
      <c r="FX279" s="45">
        <f t="shared" si="138"/>
        <v>2.0279999999999999E-3</v>
      </c>
      <c r="FY279" s="7"/>
      <c r="FZ279" s="7"/>
      <c r="GA279" s="45"/>
      <c r="GB279" s="7"/>
      <c r="GC279" s="7"/>
      <c r="GD279" s="7"/>
      <c r="GE279" s="7"/>
      <c r="GF279" s="7"/>
      <c r="GG279" s="7"/>
      <c r="GH279" s="7"/>
      <c r="GI279" s="7"/>
      <c r="GJ279" s="7"/>
      <c r="GK279" s="7"/>
    </row>
    <row r="280" spans="1:193" ht="15.5" x14ac:dyDescent="0.35">
      <c r="A280" s="7"/>
      <c r="B280" s="7" t="s">
        <v>1053</v>
      </c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>
        <f ca="1">IF(FT272&gt;0,FT272,FT270)</f>
        <v>3.0049999999999999E-3</v>
      </c>
      <c r="FQ280" s="45"/>
      <c r="FR280" s="45"/>
      <c r="FS280" s="45"/>
      <c r="FT280" s="45"/>
      <c r="FU280" s="45"/>
      <c r="FV280" s="45"/>
      <c r="FW280" s="45"/>
      <c r="FX280" s="45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</row>
    <row r="281" spans="1:193" ht="15.5" x14ac:dyDescent="0.35">
      <c r="A281" s="12" t="s">
        <v>699</v>
      </c>
      <c r="B281" s="7" t="s">
        <v>700</v>
      </c>
      <c r="C281" s="45">
        <f t="shared" ref="C281:AM281" ca="1" si="139">IF(ROUND(MIN(C279,(C262-C273),(C267-C273)),6)&lt;0,0,(ROUND(MIN(C279,(C262-C273),(C267-C273)),6)))</f>
        <v>0</v>
      </c>
      <c r="D281" s="45">
        <f t="shared" ca="1" si="139"/>
        <v>0</v>
      </c>
      <c r="E281" s="45">
        <f t="shared" ca="1" si="139"/>
        <v>0</v>
      </c>
      <c r="F281" s="45">
        <f t="shared" ca="1" si="139"/>
        <v>0</v>
      </c>
      <c r="G281" s="45">
        <f t="shared" ca="1" si="139"/>
        <v>0</v>
      </c>
      <c r="H281" s="45">
        <f t="shared" ca="1" si="139"/>
        <v>0</v>
      </c>
      <c r="I281" s="45">
        <f t="shared" ca="1" si="139"/>
        <v>0</v>
      </c>
      <c r="J281" s="45">
        <f t="shared" ca="1" si="139"/>
        <v>0</v>
      </c>
      <c r="K281" s="45">
        <f t="shared" ca="1" si="139"/>
        <v>0</v>
      </c>
      <c r="L281" s="45">
        <f t="shared" ca="1" si="139"/>
        <v>0</v>
      </c>
      <c r="M281" s="45">
        <f t="shared" ca="1" si="139"/>
        <v>0</v>
      </c>
      <c r="N281" s="45">
        <f t="shared" ca="1" si="139"/>
        <v>0</v>
      </c>
      <c r="O281" s="45">
        <f t="shared" ca="1" si="139"/>
        <v>0</v>
      </c>
      <c r="P281" s="45">
        <f t="shared" ca="1" si="139"/>
        <v>0</v>
      </c>
      <c r="Q281" s="45">
        <f t="shared" ca="1" si="139"/>
        <v>0</v>
      </c>
      <c r="R281" s="45">
        <f t="shared" ca="1" si="139"/>
        <v>0</v>
      </c>
      <c r="S281" s="45">
        <f t="shared" ca="1" si="139"/>
        <v>0</v>
      </c>
      <c r="T281" s="45">
        <f t="shared" ca="1" si="139"/>
        <v>0</v>
      </c>
      <c r="U281" s="45">
        <f t="shared" ca="1" si="139"/>
        <v>0</v>
      </c>
      <c r="V281" s="45">
        <f t="shared" ca="1" si="139"/>
        <v>0</v>
      </c>
      <c r="W281" s="45">
        <f t="shared" ca="1" si="139"/>
        <v>0</v>
      </c>
      <c r="X281" s="45">
        <f t="shared" ca="1" si="139"/>
        <v>0</v>
      </c>
      <c r="Y281" s="45">
        <f t="shared" ca="1" si="139"/>
        <v>0</v>
      </c>
      <c r="Z281" s="45">
        <f t="shared" ca="1" si="139"/>
        <v>0</v>
      </c>
      <c r="AA281" s="45">
        <f t="shared" ca="1" si="139"/>
        <v>0</v>
      </c>
      <c r="AB281" s="45">
        <f t="shared" ca="1" si="139"/>
        <v>0</v>
      </c>
      <c r="AC281" s="45">
        <f t="shared" ca="1" si="139"/>
        <v>0</v>
      </c>
      <c r="AD281" s="45">
        <f t="shared" ca="1" si="139"/>
        <v>0</v>
      </c>
      <c r="AE281" s="45">
        <f t="shared" ca="1" si="139"/>
        <v>0</v>
      </c>
      <c r="AF281" s="45">
        <f t="shared" ca="1" si="139"/>
        <v>0</v>
      </c>
      <c r="AG281" s="45">
        <f t="shared" ca="1" si="139"/>
        <v>0</v>
      </c>
      <c r="AH281" s="45">
        <f t="shared" ca="1" si="139"/>
        <v>0</v>
      </c>
      <c r="AI281" s="45">
        <f t="shared" ca="1" si="139"/>
        <v>0</v>
      </c>
      <c r="AJ281" s="45">
        <f t="shared" ca="1" si="139"/>
        <v>0</v>
      </c>
      <c r="AK281" s="45">
        <f t="shared" ca="1" si="139"/>
        <v>0</v>
      </c>
      <c r="AL281" s="45">
        <f t="shared" ca="1" si="139"/>
        <v>0</v>
      </c>
      <c r="AM281" s="45">
        <f t="shared" ca="1" si="139"/>
        <v>0</v>
      </c>
      <c r="AN281" s="45">
        <f ca="1">IF(ROUND(MIN(AN279,(AN262-AN273),(AN267-AN273)),6)&lt;0,0,(ROUND(MIN(AN279,(AN262-AN273),(AN267-AN273)),6)))-0.000001</f>
        <v>9.7900000000000005E-4</v>
      </c>
      <c r="AO281" s="45">
        <f t="shared" ref="AO281:BU281" ca="1" si="140">IF(ROUND(MIN(AO279,(AO262-AO273),(AO267-AO273)),6)&lt;0,0,(ROUND(MIN(AO279,(AO262-AO273),(AO267-AO273)),6)))</f>
        <v>0</v>
      </c>
      <c r="AP281" s="45">
        <f t="shared" ca="1" si="140"/>
        <v>0</v>
      </c>
      <c r="AQ281" s="45">
        <f t="shared" ca="1" si="140"/>
        <v>0</v>
      </c>
      <c r="AR281" s="45">
        <f t="shared" ca="1" si="140"/>
        <v>0</v>
      </c>
      <c r="AS281" s="45">
        <f t="shared" ca="1" si="140"/>
        <v>0</v>
      </c>
      <c r="AT281" s="45">
        <f t="shared" ca="1" si="140"/>
        <v>0</v>
      </c>
      <c r="AU281" s="45">
        <f t="shared" ca="1" si="140"/>
        <v>0</v>
      </c>
      <c r="AV281" s="45">
        <f t="shared" ca="1" si="140"/>
        <v>0</v>
      </c>
      <c r="AW281" s="45">
        <f t="shared" ca="1" si="140"/>
        <v>0</v>
      </c>
      <c r="AX281" s="45">
        <f t="shared" ca="1" si="140"/>
        <v>0</v>
      </c>
      <c r="AY281" s="45">
        <f t="shared" ca="1" si="140"/>
        <v>0</v>
      </c>
      <c r="AZ281" s="45">
        <f t="shared" ca="1" si="140"/>
        <v>0</v>
      </c>
      <c r="BA281" s="45">
        <f t="shared" ca="1" si="140"/>
        <v>0</v>
      </c>
      <c r="BB281" s="45">
        <f t="shared" ca="1" si="140"/>
        <v>0</v>
      </c>
      <c r="BC281" s="45">
        <f t="shared" ca="1" si="140"/>
        <v>0</v>
      </c>
      <c r="BD281" s="45">
        <f t="shared" ca="1" si="140"/>
        <v>0</v>
      </c>
      <c r="BE281" s="45">
        <f t="shared" ca="1" si="140"/>
        <v>0</v>
      </c>
      <c r="BF281" s="45">
        <f t="shared" ca="1" si="140"/>
        <v>0</v>
      </c>
      <c r="BG281" s="45">
        <f t="shared" ca="1" si="140"/>
        <v>0</v>
      </c>
      <c r="BH281" s="45">
        <f t="shared" ca="1" si="140"/>
        <v>0</v>
      </c>
      <c r="BI281" s="45">
        <f t="shared" ca="1" si="140"/>
        <v>0</v>
      </c>
      <c r="BJ281" s="45">
        <f t="shared" ca="1" si="140"/>
        <v>0</v>
      </c>
      <c r="BK281" s="45">
        <f t="shared" ca="1" si="140"/>
        <v>0</v>
      </c>
      <c r="BL281" s="45">
        <f t="shared" ca="1" si="140"/>
        <v>0</v>
      </c>
      <c r="BM281" s="45">
        <f t="shared" ca="1" si="140"/>
        <v>0</v>
      </c>
      <c r="BN281" s="45">
        <f t="shared" ca="1" si="140"/>
        <v>0</v>
      </c>
      <c r="BO281" s="45">
        <f t="shared" ca="1" si="140"/>
        <v>0</v>
      </c>
      <c r="BP281" s="45">
        <f t="shared" ca="1" si="140"/>
        <v>0</v>
      </c>
      <c r="BQ281" s="45">
        <f t="shared" ca="1" si="140"/>
        <v>0</v>
      </c>
      <c r="BR281" s="45">
        <f t="shared" ca="1" si="140"/>
        <v>0</v>
      </c>
      <c r="BS281" s="45">
        <f t="shared" ca="1" si="140"/>
        <v>0</v>
      </c>
      <c r="BT281" s="45">
        <f t="shared" ca="1" si="140"/>
        <v>0</v>
      </c>
      <c r="BU281" s="45">
        <f t="shared" ca="1" si="140"/>
        <v>0</v>
      </c>
      <c r="BV281" s="45">
        <f ca="1">IF(ROUND(MIN(BV279,(BV262-BV273),(BV267-BV273)),6)&lt;0,0,(ROUND(MIN(BV279,(BV262-BV273),(BV267-BV273)),6)))-0.000001</f>
        <v>4.6099999999999998E-4</v>
      </c>
      <c r="BW281" s="45">
        <f t="shared" ref="BW281:CI281" ca="1" si="141">IF(ROUND(MIN(BW279,(BW262-BW273),(BW267-BW273)),6)&lt;0,0,(ROUND(MIN(BW279,(BW262-BW273),(BW267-BW273)),6)))</f>
        <v>0</v>
      </c>
      <c r="BX281" s="45">
        <f t="shared" ca="1" si="141"/>
        <v>0</v>
      </c>
      <c r="BY281" s="45">
        <f t="shared" ca="1" si="141"/>
        <v>0</v>
      </c>
      <c r="BZ281" s="45">
        <f t="shared" ca="1" si="141"/>
        <v>0</v>
      </c>
      <c r="CA281" s="45">
        <f t="shared" ca="1" si="141"/>
        <v>0</v>
      </c>
      <c r="CB281" s="45">
        <f t="shared" ca="1" si="141"/>
        <v>0</v>
      </c>
      <c r="CC281" s="45">
        <f t="shared" ca="1" si="141"/>
        <v>0</v>
      </c>
      <c r="CD281" s="45">
        <f t="shared" ca="1" si="141"/>
        <v>0</v>
      </c>
      <c r="CE281" s="45">
        <f t="shared" ca="1" si="141"/>
        <v>0</v>
      </c>
      <c r="CF281" s="45">
        <f t="shared" ca="1" si="141"/>
        <v>0</v>
      </c>
      <c r="CG281" s="45">
        <f t="shared" ca="1" si="141"/>
        <v>0</v>
      </c>
      <c r="CH281" s="45">
        <f t="shared" ca="1" si="141"/>
        <v>0</v>
      </c>
      <c r="CI281" s="45">
        <f t="shared" ca="1" si="141"/>
        <v>0</v>
      </c>
      <c r="CJ281" s="45">
        <f ca="1">IF(ROUND(MIN(CJ279,(CJ262-CJ273),(CJ267-CJ273)),6)&lt;0,0,(ROUND(MIN(CJ279,(CJ262-CJ273),(CJ267-CJ273)),6)))-0.000001</f>
        <v>1.219E-3</v>
      </c>
      <c r="CK281" s="45">
        <f t="shared" ref="CK281:CO281" ca="1" si="142">IF(ROUND(MIN(CK279,(CK262-CK273),(CK267-CK273)),6)&lt;0,0,(ROUND(MIN(CK279,(CK262-CK273),(CK267-CK273)),6)))</f>
        <v>0</v>
      </c>
      <c r="CL281" s="45">
        <f t="shared" ca="1" si="142"/>
        <v>0</v>
      </c>
      <c r="CM281" s="45">
        <f t="shared" ca="1" si="142"/>
        <v>0</v>
      </c>
      <c r="CN281" s="45">
        <f t="shared" ca="1" si="142"/>
        <v>0</v>
      </c>
      <c r="CO281" s="45">
        <f t="shared" ca="1" si="142"/>
        <v>0</v>
      </c>
      <c r="CP281" s="45">
        <f ca="1">IF(ROUND(MIN(CP279,(CP262-CP273),(CP267-CP273)),6)&lt;0,0,(ROUND(MIN(CP279,(CP262-CP273),(CP267-CP273)),6)))-0.000001</f>
        <v>6.8499999999999995E-4</v>
      </c>
      <c r="CQ281" s="45">
        <f t="shared" ref="CQ281:DP281" ca="1" si="143">IF(ROUND(MIN(CQ279,(CQ262-CQ273),(CQ267-CQ273)),6)&lt;0,0,(ROUND(MIN(CQ279,(CQ262-CQ273),(CQ267-CQ273)),6)))</f>
        <v>0</v>
      </c>
      <c r="CR281" s="45">
        <f t="shared" ca="1" si="143"/>
        <v>0</v>
      </c>
      <c r="CS281" s="45">
        <f t="shared" ca="1" si="143"/>
        <v>0</v>
      </c>
      <c r="CT281" s="45">
        <f t="shared" ca="1" si="143"/>
        <v>0</v>
      </c>
      <c r="CU281" s="45">
        <f t="shared" ca="1" si="143"/>
        <v>0</v>
      </c>
      <c r="CV281" s="45">
        <f t="shared" ca="1" si="143"/>
        <v>0</v>
      </c>
      <c r="CW281" s="45">
        <f t="shared" ca="1" si="143"/>
        <v>0</v>
      </c>
      <c r="CX281" s="45">
        <f t="shared" ca="1" si="143"/>
        <v>0</v>
      </c>
      <c r="CY281" s="45">
        <f t="shared" ca="1" si="143"/>
        <v>0</v>
      </c>
      <c r="CZ281" s="45">
        <f t="shared" ca="1" si="143"/>
        <v>0</v>
      </c>
      <c r="DA281" s="45">
        <f t="shared" ca="1" si="143"/>
        <v>0</v>
      </c>
      <c r="DB281" s="45">
        <f t="shared" ca="1" si="143"/>
        <v>0</v>
      </c>
      <c r="DC281" s="45">
        <f t="shared" ca="1" si="143"/>
        <v>0</v>
      </c>
      <c r="DD281" s="45">
        <f t="shared" ca="1" si="143"/>
        <v>0</v>
      </c>
      <c r="DE281" s="45">
        <f t="shared" ca="1" si="143"/>
        <v>0</v>
      </c>
      <c r="DF281" s="45">
        <f t="shared" ca="1" si="143"/>
        <v>0</v>
      </c>
      <c r="DG281" s="45">
        <f t="shared" ca="1" si="143"/>
        <v>0</v>
      </c>
      <c r="DH281" s="45">
        <f t="shared" ca="1" si="143"/>
        <v>0</v>
      </c>
      <c r="DI281" s="45">
        <f t="shared" ca="1" si="143"/>
        <v>0</v>
      </c>
      <c r="DJ281" s="45">
        <f t="shared" ca="1" si="143"/>
        <v>0</v>
      </c>
      <c r="DK281" s="45">
        <f t="shared" ca="1" si="143"/>
        <v>0</v>
      </c>
      <c r="DL281" s="45">
        <f t="shared" ca="1" si="143"/>
        <v>0</v>
      </c>
      <c r="DM281" s="45">
        <f t="shared" ca="1" si="143"/>
        <v>0</v>
      </c>
      <c r="DN281" s="45">
        <f t="shared" ca="1" si="143"/>
        <v>0</v>
      </c>
      <c r="DO281" s="45">
        <f t="shared" ca="1" si="143"/>
        <v>0</v>
      </c>
      <c r="DP281" s="45">
        <f t="shared" ca="1" si="143"/>
        <v>0</v>
      </c>
      <c r="DQ281" s="45">
        <f ca="1">IF(ROUND(MIN(DQ279,(DQ262-DQ273),(DQ267-DQ273)),6)&lt;0,0,(ROUND(MIN(DQ279,(DQ262-DQ273),(DQ267-DQ273)),6)))-0.000001</f>
        <v>7.1499999999999992E-4</v>
      </c>
      <c r="DR281" s="45">
        <f t="shared" ref="DR281:DZ281" ca="1" si="144">IF(ROUND(MIN(DR279,(DR262-DR273),(DR267-DR273)),6)&lt;0,0,(ROUND(MIN(DR279,(DR262-DR273),(DR267-DR273)),6)))</f>
        <v>0</v>
      </c>
      <c r="DS281" s="45">
        <f t="shared" ca="1" si="144"/>
        <v>0</v>
      </c>
      <c r="DT281" s="45">
        <f t="shared" ca="1" si="144"/>
        <v>0</v>
      </c>
      <c r="DU281" s="45">
        <f t="shared" ca="1" si="144"/>
        <v>0</v>
      </c>
      <c r="DV281" s="45">
        <f t="shared" ca="1" si="144"/>
        <v>0</v>
      </c>
      <c r="DW281" s="45">
        <f t="shared" ca="1" si="144"/>
        <v>0</v>
      </c>
      <c r="DX281" s="45">
        <f t="shared" ca="1" si="144"/>
        <v>0</v>
      </c>
      <c r="DY281" s="45">
        <f t="shared" ca="1" si="144"/>
        <v>0</v>
      </c>
      <c r="DZ281" s="45">
        <f t="shared" ca="1" si="144"/>
        <v>0</v>
      </c>
      <c r="EA281" s="45">
        <f ca="1">IF(ROUND(MIN(EA279,(EA262-EA273),(EA267-EA273)),6)&lt;0,0,(ROUND(MIN(EA279,(EA262-EA273),(EA267-EA273)),6)))-0.000001</f>
        <v>8.0899999999999993E-4</v>
      </c>
      <c r="EB281" s="45">
        <f t="shared" ref="EB281:FQ281" ca="1" si="145">IF(ROUND(MIN(EB279,(EB262-EB273),(EB267-EB273)),6)&lt;0,0,(ROUND(MIN(EB279,(EB262-EB273),(EB267-EB273)),6)))</f>
        <v>0</v>
      </c>
      <c r="EC281" s="45">
        <f t="shared" ca="1" si="145"/>
        <v>0</v>
      </c>
      <c r="ED281" s="45">
        <f t="shared" ca="1" si="145"/>
        <v>1.37E-4</v>
      </c>
      <c r="EE281" s="45">
        <f t="shared" ca="1" si="145"/>
        <v>0</v>
      </c>
      <c r="EF281" s="45">
        <f t="shared" ca="1" si="145"/>
        <v>0</v>
      </c>
      <c r="EG281" s="45">
        <f t="shared" ca="1" si="145"/>
        <v>0</v>
      </c>
      <c r="EH281" s="45">
        <f t="shared" ca="1" si="145"/>
        <v>0</v>
      </c>
      <c r="EI281" s="45">
        <f t="shared" ca="1" si="145"/>
        <v>0</v>
      </c>
      <c r="EJ281" s="45">
        <f t="shared" ca="1" si="145"/>
        <v>0</v>
      </c>
      <c r="EK281" s="45">
        <f t="shared" ca="1" si="145"/>
        <v>0</v>
      </c>
      <c r="EL281" s="45">
        <f t="shared" ca="1" si="145"/>
        <v>0</v>
      </c>
      <c r="EM281" s="45">
        <f t="shared" ca="1" si="145"/>
        <v>0</v>
      </c>
      <c r="EN281" s="45">
        <f t="shared" ca="1" si="145"/>
        <v>0</v>
      </c>
      <c r="EO281" s="45">
        <f t="shared" ca="1" si="145"/>
        <v>0</v>
      </c>
      <c r="EP281" s="45">
        <f t="shared" ca="1" si="145"/>
        <v>0</v>
      </c>
      <c r="EQ281" s="45">
        <f t="shared" ca="1" si="145"/>
        <v>0</v>
      </c>
      <c r="ER281" s="45">
        <f t="shared" ca="1" si="145"/>
        <v>0</v>
      </c>
      <c r="ES281" s="45">
        <f t="shared" ca="1" si="145"/>
        <v>0</v>
      </c>
      <c r="ET281" s="45">
        <f t="shared" ca="1" si="145"/>
        <v>0</v>
      </c>
      <c r="EU281" s="45">
        <f t="shared" ca="1" si="145"/>
        <v>0</v>
      </c>
      <c r="EV281" s="45">
        <f t="shared" ca="1" si="145"/>
        <v>0</v>
      </c>
      <c r="EW281" s="45">
        <f t="shared" ca="1" si="145"/>
        <v>0</v>
      </c>
      <c r="EX281" s="45">
        <f t="shared" ca="1" si="145"/>
        <v>0</v>
      </c>
      <c r="EY281" s="45">
        <f t="shared" ca="1" si="145"/>
        <v>0</v>
      </c>
      <c r="EZ281" s="45">
        <f t="shared" ca="1" si="145"/>
        <v>0</v>
      </c>
      <c r="FA281" s="45">
        <f t="shared" ca="1" si="145"/>
        <v>6.7999999999999999E-5</v>
      </c>
      <c r="FB281" s="45">
        <f t="shared" ca="1" si="145"/>
        <v>5.3200000000000003E-4</v>
      </c>
      <c r="FC281" s="45">
        <f t="shared" ca="1" si="145"/>
        <v>0</v>
      </c>
      <c r="FD281" s="45">
        <f t="shared" ca="1" si="145"/>
        <v>0</v>
      </c>
      <c r="FE281" s="45">
        <f t="shared" ca="1" si="145"/>
        <v>0</v>
      </c>
      <c r="FF281" s="45">
        <f t="shared" ca="1" si="145"/>
        <v>0</v>
      </c>
      <c r="FG281" s="45">
        <f t="shared" ca="1" si="145"/>
        <v>0</v>
      </c>
      <c r="FH281" s="45">
        <f t="shared" ca="1" si="145"/>
        <v>0</v>
      </c>
      <c r="FI281" s="45">
        <f t="shared" ca="1" si="145"/>
        <v>0</v>
      </c>
      <c r="FJ281" s="45">
        <f t="shared" ca="1" si="145"/>
        <v>1.3200000000000001E-4</v>
      </c>
      <c r="FK281" s="45">
        <f t="shared" ca="1" si="145"/>
        <v>0</v>
      </c>
      <c r="FL281" s="45">
        <f t="shared" ca="1" si="145"/>
        <v>0</v>
      </c>
      <c r="FM281" s="45">
        <f t="shared" ca="1" si="145"/>
        <v>0</v>
      </c>
      <c r="FN281" s="45">
        <f t="shared" ca="1" si="145"/>
        <v>0</v>
      </c>
      <c r="FO281" s="45">
        <f t="shared" ca="1" si="145"/>
        <v>1.8799999999999999E-4</v>
      </c>
      <c r="FP281" s="45">
        <f t="shared" ca="1" si="145"/>
        <v>0</v>
      </c>
      <c r="FQ281" s="45">
        <f t="shared" ca="1" si="145"/>
        <v>3.5799999999999997E-4</v>
      </c>
      <c r="FR281" s="45">
        <f ca="1">IF(ROUND(MIN(FR279,(FR262-FR273),(FR267-FR273)),6)&lt;0,0,(ROUND(MIN(FR279,(FR262-FR273),(FR267-FR273)),6)))-0.000001</f>
        <v>1.54E-4</v>
      </c>
      <c r="FS281" s="45">
        <f ca="1">IF(ROUND(MIN(FS279,(FS262-FS273),(FS267-FS273)),6)&lt;0,0,(ROUND(MIN(FS279,(FS262-FS273),(FS267-FS273)),6)))</f>
        <v>0</v>
      </c>
      <c r="FT281" s="45">
        <f ca="1">IF(ROUND(MIN(FT279,(FT262-FT273),(FT267-FT273)),6)&lt;0,0,(ROUND(MIN(FT279,(FT262-FT273),(FT267-FT273)),6)))-0.000001</f>
        <v>1.5000000000000001E-4</v>
      </c>
      <c r="FU281" s="45">
        <f t="shared" ref="FU281:FX281" ca="1" si="146">IF(ROUND(MIN(FU279,(FU262-FU273),(FU267-FU273)),6)&lt;0,0,(ROUND(MIN(FU279,(FU262-FU273),(FU267-FU273)),6)))</f>
        <v>0</v>
      </c>
      <c r="FV281" s="45">
        <f t="shared" ca="1" si="146"/>
        <v>0</v>
      </c>
      <c r="FW281" s="45">
        <f t="shared" ca="1" si="146"/>
        <v>0</v>
      </c>
      <c r="FX281" s="45">
        <f t="shared" ca="1" si="146"/>
        <v>0</v>
      </c>
      <c r="FY281" s="45"/>
      <c r="FZ281" s="45">
        <f ca="1">SUM(C281:FX281)</f>
        <v>6.587E-3</v>
      </c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</row>
    <row r="282" spans="1:193" ht="15.5" x14ac:dyDescent="0.35">
      <c r="A282" s="7"/>
      <c r="B282" s="7" t="s">
        <v>1054</v>
      </c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</row>
    <row r="283" spans="1:193" ht="15.5" x14ac:dyDescent="0.35">
      <c r="A283" s="7"/>
      <c r="B283" s="7" t="s">
        <v>1055</v>
      </c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7"/>
      <c r="GB283" s="45"/>
      <c r="GC283" s="45"/>
      <c r="GD283" s="45"/>
      <c r="GE283" s="7"/>
      <c r="GF283" s="7"/>
      <c r="GG283" s="7"/>
      <c r="GH283" s="7"/>
      <c r="GI283" s="7"/>
      <c r="GJ283" s="7"/>
      <c r="GK283" s="7"/>
    </row>
    <row r="284" spans="1:193" ht="15.5" x14ac:dyDescent="0.35">
      <c r="A284" s="12" t="s">
        <v>1056</v>
      </c>
      <c r="B284" s="7" t="s">
        <v>1057</v>
      </c>
      <c r="C284" s="45">
        <v>0</v>
      </c>
      <c r="D284" s="45">
        <v>0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0</v>
      </c>
      <c r="FF284" s="45">
        <v>0</v>
      </c>
      <c r="FG284" s="45">
        <v>0</v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/>
      <c r="FZ284" s="45"/>
      <c r="GA284" s="7"/>
      <c r="GB284" s="45"/>
      <c r="GC284" s="45"/>
      <c r="GD284" s="45"/>
      <c r="GE284" s="7"/>
      <c r="GF284" s="7"/>
      <c r="GG284" s="7"/>
      <c r="GH284" s="7"/>
      <c r="GI284" s="7"/>
      <c r="GJ284" s="7"/>
      <c r="GK284" s="7"/>
    </row>
    <row r="285" spans="1:193" ht="15.5" x14ac:dyDescent="0.35">
      <c r="A285" s="12" t="s">
        <v>1058</v>
      </c>
      <c r="B285" s="7" t="s">
        <v>1059</v>
      </c>
      <c r="C285" s="45">
        <f t="shared" ref="C285:FX285" ca="1" si="147">IF(C272&gt;0,C284,C281)</f>
        <v>0</v>
      </c>
      <c r="D285" s="45">
        <f t="shared" ca="1" si="147"/>
        <v>0</v>
      </c>
      <c r="E285" s="45">
        <f t="shared" ca="1" si="147"/>
        <v>0</v>
      </c>
      <c r="F285" s="45">
        <f t="shared" ca="1" si="147"/>
        <v>0</v>
      </c>
      <c r="G285" s="45">
        <f t="shared" ca="1" si="147"/>
        <v>0</v>
      </c>
      <c r="H285" s="45">
        <f t="shared" ca="1" si="147"/>
        <v>0</v>
      </c>
      <c r="I285" s="45">
        <f t="shared" ca="1" si="147"/>
        <v>0</v>
      </c>
      <c r="J285" s="45">
        <f t="shared" ca="1" si="147"/>
        <v>0</v>
      </c>
      <c r="K285" s="45">
        <f t="shared" ca="1" si="147"/>
        <v>0</v>
      </c>
      <c r="L285" s="45">
        <f t="shared" ca="1" si="147"/>
        <v>0</v>
      </c>
      <c r="M285" s="45">
        <f t="shared" ca="1" si="147"/>
        <v>0</v>
      </c>
      <c r="N285" s="45">
        <f t="shared" ca="1" si="147"/>
        <v>0</v>
      </c>
      <c r="O285" s="45">
        <f t="shared" ca="1" si="147"/>
        <v>0</v>
      </c>
      <c r="P285" s="45">
        <f t="shared" ca="1" si="147"/>
        <v>0</v>
      </c>
      <c r="Q285" s="45">
        <f t="shared" ca="1" si="147"/>
        <v>0</v>
      </c>
      <c r="R285" s="45">
        <f t="shared" ca="1" si="147"/>
        <v>0</v>
      </c>
      <c r="S285" s="45">
        <f t="shared" ca="1" si="147"/>
        <v>0</v>
      </c>
      <c r="T285" s="45">
        <f t="shared" ca="1" si="147"/>
        <v>0</v>
      </c>
      <c r="U285" s="45">
        <f t="shared" ca="1" si="147"/>
        <v>0</v>
      </c>
      <c r="V285" s="45">
        <f t="shared" ca="1" si="147"/>
        <v>0</v>
      </c>
      <c r="W285" s="45">
        <f t="shared" ca="1" si="147"/>
        <v>0</v>
      </c>
      <c r="X285" s="45">
        <f t="shared" ca="1" si="147"/>
        <v>0</v>
      </c>
      <c r="Y285" s="45">
        <f t="shared" ca="1" si="147"/>
        <v>0</v>
      </c>
      <c r="Z285" s="45">
        <f t="shared" ca="1" si="147"/>
        <v>0</v>
      </c>
      <c r="AA285" s="45">
        <f t="shared" ca="1" si="147"/>
        <v>0</v>
      </c>
      <c r="AB285" s="45">
        <f t="shared" ca="1" si="147"/>
        <v>0</v>
      </c>
      <c r="AC285" s="45">
        <f t="shared" ca="1" si="147"/>
        <v>0</v>
      </c>
      <c r="AD285" s="45">
        <f t="shared" ca="1" si="147"/>
        <v>0</v>
      </c>
      <c r="AE285" s="45">
        <f t="shared" ca="1" si="147"/>
        <v>0</v>
      </c>
      <c r="AF285" s="45">
        <f t="shared" ca="1" si="147"/>
        <v>0</v>
      </c>
      <c r="AG285" s="45">
        <f t="shared" ca="1" si="147"/>
        <v>0</v>
      </c>
      <c r="AH285" s="45">
        <f t="shared" ca="1" si="147"/>
        <v>0</v>
      </c>
      <c r="AI285" s="45">
        <f t="shared" ca="1" si="147"/>
        <v>0</v>
      </c>
      <c r="AJ285" s="45">
        <f t="shared" ca="1" si="147"/>
        <v>0</v>
      </c>
      <c r="AK285" s="45">
        <f t="shared" ca="1" si="147"/>
        <v>0</v>
      </c>
      <c r="AL285" s="45">
        <f t="shared" ca="1" si="147"/>
        <v>0</v>
      </c>
      <c r="AM285" s="45">
        <f t="shared" ca="1" si="147"/>
        <v>0</v>
      </c>
      <c r="AN285" s="45">
        <f t="shared" ca="1" si="147"/>
        <v>9.7900000000000005E-4</v>
      </c>
      <c r="AO285" s="45">
        <f t="shared" ca="1" si="147"/>
        <v>0</v>
      </c>
      <c r="AP285" s="45">
        <f t="shared" ca="1" si="147"/>
        <v>0</v>
      </c>
      <c r="AQ285" s="45">
        <f t="shared" ca="1" si="147"/>
        <v>0</v>
      </c>
      <c r="AR285" s="45">
        <f t="shared" ca="1" si="147"/>
        <v>0</v>
      </c>
      <c r="AS285" s="45">
        <f t="shared" ca="1" si="147"/>
        <v>0</v>
      </c>
      <c r="AT285" s="45">
        <f t="shared" ca="1" si="147"/>
        <v>0</v>
      </c>
      <c r="AU285" s="45">
        <f t="shared" ca="1" si="147"/>
        <v>0</v>
      </c>
      <c r="AV285" s="45">
        <f t="shared" ca="1" si="147"/>
        <v>0</v>
      </c>
      <c r="AW285" s="45">
        <f t="shared" ca="1" si="147"/>
        <v>0</v>
      </c>
      <c r="AX285" s="45">
        <f t="shared" ca="1" si="147"/>
        <v>0</v>
      </c>
      <c r="AY285" s="45">
        <f t="shared" ca="1" si="147"/>
        <v>0</v>
      </c>
      <c r="AZ285" s="45">
        <f t="shared" ca="1" si="147"/>
        <v>0</v>
      </c>
      <c r="BA285" s="45">
        <f t="shared" ca="1" si="147"/>
        <v>0</v>
      </c>
      <c r="BB285" s="45">
        <f t="shared" ca="1" si="147"/>
        <v>0</v>
      </c>
      <c r="BC285" s="45">
        <f t="shared" ca="1" si="147"/>
        <v>0</v>
      </c>
      <c r="BD285" s="45">
        <f t="shared" ca="1" si="147"/>
        <v>0</v>
      </c>
      <c r="BE285" s="45">
        <f t="shared" ca="1" si="147"/>
        <v>0</v>
      </c>
      <c r="BF285" s="45">
        <f t="shared" ca="1" si="147"/>
        <v>0</v>
      </c>
      <c r="BG285" s="45">
        <f t="shared" ca="1" si="147"/>
        <v>0</v>
      </c>
      <c r="BH285" s="45">
        <f t="shared" ca="1" si="147"/>
        <v>0</v>
      </c>
      <c r="BI285" s="45">
        <f t="shared" ca="1" si="147"/>
        <v>0</v>
      </c>
      <c r="BJ285" s="45">
        <f t="shared" ca="1" si="147"/>
        <v>0</v>
      </c>
      <c r="BK285" s="45">
        <f t="shared" ca="1" si="147"/>
        <v>0</v>
      </c>
      <c r="BL285" s="45">
        <f t="shared" ca="1" si="147"/>
        <v>0</v>
      </c>
      <c r="BM285" s="45">
        <f t="shared" ca="1" si="147"/>
        <v>0</v>
      </c>
      <c r="BN285" s="45">
        <f t="shared" ca="1" si="147"/>
        <v>0</v>
      </c>
      <c r="BO285" s="45">
        <f t="shared" ca="1" si="147"/>
        <v>0</v>
      </c>
      <c r="BP285" s="45">
        <f t="shared" ca="1" si="147"/>
        <v>0</v>
      </c>
      <c r="BQ285" s="45">
        <f t="shared" ca="1" si="147"/>
        <v>0</v>
      </c>
      <c r="BR285" s="45">
        <f t="shared" ca="1" si="147"/>
        <v>0</v>
      </c>
      <c r="BS285" s="45">
        <f t="shared" ca="1" si="147"/>
        <v>0</v>
      </c>
      <c r="BT285" s="45">
        <f t="shared" ca="1" si="147"/>
        <v>0</v>
      </c>
      <c r="BU285" s="45">
        <f t="shared" ca="1" si="147"/>
        <v>0</v>
      </c>
      <c r="BV285" s="45">
        <f t="shared" ca="1" si="147"/>
        <v>4.6099999999999998E-4</v>
      </c>
      <c r="BW285" s="45">
        <f t="shared" ca="1" si="147"/>
        <v>0</v>
      </c>
      <c r="BX285" s="45">
        <f t="shared" ca="1" si="147"/>
        <v>0</v>
      </c>
      <c r="BY285" s="45">
        <f t="shared" ca="1" si="147"/>
        <v>0</v>
      </c>
      <c r="BZ285" s="45">
        <f t="shared" ca="1" si="147"/>
        <v>0</v>
      </c>
      <c r="CA285" s="45">
        <f t="shared" ca="1" si="147"/>
        <v>0</v>
      </c>
      <c r="CB285" s="45">
        <f t="shared" ca="1" si="147"/>
        <v>0</v>
      </c>
      <c r="CC285" s="45">
        <f t="shared" ca="1" si="147"/>
        <v>0</v>
      </c>
      <c r="CD285" s="45">
        <f t="shared" ca="1" si="147"/>
        <v>0</v>
      </c>
      <c r="CE285" s="45">
        <f t="shared" ca="1" si="147"/>
        <v>0</v>
      </c>
      <c r="CF285" s="45">
        <f t="shared" ca="1" si="147"/>
        <v>0</v>
      </c>
      <c r="CG285" s="45">
        <f t="shared" ca="1" si="147"/>
        <v>0</v>
      </c>
      <c r="CH285" s="45">
        <f t="shared" ca="1" si="147"/>
        <v>0</v>
      </c>
      <c r="CI285" s="45">
        <f t="shared" ca="1" si="147"/>
        <v>0</v>
      </c>
      <c r="CJ285" s="45">
        <f t="shared" ca="1" si="147"/>
        <v>1.219E-3</v>
      </c>
      <c r="CK285" s="45">
        <f t="shared" ca="1" si="147"/>
        <v>0</v>
      </c>
      <c r="CL285" s="45">
        <f t="shared" ca="1" si="147"/>
        <v>0</v>
      </c>
      <c r="CM285" s="45">
        <f t="shared" ca="1" si="147"/>
        <v>0</v>
      </c>
      <c r="CN285" s="45">
        <f t="shared" ca="1" si="147"/>
        <v>0</v>
      </c>
      <c r="CO285" s="45">
        <f t="shared" ca="1" si="147"/>
        <v>0</v>
      </c>
      <c r="CP285" s="45">
        <f t="shared" ca="1" si="147"/>
        <v>6.8499999999999995E-4</v>
      </c>
      <c r="CQ285" s="45">
        <f t="shared" ca="1" si="147"/>
        <v>0</v>
      </c>
      <c r="CR285" s="45">
        <f t="shared" ca="1" si="147"/>
        <v>0</v>
      </c>
      <c r="CS285" s="45">
        <f t="shared" ca="1" si="147"/>
        <v>0</v>
      </c>
      <c r="CT285" s="45">
        <f t="shared" ca="1" si="147"/>
        <v>0</v>
      </c>
      <c r="CU285" s="45">
        <f t="shared" ca="1" si="147"/>
        <v>0</v>
      </c>
      <c r="CV285" s="45">
        <f t="shared" ca="1" si="147"/>
        <v>0</v>
      </c>
      <c r="CW285" s="45">
        <f t="shared" ca="1" si="147"/>
        <v>0</v>
      </c>
      <c r="CX285" s="45">
        <f t="shared" ca="1" si="147"/>
        <v>0</v>
      </c>
      <c r="CY285" s="45">
        <f t="shared" ca="1" si="147"/>
        <v>0</v>
      </c>
      <c r="CZ285" s="45">
        <f t="shared" ca="1" si="147"/>
        <v>0</v>
      </c>
      <c r="DA285" s="45">
        <f t="shared" ca="1" si="147"/>
        <v>0</v>
      </c>
      <c r="DB285" s="45">
        <f t="shared" ca="1" si="147"/>
        <v>0</v>
      </c>
      <c r="DC285" s="45">
        <f t="shared" ca="1" si="147"/>
        <v>0</v>
      </c>
      <c r="DD285" s="45">
        <f t="shared" ca="1" si="147"/>
        <v>0</v>
      </c>
      <c r="DE285" s="45">
        <f t="shared" ca="1" si="147"/>
        <v>0</v>
      </c>
      <c r="DF285" s="45">
        <f t="shared" ca="1" si="147"/>
        <v>0</v>
      </c>
      <c r="DG285" s="45">
        <f t="shared" ca="1" si="147"/>
        <v>0</v>
      </c>
      <c r="DH285" s="45">
        <f t="shared" ca="1" si="147"/>
        <v>0</v>
      </c>
      <c r="DI285" s="45">
        <f t="shared" ca="1" si="147"/>
        <v>0</v>
      </c>
      <c r="DJ285" s="45">
        <f t="shared" ca="1" si="147"/>
        <v>0</v>
      </c>
      <c r="DK285" s="45">
        <f t="shared" ca="1" si="147"/>
        <v>0</v>
      </c>
      <c r="DL285" s="45">
        <f t="shared" ca="1" si="147"/>
        <v>0</v>
      </c>
      <c r="DM285" s="45">
        <f t="shared" ca="1" si="147"/>
        <v>0</v>
      </c>
      <c r="DN285" s="45">
        <f t="shared" ca="1" si="147"/>
        <v>0</v>
      </c>
      <c r="DO285" s="45">
        <f t="shared" ca="1" si="147"/>
        <v>0</v>
      </c>
      <c r="DP285" s="45">
        <f t="shared" ca="1" si="147"/>
        <v>0</v>
      </c>
      <c r="DQ285" s="45">
        <f t="shared" ca="1" si="147"/>
        <v>7.1499999999999992E-4</v>
      </c>
      <c r="DR285" s="45">
        <f t="shared" ca="1" si="147"/>
        <v>0</v>
      </c>
      <c r="DS285" s="45">
        <f t="shared" ca="1" si="147"/>
        <v>0</v>
      </c>
      <c r="DT285" s="45">
        <f t="shared" ca="1" si="147"/>
        <v>0</v>
      </c>
      <c r="DU285" s="45">
        <f t="shared" ca="1" si="147"/>
        <v>0</v>
      </c>
      <c r="DV285" s="45">
        <f t="shared" ca="1" si="147"/>
        <v>0</v>
      </c>
      <c r="DW285" s="45">
        <f t="shared" ca="1" si="147"/>
        <v>0</v>
      </c>
      <c r="DX285" s="45">
        <f t="shared" ca="1" si="147"/>
        <v>0</v>
      </c>
      <c r="DY285" s="45">
        <f t="shared" ca="1" si="147"/>
        <v>0</v>
      </c>
      <c r="DZ285" s="45">
        <f t="shared" ca="1" si="147"/>
        <v>0</v>
      </c>
      <c r="EA285" s="45">
        <f t="shared" ca="1" si="147"/>
        <v>8.0899999999999993E-4</v>
      </c>
      <c r="EB285" s="45">
        <f t="shared" ca="1" si="147"/>
        <v>0</v>
      </c>
      <c r="EC285" s="45">
        <f t="shared" ca="1" si="147"/>
        <v>0</v>
      </c>
      <c r="ED285" s="45">
        <f t="shared" ca="1" si="147"/>
        <v>1.37E-4</v>
      </c>
      <c r="EE285" s="45">
        <f t="shared" ca="1" si="147"/>
        <v>0</v>
      </c>
      <c r="EF285" s="45">
        <f t="shared" ca="1" si="147"/>
        <v>0</v>
      </c>
      <c r="EG285" s="45">
        <f t="shared" ca="1" si="147"/>
        <v>0</v>
      </c>
      <c r="EH285" s="45">
        <f t="shared" ca="1" si="147"/>
        <v>0</v>
      </c>
      <c r="EI285" s="45">
        <f t="shared" ca="1" si="147"/>
        <v>0</v>
      </c>
      <c r="EJ285" s="45">
        <f t="shared" ca="1" si="147"/>
        <v>0</v>
      </c>
      <c r="EK285" s="45">
        <f t="shared" ca="1" si="147"/>
        <v>0</v>
      </c>
      <c r="EL285" s="45">
        <f t="shared" ca="1" si="147"/>
        <v>0</v>
      </c>
      <c r="EM285" s="45">
        <f t="shared" ca="1" si="147"/>
        <v>0</v>
      </c>
      <c r="EN285" s="45">
        <f t="shared" ca="1" si="147"/>
        <v>0</v>
      </c>
      <c r="EO285" s="45">
        <f t="shared" ca="1" si="147"/>
        <v>0</v>
      </c>
      <c r="EP285" s="45">
        <f t="shared" ca="1" si="147"/>
        <v>0</v>
      </c>
      <c r="EQ285" s="45">
        <f t="shared" ca="1" si="147"/>
        <v>0</v>
      </c>
      <c r="ER285" s="45">
        <f t="shared" ca="1" si="147"/>
        <v>0</v>
      </c>
      <c r="ES285" s="45">
        <f t="shared" ca="1" si="147"/>
        <v>0</v>
      </c>
      <c r="ET285" s="45">
        <f t="shared" ca="1" si="147"/>
        <v>0</v>
      </c>
      <c r="EU285" s="45">
        <f t="shared" ca="1" si="147"/>
        <v>0</v>
      </c>
      <c r="EV285" s="45">
        <f t="shared" ca="1" si="147"/>
        <v>0</v>
      </c>
      <c r="EW285" s="45">
        <f t="shared" ca="1" si="147"/>
        <v>0</v>
      </c>
      <c r="EX285" s="45">
        <f t="shared" ca="1" si="147"/>
        <v>0</v>
      </c>
      <c r="EY285" s="45">
        <f t="shared" ca="1" si="147"/>
        <v>0</v>
      </c>
      <c r="EZ285" s="45">
        <f t="shared" ca="1" si="147"/>
        <v>0</v>
      </c>
      <c r="FA285" s="45">
        <f t="shared" ca="1" si="147"/>
        <v>6.7999999999999999E-5</v>
      </c>
      <c r="FB285" s="45">
        <f t="shared" ca="1" si="147"/>
        <v>5.3200000000000003E-4</v>
      </c>
      <c r="FC285" s="45">
        <f t="shared" ca="1" si="147"/>
        <v>0</v>
      </c>
      <c r="FD285" s="45">
        <f t="shared" ca="1" si="147"/>
        <v>0</v>
      </c>
      <c r="FE285" s="45">
        <f t="shared" ca="1" si="147"/>
        <v>0</v>
      </c>
      <c r="FF285" s="45">
        <f t="shared" ca="1" si="147"/>
        <v>0</v>
      </c>
      <c r="FG285" s="45">
        <f t="shared" ca="1" si="147"/>
        <v>0</v>
      </c>
      <c r="FH285" s="45">
        <f t="shared" ca="1" si="147"/>
        <v>0</v>
      </c>
      <c r="FI285" s="45">
        <f t="shared" ca="1" si="147"/>
        <v>0</v>
      </c>
      <c r="FJ285" s="45">
        <f t="shared" ca="1" si="147"/>
        <v>1.3200000000000001E-4</v>
      </c>
      <c r="FK285" s="45">
        <f t="shared" ca="1" si="147"/>
        <v>0</v>
      </c>
      <c r="FL285" s="45">
        <f t="shared" ca="1" si="147"/>
        <v>0</v>
      </c>
      <c r="FM285" s="45">
        <f t="shared" ca="1" si="147"/>
        <v>0</v>
      </c>
      <c r="FN285" s="45">
        <f t="shared" ca="1" si="147"/>
        <v>0</v>
      </c>
      <c r="FO285" s="45">
        <f t="shared" ca="1" si="147"/>
        <v>1.8799999999999999E-4</v>
      </c>
      <c r="FP285" s="45">
        <f t="shared" ca="1" si="147"/>
        <v>0</v>
      </c>
      <c r="FQ285" s="45">
        <f t="shared" ca="1" si="147"/>
        <v>3.5799999999999997E-4</v>
      </c>
      <c r="FR285" s="45">
        <f t="shared" ca="1" si="147"/>
        <v>1.54E-4</v>
      </c>
      <c r="FS285" s="45">
        <f t="shared" ca="1" si="147"/>
        <v>0</v>
      </c>
      <c r="FT285" s="45">
        <f t="shared" ca="1" si="147"/>
        <v>1.5000000000000001E-4</v>
      </c>
      <c r="FU285" s="45">
        <f t="shared" ca="1" si="147"/>
        <v>0</v>
      </c>
      <c r="FV285" s="45">
        <f t="shared" ca="1" si="147"/>
        <v>0</v>
      </c>
      <c r="FW285" s="45">
        <f t="shared" ca="1" si="147"/>
        <v>0</v>
      </c>
      <c r="FX285" s="45">
        <f t="shared" ca="1" si="147"/>
        <v>0</v>
      </c>
      <c r="FY285" s="45"/>
      <c r="FZ285" s="45">
        <f ca="1">SUM(C285:FX285)</f>
        <v>6.587E-3</v>
      </c>
      <c r="GA285" s="7"/>
      <c r="GB285" s="45"/>
      <c r="GC285" s="45"/>
      <c r="GD285" s="45"/>
      <c r="GE285" s="7"/>
      <c r="GF285" s="7"/>
      <c r="GG285" s="7"/>
      <c r="GH285" s="7"/>
      <c r="GI285" s="7"/>
      <c r="GJ285" s="7"/>
      <c r="GK285" s="7"/>
    </row>
    <row r="286" spans="1:193" ht="15.5" x14ac:dyDescent="0.35">
      <c r="A286" s="7"/>
      <c r="B286" s="7" t="s">
        <v>1060</v>
      </c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45"/>
      <c r="FZ286" s="45" t="s">
        <v>739</v>
      </c>
      <c r="GA286" s="7"/>
      <c r="GB286" s="45"/>
      <c r="GC286" s="7"/>
      <c r="GD286" s="45"/>
      <c r="GE286" s="7"/>
      <c r="GF286" s="7"/>
      <c r="GG286" s="7"/>
      <c r="GH286" s="7"/>
      <c r="GI286" s="7"/>
      <c r="GJ286" s="7"/>
      <c r="GK286" s="7"/>
    </row>
    <row r="287" spans="1:193" ht="15.5" x14ac:dyDescent="0.35">
      <c r="A287" s="12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45"/>
      <c r="FZ287" s="45"/>
      <c r="GA287" s="7"/>
      <c r="GB287" s="112"/>
      <c r="GC287" s="7"/>
      <c r="GD287" s="45"/>
      <c r="GE287" s="7"/>
      <c r="GF287" s="7"/>
      <c r="GG287" s="7"/>
      <c r="GH287" s="7"/>
      <c r="GI287" s="7"/>
      <c r="GJ287" s="7"/>
      <c r="GK287" s="7"/>
    </row>
    <row r="288" spans="1:193" ht="15.5" x14ac:dyDescent="0.35">
      <c r="A288" s="12" t="s">
        <v>684</v>
      </c>
      <c r="B288" s="5" t="s">
        <v>1061</v>
      </c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</row>
    <row r="289" spans="1:193" ht="15.5" x14ac:dyDescent="0.35">
      <c r="A289" s="12" t="s">
        <v>703</v>
      </c>
      <c r="B289" s="7" t="s">
        <v>1062</v>
      </c>
      <c r="C289" s="7">
        <f t="shared" ref="C289:FX289" ca="1" si="148">C259</f>
        <v>79052053.680000007</v>
      </c>
      <c r="D289" s="7">
        <f t="shared" ca="1" si="148"/>
        <v>445981124.5</v>
      </c>
      <c r="E289" s="7">
        <f t="shared" ca="1" si="148"/>
        <v>71451600.430000007</v>
      </c>
      <c r="F289" s="7">
        <f t="shared" ca="1" si="148"/>
        <v>279259860.22000003</v>
      </c>
      <c r="G289" s="7">
        <f t="shared" ca="1" si="148"/>
        <v>22103743.82</v>
      </c>
      <c r="H289" s="7">
        <f t="shared" ca="1" si="148"/>
        <v>13385447.9</v>
      </c>
      <c r="I289" s="7">
        <f t="shared" ca="1" si="148"/>
        <v>98882360.640000001</v>
      </c>
      <c r="J289" s="7">
        <f t="shared" ca="1" si="148"/>
        <v>24467328.670000002</v>
      </c>
      <c r="K289" s="7">
        <f t="shared" ca="1" si="148"/>
        <v>4312438.25</v>
      </c>
      <c r="L289" s="7">
        <f t="shared" ca="1" si="148"/>
        <v>26165974.879999999</v>
      </c>
      <c r="M289" s="7">
        <f t="shared" ca="1" si="148"/>
        <v>12949878.18</v>
      </c>
      <c r="N289" s="7">
        <f t="shared" ca="1" si="148"/>
        <v>591734292.39999998</v>
      </c>
      <c r="O289" s="7">
        <f t="shared" ca="1" si="148"/>
        <v>143765812.40000001</v>
      </c>
      <c r="P289" s="7">
        <f t="shared" ca="1" si="148"/>
        <v>5256442.2699999996</v>
      </c>
      <c r="Q289" s="7">
        <f t="shared" ca="1" si="148"/>
        <v>497020802.72000003</v>
      </c>
      <c r="R289" s="7">
        <f t="shared" ca="1" si="148"/>
        <v>79746543.269999996</v>
      </c>
      <c r="S289" s="7">
        <f t="shared" ca="1" si="148"/>
        <v>19269511.710000001</v>
      </c>
      <c r="T289" s="7">
        <f t="shared" ca="1" si="148"/>
        <v>3318152.62</v>
      </c>
      <c r="U289" s="7">
        <f t="shared" ca="1" si="148"/>
        <v>1410288.68</v>
      </c>
      <c r="V289" s="7">
        <f t="shared" ca="1" si="148"/>
        <v>4316362.38</v>
      </c>
      <c r="W289" s="7">
        <f t="shared" ca="1" si="148"/>
        <v>1480077.76</v>
      </c>
      <c r="X289" s="7">
        <f t="shared" ca="1" si="148"/>
        <v>1262581.68</v>
      </c>
      <c r="Y289" s="7">
        <f t="shared" ca="1" si="148"/>
        <v>11169795.210000001</v>
      </c>
      <c r="Z289" s="7">
        <f t="shared" ca="1" si="148"/>
        <v>3879323.23</v>
      </c>
      <c r="AA289" s="7">
        <f t="shared" ca="1" si="148"/>
        <v>352412400.11000001</v>
      </c>
      <c r="AB289" s="7">
        <f t="shared" ca="1" si="148"/>
        <v>312782805.33999997</v>
      </c>
      <c r="AC289" s="7">
        <f t="shared" ca="1" si="148"/>
        <v>11265780.48</v>
      </c>
      <c r="AD289" s="7">
        <f t="shared" ca="1" si="148"/>
        <v>16618866.029999999</v>
      </c>
      <c r="AE289" s="7">
        <f t="shared" ca="1" si="148"/>
        <v>2241390.11</v>
      </c>
      <c r="AF289" s="7">
        <f t="shared" ca="1" si="148"/>
        <v>3431505.06</v>
      </c>
      <c r="AG289" s="7">
        <f t="shared" ca="1" si="148"/>
        <v>8030694.9000000004</v>
      </c>
      <c r="AH289" s="7">
        <f t="shared" ca="1" si="148"/>
        <v>11751183.359999999</v>
      </c>
      <c r="AI289" s="7">
        <f t="shared" ca="1" si="148"/>
        <v>5477456.7800000003</v>
      </c>
      <c r="AJ289" s="7">
        <f t="shared" ca="1" si="148"/>
        <v>3713794.02</v>
      </c>
      <c r="AK289" s="7">
        <f t="shared" ca="1" si="148"/>
        <v>3458406.28</v>
      </c>
      <c r="AL289" s="7">
        <f t="shared" ca="1" si="148"/>
        <v>4717201.12</v>
      </c>
      <c r="AM289" s="7">
        <f t="shared" ca="1" si="148"/>
        <v>5240217.4400000004</v>
      </c>
      <c r="AN289" s="7">
        <f t="shared" ca="1" si="148"/>
        <v>4779906.71</v>
      </c>
      <c r="AO289" s="7">
        <f t="shared" ca="1" si="148"/>
        <v>50534324.149999999</v>
      </c>
      <c r="AP289" s="7">
        <f t="shared" ca="1" si="148"/>
        <v>1019506255.91</v>
      </c>
      <c r="AQ289" s="7">
        <f t="shared" ca="1" si="148"/>
        <v>4492088.3600000003</v>
      </c>
      <c r="AR289" s="7">
        <f t="shared" ca="1" si="148"/>
        <v>694618771.50999999</v>
      </c>
      <c r="AS289" s="7">
        <f t="shared" ca="1" si="148"/>
        <v>79299839.129999995</v>
      </c>
      <c r="AT289" s="7">
        <f t="shared" ca="1" si="148"/>
        <v>27506168.370000001</v>
      </c>
      <c r="AU289" s="7">
        <f t="shared" ca="1" si="148"/>
        <v>4675918.18</v>
      </c>
      <c r="AV289" s="7">
        <f t="shared" ca="1" si="148"/>
        <v>5120477.45</v>
      </c>
      <c r="AW289" s="7">
        <f t="shared" ca="1" si="148"/>
        <v>4494358.13</v>
      </c>
      <c r="AX289" s="7">
        <f t="shared" ca="1" si="148"/>
        <v>2057632.03</v>
      </c>
      <c r="AY289" s="7">
        <f t="shared" ca="1" si="148"/>
        <v>6020645.1799999997</v>
      </c>
      <c r="AZ289" s="7">
        <f t="shared" ca="1" si="148"/>
        <v>142626815.31999999</v>
      </c>
      <c r="BA289" s="7">
        <f t="shared" ca="1" si="148"/>
        <v>100627416.67</v>
      </c>
      <c r="BB289" s="7">
        <f t="shared" ca="1" si="148"/>
        <v>83817514.620000005</v>
      </c>
      <c r="BC289" s="7">
        <f t="shared" ca="1" si="148"/>
        <v>282823004.06999999</v>
      </c>
      <c r="BD289" s="7">
        <f t="shared" ca="1" si="148"/>
        <v>40101015.780000001</v>
      </c>
      <c r="BE289" s="7">
        <f t="shared" ca="1" si="148"/>
        <v>14211729.34</v>
      </c>
      <c r="BF289" s="7">
        <f t="shared" ca="1" si="148"/>
        <v>281878750.83999997</v>
      </c>
      <c r="BG289" s="7">
        <f t="shared" ca="1" si="148"/>
        <v>11992392.609999999</v>
      </c>
      <c r="BH289" s="7">
        <f t="shared" ca="1" si="148"/>
        <v>7631150.0199999996</v>
      </c>
      <c r="BI289" s="7">
        <f t="shared" ca="1" si="148"/>
        <v>4655443.62</v>
      </c>
      <c r="BJ289" s="7">
        <f t="shared" ca="1" si="148"/>
        <v>69582892.510000005</v>
      </c>
      <c r="BK289" s="7">
        <f t="shared" ca="1" si="148"/>
        <v>390659101.26999998</v>
      </c>
      <c r="BL289" s="7">
        <f t="shared" ca="1" si="148"/>
        <v>1967959.09</v>
      </c>
      <c r="BM289" s="7">
        <f t="shared" ca="1" si="148"/>
        <v>5436203.6900000004</v>
      </c>
      <c r="BN289" s="7">
        <f t="shared" ca="1" si="148"/>
        <v>35196799.289999999</v>
      </c>
      <c r="BO289" s="7">
        <f t="shared" ca="1" si="148"/>
        <v>14707253.09</v>
      </c>
      <c r="BP289" s="7">
        <f t="shared" ca="1" si="148"/>
        <v>3342513.9</v>
      </c>
      <c r="BQ289" s="7">
        <f t="shared" ca="1" si="148"/>
        <v>73180073.379999995</v>
      </c>
      <c r="BR289" s="7">
        <f t="shared" ca="1" si="148"/>
        <v>51838961.100000001</v>
      </c>
      <c r="BS289" s="7">
        <f t="shared" ca="1" si="148"/>
        <v>14896672.880000001</v>
      </c>
      <c r="BT289" s="7">
        <f t="shared" ca="1" si="148"/>
        <v>5808684.25</v>
      </c>
      <c r="BU289" s="7">
        <f t="shared" ca="1" si="148"/>
        <v>6031635.75</v>
      </c>
      <c r="BV289" s="7">
        <f t="shared" ca="1" si="148"/>
        <v>14808759.189999999</v>
      </c>
      <c r="BW289" s="7">
        <f t="shared" ca="1" si="148"/>
        <v>23767201.809999999</v>
      </c>
      <c r="BX289" s="7">
        <f t="shared" ca="1" si="148"/>
        <v>1747493.26</v>
      </c>
      <c r="BY289" s="7">
        <f t="shared" ca="1" si="148"/>
        <v>6226435.4199999999</v>
      </c>
      <c r="BZ289" s="7">
        <f t="shared" ca="1" si="148"/>
        <v>4027229.55</v>
      </c>
      <c r="CA289" s="7">
        <f t="shared" ca="1" si="148"/>
        <v>3145296</v>
      </c>
      <c r="CB289" s="7">
        <f t="shared" ca="1" si="148"/>
        <v>829325795.82000005</v>
      </c>
      <c r="CC289" s="7">
        <f t="shared" ca="1" si="148"/>
        <v>3591422.38</v>
      </c>
      <c r="CD289" s="7">
        <f t="shared" ca="1" si="148"/>
        <v>1211944.3999999999</v>
      </c>
      <c r="CE289" s="7">
        <f t="shared" ca="1" si="148"/>
        <v>3165905.17</v>
      </c>
      <c r="CF289" s="7">
        <f t="shared" ca="1" si="148"/>
        <v>2391611.64</v>
      </c>
      <c r="CG289" s="7">
        <f t="shared" ca="1" si="148"/>
        <v>3672390.33</v>
      </c>
      <c r="CH289" s="7">
        <f t="shared" ca="1" si="148"/>
        <v>2254948.56</v>
      </c>
      <c r="CI289" s="7">
        <f t="shared" ca="1" si="148"/>
        <v>8604631.9199999999</v>
      </c>
      <c r="CJ289" s="7">
        <f t="shared" ca="1" si="148"/>
        <v>11489962.68</v>
      </c>
      <c r="CK289" s="7">
        <f t="shared" ca="1" si="148"/>
        <v>57230299.68</v>
      </c>
      <c r="CL289" s="7">
        <f t="shared" ca="1" si="148"/>
        <v>15245739.859999999</v>
      </c>
      <c r="CM289" s="7">
        <f t="shared" ca="1" si="148"/>
        <v>9332190.8900000006</v>
      </c>
      <c r="CN289" s="7">
        <f t="shared" ca="1" si="148"/>
        <v>346567499.31999999</v>
      </c>
      <c r="CO289" s="7">
        <f t="shared" ca="1" si="148"/>
        <v>158501756.33000001</v>
      </c>
      <c r="CP289" s="7">
        <f t="shared" ca="1" si="148"/>
        <v>12173967.699999999</v>
      </c>
      <c r="CQ289" s="7">
        <f t="shared" ca="1" si="148"/>
        <v>10319943.82</v>
      </c>
      <c r="CR289" s="7">
        <f t="shared" ca="1" si="148"/>
        <v>3879878.58</v>
      </c>
      <c r="CS289" s="7">
        <f t="shared" ca="1" si="148"/>
        <v>4486541.0199999996</v>
      </c>
      <c r="CT289" s="7">
        <f t="shared" ca="1" si="148"/>
        <v>2570076.59</v>
      </c>
      <c r="CU289" s="7">
        <f t="shared" ca="1" si="148"/>
        <v>5447546.1399999997</v>
      </c>
      <c r="CV289" s="7">
        <f t="shared" ca="1" si="148"/>
        <v>1176684.73</v>
      </c>
      <c r="CW289" s="7">
        <f t="shared" ca="1" si="148"/>
        <v>3791096.75</v>
      </c>
      <c r="CX289" s="7">
        <f t="shared" ca="1" si="148"/>
        <v>6133963.3200000003</v>
      </c>
      <c r="CY289" s="7">
        <f t="shared" ca="1" si="148"/>
        <v>1248005.03</v>
      </c>
      <c r="CZ289" s="7">
        <f t="shared" ca="1" si="148"/>
        <v>21008137.969999999</v>
      </c>
      <c r="DA289" s="7">
        <f t="shared" ca="1" si="148"/>
        <v>3739031.97</v>
      </c>
      <c r="DB289" s="7">
        <f t="shared" ca="1" si="148"/>
        <v>4880964.34</v>
      </c>
      <c r="DC289" s="7">
        <f t="shared" ca="1" si="148"/>
        <v>3660350.21</v>
      </c>
      <c r="DD289" s="7">
        <f t="shared" ca="1" si="148"/>
        <v>3579436.51</v>
      </c>
      <c r="DE289" s="7">
        <f t="shared" ca="1" si="148"/>
        <v>4615219.92</v>
      </c>
      <c r="DF289" s="7">
        <f t="shared" ca="1" si="148"/>
        <v>229732560.37</v>
      </c>
      <c r="DG289" s="7">
        <f t="shared" ca="1" si="148"/>
        <v>2234952.04</v>
      </c>
      <c r="DH289" s="7">
        <f t="shared" ca="1" si="148"/>
        <v>20650989.93</v>
      </c>
      <c r="DI289" s="7">
        <f t="shared" ca="1" si="148"/>
        <v>28043177.52</v>
      </c>
      <c r="DJ289" s="7">
        <f t="shared" ca="1" si="148"/>
        <v>8211576.4000000004</v>
      </c>
      <c r="DK289" s="7">
        <f t="shared" ca="1" si="148"/>
        <v>6295019.5</v>
      </c>
      <c r="DL289" s="7">
        <f t="shared" ca="1" si="148"/>
        <v>66823620.409999996</v>
      </c>
      <c r="DM289" s="7">
        <f t="shared" ca="1" si="148"/>
        <v>4440075.55</v>
      </c>
      <c r="DN289" s="7">
        <f t="shared" ca="1" si="148"/>
        <v>16075280.23</v>
      </c>
      <c r="DO289" s="7">
        <f t="shared" ca="1" si="148"/>
        <v>38630398.159999996</v>
      </c>
      <c r="DP289" s="7">
        <f t="shared" ca="1" si="148"/>
        <v>3881904.38</v>
      </c>
      <c r="DQ289" s="7">
        <f t="shared" ca="1" si="148"/>
        <v>11138997.6</v>
      </c>
      <c r="DR289" s="7">
        <f t="shared" ca="1" si="148"/>
        <v>16125868.59</v>
      </c>
      <c r="DS289" s="7">
        <f t="shared" ca="1" si="148"/>
        <v>8220717.54</v>
      </c>
      <c r="DT289" s="7">
        <f t="shared" ca="1" si="148"/>
        <v>3708126.51</v>
      </c>
      <c r="DU289" s="7">
        <f t="shared" ca="1" si="148"/>
        <v>5288530.8899999997</v>
      </c>
      <c r="DV289" s="7">
        <f t="shared" ca="1" si="148"/>
        <v>3870179.44</v>
      </c>
      <c r="DW289" s="7">
        <f t="shared" ca="1" si="148"/>
        <v>4762020.5199999996</v>
      </c>
      <c r="DX289" s="7">
        <f t="shared" ca="1" si="148"/>
        <v>3811652.82</v>
      </c>
      <c r="DY289" s="7">
        <f t="shared" ca="1" si="148"/>
        <v>5093286.76</v>
      </c>
      <c r="DZ289" s="7">
        <f t="shared" ca="1" si="148"/>
        <v>9153990.4900000002</v>
      </c>
      <c r="EA289" s="7">
        <f t="shared" ca="1" si="148"/>
        <v>7265995.7999999998</v>
      </c>
      <c r="EB289" s="7">
        <f t="shared" ca="1" si="148"/>
        <v>7038996.6299999999</v>
      </c>
      <c r="EC289" s="7">
        <f t="shared" ca="1" si="148"/>
        <v>4335034.8099999996</v>
      </c>
      <c r="ED289" s="7">
        <f t="shared" ca="1" si="148"/>
        <v>23689244.559999999</v>
      </c>
      <c r="EE289" s="7">
        <f t="shared" ca="1" si="148"/>
        <v>3687045.68</v>
      </c>
      <c r="EF289" s="7">
        <f t="shared" ca="1" si="148"/>
        <v>16370469.24</v>
      </c>
      <c r="EG289" s="7">
        <f t="shared" ca="1" si="148"/>
        <v>4175170.93</v>
      </c>
      <c r="EH289" s="7">
        <f t="shared" ca="1" si="148"/>
        <v>4140789.68</v>
      </c>
      <c r="EI289" s="7">
        <f t="shared" ca="1" si="148"/>
        <v>162554647.53</v>
      </c>
      <c r="EJ289" s="7">
        <f t="shared" ca="1" si="148"/>
        <v>112123605.77</v>
      </c>
      <c r="EK289" s="7">
        <f t="shared" ca="1" si="148"/>
        <v>8375153.3300000001</v>
      </c>
      <c r="EL289" s="7">
        <f t="shared" ca="1" si="148"/>
        <v>5899050.4400000004</v>
      </c>
      <c r="EM289" s="7">
        <f t="shared" ca="1" si="148"/>
        <v>5485560.5599999996</v>
      </c>
      <c r="EN289" s="7">
        <f t="shared" ca="1" si="148"/>
        <v>11829639.640000001</v>
      </c>
      <c r="EO289" s="7">
        <f t="shared" ca="1" si="148"/>
        <v>4726223.4400000004</v>
      </c>
      <c r="EP289" s="7">
        <f t="shared" ca="1" si="148"/>
        <v>6204234.5099999998</v>
      </c>
      <c r="EQ289" s="7">
        <f t="shared" ca="1" si="148"/>
        <v>30746048.289999999</v>
      </c>
      <c r="ER289" s="7">
        <f t="shared" ca="1" si="148"/>
        <v>5131906.5</v>
      </c>
      <c r="ES289" s="7">
        <f t="shared" ca="1" si="148"/>
        <v>3353793.81</v>
      </c>
      <c r="ET289" s="7">
        <f t="shared" ca="1" si="148"/>
        <v>4356324.13</v>
      </c>
      <c r="EU289" s="7">
        <f t="shared" ca="1" si="148"/>
        <v>7963315.6799999997</v>
      </c>
      <c r="EV289" s="7">
        <f t="shared" ca="1" si="148"/>
        <v>1890492.83</v>
      </c>
      <c r="EW289" s="7">
        <f t="shared" ca="1" si="148"/>
        <v>13309322.109999999</v>
      </c>
      <c r="EX289" s="7">
        <f t="shared" ca="1" si="148"/>
        <v>3791058.95</v>
      </c>
      <c r="EY289" s="7">
        <f t="shared" ca="1" si="148"/>
        <v>7759567.2400000002</v>
      </c>
      <c r="EZ289" s="7">
        <f t="shared" ca="1" si="148"/>
        <v>2820167.82</v>
      </c>
      <c r="FA289" s="7">
        <f t="shared" ca="1" si="148"/>
        <v>42112505.409999996</v>
      </c>
      <c r="FB289" s="7">
        <f t="shared" ca="1" si="148"/>
        <v>4797387.76</v>
      </c>
      <c r="FC289" s="7">
        <f t="shared" ca="1" si="148"/>
        <v>21147856.920000002</v>
      </c>
      <c r="FD289" s="7">
        <f t="shared" ca="1" si="148"/>
        <v>5770108.4400000004</v>
      </c>
      <c r="FE289" s="7">
        <f t="shared" ca="1" si="148"/>
        <v>1963010.65</v>
      </c>
      <c r="FF289" s="7">
        <f t="shared" ca="1" si="148"/>
        <v>3691748.16</v>
      </c>
      <c r="FG289" s="7">
        <f t="shared" ca="1" si="148"/>
        <v>2729985.41</v>
      </c>
      <c r="FH289" s="7">
        <f t="shared" ca="1" si="148"/>
        <v>1718391.6</v>
      </c>
      <c r="FI289" s="7">
        <f t="shared" ca="1" si="148"/>
        <v>20443703.68</v>
      </c>
      <c r="FJ289" s="7">
        <f t="shared" ca="1" si="148"/>
        <v>22797589.829999998</v>
      </c>
      <c r="FK289" s="7">
        <f t="shared" ca="1" si="148"/>
        <v>29294622.940000001</v>
      </c>
      <c r="FL289" s="7">
        <f t="shared" ca="1" si="148"/>
        <v>94168128.030000001</v>
      </c>
      <c r="FM289" s="7">
        <f t="shared" ca="1" si="148"/>
        <v>44634765.020000003</v>
      </c>
      <c r="FN289" s="7">
        <f t="shared" ca="1" si="148"/>
        <v>263482240.59</v>
      </c>
      <c r="FO289" s="7">
        <f t="shared" ca="1" si="148"/>
        <v>13522225.609999999</v>
      </c>
      <c r="FP289" s="7">
        <f t="shared" ca="1" si="148"/>
        <v>27763436.34</v>
      </c>
      <c r="FQ289" s="7">
        <f t="shared" ca="1" si="148"/>
        <v>12038652.4</v>
      </c>
      <c r="FR289" s="7">
        <f t="shared" ca="1" si="148"/>
        <v>3396557.44</v>
      </c>
      <c r="FS289" s="7">
        <f t="shared" ca="1" si="148"/>
        <v>3389803.97</v>
      </c>
      <c r="FT289" s="7">
        <f t="shared" ca="1" si="148"/>
        <v>1489181.21</v>
      </c>
      <c r="FU289" s="7">
        <f t="shared" ca="1" si="148"/>
        <v>10636237.18</v>
      </c>
      <c r="FV289" s="7">
        <f t="shared" ca="1" si="148"/>
        <v>9131296.1099999994</v>
      </c>
      <c r="FW289" s="7">
        <f t="shared" ca="1" si="148"/>
        <v>3213284.85</v>
      </c>
      <c r="FX289" s="7">
        <f t="shared" ca="1" si="148"/>
        <v>1701192.38</v>
      </c>
      <c r="FY289" s="7"/>
      <c r="FZ289" s="82">
        <f t="shared" ref="FZ289:FZ292" ca="1" si="149">SUM(C289:FX289)</f>
        <v>9938172923.0300045</v>
      </c>
      <c r="GA289" s="62">
        <v>9938172923.0300045</v>
      </c>
      <c r="GB289" s="7">
        <f ca="1">FZ289-GA289</f>
        <v>0</v>
      </c>
      <c r="GC289" s="7">
        <f>GC290</f>
        <v>9698534081.0699978</v>
      </c>
      <c r="GD289" s="7"/>
      <c r="GE289" s="7"/>
      <c r="GF289" s="7"/>
      <c r="GG289" s="7"/>
      <c r="GH289" s="7"/>
      <c r="GI289" s="7"/>
      <c r="GJ289" s="7"/>
      <c r="GK289" s="7"/>
    </row>
    <row r="290" spans="1:193" ht="15.5" x14ac:dyDescent="0.35">
      <c r="A290" s="12" t="s">
        <v>705</v>
      </c>
      <c r="B290" s="7" t="s">
        <v>1063</v>
      </c>
      <c r="C290" s="7">
        <f t="shared" ref="C290:FX290" ca="1" si="150">C273*C48-C297</f>
        <v>33577243.379540466</v>
      </c>
      <c r="D290" s="7">
        <f t="shared" ca="1" si="150"/>
        <v>122050153.72307038</v>
      </c>
      <c r="E290" s="7">
        <f t="shared" ca="1" si="150"/>
        <v>33051226.751967102</v>
      </c>
      <c r="F290" s="7">
        <f t="shared" ca="1" si="150"/>
        <v>89318024.700250193</v>
      </c>
      <c r="G290" s="7">
        <f t="shared" ca="1" si="150"/>
        <v>14498385.88150131</v>
      </c>
      <c r="H290" s="7">
        <f t="shared" ca="1" si="150"/>
        <v>3932704.3086785823</v>
      </c>
      <c r="I290" s="7">
        <f t="shared" ca="1" si="150"/>
        <v>31923489.544274572</v>
      </c>
      <c r="J290" s="7">
        <f t="shared" ca="1" si="150"/>
        <v>5261813.9282190474</v>
      </c>
      <c r="K290" s="7">
        <f t="shared" ca="1" si="150"/>
        <v>1392552.5972030573</v>
      </c>
      <c r="L290" s="7">
        <f t="shared" ca="1" si="150"/>
        <v>23995379.430089008</v>
      </c>
      <c r="M290" s="7">
        <f t="shared" ca="1" si="150"/>
        <v>8495915.3011018187</v>
      </c>
      <c r="N290" s="7">
        <f t="shared" ca="1" si="150"/>
        <v>179878384.98932433</v>
      </c>
      <c r="O290" s="7">
        <f t="shared" ca="1" si="150"/>
        <v>73776337.477119565</v>
      </c>
      <c r="P290" s="7">
        <f t="shared" ca="1" si="150"/>
        <v>1546004.3060999489</v>
      </c>
      <c r="Q290" s="7">
        <f t="shared" ca="1" si="150"/>
        <v>155598755.6677776</v>
      </c>
      <c r="R290" s="7">
        <f t="shared" ca="1" si="150"/>
        <v>2049923.1370213896</v>
      </c>
      <c r="S290" s="7">
        <f t="shared" ca="1" si="150"/>
        <v>15805564.749845723</v>
      </c>
      <c r="T290" s="7">
        <f t="shared" ca="1" si="150"/>
        <v>660634.28444545891</v>
      </c>
      <c r="U290" s="7">
        <f t="shared" ca="1" si="150"/>
        <v>739582.32398065529</v>
      </c>
      <c r="V290" s="7">
        <f t="shared" ca="1" si="150"/>
        <v>1058751.3498526947</v>
      </c>
      <c r="W290" s="7">
        <f t="shared" ca="1" si="150"/>
        <v>183902.80493671706</v>
      </c>
      <c r="X290" s="7">
        <f t="shared" ca="1" si="150"/>
        <v>299853.13395517523</v>
      </c>
      <c r="Y290" s="7">
        <f t="shared" ca="1" si="150"/>
        <v>1933136.9605826172</v>
      </c>
      <c r="Z290" s="7">
        <f t="shared" ca="1" si="150"/>
        <v>656631.67105138488</v>
      </c>
      <c r="AA290" s="7">
        <f t="shared" ca="1" si="150"/>
        <v>185381345.16353503</v>
      </c>
      <c r="AB290" s="7">
        <f t="shared" ca="1" si="150"/>
        <v>283463458.41918844</v>
      </c>
      <c r="AC290" s="7">
        <f t="shared" ca="1" si="150"/>
        <v>10044074.968465116</v>
      </c>
      <c r="AD290" s="7">
        <f t="shared" ca="1" si="150"/>
        <v>10101101.432298334</v>
      </c>
      <c r="AE290" s="7">
        <f t="shared" ca="1" si="150"/>
        <v>658085.8743210776</v>
      </c>
      <c r="AF290" s="7">
        <f t="shared" ca="1" si="150"/>
        <v>1148215.3928001451</v>
      </c>
      <c r="AG290" s="7">
        <f t="shared" ca="1" si="150"/>
        <v>4791476.0997080402</v>
      </c>
      <c r="AH290" s="7">
        <f t="shared" ca="1" si="150"/>
        <v>1053294.134960775</v>
      </c>
      <c r="AI290" s="7">
        <f t="shared" ca="1" si="150"/>
        <v>331771.32239643257</v>
      </c>
      <c r="AJ290" s="7">
        <f t="shared" ca="1" si="150"/>
        <v>991489.20526479895</v>
      </c>
      <c r="AK290" s="7">
        <f t="shared" ca="1" si="150"/>
        <v>1447608.3068550292</v>
      </c>
      <c r="AL290" s="7">
        <f t="shared" ca="1" si="150"/>
        <v>2514362.7032171222</v>
      </c>
      <c r="AM290" s="7">
        <f t="shared" ca="1" si="150"/>
        <v>1330088.7374864481</v>
      </c>
      <c r="AN290" s="7">
        <f t="shared" ca="1" si="150"/>
        <v>4365927.3246415323</v>
      </c>
      <c r="AO290" s="7">
        <f t="shared" ca="1" si="150"/>
        <v>16264608.791705638</v>
      </c>
      <c r="AP290" s="7">
        <f t="shared" ca="1" si="150"/>
        <v>674082570.65659761</v>
      </c>
      <c r="AQ290" s="7">
        <f t="shared" ca="1" si="150"/>
        <v>1787585.3212162736</v>
      </c>
      <c r="AR290" s="7">
        <f t="shared" ca="1" si="150"/>
        <v>290757999.32671642</v>
      </c>
      <c r="AS290" s="7">
        <f t="shared" ca="1" si="150"/>
        <v>59077192.689198114</v>
      </c>
      <c r="AT290" s="7">
        <f t="shared" ca="1" si="150"/>
        <v>11020967.801551856</v>
      </c>
      <c r="AU290" s="7">
        <f t="shared" ca="1" si="150"/>
        <v>1738770.6923370271</v>
      </c>
      <c r="AV290" s="7">
        <f t="shared" ca="1" si="150"/>
        <v>1250191.6990698965</v>
      </c>
      <c r="AW290" s="7">
        <f t="shared" ca="1" si="150"/>
        <v>959160.18369534716</v>
      </c>
      <c r="AX290" s="7">
        <f t="shared" ca="1" si="150"/>
        <v>664479.30007901578</v>
      </c>
      <c r="AY290" s="7">
        <f t="shared" ca="1" si="150"/>
        <v>1669785.2574207489</v>
      </c>
      <c r="AZ290" s="7">
        <f t="shared" ca="1" si="150"/>
        <v>17525146.516146116</v>
      </c>
      <c r="BA290" s="7">
        <f t="shared" ca="1" si="150"/>
        <v>26210500.386955999</v>
      </c>
      <c r="BB290" s="7">
        <f t="shared" ca="1" si="150"/>
        <v>7119432.8314184062</v>
      </c>
      <c r="BC290" s="7">
        <f t="shared" ca="1" si="150"/>
        <v>97421277.96542123</v>
      </c>
      <c r="BD290" s="7">
        <f t="shared" ca="1" si="150"/>
        <v>17045085.064198572</v>
      </c>
      <c r="BE290" s="7">
        <f t="shared" ca="1" si="150"/>
        <v>5660860.9757390609</v>
      </c>
      <c r="BF290" s="7">
        <f t="shared" ca="1" si="150"/>
        <v>82180783.778288096</v>
      </c>
      <c r="BG290" s="7">
        <f t="shared" ca="1" si="150"/>
        <v>1867670.0979381581</v>
      </c>
      <c r="BH290" s="7">
        <f t="shared" ca="1" si="150"/>
        <v>2252962.4108905317</v>
      </c>
      <c r="BI290" s="7">
        <f t="shared" ca="1" si="150"/>
        <v>743165.76096947747</v>
      </c>
      <c r="BJ290" s="7">
        <f t="shared" ca="1" si="150"/>
        <v>27852314.82888132</v>
      </c>
      <c r="BK290" s="7">
        <f t="shared" ca="1" si="150"/>
        <v>54086678.790676355</v>
      </c>
      <c r="BL290" s="7">
        <f t="shared" ca="1" si="150"/>
        <v>217253.93096649402</v>
      </c>
      <c r="BM290" s="7">
        <f t="shared" ca="1" si="150"/>
        <v>1134358.7904461897</v>
      </c>
      <c r="BN290" s="7">
        <f t="shared" ca="1" si="150"/>
        <v>10824688.431099476</v>
      </c>
      <c r="BO290" s="7">
        <f t="shared" ca="1" si="150"/>
        <v>4340153.0736531466</v>
      </c>
      <c r="BP290" s="7">
        <f t="shared" ca="1" si="150"/>
        <v>2802884.6587538598</v>
      </c>
      <c r="BQ290" s="7">
        <f t="shared" ca="1" si="150"/>
        <v>57612581.678319909</v>
      </c>
      <c r="BR290" s="7">
        <f t="shared" ca="1" si="150"/>
        <v>11778633.236844599</v>
      </c>
      <c r="BS290" s="7">
        <f t="shared" ca="1" si="150"/>
        <v>4076179.8843034338</v>
      </c>
      <c r="BT290" s="7">
        <f t="shared" ca="1" si="150"/>
        <v>3087519.2551995334</v>
      </c>
      <c r="BU290" s="7">
        <f t="shared" ca="1" si="150"/>
        <v>2442749.9872815395</v>
      </c>
      <c r="BV290" s="7">
        <f t="shared" ca="1" si="150"/>
        <v>13991122.23835797</v>
      </c>
      <c r="BW290" s="7">
        <f t="shared" ca="1" si="150"/>
        <v>18631284.503404584</v>
      </c>
      <c r="BX290" s="7">
        <f t="shared" ca="1" si="150"/>
        <v>1363693.695489815</v>
      </c>
      <c r="BY290" s="7">
        <f t="shared" ca="1" si="150"/>
        <v>3747865.2837329269</v>
      </c>
      <c r="BZ290" s="7">
        <f t="shared" ca="1" si="150"/>
        <v>1216640.406784907</v>
      </c>
      <c r="CA290" s="7">
        <f t="shared" ca="1" si="150"/>
        <v>2527080.6753126369</v>
      </c>
      <c r="CB290" s="7">
        <f t="shared" ca="1" si="150"/>
        <v>398779588.42631292</v>
      </c>
      <c r="CC290" s="7">
        <f t="shared" ca="1" si="150"/>
        <v>585953.74241974927</v>
      </c>
      <c r="CD290" s="7">
        <f t="shared" ca="1" si="150"/>
        <v>486759.55037128291</v>
      </c>
      <c r="CE290" s="7">
        <f t="shared" ca="1" si="150"/>
        <v>1244213.6149625636</v>
      </c>
      <c r="CF290" s="7">
        <f t="shared" ca="1" si="150"/>
        <v>784467.85302799824</v>
      </c>
      <c r="CG290" s="7">
        <f t="shared" ca="1" si="150"/>
        <v>706193.14755458268</v>
      </c>
      <c r="CH290" s="7">
        <f t="shared" ca="1" si="150"/>
        <v>504345.75612722291</v>
      </c>
      <c r="CI290" s="7">
        <f t="shared" ca="1" si="150"/>
        <v>3398182.433490945</v>
      </c>
      <c r="CJ290" s="7">
        <f t="shared" ca="1" si="150"/>
        <v>11176103.84</v>
      </c>
      <c r="CK290" s="7">
        <f t="shared" ca="1" si="150"/>
        <v>20269323.91151683</v>
      </c>
      <c r="CL290" s="7">
        <f t="shared" ca="1" si="150"/>
        <v>3614355.5583170662</v>
      </c>
      <c r="CM290" s="7">
        <f t="shared" ca="1" si="150"/>
        <v>2110706.8200031449</v>
      </c>
      <c r="CN290" s="7">
        <f t="shared" ca="1" si="150"/>
        <v>145426796.29018176</v>
      </c>
      <c r="CO290" s="7">
        <f t="shared" ca="1" si="150"/>
        <v>97307604.414999232</v>
      </c>
      <c r="CP290" s="7">
        <f t="shared" ca="1" si="150"/>
        <v>11439729.491607882</v>
      </c>
      <c r="CQ290" s="7">
        <f t="shared" ca="1" si="150"/>
        <v>3199862.9846131844</v>
      </c>
      <c r="CR290" s="7">
        <f t="shared" ca="1" si="150"/>
        <v>684309.6914024268</v>
      </c>
      <c r="CS290" s="7">
        <f t="shared" ca="1" si="150"/>
        <v>1576195.9357032788</v>
      </c>
      <c r="CT290" s="7">
        <f t="shared" ca="1" si="150"/>
        <v>889757.01879692252</v>
      </c>
      <c r="CU290" s="7">
        <f t="shared" ca="1" si="150"/>
        <v>488316.14212136471</v>
      </c>
      <c r="CV290" s="7">
        <f t="shared" ca="1" si="150"/>
        <v>394328.38258771051</v>
      </c>
      <c r="CW290" s="7">
        <f t="shared" ca="1" si="150"/>
        <v>1360520.3263395098</v>
      </c>
      <c r="CX290" s="7">
        <f t="shared" ca="1" si="150"/>
        <v>2435164.1103650779</v>
      </c>
      <c r="CY290" s="7">
        <f t="shared" ca="1" si="150"/>
        <v>183638.3649225322</v>
      </c>
      <c r="CZ290" s="7">
        <f t="shared" ca="1" si="150"/>
        <v>6939480.3723420305</v>
      </c>
      <c r="DA290" s="7">
        <f t="shared" ca="1" si="150"/>
        <v>1312426.9138986289</v>
      </c>
      <c r="DB290" s="7">
        <f t="shared" ca="1" si="150"/>
        <v>1178716.7151717336</v>
      </c>
      <c r="DC290" s="7">
        <f t="shared" ca="1" si="150"/>
        <v>1378342.193580539</v>
      </c>
      <c r="DD290" s="7">
        <f t="shared" ca="1" si="150"/>
        <v>1003179.104609352</v>
      </c>
      <c r="DE290" s="7">
        <f t="shared" ca="1" si="150"/>
        <v>2055318.0689518426</v>
      </c>
      <c r="DF290" s="7">
        <f t="shared" ca="1" si="150"/>
        <v>77500197.071746662</v>
      </c>
      <c r="DG290" s="7">
        <f t="shared" ca="1" si="150"/>
        <v>1676111.7666029253</v>
      </c>
      <c r="DH290" s="7">
        <f t="shared" ca="1" si="150"/>
        <v>10294242.027414937</v>
      </c>
      <c r="DI290" s="7">
        <f t="shared" ca="1" si="150"/>
        <v>14459360.436222866</v>
      </c>
      <c r="DJ290" s="7">
        <f t="shared" ca="1" si="150"/>
        <v>1778092.1887167871</v>
      </c>
      <c r="DK290" s="7">
        <f t="shared" ca="1" si="150"/>
        <v>1337772.7186327181</v>
      </c>
      <c r="DL290" s="7">
        <f t="shared" ca="1" si="150"/>
        <v>24745378.667346906</v>
      </c>
      <c r="DM290" s="7">
        <f t="shared" ca="1" si="150"/>
        <v>691848.03229843068</v>
      </c>
      <c r="DN290" s="7">
        <f t="shared" ca="1" si="150"/>
        <v>7623368.8785485355</v>
      </c>
      <c r="DO290" s="7">
        <f t="shared" ca="1" si="150"/>
        <v>10354960.037545934</v>
      </c>
      <c r="DP290" s="7">
        <f t="shared" ca="1" si="150"/>
        <v>917522.61094726203</v>
      </c>
      <c r="DQ290" s="7">
        <f t="shared" ca="1" si="150"/>
        <v>10729139.732953411</v>
      </c>
      <c r="DR290" s="7">
        <f t="shared" ca="1" si="150"/>
        <v>2651707.841694423</v>
      </c>
      <c r="DS290" s="7">
        <f t="shared" ca="1" si="150"/>
        <v>1214990.4284804005</v>
      </c>
      <c r="DT290" s="7">
        <f t="shared" ca="1" si="150"/>
        <v>326960.03876811347</v>
      </c>
      <c r="DU290" s="7">
        <f t="shared" ca="1" si="150"/>
        <v>869938.80868899089</v>
      </c>
      <c r="DV290" s="7">
        <f t="shared" ca="1" si="150"/>
        <v>263788.35732696857</v>
      </c>
      <c r="DW290" s="7">
        <f t="shared" ca="1" si="150"/>
        <v>655755.4742524965</v>
      </c>
      <c r="DX290" s="7">
        <f t="shared" ca="1" si="150"/>
        <v>2794986.170100939</v>
      </c>
      <c r="DY290" s="7">
        <f t="shared" ca="1" si="150"/>
        <v>3994263.0860337317</v>
      </c>
      <c r="DZ290" s="7">
        <f t="shared" ca="1" si="150"/>
        <v>5854748.5726282215</v>
      </c>
      <c r="EA290" s="7">
        <f t="shared" ca="1" si="150"/>
        <v>6659175.8950050557</v>
      </c>
      <c r="EB290" s="7">
        <f t="shared" ca="1" si="150"/>
        <v>2486309.1854463532</v>
      </c>
      <c r="EC290" s="7">
        <f t="shared" ca="1" si="150"/>
        <v>1081509.2115600074</v>
      </c>
      <c r="ED290" s="7">
        <f t="shared" ca="1" si="150"/>
        <v>23082753.859999999</v>
      </c>
      <c r="EE290" s="7">
        <f t="shared" ca="1" si="150"/>
        <v>507477.87524220132</v>
      </c>
      <c r="EF290" s="7">
        <f t="shared" ca="1" si="150"/>
        <v>2676211.8795601861</v>
      </c>
      <c r="EG290" s="7">
        <f t="shared" ca="1" si="150"/>
        <v>884665.38384760427</v>
      </c>
      <c r="EH290" s="7">
        <f t="shared" ca="1" si="150"/>
        <v>418177.34504549758</v>
      </c>
      <c r="EI290" s="7">
        <f t="shared" ca="1" si="150"/>
        <v>41187752.741830133</v>
      </c>
      <c r="EJ290" s="7">
        <f t="shared" ca="1" si="150"/>
        <v>33147419.910898414</v>
      </c>
      <c r="EK290" s="7">
        <f t="shared" ca="1" si="150"/>
        <v>3478376.6187752448</v>
      </c>
      <c r="EL290" s="7">
        <f t="shared" ca="1" si="150"/>
        <v>1775841.2251296125</v>
      </c>
      <c r="EM290" s="7">
        <f t="shared" ca="1" si="150"/>
        <v>2875907.5512804766</v>
      </c>
      <c r="EN290" s="7">
        <f t="shared" ca="1" si="150"/>
        <v>2315719.5898614153</v>
      </c>
      <c r="EO290" s="7">
        <f t="shared" ca="1" si="150"/>
        <v>1281387.5743316102</v>
      </c>
      <c r="EP290" s="7">
        <f t="shared" ca="1" si="150"/>
        <v>3976589.3998100809</v>
      </c>
      <c r="EQ290" s="7">
        <f t="shared" ca="1" si="150"/>
        <v>10921269.912394898</v>
      </c>
      <c r="ER290" s="7">
        <f t="shared" ca="1" si="150"/>
        <v>3163709.3861279846</v>
      </c>
      <c r="ES290" s="7">
        <f t="shared" ca="1" si="150"/>
        <v>1029616.447151643</v>
      </c>
      <c r="ET290" s="7">
        <f t="shared" ca="1" si="150"/>
        <v>1515676.6005718485</v>
      </c>
      <c r="EU290" s="7">
        <f t="shared" ca="1" si="150"/>
        <v>1291571.5320035878</v>
      </c>
      <c r="EV290" s="7">
        <f t="shared" ca="1" si="150"/>
        <v>1231707.5363417482</v>
      </c>
      <c r="EW290" s="7">
        <f t="shared" ca="1" si="150"/>
        <v>9770014.1136098988</v>
      </c>
      <c r="EX290" s="7">
        <f t="shared" ca="1" si="150"/>
        <v>520119.96730038646</v>
      </c>
      <c r="EY290" s="7">
        <f t="shared" ca="1" si="150"/>
        <v>934350.63170224964</v>
      </c>
      <c r="EZ290" s="7">
        <f t="shared" ca="1" si="150"/>
        <v>814619.44106131198</v>
      </c>
      <c r="FA290" s="7">
        <f t="shared" ca="1" si="150"/>
        <v>40543326.016425557</v>
      </c>
      <c r="FB290" s="7">
        <f t="shared" ca="1" si="150"/>
        <v>4327778.13</v>
      </c>
      <c r="FC290" s="7">
        <f t="shared" ca="1" si="150"/>
        <v>12869715.010105763</v>
      </c>
      <c r="FD290" s="7">
        <f t="shared" ca="1" si="150"/>
        <v>1499960.2217570737</v>
      </c>
      <c r="FE290" s="7">
        <f t="shared" ca="1" si="150"/>
        <v>647657.86522704922</v>
      </c>
      <c r="FF290" s="7">
        <f t="shared" ca="1" si="150"/>
        <v>675729.71132404322</v>
      </c>
      <c r="FG290" s="7">
        <f t="shared" ca="1" si="150"/>
        <v>832458.89899266022</v>
      </c>
      <c r="FH290" s="7">
        <f t="shared" ca="1" si="150"/>
        <v>936509.28570683068</v>
      </c>
      <c r="FI290" s="7">
        <f t="shared" ca="1" si="150"/>
        <v>13751402.110691497</v>
      </c>
      <c r="FJ290" s="7">
        <f t="shared" ca="1" si="150"/>
        <v>21935711.407813057</v>
      </c>
      <c r="FK290" s="7">
        <f t="shared" ca="1" si="150"/>
        <v>23485658.593684152</v>
      </c>
      <c r="FL290" s="7">
        <f t="shared" ca="1" si="150"/>
        <v>61987261.709745578</v>
      </c>
      <c r="FM290" s="7">
        <f t="shared" ca="1" si="150"/>
        <v>27702978.901836876</v>
      </c>
      <c r="FN290" s="7">
        <f t="shared" ca="1" si="150"/>
        <v>81893540.268315867</v>
      </c>
      <c r="FO290" s="7">
        <f t="shared" ca="1" si="150"/>
        <v>12893048.30375581</v>
      </c>
      <c r="FP290" s="7">
        <f t="shared" ca="1" si="150"/>
        <v>18727647.343856838</v>
      </c>
      <c r="FQ290" s="7">
        <f t="shared" ca="1" si="150"/>
        <v>11628643.91167468</v>
      </c>
      <c r="FR290" s="7">
        <f t="shared" ca="1" si="150"/>
        <v>3219166.3690876132</v>
      </c>
      <c r="FS290" s="7">
        <f t="shared" ca="1" si="150"/>
        <v>2254624.2091523698</v>
      </c>
      <c r="FT290" s="7">
        <f t="shared" ca="1" si="150"/>
        <v>1379724.24</v>
      </c>
      <c r="FU290" s="7">
        <f t="shared" ca="1" si="150"/>
        <v>4039454.8441747362</v>
      </c>
      <c r="FV290" s="7">
        <f t="shared" ca="1" si="150"/>
        <v>2891740.6976905726</v>
      </c>
      <c r="FW290" s="7">
        <f t="shared" ca="1" si="150"/>
        <v>556322.11147656757</v>
      </c>
      <c r="FX290" s="7">
        <f t="shared" ca="1" si="150"/>
        <v>434566.92928709852</v>
      </c>
      <c r="FY290" s="7"/>
      <c r="FZ290" s="82">
        <f t="shared" ca="1" si="149"/>
        <v>4262132104.3750119</v>
      </c>
      <c r="GA290" s="62"/>
      <c r="GB290" s="7"/>
      <c r="GC290" s="7">
        <v>9698534081.0699978</v>
      </c>
      <c r="GD290" s="7"/>
      <c r="GE290" s="7"/>
      <c r="GF290" s="7"/>
      <c r="GG290" s="7"/>
      <c r="GH290" s="7"/>
      <c r="GI290" s="7"/>
      <c r="GJ290" s="7"/>
      <c r="GK290" s="7"/>
    </row>
    <row r="291" spans="1:193" ht="15.5" x14ac:dyDescent="0.35">
      <c r="A291" s="12" t="s">
        <v>707</v>
      </c>
      <c r="B291" s="7" t="s">
        <v>506</v>
      </c>
      <c r="C291" s="7">
        <f t="shared" ref="C291:FX291" si="151">C47</f>
        <v>2560686.85</v>
      </c>
      <c r="D291" s="7">
        <f t="shared" si="151"/>
        <v>6068580.4500000002</v>
      </c>
      <c r="E291" s="7">
        <f t="shared" si="151"/>
        <v>1444121.25</v>
      </c>
      <c r="F291" s="7">
        <f t="shared" si="151"/>
        <v>2186086.4300000002</v>
      </c>
      <c r="G291" s="7">
        <f t="shared" si="151"/>
        <v>428862.04</v>
      </c>
      <c r="H291" s="7">
        <f t="shared" si="151"/>
        <v>184982.61</v>
      </c>
      <c r="I291" s="7">
        <f t="shared" si="151"/>
        <v>1809421.81</v>
      </c>
      <c r="J291" s="7">
        <f t="shared" si="151"/>
        <v>600359.41</v>
      </c>
      <c r="K291" s="7">
        <f t="shared" si="151"/>
        <v>149409.51999999999</v>
      </c>
      <c r="L291" s="7">
        <f t="shared" si="151"/>
        <v>1285932.06</v>
      </c>
      <c r="M291" s="7">
        <f t="shared" si="151"/>
        <v>495734.92</v>
      </c>
      <c r="N291" s="7">
        <f t="shared" si="151"/>
        <v>12893543.369999999</v>
      </c>
      <c r="O291" s="7">
        <f t="shared" si="151"/>
        <v>5184910.91</v>
      </c>
      <c r="P291" s="7">
        <f t="shared" si="151"/>
        <v>98033.26</v>
      </c>
      <c r="Q291" s="7">
        <f t="shared" si="151"/>
        <v>6984070.2400000002</v>
      </c>
      <c r="R291" s="7">
        <f t="shared" si="151"/>
        <v>117387.96</v>
      </c>
      <c r="S291" s="7">
        <f t="shared" si="151"/>
        <v>941027.17</v>
      </c>
      <c r="T291" s="7">
        <f t="shared" si="151"/>
        <v>50774.68</v>
      </c>
      <c r="U291" s="7">
        <f t="shared" si="151"/>
        <v>51513.32</v>
      </c>
      <c r="V291" s="7">
        <f t="shared" si="151"/>
        <v>91452.54</v>
      </c>
      <c r="W291" s="7">
        <f t="shared" si="151"/>
        <v>20485.07</v>
      </c>
      <c r="X291" s="7">
        <f t="shared" si="151"/>
        <v>23503.47</v>
      </c>
      <c r="Y291" s="7">
        <f t="shared" si="151"/>
        <v>145352.82</v>
      </c>
      <c r="Z291" s="7">
        <f t="shared" si="151"/>
        <v>63731.5</v>
      </c>
      <c r="AA291" s="7">
        <f t="shared" si="151"/>
        <v>6802241.46</v>
      </c>
      <c r="AB291" s="7">
        <f t="shared" si="151"/>
        <v>12251040.92</v>
      </c>
      <c r="AC291" s="7">
        <f t="shared" si="151"/>
        <v>578302.21</v>
      </c>
      <c r="AD291" s="7">
        <f t="shared" si="151"/>
        <v>703196.53</v>
      </c>
      <c r="AE291" s="7">
        <f t="shared" si="151"/>
        <v>48617.120000000003</v>
      </c>
      <c r="AF291" s="7">
        <f t="shared" si="151"/>
        <v>86811.59</v>
      </c>
      <c r="AG291" s="7">
        <f t="shared" si="151"/>
        <v>322958.38</v>
      </c>
      <c r="AH291" s="7">
        <f t="shared" si="151"/>
        <v>172657.77</v>
      </c>
      <c r="AI291" s="7">
        <f t="shared" si="151"/>
        <v>53122.47</v>
      </c>
      <c r="AJ291" s="7">
        <f t="shared" si="151"/>
        <v>128163.01</v>
      </c>
      <c r="AK291" s="7">
        <f t="shared" si="151"/>
        <v>74603.09</v>
      </c>
      <c r="AL291" s="7">
        <f t="shared" si="151"/>
        <v>98388.41</v>
      </c>
      <c r="AM291" s="7">
        <f t="shared" si="151"/>
        <v>115377.55</v>
      </c>
      <c r="AN291" s="7">
        <f t="shared" si="151"/>
        <v>413990.07</v>
      </c>
      <c r="AO291" s="7">
        <f t="shared" si="151"/>
        <v>1676936.43</v>
      </c>
      <c r="AP291" s="7">
        <f t="shared" si="151"/>
        <v>37700132.310000002</v>
      </c>
      <c r="AQ291" s="7">
        <f t="shared" si="151"/>
        <v>97428.55</v>
      </c>
      <c r="AR291" s="7">
        <f t="shared" si="151"/>
        <v>21880966.199999999</v>
      </c>
      <c r="AS291" s="7">
        <f t="shared" si="151"/>
        <v>2513262.4</v>
      </c>
      <c r="AT291" s="7">
        <f t="shared" si="151"/>
        <v>1167107.3600000001</v>
      </c>
      <c r="AU291" s="7">
        <f t="shared" si="151"/>
        <v>178802.57</v>
      </c>
      <c r="AV291" s="7">
        <f t="shared" si="151"/>
        <v>179035.75</v>
      </c>
      <c r="AW291" s="7">
        <f t="shared" si="151"/>
        <v>102589.94</v>
      </c>
      <c r="AX291" s="7">
        <f t="shared" si="151"/>
        <v>78396.2</v>
      </c>
      <c r="AY291" s="7">
        <f t="shared" si="151"/>
        <v>127245.96</v>
      </c>
      <c r="AZ291" s="7">
        <f t="shared" si="151"/>
        <v>1512386.73</v>
      </c>
      <c r="BA291" s="7">
        <f t="shared" si="151"/>
        <v>2187937.56</v>
      </c>
      <c r="BB291" s="7">
        <f t="shared" si="151"/>
        <v>485771.55</v>
      </c>
      <c r="BC291" s="7">
        <f t="shared" si="151"/>
        <v>8539684.5500000007</v>
      </c>
      <c r="BD291" s="7">
        <f t="shared" si="151"/>
        <v>1409316.74</v>
      </c>
      <c r="BE291" s="7">
        <f t="shared" si="151"/>
        <v>425098.36</v>
      </c>
      <c r="BF291" s="7">
        <f t="shared" si="151"/>
        <v>6979427.0599999996</v>
      </c>
      <c r="BG291" s="7">
        <f t="shared" si="151"/>
        <v>115579.55</v>
      </c>
      <c r="BH291" s="7">
        <f t="shared" si="151"/>
        <v>147663.12</v>
      </c>
      <c r="BI291" s="7">
        <f t="shared" si="151"/>
        <v>55868.160000000003</v>
      </c>
      <c r="BJ291" s="7">
        <f t="shared" si="151"/>
        <v>1934186.26</v>
      </c>
      <c r="BK291" s="7">
        <f t="shared" si="151"/>
        <v>1031173.03</v>
      </c>
      <c r="BL291" s="7">
        <f t="shared" si="151"/>
        <v>18195.330000000002</v>
      </c>
      <c r="BM291" s="7">
        <f t="shared" si="151"/>
        <v>91995.89</v>
      </c>
      <c r="BN291" s="7">
        <f t="shared" si="151"/>
        <v>1139858.77</v>
      </c>
      <c r="BO291" s="7">
        <f t="shared" si="151"/>
        <v>396388.6</v>
      </c>
      <c r="BP291" s="7">
        <f t="shared" si="151"/>
        <v>245997.25</v>
      </c>
      <c r="BQ291" s="7">
        <f t="shared" si="151"/>
        <v>1733716.34</v>
      </c>
      <c r="BR291" s="7">
        <f t="shared" si="151"/>
        <v>459017.22</v>
      </c>
      <c r="BS291" s="7">
        <f t="shared" si="151"/>
        <v>258944.15</v>
      </c>
      <c r="BT291" s="7">
        <f t="shared" si="151"/>
        <v>149392.14000000001</v>
      </c>
      <c r="BU291" s="7">
        <f t="shared" si="151"/>
        <v>109362.84</v>
      </c>
      <c r="BV291" s="7">
        <f t="shared" si="151"/>
        <v>817601.21</v>
      </c>
      <c r="BW291" s="7">
        <f t="shared" si="151"/>
        <v>711654.23</v>
      </c>
      <c r="BX291" s="7">
        <f t="shared" si="151"/>
        <v>99943.77</v>
      </c>
      <c r="BY291" s="7">
        <f t="shared" si="151"/>
        <v>193396.48000000001</v>
      </c>
      <c r="BZ291" s="7">
        <f t="shared" si="151"/>
        <v>99867.18</v>
      </c>
      <c r="CA291" s="7">
        <f t="shared" si="151"/>
        <v>394616.81</v>
      </c>
      <c r="CB291" s="7">
        <f t="shared" si="151"/>
        <v>24768877.350000001</v>
      </c>
      <c r="CC291" s="7">
        <f t="shared" si="151"/>
        <v>91062.73</v>
      </c>
      <c r="CD291" s="7">
        <f t="shared" si="151"/>
        <v>72919.69</v>
      </c>
      <c r="CE291" s="7">
        <f t="shared" si="151"/>
        <v>104487.79</v>
      </c>
      <c r="CF291" s="7">
        <f t="shared" si="151"/>
        <v>86249.23</v>
      </c>
      <c r="CG291" s="7">
        <f t="shared" si="151"/>
        <v>74426.7</v>
      </c>
      <c r="CH291" s="7">
        <f t="shared" si="151"/>
        <v>33444.1</v>
      </c>
      <c r="CI291" s="7">
        <f t="shared" si="151"/>
        <v>320790.64</v>
      </c>
      <c r="CJ291" s="7">
        <f t="shared" si="151"/>
        <v>313858.84000000003</v>
      </c>
      <c r="CK291" s="7">
        <f t="shared" si="151"/>
        <v>1519908.61</v>
      </c>
      <c r="CL291" s="7">
        <f t="shared" si="151"/>
        <v>233618.03</v>
      </c>
      <c r="CM291" s="7">
        <f t="shared" si="151"/>
        <v>113893.58</v>
      </c>
      <c r="CN291" s="7">
        <f t="shared" si="151"/>
        <v>8605084.4100000001</v>
      </c>
      <c r="CO291" s="7">
        <f t="shared" si="151"/>
        <v>5153394.09</v>
      </c>
      <c r="CP291" s="7">
        <f t="shared" si="151"/>
        <v>734189.06</v>
      </c>
      <c r="CQ291" s="7">
        <f t="shared" si="151"/>
        <v>386426.67</v>
      </c>
      <c r="CR291" s="7">
        <f t="shared" si="151"/>
        <v>80485.73</v>
      </c>
      <c r="CS291" s="7">
        <f t="shared" si="151"/>
        <v>248224.67</v>
      </c>
      <c r="CT291" s="7">
        <f t="shared" si="151"/>
        <v>85958.85</v>
      </c>
      <c r="CU291" s="7">
        <f t="shared" si="151"/>
        <v>58359.59</v>
      </c>
      <c r="CV291" s="7">
        <f t="shared" si="151"/>
        <v>47858.69</v>
      </c>
      <c r="CW291" s="7">
        <f t="shared" si="151"/>
        <v>134115.63</v>
      </c>
      <c r="CX291" s="7">
        <f t="shared" si="151"/>
        <v>243713.34</v>
      </c>
      <c r="CY291" s="7">
        <f t="shared" si="151"/>
        <v>18970.75</v>
      </c>
      <c r="CZ291" s="7">
        <f t="shared" si="151"/>
        <v>629899.39</v>
      </c>
      <c r="DA291" s="7">
        <f t="shared" si="151"/>
        <v>123499.93</v>
      </c>
      <c r="DB291" s="7">
        <f t="shared" si="151"/>
        <v>101395.44</v>
      </c>
      <c r="DC291" s="7">
        <f t="shared" si="151"/>
        <v>112080.46</v>
      </c>
      <c r="DD291" s="7">
        <f t="shared" si="151"/>
        <v>97944.92</v>
      </c>
      <c r="DE291" s="7">
        <f t="shared" si="151"/>
        <v>288400.14</v>
      </c>
      <c r="DF291" s="7">
        <f t="shared" si="151"/>
        <v>7817551.8200000003</v>
      </c>
      <c r="DG291" s="7">
        <f t="shared" si="151"/>
        <v>118174.05</v>
      </c>
      <c r="DH291" s="7">
        <f t="shared" si="151"/>
        <v>1002544.97</v>
      </c>
      <c r="DI291" s="7">
        <f t="shared" si="151"/>
        <v>1169415.45</v>
      </c>
      <c r="DJ291" s="7">
        <f t="shared" si="151"/>
        <v>169846.5</v>
      </c>
      <c r="DK291" s="7">
        <f t="shared" si="151"/>
        <v>88144.5</v>
      </c>
      <c r="DL291" s="7">
        <f t="shared" si="151"/>
        <v>2420056.54</v>
      </c>
      <c r="DM291" s="7">
        <f t="shared" si="151"/>
        <v>77790.55</v>
      </c>
      <c r="DN291" s="7">
        <f t="shared" si="151"/>
        <v>628414.66</v>
      </c>
      <c r="DO291" s="7">
        <f t="shared" si="151"/>
        <v>761258.72</v>
      </c>
      <c r="DP291" s="7">
        <f t="shared" si="151"/>
        <v>77422.7</v>
      </c>
      <c r="DQ291" s="7">
        <f t="shared" si="151"/>
        <v>409714.16</v>
      </c>
      <c r="DR291" s="7">
        <f t="shared" si="151"/>
        <v>475735.48</v>
      </c>
      <c r="DS291" s="7">
        <f t="shared" si="151"/>
        <v>198489</v>
      </c>
      <c r="DT291" s="7">
        <f t="shared" si="151"/>
        <v>53085.02</v>
      </c>
      <c r="DU291" s="7">
        <f t="shared" si="151"/>
        <v>128255.13</v>
      </c>
      <c r="DV291" s="7">
        <f t="shared" si="151"/>
        <v>49041.63</v>
      </c>
      <c r="DW291" s="7">
        <f t="shared" si="151"/>
        <v>105819.77</v>
      </c>
      <c r="DX291" s="7">
        <f t="shared" si="151"/>
        <v>165524.42000000001</v>
      </c>
      <c r="DY291" s="7">
        <f t="shared" si="151"/>
        <v>211849.28</v>
      </c>
      <c r="DZ291" s="7">
        <f t="shared" si="151"/>
        <v>440337.14</v>
      </c>
      <c r="EA291" s="7">
        <f t="shared" si="151"/>
        <v>606678.97</v>
      </c>
      <c r="EB291" s="7">
        <f t="shared" si="151"/>
        <v>264983.83</v>
      </c>
      <c r="EC291" s="7">
        <f t="shared" si="151"/>
        <v>112196.29</v>
      </c>
      <c r="ED291" s="7">
        <f t="shared" si="151"/>
        <v>606490.69999999995</v>
      </c>
      <c r="EE291" s="7">
        <f t="shared" si="151"/>
        <v>69368.460000000006</v>
      </c>
      <c r="EF291" s="7">
        <f t="shared" si="151"/>
        <v>327633.84999999998</v>
      </c>
      <c r="EG291" s="7">
        <f t="shared" si="151"/>
        <v>120677.96</v>
      </c>
      <c r="EH291" s="7">
        <f t="shared" si="151"/>
        <v>51207.78</v>
      </c>
      <c r="EI291" s="7">
        <f t="shared" si="151"/>
        <v>3323220.8</v>
      </c>
      <c r="EJ291" s="7">
        <f t="shared" si="151"/>
        <v>2056399.34</v>
      </c>
      <c r="EK291" s="7">
        <f t="shared" si="151"/>
        <v>137117.85</v>
      </c>
      <c r="EL291" s="7">
        <f t="shared" si="151"/>
        <v>36713.550000000003</v>
      </c>
      <c r="EM291" s="7">
        <f t="shared" si="151"/>
        <v>247634.55</v>
      </c>
      <c r="EN291" s="7">
        <f t="shared" si="151"/>
        <v>285190.57</v>
      </c>
      <c r="EO291" s="7">
        <f t="shared" si="151"/>
        <v>144936.91</v>
      </c>
      <c r="EP291" s="7">
        <f t="shared" si="151"/>
        <v>223170.3</v>
      </c>
      <c r="EQ291" s="7">
        <f t="shared" si="151"/>
        <v>1024267.5</v>
      </c>
      <c r="ER291" s="7">
        <f t="shared" si="151"/>
        <v>209171.85</v>
      </c>
      <c r="ES291" s="7">
        <f t="shared" si="151"/>
        <v>106678.02</v>
      </c>
      <c r="ET291" s="7">
        <f t="shared" si="151"/>
        <v>133939.82999999999</v>
      </c>
      <c r="EU291" s="7">
        <f t="shared" si="151"/>
        <v>189375.43</v>
      </c>
      <c r="EV291" s="7">
        <f t="shared" si="151"/>
        <v>43464.959999999999</v>
      </c>
      <c r="EW291" s="7">
        <f t="shared" si="151"/>
        <v>341846.47</v>
      </c>
      <c r="EX291" s="7">
        <f t="shared" si="151"/>
        <v>19788.41</v>
      </c>
      <c r="EY291" s="7">
        <f t="shared" si="151"/>
        <v>106184.84</v>
      </c>
      <c r="EZ291" s="7">
        <f t="shared" si="151"/>
        <v>92250.34</v>
      </c>
      <c r="FA291" s="7">
        <f t="shared" si="151"/>
        <v>1567984.63</v>
      </c>
      <c r="FB291" s="7">
        <f t="shared" si="151"/>
        <v>469609.63</v>
      </c>
      <c r="FC291" s="7">
        <f t="shared" si="151"/>
        <v>926616</v>
      </c>
      <c r="FD291" s="7">
        <f t="shared" si="151"/>
        <v>157711.57</v>
      </c>
      <c r="FE291" s="7">
        <f t="shared" si="151"/>
        <v>64813.09</v>
      </c>
      <c r="FF291" s="7">
        <f t="shared" si="151"/>
        <v>70542.399999999994</v>
      </c>
      <c r="FG291" s="7">
        <f t="shared" si="151"/>
        <v>71488.67</v>
      </c>
      <c r="FH291" s="7">
        <f t="shared" si="151"/>
        <v>112198.64</v>
      </c>
      <c r="FI291" s="7">
        <f t="shared" si="151"/>
        <v>558618.73</v>
      </c>
      <c r="FJ291" s="7">
        <f t="shared" si="151"/>
        <v>861473.15</v>
      </c>
      <c r="FK291" s="7">
        <f t="shared" si="151"/>
        <v>927120.98</v>
      </c>
      <c r="FL291" s="7">
        <f t="shared" si="151"/>
        <v>1829177.87</v>
      </c>
      <c r="FM291" s="7">
        <f t="shared" si="151"/>
        <v>532404.37</v>
      </c>
      <c r="FN291" s="7">
        <f t="shared" si="151"/>
        <v>3532207.73</v>
      </c>
      <c r="FO291" s="7">
        <f t="shared" si="151"/>
        <v>629176.46</v>
      </c>
      <c r="FP291" s="7">
        <f t="shared" si="151"/>
        <v>752042.46</v>
      </c>
      <c r="FQ291" s="7">
        <f t="shared" si="151"/>
        <v>409839.03</v>
      </c>
      <c r="FR291" s="7">
        <f t="shared" si="151"/>
        <v>177143.45</v>
      </c>
      <c r="FS291" s="7">
        <f t="shared" si="151"/>
        <v>72860.350000000006</v>
      </c>
      <c r="FT291" s="7">
        <f t="shared" si="151"/>
        <v>109456.97</v>
      </c>
      <c r="FU291" s="7">
        <f t="shared" si="151"/>
        <v>297429.19</v>
      </c>
      <c r="FV291" s="7">
        <f t="shared" si="151"/>
        <v>195022.78</v>
      </c>
      <c r="FW291" s="7">
        <f t="shared" si="151"/>
        <v>48430.720000000001</v>
      </c>
      <c r="FX291" s="7">
        <f t="shared" si="151"/>
        <v>39107.11</v>
      </c>
      <c r="FY291" s="7"/>
      <c r="FZ291" s="82">
        <f t="shared" si="149"/>
        <v>249920454.66999993</v>
      </c>
      <c r="GA291" s="62"/>
      <c r="GB291" s="7"/>
      <c r="GC291" s="7"/>
      <c r="GD291" s="15"/>
      <c r="GE291" s="7"/>
      <c r="GF291" s="15"/>
      <c r="GG291" s="7"/>
      <c r="GH291" s="7"/>
      <c r="GI291" s="7"/>
      <c r="GJ291" s="7"/>
      <c r="GK291" s="7"/>
    </row>
    <row r="292" spans="1:193" ht="15.5" x14ac:dyDescent="0.35">
      <c r="A292" s="12" t="s">
        <v>709</v>
      </c>
      <c r="B292" s="7" t="s">
        <v>1064</v>
      </c>
      <c r="C292" s="7">
        <f t="shared" ref="C292:FX292" ca="1" si="152">IF(C289-C290-C291&lt;0,0,C289-C290-C291)</f>
        <v>42914123.45045954</v>
      </c>
      <c r="D292" s="7">
        <f t="shared" ca="1" si="152"/>
        <v>317862390.32692963</v>
      </c>
      <c r="E292" s="7">
        <f t="shared" ca="1" si="152"/>
        <v>36956252.428032905</v>
      </c>
      <c r="F292" s="7">
        <f t="shared" ca="1" si="152"/>
        <v>187755749.08974981</v>
      </c>
      <c r="G292" s="7">
        <f t="shared" ca="1" si="152"/>
        <v>7176495.8984986907</v>
      </c>
      <c r="H292" s="7">
        <f t="shared" ca="1" si="152"/>
        <v>9267760.9813214187</v>
      </c>
      <c r="I292" s="7">
        <f t="shared" ca="1" si="152"/>
        <v>65149449.28572543</v>
      </c>
      <c r="J292" s="7">
        <f t="shared" ca="1" si="152"/>
        <v>18605155.331780955</v>
      </c>
      <c r="K292" s="7">
        <f t="shared" ca="1" si="152"/>
        <v>2770476.1327969427</v>
      </c>
      <c r="L292" s="7">
        <f t="shared" ca="1" si="152"/>
        <v>884663.38991099084</v>
      </c>
      <c r="M292" s="7">
        <f t="shared" ca="1" si="152"/>
        <v>3958227.9588981811</v>
      </c>
      <c r="N292" s="7">
        <f t="shared" ca="1" si="152"/>
        <v>398962364.04067564</v>
      </c>
      <c r="O292" s="7">
        <f t="shared" ca="1" si="152"/>
        <v>64804564.012880445</v>
      </c>
      <c r="P292" s="7">
        <f t="shared" ca="1" si="152"/>
        <v>3612404.7039000508</v>
      </c>
      <c r="Q292" s="7">
        <f t="shared" ca="1" si="152"/>
        <v>334437976.81222242</v>
      </c>
      <c r="R292" s="7">
        <f t="shared" ca="1" si="152"/>
        <v>77579232.17297861</v>
      </c>
      <c r="S292" s="7">
        <f t="shared" ca="1" si="152"/>
        <v>2522919.7901542783</v>
      </c>
      <c r="T292" s="7">
        <f t="shared" ca="1" si="152"/>
        <v>2606743.6555545409</v>
      </c>
      <c r="U292" s="7">
        <f t="shared" ca="1" si="152"/>
        <v>619193.0360193447</v>
      </c>
      <c r="V292" s="7">
        <f t="shared" ca="1" si="152"/>
        <v>3166158.4901473052</v>
      </c>
      <c r="W292" s="7">
        <f t="shared" ca="1" si="152"/>
        <v>1275689.8850632829</v>
      </c>
      <c r="X292" s="7">
        <f t="shared" ca="1" si="152"/>
        <v>939225.07604482467</v>
      </c>
      <c r="Y292" s="7">
        <f t="shared" ca="1" si="152"/>
        <v>9091305.4294173829</v>
      </c>
      <c r="Z292" s="7">
        <f t="shared" ca="1" si="152"/>
        <v>3158960.0589486151</v>
      </c>
      <c r="AA292" s="7">
        <f t="shared" ca="1" si="152"/>
        <v>160228813.48646498</v>
      </c>
      <c r="AB292" s="7">
        <f t="shared" ca="1" si="152"/>
        <v>17068306.000811532</v>
      </c>
      <c r="AC292" s="7">
        <f t="shared" ca="1" si="152"/>
        <v>643403.30153488461</v>
      </c>
      <c r="AD292" s="7">
        <f t="shared" ca="1" si="152"/>
        <v>5814568.0677016648</v>
      </c>
      <c r="AE292" s="7">
        <f t="shared" ca="1" si="152"/>
        <v>1534687.1156789223</v>
      </c>
      <c r="AF292" s="7">
        <f t="shared" ca="1" si="152"/>
        <v>2196478.0771998549</v>
      </c>
      <c r="AG292" s="7">
        <f t="shared" ca="1" si="152"/>
        <v>2916260.4202919602</v>
      </c>
      <c r="AH292" s="7">
        <f t="shared" ca="1" si="152"/>
        <v>10525231.455039226</v>
      </c>
      <c r="AI292" s="7">
        <f t="shared" ca="1" si="152"/>
        <v>5092562.9876035675</v>
      </c>
      <c r="AJ292" s="7">
        <f t="shared" ca="1" si="152"/>
        <v>2594141.8047352014</v>
      </c>
      <c r="AK292" s="7">
        <f t="shared" ca="1" si="152"/>
        <v>1936194.8831449705</v>
      </c>
      <c r="AL292" s="7">
        <f t="shared" ca="1" si="152"/>
        <v>2104450.0067828777</v>
      </c>
      <c r="AM292" s="7">
        <f t="shared" ca="1" si="152"/>
        <v>3794751.1525135525</v>
      </c>
      <c r="AN292" s="7">
        <f t="shared" ca="1" si="152"/>
        <v>0</v>
      </c>
      <c r="AO292" s="7">
        <f t="shared" ca="1" si="152"/>
        <v>32592778.928294361</v>
      </c>
      <c r="AP292" s="7">
        <f t="shared" ca="1" si="152"/>
        <v>307723552.94340235</v>
      </c>
      <c r="AQ292" s="7">
        <f t="shared" ca="1" si="152"/>
        <v>2607074.4887837269</v>
      </c>
      <c r="AR292" s="7">
        <f t="shared" ca="1" si="152"/>
        <v>381979805.98328358</v>
      </c>
      <c r="AS292" s="7">
        <f t="shared" ca="1" si="152"/>
        <v>17709384.040801883</v>
      </c>
      <c r="AT292" s="7">
        <f t="shared" ca="1" si="152"/>
        <v>15318093.208448146</v>
      </c>
      <c r="AU292" s="7">
        <f t="shared" ca="1" si="152"/>
        <v>2758344.9176629731</v>
      </c>
      <c r="AV292" s="7">
        <f t="shared" ca="1" si="152"/>
        <v>3691250.0009301035</v>
      </c>
      <c r="AW292" s="7">
        <f t="shared" ca="1" si="152"/>
        <v>3432608.0063046529</v>
      </c>
      <c r="AX292" s="7">
        <f t="shared" ca="1" si="152"/>
        <v>1314756.5299209843</v>
      </c>
      <c r="AY292" s="7">
        <f t="shared" ca="1" si="152"/>
        <v>4223613.9625792513</v>
      </c>
      <c r="AZ292" s="7">
        <f t="shared" ca="1" si="152"/>
        <v>123589282.07385387</v>
      </c>
      <c r="BA292" s="7">
        <f t="shared" ca="1" si="152"/>
        <v>72228978.723044008</v>
      </c>
      <c r="BB292" s="7">
        <f t="shared" ca="1" si="152"/>
        <v>76212310.238581598</v>
      </c>
      <c r="BC292" s="7">
        <f t="shared" ca="1" si="152"/>
        <v>176862041.55457875</v>
      </c>
      <c r="BD292" s="7">
        <f t="shared" ca="1" si="152"/>
        <v>21646613.975801431</v>
      </c>
      <c r="BE292" s="7">
        <f t="shared" ca="1" si="152"/>
        <v>8125770.0042609377</v>
      </c>
      <c r="BF292" s="7">
        <f t="shared" ca="1" si="152"/>
        <v>192718540.00171188</v>
      </c>
      <c r="BG292" s="7">
        <f t="shared" ca="1" si="152"/>
        <v>10009142.962061841</v>
      </c>
      <c r="BH292" s="7">
        <f t="shared" ca="1" si="152"/>
        <v>5230524.4891094677</v>
      </c>
      <c r="BI292" s="7">
        <f t="shared" ca="1" si="152"/>
        <v>3856409.6990305223</v>
      </c>
      <c r="BJ292" s="7">
        <f t="shared" ca="1" si="152"/>
        <v>39796391.421118684</v>
      </c>
      <c r="BK292" s="7">
        <f t="shared" ca="1" si="152"/>
        <v>335541249.44932365</v>
      </c>
      <c r="BL292" s="7">
        <f t="shared" ca="1" si="152"/>
        <v>1732509.8290335061</v>
      </c>
      <c r="BM292" s="7">
        <f t="shared" ca="1" si="152"/>
        <v>4209849.0095538115</v>
      </c>
      <c r="BN292" s="7">
        <f t="shared" ca="1" si="152"/>
        <v>23232252.088900525</v>
      </c>
      <c r="BO292" s="7">
        <f t="shared" ca="1" si="152"/>
        <v>9970711.4163468536</v>
      </c>
      <c r="BP292" s="7">
        <f t="shared" ca="1" si="152"/>
        <v>293631.9912461401</v>
      </c>
      <c r="BQ292" s="7">
        <f t="shared" ca="1" si="152"/>
        <v>13833775.361680087</v>
      </c>
      <c r="BR292" s="7">
        <f t="shared" ca="1" si="152"/>
        <v>39601310.643155403</v>
      </c>
      <c r="BS292" s="7">
        <f t="shared" ca="1" si="152"/>
        <v>10561548.845696567</v>
      </c>
      <c r="BT292" s="7">
        <f t="shared" ca="1" si="152"/>
        <v>2571772.8548004664</v>
      </c>
      <c r="BU292" s="7">
        <f t="shared" ca="1" si="152"/>
        <v>3479522.9227184607</v>
      </c>
      <c r="BV292" s="7">
        <f t="shared" ca="1" si="152"/>
        <v>35.741642029024661</v>
      </c>
      <c r="BW292" s="7">
        <f t="shared" ca="1" si="152"/>
        <v>4424263.0765954144</v>
      </c>
      <c r="BX292" s="7">
        <f t="shared" ca="1" si="152"/>
        <v>283855.79451018502</v>
      </c>
      <c r="BY292" s="7">
        <f t="shared" ca="1" si="152"/>
        <v>2285173.656267073</v>
      </c>
      <c r="BZ292" s="7">
        <f t="shared" ca="1" si="152"/>
        <v>2710721.9632150927</v>
      </c>
      <c r="CA292" s="7">
        <f t="shared" ca="1" si="152"/>
        <v>223598.51468736312</v>
      </c>
      <c r="CB292" s="7">
        <f t="shared" ca="1" si="152"/>
        <v>405777330.04368711</v>
      </c>
      <c r="CC292" s="7">
        <f t="shared" ca="1" si="152"/>
        <v>2914405.9075802504</v>
      </c>
      <c r="CD292" s="7">
        <f t="shared" ca="1" si="152"/>
        <v>652265.159628717</v>
      </c>
      <c r="CE292" s="7">
        <f t="shared" ca="1" si="152"/>
        <v>1817203.7650374363</v>
      </c>
      <c r="CF292" s="7">
        <f t="shared" ca="1" si="152"/>
        <v>1520894.5569720019</v>
      </c>
      <c r="CG292" s="7">
        <f t="shared" ca="1" si="152"/>
        <v>2891770.482445417</v>
      </c>
      <c r="CH292" s="7">
        <f t="shared" ca="1" si="152"/>
        <v>1717158.7038727771</v>
      </c>
      <c r="CI292" s="7">
        <f t="shared" ca="1" si="152"/>
        <v>4885658.8465090552</v>
      </c>
      <c r="CJ292" s="7">
        <f t="shared" ca="1" si="152"/>
        <v>0</v>
      </c>
      <c r="CK292" s="7">
        <f t="shared" ca="1" si="152"/>
        <v>35441067.15848317</v>
      </c>
      <c r="CL292" s="7">
        <f t="shared" ca="1" si="152"/>
        <v>11397766.271682935</v>
      </c>
      <c r="CM292" s="7">
        <f t="shared" ca="1" si="152"/>
        <v>7107590.4899968561</v>
      </c>
      <c r="CN292" s="7">
        <f t="shared" ca="1" si="152"/>
        <v>192535618.61981824</v>
      </c>
      <c r="CO292" s="7">
        <f t="shared" ca="1" si="152"/>
        <v>56040757.825000778</v>
      </c>
      <c r="CP292" s="7">
        <f t="shared" ca="1" si="152"/>
        <v>49.1483921171166</v>
      </c>
      <c r="CQ292" s="7">
        <f t="shared" ca="1" si="152"/>
        <v>6733654.1653868165</v>
      </c>
      <c r="CR292" s="7">
        <f t="shared" ca="1" si="152"/>
        <v>3115083.1585975732</v>
      </c>
      <c r="CS292" s="7">
        <f t="shared" ca="1" si="152"/>
        <v>2662120.4142967211</v>
      </c>
      <c r="CT292" s="7">
        <f t="shared" ca="1" si="152"/>
        <v>1594360.7212030771</v>
      </c>
      <c r="CU292" s="7">
        <f t="shared" ca="1" si="152"/>
        <v>4900870.4078786355</v>
      </c>
      <c r="CV292" s="7">
        <f t="shared" ca="1" si="152"/>
        <v>734497.65741228941</v>
      </c>
      <c r="CW292" s="7">
        <f t="shared" ca="1" si="152"/>
        <v>2296460.7936604903</v>
      </c>
      <c r="CX292" s="7">
        <f t="shared" ca="1" si="152"/>
        <v>3455085.8696349226</v>
      </c>
      <c r="CY292" s="7">
        <f t="shared" ca="1" si="152"/>
        <v>1045395.9150774679</v>
      </c>
      <c r="CZ292" s="7">
        <f t="shared" ca="1" si="152"/>
        <v>13438758.207657967</v>
      </c>
      <c r="DA292" s="7">
        <f t="shared" ca="1" si="152"/>
        <v>2303105.1261013714</v>
      </c>
      <c r="DB292" s="7">
        <f t="shared" ca="1" si="152"/>
        <v>3600852.184828266</v>
      </c>
      <c r="DC292" s="7">
        <f t="shared" ca="1" si="152"/>
        <v>2169927.556419461</v>
      </c>
      <c r="DD292" s="7">
        <f t="shared" ca="1" si="152"/>
        <v>2478312.4853906478</v>
      </c>
      <c r="DE292" s="7">
        <f t="shared" ca="1" si="152"/>
        <v>2271501.7110481574</v>
      </c>
      <c r="DF292" s="7">
        <f t="shared" ca="1" si="152"/>
        <v>144414811.47825336</v>
      </c>
      <c r="DG292" s="7">
        <f t="shared" ca="1" si="152"/>
        <v>440666.22339707479</v>
      </c>
      <c r="DH292" s="7">
        <f t="shared" ca="1" si="152"/>
        <v>9354202.9325850625</v>
      </c>
      <c r="DI292" s="7">
        <f t="shared" ca="1" si="152"/>
        <v>12414401.633777134</v>
      </c>
      <c r="DJ292" s="7">
        <f t="shared" ca="1" si="152"/>
        <v>6263637.7112832135</v>
      </c>
      <c r="DK292" s="7">
        <f t="shared" ca="1" si="152"/>
        <v>4869102.2813672815</v>
      </c>
      <c r="DL292" s="7">
        <f t="shared" ca="1" si="152"/>
        <v>39658185.202653088</v>
      </c>
      <c r="DM292" s="7">
        <f t="shared" ca="1" si="152"/>
        <v>3670436.9677015692</v>
      </c>
      <c r="DN292" s="7">
        <f t="shared" ca="1" si="152"/>
        <v>7823496.6914514638</v>
      </c>
      <c r="DO292" s="7">
        <f t="shared" ca="1" si="152"/>
        <v>27514179.402454063</v>
      </c>
      <c r="DP292" s="7">
        <f t="shared" ca="1" si="152"/>
        <v>2886959.0690527377</v>
      </c>
      <c r="DQ292" s="7">
        <f t="shared" ca="1" si="152"/>
        <v>143.70704658905743</v>
      </c>
      <c r="DR292" s="7">
        <f t="shared" ca="1" si="152"/>
        <v>12998425.268305577</v>
      </c>
      <c r="DS292" s="7">
        <f t="shared" ca="1" si="152"/>
        <v>6807238.1115195993</v>
      </c>
      <c r="DT292" s="7">
        <f t="shared" ca="1" si="152"/>
        <v>3328081.4512318862</v>
      </c>
      <c r="DU292" s="7">
        <f t="shared" ca="1" si="152"/>
        <v>4290336.951311009</v>
      </c>
      <c r="DV292" s="7">
        <f t="shared" ca="1" si="152"/>
        <v>3557349.4526730315</v>
      </c>
      <c r="DW292" s="7">
        <f t="shared" ca="1" si="152"/>
        <v>4000445.2757475032</v>
      </c>
      <c r="DX292" s="7">
        <f t="shared" ca="1" si="152"/>
        <v>851142.2298990608</v>
      </c>
      <c r="DY292" s="7">
        <f t="shared" ca="1" si="152"/>
        <v>887174.39396626805</v>
      </c>
      <c r="DZ292" s="7">
        <f t="shared" ca="1" si="152"/>
        <v>2858904.7773717786</v>
      </c>
      <c r="EA292" s="7">
        <f t="shared" ca="1" si="152"/>
        <v>140.93499494413845</v>
      </c>
      <c r="EB292" s="7">
        <f t="shared" ca="1" si="152"/>
        <v>4287703.6145536471</v>
      </c>
      <c r="EC292" s="7">
        <f t="shared" ca="1" si="152"/>
        <v>3141329.3084399924</v>
      </c>
      <c r="ED292" s="7">
        <f t="shared" ca="1" si="152"/>
        <v>0</v>
      </c>
      <c r="EE292" s="7">
        <f t="shared" ca="1" si="152"/>
        <v>3110199.3447577991</v>
      </c>
      <c r="EF292" s="7">
        <f t="shared" ca="1" si="152"/>
        <v>13366623.510439815</v>
      </c>
      <c r="EG292" s="7">
        <f t="shared" ca="1" si="152"/>
        <v>3169827.5861523962</v>
      </c>
      <c r="EH292" s="7">
        <f t="shared" ca="1" si="152"/>
        <v>3671404.5549545027</v>
      </c>
      <c r="EI292" s="7">
        <f t="shared" ca="1" si="152"/>
        <v>118043673.98816986</v>
      </c>
      <c r="EJ292" s="7">
        <f t="shared" ca="1" si="152"/>
        <v>76919786.519101575</v>
      </c>
      <c r="EK292" s="7">
        <f t="shared" ca="1" si="152"/>
        <v>4759658.8612247556</v>
      </c>
      <c r="EL292" s="7">
        <f t="shared" ca="1" si="152"/>
        <v>4086495.6648703879</v>
      </c>
      <c r="EM292" s="7">
        <f t="shared" ca="1" si="152"/>
        <v>2362018.4587195232</v>
      </c>
      <c r="EN292" s="7">
        <f t="shared" ca="1" si="152"/>
        <v>9228729.480138585</v>
      </c>
      <c r="EO292" s="7">
        <f t="shared" ca="1" si="152"/>
        <v>3299898.9556683898</v>
      </c>
      <c r="EP292" s="7">
        <f t="shared" ca="1" si="152"/>
        <v>2004474.8101899188</v>
      </c>
      <c r="EQ292" s="7">
        <f t="shared" ca="1" si="152"/>
        <v>18800510.877605103</v>
      </c>
      <c r="ER292" s="7">
        <f t="shared" ca="1" si="152"/>
        <v>1759025.2638720153</v>
      </c>
      <c r="ES292" s="7">
        <f t="shared" ca="1" si="152"/>
        <v>2217499.3428483573</v>
      </c>
      <c r="ET292" s="7">
        <f t="shared" ca="1" si="152"/>
        <v>2706707.6994281514</v>
      </c>
      <c r="EU292" s="7">
        <f t="shared" ca="1" si="152"/>
        <v>6482368.717996412</v>
      </c>
      <c r="EV292" s="7">
        <f t="shared" ca="1" si="152"/>
        <v>615320.33365825191</v>
      </c>
      <c r="EW292" s="7">
        <f t="shared" ca="1" si="152"/>
        <v>3197461.5263901008</v>
      </c>
      <c r="EX292" s="7">
        <f t="shared" ca="1" si="152"/>
        <v>3251150.5726996134</v>
      </c>
      <c r="EY292" s="7">
        <f t="shared" ca="1" si="152"/>
        <v>6719031.7682977505</v>
      </c>
      <c r="EZ292" s="7">
        <f t="shared" ca="1" si="152"/>
        <v>1913298.0389386879</v>
      </c>
      <c r="FA292" s="7">
        <f t="shared" ca="1" si="152"/>
        <v>1194.7635744391009</v>
      </c>
      <c r="FB292" s="7">
        <f t="shared" ca="1" si="152"/>
        <v>0</v>
      </c>
      <c r="FC292" s="7">
        <f t="shared" ca="1" si="152"/>
        <v>7351525.9098942392</v>
      </c>
      <c r="FD292" s="7">
        <f t="shared" ca="1" si="152"/>
        <v>4112436.6482429267</v>
      </c>
      <c r="FE292" s="7">
        <f t="shared" ca="1" si="152"/>
        <v>1250539.6947729506</v>
      </c>
      <c r="FF292" s="7">
        <f t="shared" ca="1" si="152"/>
        <v>2945476.0486759571</v>
      </c>
      <c r="FG292" s="7">
        <f t="shared" ca="1" si="152"/>
        <v>1826037.84100734</v>
      </c>
      <c r="FH292" s="7">
        <f t="shared" ca="1" si="152"/>
        <v>669683.6742931694</v>
      </c>
      <c r="FI292" s="7">
        <f t="shared" ca="1" si="152"/>
        <v>6133682.8393085022</v>
      </c>
      <c r="FJ292" s="7">
        <f t="shared" ca="1" si="152"/>
        <v>405.27218694088515</v>
      </c>
      <c r="FK292" s="7">
        <f t="shared" ca="1" si="152"/>
        <v>4881843.3663158491</v>
      </c>
      <c r="FL292" s="7">
        <f t="shared" ca="1" si="152"/>
        <v>30351688.450254422</v>
      </c>
      <c r="FM292" s="7">
        <f t="shared" ca="1" si="152"/>
        <v>16399381.748163128</v>
      </c>
      <c r="FN292" s="7">
        <f t="shared" ca="1" si="152"/>
        <v>178056492.59168413</v>
      </c>
      <c r="FO292" s="7">
        <f t="shared" ca="1" si="152"/>
        <v>0.84624418895691633</v>
      </c>
      <c r="FP292" s="7">
        <f t="shared" ca="1" si="152"/>
        <v>8283746.5361431623</v>
      </c>
      <c r="FQ292" s="7">
        <f t="shared" ca="1" si="152"/>
        <v>169.45832532015629</v>
      </c>
      <c r="FR292" s="7">
        <f t="shared" ca="1" si="152"/>
        <v>247.62091238674475</v>
      </c>
      <c r="FS292" s="7">
        <f t="shared" ca="1" si="152"/>
        <v>1062319.4108476304</v>
      </c>
      <c r="FT292" s="7">
        <f t="shared" ca="1" si="152"/>
        <v>0</v>
      </c>
      <c r="FU292" s="7">
        <f t="shared" ca="1" si="152"/>
        <v>6299353.1458252631</v>
      </c>
      <c r="FV292" s="7">
        <f t="shared" ca="1" si="152"/>
        <v>6044532.6323094266</v>
      </c>
      <c r="FW292" s="7">
        <f t="shared" ca="1" si="152"/>
        <v>2608532.0185234323</v>
      </c>
      <c r="FX292" s="7">
        <f t="shared" ca="1" si="152"/>
        <v>1227518.3407129012</v>
      </c>
      <c r="FY292" s="7"/>
      <c r="FZ292" s="82">
        <f t="shared" ca="1" si="149"/>
        <v>5426120374.669631</v>
      </c>
      <c r="GA292" s="62"/>
      <c r="GB292" s="7"/>
      <c r="GC292" s="85"/>
      <c r="GD292" s="7"/>
      <c r="GE292" s="7"/>
      <c r="GF292" s="7"/>
      <c r="GG292" s="7"/>
      <c r="GH292" s="7"/>
      <c r="GI292" s="7"/>
      <c r="GJ292" s="7"/>
      <c r="GK292" s="7"/>
    </row>
    <row r="293" spans="1:193" ht="15.5" x14ac:dyDescent="0.35">
      <c r="A293" s="7"/>
      <c r="B293" s="7" t="s">
        <v>1065</v>
      </c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  <c r="EJ293" s="49"/>
      <c r="EK293" s="49"/>
      <c r="EL293" s="49"/>
      <c r="EM293" s="49"/>
      <c r="EN293" s="49"/>
      <c r="EO293" s="49"/>
      <c r="EP293" s="49"/>
      <c r="EQ293" s="49"/>
      <c r="ER293" s="49"/>
      <c r="ES293" s="49"/>
      <c r="ET293" s="49"/>
      <c r="EU293" s="49"/>
      <c r="EV293" s="49"/>
      <c r="EW293" s="49"/>
      <c r="EX293" s="49"/>
      <c r="EY293" s="49"/>
      <c r="EZ293" s="49"/>
      <c r="FA293" s="49"/>
      <c r="FB293" s="49"/>
      <c r="FC293" s="49"/>
      <c r="FD293" s="49"/>
      <c r="FE293" s="49"/>
      <c r="FF293" s="49"/>
      <c r="FG293" s="49"/>
      <c r="FH293" s="49"/>
      <c r="FI293" s="49"/>
      <c r="FJ293" s="49"/>
      <c r="FK293" s="49"/>
      <c r="FL293" s="49"/>
      <c r="FM293" s="49"/>
      <c r="FN293" s="49"/>
      <c r="FO293" s="49"/>
      <c r="FP293" s="49"/>
      <c r="FQ293" s="49"/>
      <c r="FR293" s="49"/>
      <c r="FS293" s="49"/>
      <c r="FT293" s="49"/>
      <c r="FU293" s="49"/>
      <c r="FV293" s="49"/>
      <c r="FW293" s="49"/>
      <c r="FX293" s="49"/>
      <c r="FY293" s="7"/>
      <c r="FZ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</row>
    <row r="294" spans="1:193" ht="15.5" x14ac:dyDescent="0.35">
      <c r="A294" s="12" t="s">
        <v>711</v>
      </c>
      <c r="B294" s="7" t="s">
        <v>1066</v>
      </c>
      <c r="C294" s="7">
        <f t="shared" ref="C294:M294" ca="1" si="153">ROUND(C285*C48,2)</f>
        <v>0</v>
      </c>
      <c r="D294" s="7">
        <f t="shared" ca="1" si="153"/>
        <v>0</v>
      </c>
      <c r="E294" s="7">
        <f t="shared" ca="1" si="153"/>
        <v>0</v>
      </c>
      <c r="F294" s="7">
        <f t="shared" ca="1" si="153"/>
        <v>0</v>
      </c>
      <c r="G294" s="7">
        <f t="shared" ca="1" si="153"/>
        <v>0</v>
      </c>
      <c r="H294" s="7">
        <f t="shared" ca="1" si="153"/>
        <v>0</v>
      </c>
      <c r="I294" s="7">
        <f t="shared" ca="1" si="153"/>
        <v>0</v>
      </c>
      <c r="J294" s="7">
        <f t="shared" ca="1" si="153"/>
        <v>0</v>
      </c>
      <c r="K294" s="7">
        <f t="shared" ca="1" si="153"/>
        <v>0</v>
      </c>
      <c r="L294" s="7">
        <f t="shared" ca="1" si="153"/>
        <v>0</v>
      </c>
      <c r="M294" s="7">
        <f t="shared" ca="1" si="153"/>
        <v>0</v>
      </c>
      <c r="N294" s="7">
        <v>0</v>
      </c>
      <c r="O294" s="7">
        <f t="shared" ref="O294:BB294" ca="1" si="154">ROUND(O285*O48,2)</f>
        <v>0</v>
      </c>
      <c r="P294" s="7">
        <f t="shared" ca="1" si="154"/>
        <v>0</v>
      </c>
      <c r="Q294" s="7">
        <f t="shared" ca="1" si="154"/>
        <v>0</v>
      </c>
      <c r="R294" s="7">
        <f t="shared" ca="1" si="154"/>
        <v>0</v>
      </c>
      <c r="S294" s="7">
        <f t="shared" ca="1" si="154"/>
        <v>0</v>
      </c>
      <c r="T294" s="7">
        <f t="shared" ca="1" si="154"/>
        <v>0</v>
      </c>
      <c r="U294" s="7">
        <f t="shared" ca="1" si="154"/>
        <v>0</v>
      </c>
      <c r="V294" s="7">
        <f t="shared" ca="1" si="154"/>
        <v>0</v>
      </c>
      <c r="W294" s="7">
        <f t="shared" ca="1" si="154"/>
        <v>0</v>
      </c>
      <c r="X294" s="7">
        <f t="shared" ca="1" si="154"/>
        <v>0</v>
      </c>
      <c r="Y294" s="7">
        <f t="shared" ca="1" si="154"/>
        <v>0</v>
      </c>
      <c r="Z294" s="7">
        <f t="shared" ca="1" si="154"/>
        <v>0</v>
      </c>
      <c r="AA294" s="7">
        <f t="shared" ca="1" si="154"/>
        <v>0</v>
      </c>
      <c r="AB294" s="7">
        <f t="shared" ca="1" si="154"/>
        <v>0</v>
      </c>
      <c r="AC294" s="7">
        <f t="shared" ca="1" si="154"/>
        <v>0</v>
      </c>
      <c r="AD294" s="7">
        <f t="shared" ca="1" si="154"/>
        <v>0</v>
      </c>
      <c r="AE294" s="7">
        <f t="shared" ca="1" si="154"/>
        <v>0</v>
      </c>
      <c r="AF294" s="7">
        <f t="shared" ca="1" si="154"/>
        <v>0</v>
      </c>
      <c r="AG294" s="7">
        <f t="shared" ca="1" si="154"/>
        <v>0</v>
      </c>
      <c r="AH294" s="7">
        <f t="shared" ca="1" si="154"/>
        <v>0</v>
      </c>
      <c r="AI294" s="7">
        <f t="shared" ca="1" si="154"/>
        <v>0</v>
      </c>
      <c r="AJ294" s="7">
        <f t="shared" ca="1" si="154"/>
        <v>0</v>
      </c>
      <c r="AK294" s="7">
        <f t="shared" ca="1" si="154"/>
        <v>0</v>
      </c>
      <c r="AL294" s="7">
        <f t="shared" ca="1" si="154"/>
        <v>0</v>
      </c>
      <c r="AM294" s="7">
        <f t="shared" ca="1" si="154"/>
        <v>0</v>
      </c>
      <c r="AN294" s="7">
        <f t="shared" ca="1" si="154"/>
        <v>172955.41</v>
      </c>
      <c r="AO294" s="7">
        <f t="shared" ca="1" si="154"/>
        <v>0</v>
      </c>
      <c r="AP294" s="7">
        <f t="shared" ca="1" si="154"/>
        <v>0</v>
      </c>
      <c r="AQ294" s="7">
        <f t="shared" ca="1" si="154"/>
        <v>0</v>
      </c>
      <c r="AR294" s="7">
        <f t="shared" ca="1" si="154"/>
        <v>0</v>
      </c>
      <c r="AS294" s="7">
        <f t="shared" ca="1" si="154"/>
        <v>0</v>
      </c>
      <c r="AT294" s="7">
        <f t="shared" ca="1" si="154"/>
        <v>0</v>
      </c>
      <c r="AU294" s="7">
        <f t="shared" ca="1" si="154"/>
        <v>0</v>
      </c>
      <c r="AV294" s="7">
        <f t="shared" ca="1" si="154"/>
        <v>0</v>
      </c>
      <c r="AW294" s="7">
        <f t="shared" ca="1" si="154"/>
        <v>0</v>
      </c>
      <c r="AX294" s="7">
        <f t="shared" ca="1" si="154"/>
        <v>0</v>
      </c>
      <c r="AY294" s="7">
        <f t="shared" ca="1" si="154"/>
        <v>0</v>
      </c>
      <c r="AZ294" s="7">
        <f t="shared" ca="1" si="154"/>
        <v>0</v>
      </c>
      <c r="BA294" s="7">
        <f t="shared" ca="1" si="154"/>
        <v>0</v>
      </c>
      <c r="BB294" s="7">
        <f t="shared" ca="1" si="154"/>
        <v>0</v>
      </c>
      <c r="BC294" s="7">
        <v>0</v>
      </c>
      <c r="BD294" s="7">
        <f t="shared" ref="BD294:FX294" ca="1" si="155">ROUND(BD285*BD48,2)</f>
        <v>0</v>
      </c>
      <c r="BE294" s="7">
        <f t="shared" ca="1" si="155"/>
        <v>0</v>
      </c>
      <c r="BF294" s="7">
        <f t="shared" ca="1" si="155"/>
        <v>0</v>
      </c>
      <c r="BG294" s="7">
        <f t="shared" ca="1" si="155"/>
        <v>0</v>
      </c>
      <c r="BH294" s="7">
        <f t="shared" ca="1" si="155"/>
        <v>0</v>
      </c>
      <c r="BI294" s="7">
        <f t="shared" ca="1" si="155"/>
        <v>0</v>
      </c>
      <c r="BJ294" s="7">
        <f t="shared" ca="1" si="155"/>
        <v>0</v>
      </c>
      <c r="BK294" s="7">
        <f t="shared" ca="1" si="155"/>
        <v>0</v>
      </c>
      <c r="BL294" s="7">
        <f t="shared" ca="1" si="155"/>
        <v>0</v>
      </c>
      <c r="BM294" s="7">
        <f t="shared" ca="1" si="155"/>
        <v>0</v>
      </c>
      <c r="BN294" s="7">
        <f t="shared" ca="1" si="155"/>
        <v>0</v>
      </c>
      <c r="BO294" s="7">
        <f t="shared" ca="1" si="155"/>
        <v>0</v>
      </c>
      <c r="BP294" s="7">
        <f t="shared" ca="1" si="155"/>
        <v>0</v>
      </c>
      <c r="BQ294" s="7">
        <f t="shared" ca="1" si="155"/>
        <v>0</v>
      </c>
      <c r="BR294" s="7">
        <f t="shared" ca="1" si="155"/>
        <v>0</v>
      </c>
      <c r="BS294" s="7">
        <f t="shared" ca="1" si="155"/>
        <v>0</v>
      </c>
      <c r="BT294" s="7">
        <f t="shared" ca="1" si="155"/>
        <v>0</v>
      </c>
      <c r="BU294" s="7">
        <f t="shared" ca="1" si="155"/>
        <v>0</v>
      </c>
      <c r="BV294" s="7">
        <f t="shared" ca="1" si="155"/>
        <v>682313.27</v>
      </c>
      <c r="BW294" s="7">
        <f t="shared" ca="1" si="155"/>
        <v>0</v>
      </c>
      <c r="BX294" s="7">
        <f t="shared" ca="1" si="155"/>
        <v>0</v>
      </c>
      <c r="BY294" s="7">
        <f t="shared" ca="1" si="155"/>
        <v>0</v>
      </c>
      <c r="BZ294" s="7">
        <f t="shared" ca="1" si="155"/>
        <v>0</v>
      </c>
      <c r="CA294" s="7">
        <f t="shared" ca="1" si="155"/>
        <v>0</v>
      </c>
      <c r="CB294" s="7">
        <f t="shared" ca="1" si="155"/>
        <v>0</v>
      </c>
      <c r="CC294" s="7">
        <f t="shared" ca="1" si="155"/>
        <v>0</v>
      </c>
      <c r="CD294" s="7">
        <f t="shared" ca="1" si="155"/>
        <v>0</v>
      </c>
      <c r="CE294" s="7">
        <f t="shared" ca="1" si="155"/>
        <v>0</v>
      </c>
      <c r="CF294" s="7">
        <f t="shared" ca="1" si="155"/>
        <v>0</v>
      </c>
      <c r="CG294" s="7">
        <f t="shared" ca="1" si="155"/>
        <v>0</v>
      </c>
      <c r="CH294" s="7">
        <f t="shared" ca="1" si="155"/>
        <v>0</v>
      </c>
      <c r="CI294" s="7">
        <f t="shared" ca="1" si="155"/>
        <v>0</v>
      </c>
      <c r="CJ294" s="7">
        <f t="shared" ca="1" si="155"/>
        <v>538614.72</v>
      </c>
      <c r="CK294" s="7">
        <f t="shared" ca="1" si="155"/>
        <v>0</v>
      </c>
      <c r="CL294" s="7">
        <f t="shared" ca="1" si="155"/>
        <v>0</v>
      </c>
      <c r="CM294" s="7">
        <f t="shared" ca="1" si="155"/>
        <v>0</v>
      </c>
      <c r="CN294" s="7">
        <f t="shared" ca="1" si="155"/>
        <v>0</v>
      </c>
      <c r="CO294" s="7">
        <f t="shared" ca="1" si="155"/>
        <v>0</v>
      </c>
      <c r="CP294" s="7">
        <f t="shared" ca="1" si="155"/>
        <v>467116.97</v>
      </c>
      <c r="CQ294" s="7">
        <f t="shared" ca="1" si="155"/>
        <v>0</v>
      </c>
      <c r="CR294" s="7">
        <f t="shared" ca="1" si="155"/>
        <v>0</v>
      </c>
      <c r="CS294" s="7">
        <f t="shared" ca="1" si="155"/>
        <v>0</v>
      </c>
      <c r="CT294" s="7">
        <f t="shared" ca="1" si="155"/>
        <v>0</v>
      </c>
      <c r="CU294" s="7">
        <f t="shared" ca="1" si="155"/>
        <v>0</v>
      </c>
      <c r="CV294" s="7">
        <f t="shared" ca="1" si="155"/>
        <v>0</v>
      </c>
      <c r="CW294" s="7">
        <f t="shared" ca="1" si="155"/>
        <v>0</v>
      </c>
      <c r="CX294" s="7">
        <f t="shared" ca="1" si="155"/>
        <v>0</v>
      </c>
      <c r="CY294" s="7">
        <f t="shared" ca="1" si="155"/>
        <v>0</v>
      </c>
      <c r="CZ294" s="7">
        <f t="shared" ca="1" si="155"/>
        <v>0</v>
      </c>
      <c r="DA294" s="7">
        <f t="shared" ca="1" si="155"/>
        <v>0</v>
      </c>
      <c r="DB294" s="7">
        <f t="shared" ca="1" si="155"/>
        <v>0</v>
      </c>
      <c r="DC294" s="7">
        <f t="shared" ca="1" si="155"/>
        <v>0</v>
      </c>
      <c r="DD294" s="7">
        <f t="shared" ca="1" si="155"/>
        <v>0</v>
      </c>
      <c r="DE294" s="7">
        <f t="shared" ca="1" si="155"/>
        <v>0</v>
      </c>
      <c r="DF294" s="7">
        <f t="shared" ca="1" si="155"/>
        <v>0</v>
      </c>
      <c r="DG294" s="7">
        <f t="shared" ca="1" si="155"/>
        <v>0</v>
      </c>
      <c r="DH294" s="7">
        <f t="shared" ca="1" si="155"/>
        <v>0</v>
      </c>
      <c r="DI294" s="7">
        <f t="shared" ca="1" si="155"/>
        <v>0</v>
      </c>
      <c r="DJ294" s="7">
        <f t="shared" ca="1" si="155"/>
        <v>0</v>
      </c>
      <c r="DK294" s="7">
        <f t="shared" ca="1" si="155"/>
        <v>0</v>
      </c>
      <c r="DL294" s="7">
        <f t="shared" ca="1" si="155"/>
        <v>0</v>
      </c>
      <c r="DM294" s="7">
        <f t="shared" ca="1" si="155"/>
        <v>0</v>
      </c>
      <c r="DN294" s="7">
        <f t="shared" ca="1" si="155"/>
        <v>0</v>
      </c>
      <c r="DO294" s="7">
        <f t="shared" ca="1" si="155"/>
        <v>0</v>
      </c>
      <c r="DP294" s="7">
        <f t="shared" ca="1" si="155"/>
        <v>0</v>
      </c>
      <c r="DQ294" s="7">
        <f t="shared" ca="1" si="155"/>
        <v>358021.88</v>
      </c>
      <c r="DR294" s="7">
        <f t="shared" ca="1" si="155"/>
        <v>0</v>
      </c>
      <c r="DS294" s="7">
        <f t="shared" ca="1" si="155"/>
        <v>0</v>
      </c>
      <c r="DT294" s="7">
        <f t="shared" ca="1" si="155"/>
        <v>0</v>
      </c>
      <c r="DU294" s="7">
        <f t="shared" ca="1" si="155"/>
        <v>0</v>
      </c>
      <c r="DV294" s="7">
        <f t="shared" ca="1" si="155"/>
        <v>0</v>
      </c>
      <c r="DW294" s="7">
        <f t="shared" ca="1" si="155"/>
        <v>0</v>
      </c>
      <c r="DX294" s="7">
        <f t="shared" ca="1" si="155"/>
        <v>0</v>
      </c>
      <c r="DY294" s="7">
        <f t="shared" ca="1" si="155"/>
        <v>0</v>
      </c>
      <c r="DZ294" s="7">
        <f t="shared" ca="1" si="155"/>
        <v>0</v>
      </c>
      <c r="EA294" s="7">
        <f t="shared" ca="1" si="155"/>
        <v>532023.82999999996</v>
      </c>
      <c r="EB294" s="7">
        <f t="shared" ca="1" si="155"/>
        <v>0</v>
      </c>
      <c r="EC294" s="7">
        <f t="shared" ca="1" si="155"/>
        <v>0</v>
      </c>
      <c r="ED294" s="7">
        <f t="shared" ca="1" si="155"/>
        <v>801293.46</v>
      </c>
      <c r="EE294" s="7">
        <f t="shared" ca="1" si="155"/>
        <v>0</v>
      </c>
      <c r="EF294" s="7">
        <f t="shared" ca="1" si="155"/>
        <v>0</v>
      </c>
      <c r="EG294" s="7">
        <f t="shared" ca="1" si="155"/>
        <v>0</v>
      </c>
      <c r="EH294" s="7">
        <f t="shared" ca="1" si="155"/>
        <v>0</v>
      </c>
      <c r="EI294" s="7">
        <f t="shared" ca="1" si="155"/>
        <v>0</v>
      </c>
      <c r="EJ294" s="7">
        <f t="shared" ca="1" si="155"/>
        <v>0</v>
      </c>
      <c r="EK294" s="7">
        <f t="shared" ca="1" si="155"/>
        <v>0</v>
      </c>
      <c r="EL294" s="7">
        <f t="shared" ca="1" si="155"/>
        <v>0</v>
      </c>
      <c r="EM294" s="7">
        <f t="shared" ca="1" si="155"/>
        <v>0</v>
      </c>
      <c r="EN294" s="7">
        <f t="shared" ca="1" si="155"/>
        <v>0</v>
      </c>
      <c r="EO294" s="7">
        <f t="shared" ca="1" si="155"/>
        <v>0</v>
      </c>
      <c r="EP294" s="7">
        <f t="shared" ca="1" si="155"/>
        <v>0</v>
      </c>
      <c r="EQ294" s="7">
        <f t="shared" ca="1" si="155"/>
        <v>0</v>
      </c>
      <c r="ER294" s="7">
        <f t="shared" ca="1" si="155"/>
        <v>0</v>
      </c>
      <c r="ES294" s="7">
        <f t="shared" ca="1" si="155"/>
        <v>0</v>
      </c>
      <c r="ET294" s="7">
        <f t="shared" ca="1" si="155"/>
        <v>0</v>
      </c>
      <c r="EU294" s="7">
        <f t="shared" ca="1" si="155"/>
        <v>0</v>
      </c>
      <c r="EV294" s="7">
        <f t="shared" ca="1" si="155"/>
        <v>0</v>
      </c>
      <c r="EW294" s="7">
        <f t="shared" ca="1" si="155"/>
        <v>0</v>
      </c>
      <c r="EX294" s="7">
        <f t="shared" ca="1" si="155"/>
        <v>0</v>
      </c>
      <c r="EY294" s="7">
        <f t="shared" ca="1" si="155"/>
        <v>0</v>
      </c>
      <c r="EZ294" s="7">
        <f t="shared" ca="1" si="155"/>
        <v>0</v>
      </c>
      <c r="FA294" s="7">
        <f t="shared" ca="1" si="155"/>
        <v>260138.34</v>
      </c>
      <c r="FB294" s="7">
        <f t="shared" ca="1" si="155"/>
        <v>261218.55</v>
      </c>
      <c r="FC294" s="7">
        <f t="shared" ca="1" si="155"/>
        <v>0</v>
      </c>
      <c r="FD294" s="7">
        <f t="shared" ca="1" si="155"/>
        <v>0</v>
      </c>
      <c r="FE294" s="7">
        <f t="shared" ca="1" si="155"/>
        <v>0</v>
      </c>
      <c r="FF294" s="7">
        <f t="shared" ca="1" si="155"/>
        <v>0</v>
      </c>
      <c r="FG294" s="7">
        <f t="shared" ca="1" si="155"/>
        <v>0</v>
      </c>
      <c r="FH294" s="7">
        <f t="shared" ca="1" si="155"/>
        <v>0</v>
      </c>
      <c r="FI294" s="7">
        <f t="shared" ca="1" si="155"/>
        <v>0</v>
      </c>
      <c r="FJ294" s="7">
        <f t="shared" ca="1" si="155"/>
        <v>131161.17000000001</v>
      </c>
      <c r="FK294" s="7">
        <f t="shared" ca="1" si="155"/>
        <v>0</v>
      </c>
      <c r="FL294" s="7">
        <f t="shared" ca="1" si="155"/>
        <v>0</v>
      </c>
      <c r="FM294" s="7">
        <f t="shared" ca="1" si="155"/>
        <v>0</v>
      </c>
      <c r="FN294" s="7">
        <f t="shared" ca="1" si="155"/>
        <v>0</v>
      </c>
      <c r="FO294" s="7">
        <f t="shared" ca="1" si="155"/>
        <v>607339.78</v>
      </c>
      <c r="FP294" s="7">
        <f t="shared" ca="1" si="155"/>
        <v>0</v>
      </c>
      <c r="FQ294" s="7">
        <f t="shared" ca="1" si="155"/>
        <v>193432.51</v>
      </c>
      <c r="FR294" s="7">
        <f t="shared" ca="1" si="155"/>
        <v>88102.3</v>
      </c>
      <c r="FS294" s="7">
        <f t="shared" ca="1" si="155"/>
        <v>0</v>
      </c>
      <c r="FT294" s="7">
        <f t="shared" ca="1" si="155"/>
        <v>68878.66</v>
      </c>
      <c r="FU294" s="7">
        <f t="shared" ca="1" si="155"/>
        <v>0</v>
      </c>
      <c r="FV294" s="7">
        <f t="shared" ca="1" si="155"/>
        <v>0</v>
      </c>
      <c r="FW294" s="7">
        <f t="shared" ca="1" si="155"/>
        <v>0</v>
      </c>
      <c r="FX294" s="7">
        <f t="shared" ca="1" si="155"/>
        <v>0</v>
      </c>
      <c r="FY294" s="7"/>
      <c r="FZ294" s="82">
        <f ca="1">SUM(C294:FX294)</f>
        <v>5162610.8499999996</v>
      </c>
      <c r="GA294" s="62"/>
      <c r="GB294" s="7"/>
      <c r="GC294" s="7"/>
      <c r="GD294" s="7"/>
      <c r="GE294" s="7"/>
      <c r="GF294" s="7"/>
      <c r="GG294" s="7"/>
      <c r="GH294" s="7"/>
      <c r="GI294" s="7"/>
      <c r="GJ294" s="7"/>
      <c r="GK294" s="7"/>
    </row>
    <row r="295" spans="1:193" ht="15.5" x14ac:dyDescent="0.35">
      <c r="A295" s="7"/>
      <c r="B295" s="7" t="s">
        <v>1067</v>
      </c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49"/>
      <c r="FZ295" s="7"/>
      <c r="GB295" s="7">
        <f>FZ295-GA296</f>
        <v>0</v>
      </c>
      <c r="GC295" s="7"/>
      <c r="GD295" s="7"/>
      <c r="GE295" s="7"/>
      <c r="GF295" s="7"/>
      <c r="GG295" s="7"/>
      <c r="GH295" s="7"/>
      <c r="GI295" s="7"/>
      <c r="GJ295" s="7"/>
      <c r="GK295" s="7"/>
    </row>
    <row r="296" spans="1:193" ht="15.5" x14ac:dyDescent="0.35">
      <c r="A296" s="12" t="s">
        <v>713</v>
      </c>
      <c r="B296" s="7" t="s">
        <v>716</v>
      </c>
      <c r="C296" s="7">
        <f t="shared" ref="C296:FX296" ca="1" si="156">ROUND(C289/C103,2)</f>
        <v>12086.55</v>
      </c>
      <c r="D296" s="7">
        <f t="shared" ca="1" si="156"/>
        <v>11517.99</v>
      </c>
      <c r="E296" s="7">
        <f t="shared" ca="1" si="156"/>
        <v>12428.53</v>
      </c>
      <c r="F296" s="7">
        <f t="shared" ca="1" si="156"/>
        <v>11425.6</v>
      </c>
      <c r="G296" s="7">
        <f t="shared" ca="1" si="156"/>
        <v>11980.35</v>
      </c>
      <c r="H296" s="7">
        <f t="shared" ca="1" si="156"/>
        <v>12205.2</v>
      </c>
      <c r="I296" s="7">
        <f t="shared" ca="1" si="156"/>
        <v>12253.08</v>
      </c>
      <c r="J296" s="7">
        <f t="shared" ca="1" si="156"/>
        <v>11838.27</v>
      </c>
      <c r="K296" s="7">
        <f t="shared" ca="1" si="156"/>
        <v>17133.25</v>
      </c>
      <c r="L296" s="7">
        <f t="shared" ca="1" si="156"/>
        <v>12135.79</v>
      </c>
      <c r="M296" s="7">
        <f t="shared" ca="1" si="156"/>
        <v>13621.41</v>
      </c>
      <c r="N296" s="7">
        <f t="shared" ca="1" si="156"/>
        <v>11684.63</v>
      </c>
      <c r="O296" s="7">
        <f t="shared" ca="1" si="156"/>
        <v>11133.93</v>
      </c>
      <c r="P296" s="7">
        <f t="shared" ca="1" si="156"/>
        <v>16671.240000000002</v>
      </c>
      <c r="Q296" s="7">
        <f t="shared" ca="1" si="156"/>
        <v>12572.05</v>
      </c>
      <c r="R296" s="7">
        <f t="shared" ca="1" si="156"/>
        <v>11230.64</v>
      </c>
      <c r="S296" s="7">
        <f t="shared" ca="1" si="156"/>
        <v>12002.93</v>
      </c>
      <c r="T296" s="7">
        <f t="shared" ca="1" si="156"/>
        <v>20596.849999999999</v>
      </c>
      <c r="U296" s="7">
        <f t="shared" ca="1" si="156"/>
        <v>25410.61</v>
      </c>
      <c r="V296" s="7">
        <f t="shared" ca="1" si="156"/>
        <v>16834.490000000002</v>
      </c>
      <c r="W296" s="7">
        <f t="shared" ca="1" si="156"/>
        <v>24791.919999999998</v>
      </c>
      <c r="X296" s="7">
        <f t="shared" ca="1" si="156"/>
        <v>25251.63</v>
      </c>
      <c r="Y296" s="7">
        <f t="shared" ca="1" si="156"/>
        <v>12448.23</v>
      </c>
      <c r="Z296" s="7">
        <f t="shared" ca="1" si="156"/>
        <v>16786.34</v>
      </c>
      <c r="AA296" s="7">
        <f t="shared" ca="1" si="156"/>
        <v>11379.19</v>
      </c>
      <c r="AB296" s="7">
        <f t="shared" ca="1" si="156"/>
        <v>11491.26</v>
      </c>
      <c r="AC296" s="7">
        <f t="shared" ca="1" si="156"/>
        <v>12430.52</v>
      </c>
      <c r="AD296" s="7">
        <f t="shared" ca="1" si="156"/>
        <v>11528.07</v>
      </c>
      <c r="AE296" s="7">
        <f t="shared" ca="1" si="156"/>
        <v>23107.11</v>
      </c>
      <c r="AF296" s="7">
        <f t="shared" ca="1" si="156"/>
        <v>20486.599999999999</v>
      </c>
      <c r="AG296" s="7">
        <f t="shared" ca="1" si="156"/>
        <v>13360</v>
      </c>
      <c r="AH296" s="7">
        <f t="shared" ca="1" si="156"/>
        <v>12270.21</v>
      </c>
      <c r="AI296" s="7">
        <f t="shared" ca="1" si="156"/>
        <v>14301.45</v>
      </c>
      <c r="AJ296" s="7">
        <f t="shared" ca="1" si="156"/>
        <v>20461.68</v>
      </c>
      <c r="AK296" s="7">
        <f t="shared" ca="1" si="156"/>
        <v>20871.490000000002</v>
      </c>
      <c r="AL296" s="7">
        <f t="shared" ca="1" si="156"/>
        <v>16350.78</v>
      </c>
      <c r="AM296" s="7">
        <f t="shared" ca="1" si="156"/>
        <v>14861.65</v>
      </c>
      <c r="AN296" s="7">
        <f t="shared" ca="1" si="156"/>
        <v>15906.51</v>
      </c>
      <c r="AO296" s="7">
        <f t="shared" ca="1" si="156"/>
        <v>11468.13</v>
      </c>
      <c r="AP296" s="7">
        <f t="shared" ca="1" si="156"/>
        <v>12029.06</v>
      </c>
      <c r="AQ296" s="7">
        <f t="shared" ca="1" si="156"/>
        <v>17896.77</v>
      </c>
      <c r="AR296" s="7">
        <f t="shared" ca="1" si="156"/>
        <v>11174.49</v>
      </c>
      <c r="AS296" s="7">
        <f t="shared" ca="1" si="156"/>
        <v>12199.98</v>
      </c>
      <c r="AT296" s="7">
        <f t="shared" ca="1" si="156"/>
        <v>11639.37</v>
      </c>
      <c r="AU296" s="7">
        <f t="shared" ca="1" si="156"/>
        <v>17254.310000000001</v>
      </c>
      <c r="AV296" s="7">
        <f t="shared" ca="1" si="156"/>
        <v>16766.46</v>
      </c>
      <c r="AW296" s="7">
        <f t="shared" ca="1" si="156"/>
        <v>17487.77</v>
      </c>
      <c r="AX296" s="7">
        <f t="shared" ca="1" si="156"/>
        <v>25402.86</v>
      </c>
      <c r="AY296" s="7">
        <f t="shared" ca="1" si="156"/>
        <v>14800.01</v>
      </c>
      <c r="AZ296" s="7">
        <f t="shared" ca="1" si="156"/>
        <v>11669.3</v>
      </c>
      <c r="BA296" s="7">
        <f t="shared" ca="1" si="156"/>
        <v>11014.02</v>
      </c>
      <c r="BB296" s="7">
        <f t="shared" ca="1" si="156"/>
        <v>11080.67</v>
      </c>
      <c r="BC296" s="7">
        <f t="shared" ca="1" si="156"/>
        <v>11450.37</v>
      </c>
      <c r="BD296" s="7">
        <f t="shared" ca="1" si="156"/>
        <v>11024.33</v>
      </c>
      <c r="BE296" s="7">
        <f t="shared" ca="1" si="156"/>
        <v>11855.95</v>
      </c>
      <c r="BF296" s="7">
        <f t="shared" ca="1" si="156"/>
        <v>11004.74</v>
      </c>
      <c r="BG296" s="7">
        <f t="shared" ca="1" si="156"/>
        <v>13026.71</v>
      </c>
      <c r="BH296" s="7">
        <f t="shared" ca="1" si="156"/>
        <v>13078.23</v>
      </c>
      <c r="BI296" s="7">
        <f t="shared" ca="1" si="156"/>
        <v>18086.419999999998</v>
      </c>
      <c r="BJ296" s="7">
        <f t="shared" ca="1" si="156"/>
        <v>11018.84</v>
      </c>
      <c r="BK296" s="7">
        <f t="shared" ca="1" si="156"/>
        <v>11115.1</v>
      </c>
      <c r="BL296" s="7">
        <f t="shared" ca="1" si="156"/>
        <v>25458.720000000001</v>
      </c>
      <c r="BM296" s="7">
        <f t="shared" ca="1" si="156"/>
        <v>15129.99</v>
      </c>
      <c r="BN296" s="7">
        <f t="shared" ca="1" si="156"/>
        <v>11189.22</v>
      </c>
      <c r="BO296" s="7">
        <f t="shared" ca="1" si="156"/>
        <v>11697.49</v>
      </c>
      <c r="BP296" s="7">
        <f t="shared" ca="1" si="156"/>
        <v>20838.62</v>
      </c>
      <c r="BQ296" s="7">
        <f t="shared" ca="1" si="156"/>
        <v>12430.37</v>
      </c>
      <c r="BR296" s="7">
        <f t="shared" ca="1" si="156"/>
        <v>11549.54</v>
      </c>
      <c r="BS296" s="7">
        <f t="shared" ca="1" si="156"/>
        <v>12863.03</v>
      </c>
      <c r="BT296" s="7">
        <f t="shared" ca="1" si="156"/>
        <v>15593.78</v>
      </c>
      <c r="BU296" s="7">
        <f t="shared" ca="1" si="156"/>
        <v>15320.39</v>
      </c>
      <c r="BV296" s="7">
        <f t="shared" ca="1" si="156"/>
        <v>11891.72</v>
      </c>
      <c r="BW296" s="7">
        <f t="shared" ca="1" si="156"/>
        <v>11780.52</v>
      </c>
      <c r="BX296" s="7">
        <f t="shared" ca="1" si="156"/>
        <v>26278.09</v>
      </c>
      <c r="BY296" s="7">
        <f t="shared" ca="1" si="156"/>
        <v>14456.55</v>
      </c>
      <c r="BZ296" s="7">
        <f t="shared" ca="1" si="156"/>
        <v>17663.29</v>
      </c>
      <c r="CA296" s="7">
        <f t="shared" ca="1" si="156"/>
        <v>21513.65</v>
      </c>
      <c r="CB296" s="7">
        <f t="shared" ca="1" si="156"/>
        <v>11261.45</v>
      </c>
      <c r="CC296" s="7">
        <f t="shared" ca="1" si="156"/>
        <v>18972.12</v>
      </c>
      <c r="CD296" s="7">
        <f t="shared" ca="1" si="156"/>
        <v>24238.89</v>
      </c>
      <c r="CE296" s="7">
        <f t="shared" ca="1" si="156"/>
        <v>19999.400000000001</v>
      </c>
      <c r="CF296" s="7">
        <f t="shared" ca="1" si="156"/>
        <v>21258.77</v>
      </c>
      <c r="CG296" s="7">
        <f t="shared" ca="1" si="156"/>
        <v>18371.14</v>
      </c>
      <c r="CH296" s="7">
        <f t="shared" ca="1" si="156"/>
        <v>23367.34</v>
      </c>
      <c r="CI296" s="7">
        <f t="shared" ca="1" si="156"/>
        <v>12508.55</v>
      </c>
      <c r="CJ296" s="7">
        <f t="shared" ca="1" si="156"/>
        <v>13172.03</v>
      </c>
      <c r="CK296" s="7">
        <f t="shared" ca="1" si="156"/>
        <v>11652.31</v>
      </c>
      <c r="CL296" s="7">
        <f t="shared" ca="1" si="156"/>
        <v>12315.81</v>
      </c>
      <c r="CM296" s="7">
        <f t="shared" ca="1" si="156"/>
        <v>13576.07</v>
      </c>
      <c r="CN296" s="7">
        <f t="shared" ca="1" si="156"/>
        <v>10989.48</v>
      </c>
      <c r="CO296" s="7">
        <f t="shared" ca="1" si="156"/>
        <v>11011.12</v>
      </c>
      <c r="CP296" s="7">
        <f t="shared" ca="1" si="156"/>
        <v>13028.65</v>
      </c>
      <c r="CQ296" s="7">
        <f t="shared" ca="1" si="156"/>
        <v>13400.78</v>
      </c>
      <c r="CR296" s="7">
        <f t="shared" ca="1" si="156"/>
        <v>17979.05</v>
      </c>
      <c r="CS296" s="7">
        <f t="shared" ca="1" si="156"/>
        <v>15714.68</v>
      </c>
      <c r="CT296" s="7">
        <f t="shared" ca="1" si="156"/>
        <v>22643.85</v>
      </c>
      <c r="CU296" s="7">
        <f t="shared" ca="1" si="156"/>
        <v>11595.46</v>
      </c>
      <c r="CV296" s="7">
        <f t="shared" ca="1" si="156"/>
        <v>23533.69</v>
      </c>
      <c r="CW296" s="7">
        <f t="shared" ca="1" si="156"/>
        <v>19079.5</v>
      </c>
      <c r="CX296" s="7">
        <f t="shared" ca="1" si="156"/>
        <v>13294.24</v>
      </c>
      <c r="CY296" s="7">
        <f t="shared" ca="1" si="156"/>
        <v>24960.1</v>
      </c>
      <c r="CZ296" s="7">
        <f t="shared" ca="1" si="156"/>
        <v>11627.26</v>
      </c>
      <c r="DA296" s="7">
        <f t="shared" ca="1" si="156"/>
        <v>18373.62</v>
      </c>
      <c r="DB296" s="7">
        <f t="shared" ca="1" si="156"/>
        <v>15455.87</v>
      </c>
      <c r="DC296" s="7">
        <f t="shared" ca="1" si="156"/>
        <v>18965.55</v>
      </c>
      <c r="DD296" s="7">
        <f t="shared" ca="1" si="156"/>
        <v>20512.53</v>
      </c>
      <c r="DE296" s="7">
        <f t="shared" ca="1" si="156"/>
        <v>16176.73</v>
      </c>
      <c r="DF296" s="7">
        <f t="shared" ca="1" si="156"/>
        <v>11026.49</v>
      </c>
      <c r="DG296" s="7">
        <f t="shared" ca="1" si="156"/>
        <v>23903.23</v>
      </c>
      <c r="DH296" s="7">
        <f t="shared" ca="1" si="156"/>
        <v>11438.46</v>
      </c>
      <c r="DI296" s="7">
        <f t="shared" ca="1" si="156"/>
        <v>11435.46</v>
      </c>
      <c r="DJ296" s="7">
        <f t="shared" ca="1" si="156"/>
        <v>13159.58</v>
      </c>
      <c r="DK296" s="7">
        <f t="shared" ca="1" si="156"/>
        <v>13150.24</v>
      </c>
      <c r="DL296" s="7">
        <f t="shared" ca="1" si="156"/>
        <v>11735.8</v>
      </c>
      <c r="DM296" s="7">
        <f t="shared" ca="1" si="156"/>
        <v>18893.939999999999</v>
      </c>
      <c r="DN296" s="7">
        <f t="shared" ca="1" si="156"/>
        <v>12403.77</v>
      </c>
      <c r="DO296" s="7">
        <f t="shared" ca="1" si="156"/>
        <v>11741.76</v>
      </c>
      <c r="DP296" s="7">
        <f t="shared" ca="1" si="156"/>
        <v>19409.52</v>
      </c>
      <c r="DQ296" s="7">
        <f t="shared" ca="1" si="156"/>
        <v>12543.92</v>
      </c>
      <c r="DR296" s="7">
        <f t="shared" ca="1" si="156"/>
        <v>12261.15</v>
      </c>
      <c r="DS296" s="7">
        <f t="shared" ca="1" si="156"/>
        <v>13703.48</v>
      </c>
      <c r="DT296" s="7">
        <f t="shared" ca="1" si="156"/>
        <v>21009.22</v>
      </c>
      <c r="DU296" s="7">
        <f t="shared" ca="1" si="156"/>
        <v>15049.89</v>
      </c>
      <c r="DV296" s="7">
        <f t="shared" ca="1" si="156"/>
        <v>18606.63</v>
      </c>
      <c r="DW296" s="7">
        <f t="shared" ca="1" si="156"/>
        <v>15862.83</v>
      </c>
      <c r="DX296" s="7">
        <f t="shared" ca="1" si="156"/>
        <v>22688.41</v>
      </c>
      <c r="DY296" s="7">
        <f t="shared" ca="1" si="156"/>
        <v>17172.240000000002</v>
      </c>
      <c r="DZ296" s="7">
        <f t="shared" ca="1" si="156"/>
        <v>13426.21</v>
      </c>
      <c r="EA296" s="7">
        <f t="shared" ca="1" si="156"/>
        <v>13693.92</v>
      </c>
      <c r="EB296" s="7">
        <f t="shared" ca="1" si="156"/>
        <v>13171.78</v>
      </c>
      <c r="EC296" s="7">
        <f t="shared" ca="1" si="156"/>
        <v>15205.31</v>
      </c>
      <c r="ED296" s="7">
        <f t="shared" ca="1" si="156"/>
        <v>15167.91</v>
      </c>
      <c r="EE296" s="7">
        <f t="shared" ca="1" si="156"/>
        <v>19243.45</v>
      </c>
      <c r="EF296" s="7">
        <f t="shared" ca="1" si="156"/>
        <v>12079.74</v>
      </c>
      <c r="EG296" s="7">
        <f t="shared" ca="1" si="156"/>
        <v>16470.099999999999</v>
      </c>
      <c r="EH296" s="7">
        <f t="shared" ca="1" si="156"/>
        <v>16737.23</v>
      </c>
      <c r="EI296" s="7">
        <f t="shared" ca="1" si="156"/>
        <v>11702.75</v>
      </c>
      <c r="EJ296" s="7">
        <f t="shared" ca="1" si="156"/>
        <v>11008.38</v>
      </c>
      <c r="EK296" s="7">
        <f t="shared" ca="1" si="156"/>
        <v>12524.53</v>
      </c>
      <c r="EL296" s="7">
        <f t="shared" ca="1" si="156"/>
        <v>12840.77</v>
      </c>
      <c r="EM296" s="7">
        <f t="shared" ca="1" si="156"/>
        <v>14508.23</v>
      </c>
      <c r="EN296" s="7">
        <f t="shared" ca="1" si="156"/>
        <v>12586.06</v>
      </c>
      <c r="EO296" s="7">
        <f t="shared" ca="1" si="156"/>
        <v>15475.52</v>
      </c>
      <c r="EP296" s="7">
        <f t="shared" ca="1" si="156"/>
        <v>14478.96</v>
      </c>
      <c r="EQ296" s="7">
        <f t="shared" ca="1" si="156"/>
        <v>11751.28</v>
      </c>
      <c r="ER296" s="7">
        <f t="shared" ca="1" si="156"/>
        <v>16575.93</v>
      </c>
      <c r="ES296" s="7">
        <f t="shared" ca="1" si="156"/>
        <v>20575.419999999998</v>
      </c>
      <c r="ET296" s="7">
        <f t="shared" ca="1" si="156"/>
        <v>22057.34</v>
      </c>
      <c r="EU296" s="7">
        <f t="shared" ca="1" si="156"/>
        <v>13842.02</v>
      </c>
      <c r="EV296" s="7">
        <f t="shared" ca="1" si="156"/>
        <v>26039.85</v>
      </c>
      <c r="EW296" s="7">
        <f t="shared" ca="1" si="156"/>
        <v>16242.77</v>
      </c>
      <c r="EX296" s="7">
        <f t="shared" ca="1" si="156"/>
        <v>21850.48</v>
      </c>
      <c r="EY296" s="7">
        <f t="shared" ca="1" si="156"/>
        <v>11819.6</v>
      </c>
      <c r="EZ296" s="7">
        <f t="shared" ca="1" si="156"/>
        <v>21811.040000000001</v>
      </c>
      <c r="FA296" s="7">
        <f t="shared" ca="1" si="156"/>
        <v>12396.24</v>
      </c>
      <c r="FB296" s="7">
        <f t="shared" ca="1" si="156"/>
        <v>16651.810000000001</v>
      </c>
      <c r="FC296" s="7">
        <f t="shared" ca="1" si="156"/>
        <v>11580.25</v>
      </c>
      <c r="FD296" s="7">
        <f t="shared" ca="1" si="156"/>
        <v>14353.5</v>
      </c>
      <c r="FE296" s="7">
        <f t="shared" ca="1" si="156"/>
        <v>24848.240000000002</v>
      </c>
      <c r="FF296" s="7">
        <f t="shared" ca="1" si="156"/>
        <v>19955.400000000001</v>
      </c>
      <c r="FG296" s="7">
        <f t="shared" ca="1" si="156"/>
        <v>22599.22</v>
      </c>
      <c r="FH296" s="7">
        <f t="shared" ca="1" si="156"/>
        <v>24548.45</v>
      </c>
      <c r="FI296" s="7">
        <f t="shared" ca="1" si="156"/>
        <v>12008.05</v>
      </c>
      <c r="FJ296" s="7">
        <f t="shared" ca="1" si="156"/>
        <v>11305.52</v>
      </c>
      <c r="FK296" s="7">
        <f t="shared" ca="1" si="156"/>
        <v>11583.02</v>
      </c>
      <c r="FL296" s="7">
        <f t="shared" ca="1" si="156"/>
        <v>11028.65</v>
      </c>
      <c r="FM296" s="7">
        <f t="shared" ca="1" si="156"/>
        <v>11210.54</v>
      </c>
      <c r="FN296" s="7">
        <f t="shared" ca="1" si="156"/>
        <v>11604.44</v>
      </c>
      <c r="FO296" s="7">
        <f t="shared" ca="1" si="156"/>
        <v>12082.05</v>
      </c>
      <c r="FP296" s="7">
        <f t="shared" ca="1" si="156"/>
        <v>11857.12</v>
      </c>
      <c r="FQ296" s="7">
        <f t="shared" ca="1" si="156"/>
        <v>12223.22</v>
      </c>
      <c r="FR296" s="7">
        <f t="shared" ca="1" si="156"/>
        <v>20205.580000000002</v>
      </c>
      <c r="FS296" s="7">
        <f t="shared" ca="1" si="156"/>
        <v>20141.439999999999</v>
      </c>
      <c r="FT296" s="7">
        <f t="shared" ca="1" si="156"/>
        <v>26357.19</v>
      </c>
      <c r="FU296" s="7">
        <f t="shared" ca="1" si="156"/>
        <v>13444.87</v>
      </c>
      <c r="FV296" s="7">
        <f t="shared" ca="1" si="156"/>
        <v>13163.18</v>
      </c>
      <c r="FW296" s="7">
        <f t="shared" ca="1" si="156"/>
        <v>21493.54</v>
      </c>
      <c r="FX296" s="7">
        <f t="shared" ca="1" si="156"/>
        <v>26375.08</v>
      </c>
      <c r="FY296" s="7"/>
      <c r="FZ296" s="7">
        <f ca="1">ROUND(FZ289/FZ103,2)</f>
        <v>11694.3</v>
      </c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</row>
    <row r="297" spans="1:193" ht="15.5" x14ac:dyDescent="0.35">
      <c r="A297" s="7"/>
      <c r="B297" s="7" t="s">
        <v>1068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4.2792012393474579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41.107141034677625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203.72895029187202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0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2686.2052011676133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0</v>
      </c>
      <c r="FB297" s="7">
        <v>4.3532006703317165</v>
      </c>
      <c r="FC297" s="7">
        <v>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  <c r="FK297" s="7">
        <v>0</v>
      </c>
      <c r="FL297" s="7">
        <v>0</v>
      </c>
      <c r="FM297" s="7">
        <v>0</v>
      </c>
      <c r="FN297" s="7">
        <v>0</v>
      </c>
      <c r="FO297" s="7">
        <v>0</v>
      </c>
      <c r="FP297" s="7">
        <v>0</v>
      </c>
      <c r="FQ297" s="7">
        <v>0</v>
      </c>
      <c r="FR297" s="7">
        <v>0</v>
      </c>
      <c r="FS297" s="7">
        <v>0</v>
      </c>
      <c r="FT297" s="7">
        <v>144.96680548554286</v>
      </c>
      <c r="FU297" s="7">
        <v>0</v>
      </c>
      <c r="FV297" s="7">
        <v>0</v>
      </c>
      <c r="FW297" s="7">
        <v>0</v>
      </c>
      <c r="FX297" s="7">
        <v>0</v>
      </c>
      <c r="FY297" s="7">
        <f t="shared" ref="FY297:FY298" si="157">SUM(C297:FX297)</f>
        <v>3084.640499889385</v>
      </c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</row>
    <row r="298" spans="1:193" ht="15.5" x14ac:dyDescent="0.35">
      <c r="A298" s="12"/>
      <c r="B298" s="7" t="s">
        <v>1069</v>
      </c>
      <c r="C298" s="7">
        <f t="shared" ref="C298:FX298" ca="1" si="158">(C290+C291+C292)-C289</f>
        <v>0</v>
      </c>
      <c r="D298" s="7">
        <f t="shared" ca="1" si="158"/>
        <v>0</v>
      </c>
      <c r="E298" s="7">
        <f t="shared" ca="1" si="158"/>
        <v>0</v>
      </c>
      <c r="F298" s="7">
        <f t="shared" ca="1" si="158"/>
        <v>0</v>
      </c>
      <c r="G298" s="7">
        <f t="shared" ca="1" si="158"/>
        <v>0</v>
      </c>
      <c r="H298" s="7">
        <f t="shared" ca="1" si="158"/>
        <v>0</v>
      </c>
      <c r="I298" s="7">
        <f t="shared" ca="1" si="158"/>
        <v>0</v>
      </c>
      <c r="J298" s="7">
        <f t="shared" ca="1" si="158"/>
        <v>0</v>
      </c>
      <c r="K298" s="7">
        <f t="shared" ca="1" si="158"/>
        <v>0</v>
      </c>
      <c r="L298" s="7">
        <f t="shared" ca="1" si="158"/>
        <v>0</v>
      </c>
      <c r="M298" s="7">
        <f t="shared" ca="1" si="158"/>
        <v>0</v>
      </c>
      <c r="N298" s="7">
        <f t="shared" ca="1" si="158"/>
        <v>0</v>
      </c>
      <c r="O298" s="7">
        <f t="shared" ca="1" si="158"/>
        <v>0</v>
      </c>
      <c r="P298" s="7">
        <f t="shared" ca="1" si="158"/>
        <v>0</v>
      </c>
      <c r="Q298" s="7">
        <f t="shared" ca="1" si="158"/>
        <v>0</v>
      </c>
      <c r="R298" s="7">
        <f t="shared" ca="1" si="158"/>
        <v>0</v>
      </c>
      <c r="S298" s="7">
        <f t="shared" ca="1" si="158"/>
        <v>0</v>
      </c>
      <c r="T298" s="7">
        <f t="shared" ca="1" si="158"/>
        <v>0</v>
      </c>
      <c r="U298" s="7">
        <f t="shared" ca="1" si="158"/>
        <v>0</v>
      </c>
      <c r="V298" s="7">
        <f t="shared" ca="1" si="158"/>
        <v>0</v>
      </c>
      <c r="W298" s="7">
        <f t="shared" ca="1" si="158"/>
        <v>0</v>
      </c>
      <c r="X298" s="7">
        <f t="shared" ca="1" si="158"/>
        <v>0</v>
      </c>
      <c r="Y298" s="7">
        <f t="shared" ca="1" si="158"/>
        <v>0</v>
      </c>
      <c r="Z298" s="7">
        <f t="shared" ca="1" si="158"/>
        <v>0</v>
      </c>
      <c r="AA298" s="7">
        <f t="shared" ca="1" si="158"/>
        <v>0</v>
      </c>
      <c r="AB298" s="7">
        <f t="shared" ca="1" si="158"/>
        <v>0</v>
      </c>
      <c r="AC298" s="7">
        <f t="shared" ca="1" si="158"/>
        <v>0</v>
      </c>
      <c r="AD298" s="7">
        <f t="shared" ca="1" si="158"/>
        <v>0</v>
      </c>
      <c r="AE298" s="7">
        <f t="shared" ca="1" si="158"/>
        <v>0</v>
      </c>
      <c r="AF298" s="7">
        <f t="shared" ca="1" si="158"/>
        <v>0</v>
      </c>
      <c r="AG298" s="7">
        <f t="shared" ca="1" si="158"/>
        <v>0</v>
      </c>
      <c r="AH298" s="7">
        <f t="shared" ca="1" si="158"/>
        <v>0</v>
      </c>
      <c r="AI298" s="7">
        <f t="shared" ca="1" si="158"/>
        <v>0</v>
      </c>
      <c r="AJ298" s="7">
        <f t="shared" ca="1" si="158"/>
        <v>0</v>
      </c>
      <c r="AK298" s="7">
        <f t="shared" ca="1" si="158"/>
        <v>0</v>
      </c>
      <c r="AL298" s="7">
        <f t="shared" ca="1" si="158"/>
        <v>0</v>
      </c>
      <c r="AM298" s="7">
        <f t="shared" ca="1" si="158"/>
        <v>0</v>
      </c>
      <c r="AN298" s="7">
        <f t="shared" ca="1" si="158"/>
        <v>10.684641532599926</v>
      </c>
      <c r="AO298" s="7">
        <f t="shared" ca="1" si="158"/>
        <v>0</v>
      </c>
      <c r="AP298" s="7">
        <f t="shared" ca="1" si="158"/>
        <v>0</v>
      </c>
      <c r="AQ298" s="7">
        <f t="shared" ca="1" si="158"/>
        <v>0</v>
      </c>
      <c r="AR298" s="7">
        <f t="shared" ca="1" si="158"/>
        <v>0</v>
      </c>
      <c r="AS298" s="7">
        <f t="shared" ca="1" si="158"/>
        <v>0</v>
      </c>
      <c r="AT298" s="7">
        <f t="shared" ca="1" si="158"/>
        <v>0</v>
      </c>
      <c r="AU298" s="7">
        <f t="shared" ca="1" si="158"/>
        <v>0</v>
      </c>
      <c r="AV298" s="7">
        <f t="shared" ca="1" si="158"/>
        <v>0</v>
      </c>
      <c r="AW298" s="7">
        <f t="shared" ca="1" si="158"/>
        <v>0</v>
      </c>
      <c r="AX298" s="7">
        <f t="shared" ca="1" si="158"/>
        <v>0</v>
      </c>
      <c r="AY298" s="7">
        <f t="shared" ca="1" si="158"/>
        <v>0</v>
      </c>
      <c r="AZ298" s="7">
        <f t="shared" ca="1" si="158"/>
        <v>0</v>
      </c>
      <c r="BA298" s="7">
        <f t="shared" ca="1" si="158"/>
        <v>0</v>
      </c>
      <c r="BB298" s="7">
        <f t="shared" ca="1" si="158"/>
        <v>0</v>
      </c>
      <c r="BC298" s="7">
        <f t="shared" ca="1" si="158"/>
        <v>0</v>
      </c>
      <c r="BD298" s="7">
        <f t="shared" ca="1" si="158"/>
        <v>0</v>
      </c>
      <c r="BE298" s="7">
        <f t="shared" ca="1" si="158"/>
        <v>0</v>
      </c>
      <c r="BF298" s="7">
        <f t="shared" ca="1" si="158"/>
        <v>0</v>
      </c>
      <c r="BG298" s="7">
        <f t="shared" ca="1" si="158"/>
        <v>0</v>
      </c>
      <c r="BH298" s="7">
        <f t="shared" ca="1" si="158"/>
        <v>0</v>
      </c>
      <c r="BI298" s="7">
        <f t="shared" ca="1" si="158"/>
        <v>0</v>
      </c>
      <c r="BJ298" s="7">
        <f t="shared" ca="1" si="158"/>
        <v>0</v>
      </c>
      <c r="BK298" s="7">
        <f t="shared" ca="1" si="158"/>
        <v>0</v>
      </c>
      <c r="BL298" s="7">
        <f t="shared" ca="1" si="158"/>
        <v>0</v>
      </c>
      <c r="BM298" s="7">
        <f t="shared" ca="1" si="158"/>
        <v>0</v>
      </c>
      <c r="BN298" s="7">
        <f t="shared" ca="1" si="158"/>
        <v>0</v>
      </c>
      <c r="BO298" s="7">
        <f t="shared" ca="1" si="158"/>
        <v>0</v>
      </c>
      <c r="BP298" s="7">
        <f t="shared" ca="1" si="158"/>
        <v>0</v>
      </c>
      <c r="BQ298" s="7">
        <f t="shared" ca="1" si="158"/>
        <v>0</v>
      </c>
      <c r="BR298" s="7">
        <f t="shared" ca="1" si="158"/>
        <v>0</v>
      </c>
      <c r="BS298" s="7">
        <f t="shared" ca="1" si="158"/>
        <v>0</v>
      </c>
      <c r="BT298" s="7">
        <f t="shared" ca="1" si="158"/>
        <v>0</v>
      </c>
      <c r="BU298" s="7">
        <f t="shared" ca="1" si="158"/>
        <v>0</v>
      </c>
      <c r="BV298" s="7">
        <f t="shared" ca="1" si="158"/>
        <v>0</v>
      </c>
      <c r="BW298" s="7">
        <f t="shared" ca="1" si="158"/>
        <v>0</v>
      </c>
      <c r="BX298" s="7">
        <f t="shared" ca="1" si="158"/>
        <v>0</v>
      </c>
      <c r="BY298" s="7">
        <f t="shared" ca="1" si="158"/>
        <v>0</v>
      </c>
      <c r="BZ298" s="7">
        <f t="shared" ca="1" si="158"/>
        <v>0</v>
      </c>
      <c r="CA298" s="7">
        <f t="shared" ca="1" si="158"/>
        <v>0</v>
      </c>
      <c r="CB298" s="7">
        <f t="shared" ca="1" si="158"/>
        <v>0</v>
      </c>
      <c r="CC298" s="7">
        <f t="shared" ca="1" si="158"/>
        <v>0</v>
      </c>
      <c r="CD298" s="7">
        <f t="shared" ca="1" si="158"/>
        <v>0</v>
      </c>
      <c r="CE298" s="7">
        <f t="shared" ca="1" si="158"/>
        <v>0</v>
      </c>
      <c r="CF298" s="7">
        <f t="shared" ca="1" si="158"/>
        <v>0</v>
      </c>
      <c r="CG298" s="7">
        <f t="shared" ca="1" si="158"/>
        <v>0</v>
      </c>
      <c r="CH298" s="7">
        <f t="shared" ca="1" si="158"/>
        <v>0</v>
      </c>
      <c r="CI298" s="7">
        <f t="shared" ca="1" si="158"/>
        <v>0</v>
      </c>
      <c r="CJ298" s="7">
        <f t="shared" ca="1" si="158"/>
        <v>0</v>
      </c>
      <c r="CK298" s="7">
        <f t="shared" ca="1" si="158"/>
        <v>0</v>
      </c>
      <c r="CL298" s="7">
        <f t="shared" ca="1" si="158"/>
        <v>0</v>
      </c>
      <c r="CM298" s="7">
        <f t="shared" ca="1" si="158"/>
        <v>0</v>
      </c>
      <c r="CN298" s="7">
        <f t="shared" ca="1" si="158"/>
        <v>0</v>
      </c>
      <c r="CO298" s="7">
        <f t="shared" ca="1" si="158"/>
        <v>0</v>
      </c>
      <c r="CP298" s="7">
        <f t="shared" ca="1" si="158"/>
        <v>0</v>
      </c>
      <c r="CQ298" s="7">
        <f t="shared" ca="1" si="158"/>
        <v>0</v>
      </c>
      <c r="CR298" s="7">
        <f t="shared" ca="1" si="158"/>
        <v>0</v>
      </c>
      <c r="CS298" s="7">
        <f t="shared" ca="1" si="158"/>
        <v>0</v>
      </c>
      <c r="CT298" s="7">
        <f t="shared" ca="1" si="158"/>
        <v>0</v>
      </c>
      <c r="CU298" s="7">
        <f t="shared" ca="1" si="158"/>
        <v>0</v>
      </c>
      <c r="CV298" s="7">
        <f t="shared" ca="1" si="158"/>
        <v>0</v>
      </c>
      <c r="CW298" s="7">
        <f t="shared" ca="1" si="158"/>
        <v>0</v>
      </c>
      <c r="CX298" s="7">
        <f t="shared" ca="1" si="158"/>
        <v>0</v>
      </c>
      <c r="CY298" s="7">
        <f t="shared" ca="1" si="158"/>
        <v>0</v>
      </c>
      <c r="CZ298" s="7">
        <f t="shared" ca="1" si="158"/>
        <v>0</v>
      </c>
      <c r="DA298" s="7">
        <f t="shared" ca="1" si="158"/>
        <v>0</v>
      </c>
      <c r="DB298" s="7">
        <f t="shared" ca="1" si="158"/>
        <v>0</v>
      </c>
      <c r="DC298" s="7">
        <f t="shared" ca="1" si="158"/>
        <v>0</v>
      </c>
      <c r="DD298" s="7">
        <f t="shared" ca="1" si="158"/>
        <v>0</v>
      </c>
      <c r="DE298" s="7">
        <f t="shared" ca="1" si="158"/>
        <v>0</v>
      </c>
      <c r="DF298" s="7">
        <f t="shared" ca="1" si="158"/>
        <v>0</v>
      </c>
      <c r="DG298" s="7">
        <f t="shared" ca="1" si="158"/>
        <v>0</v>
      </c>
      <c r="DH298" s="7">
        <f t="shared" ca="1" si="158"/>
        <v>0</v>
      </c>
      <c r="DI298" s="7">
        <f t="shared" ca="1" si="158"/>
        <v>0</v>
      </c>
      <c r="DJ298" s="7">
        <f t="shared" ca="1" si="158"/>
        <v>0</v>
      </c>
      <c r="DK298" s="7">
        <f t="shared" ca="1" si="158"/>
        <v>0</v>
      </c>
      <c r="DL298" s="7">
        <f t="shared" ca="1" si="158"/>
        <v>0</v>
      </c>
      <c r="DM298" s="7">
        <f t="shared" ca="1" si="158"/>
        <v>0</v>
      </c>
      <c r="DN298" s="7">
        <f t="shared" ca="1" si="158"/>
        <v>0</v>
      </c>
      <c r="DO298" s="7">
        <f t="shared" ca="1" si="158"/>
        <v>0</v>
      </c>
      <c r="DP298" s="7">
        <f t="shared" ca="1" si="158"/>
        <v>0</v>
      </c>
      <c r="DQ298" s="7">
        <f t="shared" ca="1" si="158"/>
        <v>0</v>
      </c>
      <c r="DR298" s="7">
        <f t="shared" ca="1" si="158"/>
        <v>0</v>
      </c>
      <c r="DS298" s="7">
        <f t="shared" ca="1" si="158"/>
        <v>0</v>
      </c>
      <c r="DT298" s="7">
        <f t="shared" ca="1" si="158"/>
        <v>0</v>
      </c>
      <c r="DU298" s="7">
        <f t="shared" ca="1" si="158"/>
        <v>0</v>
      </c>
      <c r="DV298" s="7">
        <f t="shared" ca="1" si="158"/>
        <v>0</v>
      </c>
      <c r="DW298" s="7">
        <f t="shared" ca="1" si="158"/>
        <v>0</v>
      </c>
      <c r="DX298" s="7">
        <f t="shared" ca="1" si="158"/>
        <v>0</v>
      </c>
      <c r="DY298" s="7">
        <f t="shared" ca="1" si="158"/>
        <v>0</v>
      </c>
      <c r="DZ298" s="7">
        <f t="shared" ca="1" si="158"/>
        <v>0</v>
      </c>
      <c r="EA298" s="7">
        <f t="shared" ca="1" si="158"/>
        <v>0</v>
      </c>
      <c r="EB298" s="7">
        <f t="shared" ca="1" si="158"/>
        <v>0</v>
      </c>
      <c r="EC298" s="7">
        <f t="shared" ca="1" si="158"/>
        <v>0</v>
      </c>
      <c r="ED298" s="7">
        <f t="shared" ca="1" si="158"/>
        <v>0</v>
      </c>
      <c r="EE298" s="7">
        <f t="shared" ca="1" si="158"/>
        <v>0</v>
      </c>
      <c r="EF298" s="7">
        <f t="shared" ca="1" si="158"/>
        <v>0</v>
      </c>
      <c r="EG298" s="7">
        <f t="shared" ca="1" si="158"/>
        <v>0</v>
      </c>
      <c r="EH298" s="7">
        <f t="shared" ca="1" si="158"/>
        <v>0</v>
      </c>
      <c r="EI298" s="7">
        <f t="shared" ca="1" si="158"/>
        <v>0</v>
      </c>
      <c r="EJ298" s="7">
        <f t="shared" ca="1" si="158"/>
        <v>0</v>
      </c>
      <c r="EK298" s="7">
        <f t="shared" ca="1" si="158"/>
        <v>0</v>
      </c>
      <c r="EL298" s="7">
        <f t="shared" ca="1" si="158"/>
        <v>0</v>
      </c>
      <c r="EM298" s="7">
        <f t="shared" ca="1" si="158"/>
        <v>0</v>
      </c>
      <c r="EN298" s="7">
        <f t="shared" ca="1" si="158"/>
        <v>0</v>
      </c>
      <c r="EO298" s="7">
        <f t="shared" ca="1" si="158"/>
        <v>0</v>
      </c>
      <c r="EP298" s="7">
        <f t="shared" ca="1" si="158"/>
        <v>0</v>
      </c>
      <c r="EQ298" s="7">
        <f t="shared" ca="1" si="158"/>
        <v>0</v>
      </c>
      <c r="ER298" s="7">
        <f t="shared" ca="1" si="158"/>
        <v>0</v>
      </c>
      <c r="ES298" s="7">
        <f t="shared" ca="1" si="158"/>
        <v>0</v>
      </c>
      <c r="ET298" s="7">
        <f t="shared" ca="1" si="158"/>
        <v>0</v>
      </c>
      <c r="EU298" s="7">
        <f t="shared" ca="1" si="158"/>
        <v>0</v>
      </c>
      <c r="EV298" s="7">
        <f t="shared" ca="1" si="158"/>
        <v>0</v>
      </c>
      <c r="EW298" s="7">
        <f t="shared" ca="1" si="158"/>
        <v>0</v>
      </c>
      <c r="EX298" s="7">
        <f t="shared" ca="1" si="158"/>
        <v>0</v>
      </c>
      <c r="EY298" s="7">
        <f t="shared" ca="1" si="158"/>
        <v>0</v>
      </c>
      <c r="EZ298" s="7">
        <f t="shared" ca="1" si="158"/>
        <v>0</v>
      </c>
      <c r="FA298" s="7">
        <f t="shared" ca="1" si="158"/>
        <v>0</v>
      </c>
      <c r="FB298" s="7">
        <f t="shared" ca="1" si="158"/>
        <v>0</v>
      </c>
      <c r="FC298" s="7">
        <f t="shared" ca="1" si="158"/>
        <v>0</v>
      </c>
      <c r="FD298" s="7">
        <f t="shared" ca="1" si="158"/>
        <v>0</v>
      </c>
      <c r="FE298" s="7">
        <f t="shared" ca="1" si="158"/>
        <v>0</v>
      </c>
      <c r="FF298" s="7">
        <f t="shared" ca="1" si="158"/>
        <v>0</v>
      </c>
      <c r="FG298" s="7">
        <f t="shared" ca="1" si="158"/>
        <v>0</v>
      </c>
      <c r="FH298" s="7">
        <f t="shared" ca="1" si="158"/>
        <v>0</v>
      </c>
      <c r="FI298" s="7">
        <f t="shared" ca="1" si="158"/>
        <v>0</v>
      </c>
      <c r="FJ298" s="7">
        <f t="shared" ca="1" si="158"/>
        <v>0</v>
      </c>
      <c r="FK298" s="7">
        <f t="shared" ca="1" si="158"/>
        <v>0</v>
      </c>
      <c r="FL298" s="7">
        <f t="shared" ca="1" si="158"/>
        <v>0</v>
      </c>
      <c r="FM298" s="7">
        <f t="shared" ca="1" si="158"/>
        <v>0</v>
      </c>
      <c r="FN298" s="7">
        <f t="shared" ca="1" si="158"/>
        <v>0</v>
      </c>
      <c r="FO298" s="7">
        <f t="shared" ca="1" si="158"/>
        <v>0</v>
      </c>
      <c r="FP298" s="7">
        <f t="shared" ca="1" si="158"/>
        <v>0</v>
      </c>
      <c r="FQ298" s="7">
        <f t="shared" ca="1" si="158"/>
        <v>0</v>
      </c>
      <c r="FR298" s="7">
        <f t="shared" ca="1" si="158"/>
        <v>0</v>
      </c>
      <c r="FS298" s="7">
        <f t="shared" ca="1" si="158"/>
        <v>0</v>
      </c>
      <c r="FT298" s="7">
        <f t="shared" ca="1" si="158"/>
        <v>0</v>
      </c>
      <c r="FU298" s="7">
        <f t="shared" ca="1" si="158"/>
        <v>0</v>
      </c>
      <c r="FV298" s="7">
        <f t="shared" ca="1" si="158"/>
        <v>0</v>
      </c>
      <c r="FW298" s="7">
        <f t="shared" ca="1" si="158"/>
        <v>0</v>
      </c>
      <c r="FX298" s="7">
        <f t="shared" ca="1" si="158"/>
        <v>0</v>
      </c>
      <c r="FY298" s="7">
        <f t="shared" ca="1" si="157"/>
        <v>10.684641532599926</v>
      </c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</row>
    <row r="299" spans="1:193" ht="15.5" x14ac:dyDescent="0.35">
      <c r="A299" s="12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</row>
    <row r="300" spans="1:193" ht="15.5" x14ac:dyDescent="0.35">
      <c r="A300" s="12" t="s">
        <v>715</v>
      </c>
      <c r="B300" s="5" t="s">
        <v>1070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0</v>
      </c>
      <c r="EY300" s="7">
        <v>0</v>
      </c>
      <c r="EZ300" s="7">
        <v>0</v>
      </c>
      <c r="FA300" s="7">
        <v>0</v>
      </c>
      <c r="FB300" s="7">
        <v>0</v>
      </c>
      <c r="FC300" s="7">
        <v>0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  <c r="FK300" s="7">
        <v>0</v>
      </c>
      <c r="FL300" s="7">
        <v>0</v>
      </c>
      <c r="FM300" s="7">
        <v>0</v>
      </c>
      <c r="FN300" s="7">
        <v>0</v>
      </c>
      <c r="FO300" s="7">
        <v>0</v>
      </c>
      <c r="FP300" s="7">
        <v>0</v>
      </c>
      <c r="FQ300" s="7">
        <v>0</v>
      </c>
      <c r="FR300" s="7">
        <v>0</v>
      </c>
      <c r="FS300" s="7">
        <v>0</v>
      </c>
      <c r="FT300" s="7">
        <v>0</v>
      </c>
      <c r="FU300" s="7">
        <v>0</v>
      </c>
      <c r="FV300" s="7">
        <v>0</v>
      </c>
      <c r="FW300" s="7">
        <v>0</v>
      </c>
      <c r="FX300" s="7">
        <v>0</v>
      </c>
      <c r="FY300" s="7"/>
      <c r="FZ300" s="82">
        <f>SUM(C300:FX300)</f>
        <v>0</v>
      </c>
      <c r="GA300" s="80"/>
      <c r="GD300" s="7"/>
      <c r="GE300" s="7"/>
      <c r="GF300" s="7"/>
      <c r="GG300" s="7"/>
      <c r="GH300" s="7"/>
      <c r="GI300" s="7"/>
      <c r="GJ300" s="7"/>
      <c r="GK300" s="7"/>
    </row>
    <row r="301" spans="1:193" ht="15.5" x14ac:dyDescent="0.35">
      <c r="A301" s="12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80"/>
      <c r="GB301" s="7"/>
      <c r="GC301" s="58"/>
      <c r="GD301" s="7"/>
      <c r="GE301" s="7"/>
      <c r="GF301" s="7"/>
      <c r="GG301" s="7"/>
      <c r="GH301" s="7"/>
      <c r="GI301" s="7"/>
      <c r="GJ301" s="7"/>
      <c r="GK301" s="7"/>
    </row>
    <row r="302" spans="1:193" ht="15.5" x14ac:dyDescent="0.35">
      <c r="A302" s="12"/>
      <c r="B302" s="5" t="s">
        <v>1071</v>
      </c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</row>
    <row r="303" spans="1:193" ht="15.5" x14ac:dyDescent="0.35">
      <c r="A303" s="12" t="s">
        <v>1072</v>
      </c>
      <c r="B303" s="7" t="s">
        <v>671</v>
      </c>
      <c r="C303" s="7">
        <f t="shared" ref="C303:FX303" ca="1" si="159">C289+C300</f>
        <v>79052053.680000007</v>
      </c>
      <c r="D303" s="7">
        <f t="shared" ca="1" si="159"/>
        <v>445981124.5</v>
      </c>
      <c r="E303" s="7">
        <f t="shared" ca="1" si="159"/>
        <v>71451600.430000007</v>
      </c>
      <c r="F303" s="7">
        <f t="shared" ca="1" si="159"/>
        <v>279259860.22000003</v>
      </c>
      <c r="G303" s="7">
        <f t="shared" ca="1" si="159"/>
        <v>22103743.82</v>
      </c>
      <c r="H303" s="7">
        <f t="shared" ca="1" si="159"/>
        <v>13385447.9</v>
      </c>
      <c r="I303" s="7">
        <f t="shared" ca="1" si="159"/>
        <v>98882360.640000001</v>
      </c>
      <c r="J303" s="7">
        <f t="shared" ca="1" si="159"/>
        <v>24467328.670000002</v>
      </c>
      <c r="K303" s="7">
        <f t="shared" ca="1" si="159"/>
        <v>4312438.25</v>
      </c>
      <c r="L303" s="7">
        <f t="shared" ca="1" si="159"/>
        <v>26165974.879999999</v>
      </c>
      <c r="M303" s="7">
        <f t="shared" ca="1" si="159"/>
        <v>12949878.18</v>
      </c>
      <c r="N303" s="7">
        <f t="shared" ca="1" si="159"/>
        <v>591734292.39999998</v>
      </c>
      <c r="O303" s="7">
        <f t="shared" ca="1" si="159"/>
        <v>143765812.40000001</v>
      </c>
      <c r="P303" s="7">
        <f t="shared" ca="1" si="159"/>
        <v>5256442.2699999996</v>
      </c>
      <c r="Q303" s="7">
        <f t="shared" ca="1" si="159"/>
        <v>497020802.72000003</v>
      </c>
      <c r="R303" s="7">
        <f t="shared" ca="1" si="159"/>
        <v>79746543.269999996</v>
      </c>
      <c r="S303" s="7">
        <f t="shared" ca="1" si="159"/>
        <v>19269511.710000001</v>
      </c>
      <c r="T303" s="7">
        <f t="shared" ca="1" si="159"/>
        <v>3318152.62</v>
      </c>
      <c r="U303" s="7">
        <f t="shared" ca="1" si="159"/>
        <v>1410288.68</v>
      </c>
      <c r="V303" s="7">
        <f t="shared" ca="1" si="159"/>
        <v>4316362.38</v>
      </c>
      <c r="W303" s="7">
        <f t="shared" ca="1" si="159"/>
        <v>1480077.76</v>
      </c>
      <c r="X303" s="7">
        <f t="shared" ca="1" si="159"/>
        <v>1262581.68</v>
      </c>
      <c r="Y303" s="7">
        <f t="shared" ca="1" si="159"/>
        <v>11169795.210000001</v>
      </c>
      <c r="Z303" s="7">
        <f t="shared" ca="1" si="159"/>
        <v>3879323.23</v>
      </c>
      <c r="AA303" s="7">
        <f t="shared" ca="1" si="159"/>
        <v>352412400.11000001</v>
      </c>
      <c r="AB303" s="7">
        <f t="shared" ca="1" si="159"/>
        <v>312782805.33999997</v>
      </c>
      <c r="AC303" s="7">
        <f t="shared" ca="1" si="159"/>
        <v>11265780.48</v>
      </c>
      <c r="AD303" s="7">
        <f t="shared" ca="1" si="159"/>
        <v>16618866.029999999</v>
      </c>
      <c r="AE303" s="7">
        <f t="shared" ca="1" si="159"/>
        <v>2241390.11</v>
      </c>
      <c r="AF303" s="7">
        <f t="shared" ca="1" si="159"/>
        <v>3431505.06</v>
      </c>
      <c r="AG303" s="7">
        <f t="shared" ca="1" si="159"/>
        <v>8030694.9000000004</v>
      </c>
      <c r="AH303" s="7">
        <f t="shared" ca="1" si="159"/>
        <v>11751183.359999999</v>
      </c>
      <c r="AI303" s="7">
        <f t="shared" ca="1" si="159"/>
        <v>5477456.7800000003</v>
      </c>
      <c r="AJ303" s="7">
        <f t="shared" ca="1" si="159"/>
        <v>3713794.02</v>
      </c>
      <c r="AK303" s="7">
        <f t="shared" ca="1" si="159"/>
        <v>3458406.28</v>
      </c>
      <c r="AL303" s="7">
        <f t="shared" ca="1" si="159"/>
        <v>4717201.12</v>
      </c>
      <c r="AM303" s="7">
        <f t="shared" ca="1" si="159"/>
        <v>5240217.4400000004</v>
      </c>
      <c r="AN303" s="7">
        <f t="shared" ca="1" si="159"/>
        <v>4779906.71</v>
      </c>
      <c r="AO303" s="7">
        <f t="shared" ca="1" si="159"/>
        <v>50534324.149999999</v>
      </c>
      <c r="AP303" s="7">
        <f t="shared" ca="1" si="159"/>
        <v>1019506255.91</v>
      </c>
      <c r="AQ303" s="7">
        <f t="shared" ca="1" si="159"/>
        <v>4492088.3600000003</v>
      </c>
      <c r="AR303" s="7">
        <f t="shared" ca="1" si="159"/>
        <v>694618771.50999999</v>
      </c>
      <c r="AS303" s="7">
        <f t="shared" ca="1" si="159"/>
        <v>79299839.129999995</v>
      </c>
      <c r="AT303" s="7">
        <f t="shared" ca="1" si="159"/>
        <v>27506168.370000001</v>
      </c>
      <c r="AU303" s="7">
        <f t="shared" ca="1" si="159"/>
        <v>4675918.18</v>
      </c>
      <c r="AV303" s="7">
        <f t="shared" ca="1" si="159"/>
        <v>5120477.45</v>
      </c>
      <c r="AW303" s="7">
        <f t="shared" ca="1" si="159"/>
        <v>4494358.13</v>
      </c>
      <c r="AX303" s="7">
        <f t="shared" ca="1" si="159"/>
        <v>2057632.03</v>
      </c>
      <c r="AY303" s="7">
        <f t="shared" ca="1" si="159"/>
        <v>6020645.1799999997</v>
      </c>
      <c r="AZ303" s="7">
        <f t="shared" ca="1" si="159"/>
        <v>142626815.31999999</v>
      </c>
      <c r="BA303" s="7">
        <f t="shared" ca="1" si="159"/>
        <v>100627416.67</v>
      </c>
      <c r="BB303" s="7">
        <f t="shared" ca="1" si="159"/>
        <v>83817514.620000005</v>
      </c>
      <c r="BC303" s="7">
        <f t="shared" ca="1" si="159"/>
        <v>282823004.06999999</v>
      </c>
      <c r="BD303" s="7">
        <f t="shared" ca="1" si="159"/>
        <v>40101015.780000001</v>
      </c>
      <c r="BE303" s="7">
        <f t="shared" ca="1" si="159"/>
        <v>14211729.34</v>
      </c>
      <c r="BF303" s="7">
        <f t="shared" ca="1" si="159"/>
        <v>281878750.83999997</v>
      </c>
      <c r="BG303" s="7">
        <f t="shared" ca="1" si="159"/>
        <v>11992392.609999999</v>
      </c>
      <c r="BH303" s="7">
        <f t="shared" ca="1" si="159"/>
        <v>7631150.0199999996</v>
      </c>
      <c r="BI303" s="7">
        <f t="shared" ca="1" si="159"/>
        <v>4655443.62</v>
      </c>
      <c r="BJ303" s="7">
        <f t="shared" ca="1" si="159"/>
        <v>69582892.510000005</v>
      </c>
      <c r="BK303" s="7">
        <f t="shared" ca="1" si="159"/>
        <v>390659101.26999998</v>
      </c>
      <c r="BL303" s="7">
        <f t="shared" ca="1" si="159"/>
        <v>1967959.09</v>
      </c>
      <c r="BM303" s="7">
        <f t="shared" ca="1" si="159"/>
        <v>5436203.6900000004</v>
      </c>
      <c r="BN303" s="7">
        <f t="shared" ca="1" si="159"/>
        <v>35196799.289999999</v>
      </c>
      <c r="BO303" s="7">
        <f t="shared" ca="1" si="159"/>
        <v>14707253.09</v>
      </c>
      <c r="BP303" s="7">
        <f t="shared" ca="1" si="159"/>
        <v>3342513.9</v>
      </c>
      <c r="BQ303" s="7">
        <f t="shared" ca="1" si="159"/>
        <v>73180073.379999995</v>
      </c>
      <c r="BR303" s="7">
        <f t="shared" ca="1" si="159"/>
        <v>51838961.100000001</v>
      </c>
      <c r="BS303" s="7">
        <f t="shared" ca="1" si="159"/>
        <v>14896672.880000001</v>
      </c>
      <c r="BT303" s="7">
        <f t="shared" ca="1" si="159"/>
        <v>5808684.25</v>
      </c>
      <c r="BU303" s="7">
        <f t="shared" ca="1" si="159"/>
        <v>6031635.75</v>
      </c>
      <c r="BV303" s="7">
        <f t="shared" ca="1" si="159"/>
        <v>14808759.189999999</v>
      </c>
      <c r="BW303" s="7">
        <f t="shared" ca="1" si="159"/>
        <v>23767201.809999999</v>
      </c>
      <c r="BX303" s="7">
        <f t="shared" ca="1" si="159"/>
        <v>1747493.26</v>
      </c>
      <c r="BY303" s="7">
        <f t="shared" ca="1" si="159"/>
        <v>6226435.4199999999</v>
      </c>
      <c r="BZ303" s="7">
        <f t="shared" ca="1" si="159"/>
        <v>4027229.55</v>
      </c>
      <c r="CA303" s="7">
        <f t="shared" ca="1" si="159"/>
        <v>3145296</v>
      </c>
      <c r="CB303" s="7">
        <f t="shared" ca="1" si="159"/>
        <v>829325795.82000005</v>
      </c>
      <c r="CC303" s="7">
        <f t="shared" ca="1" si="159"/>
        <v>3591422.38</v>
      </c>
      <c r="CD303" s="7">
        <f t="shared" ca="1" si="159"/>
        <v>1211944.3999999999</v>
      </c>
      <c r="CE303" s="7">
        <f t="shared" ca="1" si="159"/>
        <v>3165905.17</v>
      </c>
      <c r="CF303" s="7">
        <f t="shared" ca="1" si="159"/>
        <v>2391611.64</v>
      </c>
      <c r="CG303" s="7">
        <f t="shared" ca="1" si="159"/>
        <v>3672390.33</v>
      </c>
      <c r="CH303" s="7">
        <f t="shared" ca="1" si="159"/>
        <v>2254948.56</v>
      </c>
      <c r="CI303" s="7">
        <f t="shared" ca="1" si="159"/>
        <v>8604631.9199999999</v>
      </c>
      <c r="CJ303" s="7">
        <f t="shared" ca="1" si="159"/>
        <v>11489962.68</v>
      </c>
      <c r="CK303" s="7">
        <f t="shared" ca="1" si="159"/>
        <v>57230299.68</v>
      </c>
      <c r="CL303" s="7">
        <f t="shared" ca="1" si="159"/>
        <v>15245739.859999999</v>
      </c>
      <c r="CM303" s="7">
        <f t="shared" ca="1" si="159"/>
        <v>9332190.8900000006</v>
      </c>
      <c r="CN303" s="7">
        <f t="shared" ca="1" si="159"/>
        <v>346567499.31999999</v>
      </c>
      <c r="CO303" s="7">
        <f t="shared" ca="1" si="159"/>
        <v>158501756.33000001</v>
      </c>
      <c r="CP303" s="7">
        <f t="shared" ca="1" si="159"/>
        <v>12173967.699999999</v>
      </c>
      <c r="CQ303" s="7">
        <f t="shared" ca="1" si="159"/>
        <v>10319943.82</v>
      </c>
      <c r="CR303" s="7">
        <f t="shared" ca="1" si="159"/>
        <v>3879878.58</v>
      </c>
      <c r="CS303" s="7">
        <f t="shared" ca="1" si="159"/>
        <v>4486541.0199999996</v>
      </c>
      <c r="CT303" s="7">
        <f t="shared" ca="1" si="159"/>
        <v>2570076.59</v>
      </c>
      <c r="CU303" s="7">
        <f t="shared" ca="1" si="159"/>
        <v>5447546.1399999997</v>
      </c>
      <c r="CV303" s="7">
        <f t="shared" ca="1" si="159"/>
        <v>1176684.73</v>
      </c>
      <c r="CW303" s="7">
        <f t="shared" ca="1" si="159"/>
        <v>3791096.75</v>
      </c>
      <c r="CX303" s="7">
        <f t="shared" ca="1" si="159"/>
        <v>6133963.3200000003</v>
      </c>
      <c r="CY303" s="7">
        <f t="shared" ca="1" si="159"/>
        <v>1248005.03</v>
      </c>
      <c r="CZ303" s="7">
        <f t="shared" ca="1" si="159"/>
        <v>21008137.969999999</v>
      </c>
      <c r="DA303" s="7">
        <f t="shared" ca="1" si="159"/>
        <v>3739031.97</v>
      </c>
      <c r="DB303" s="7">
        <f t="shared" ca="1" si="159"/>
        <v>4880964.34</v>
      </c>
      <c r="DC303" s="7">
        <f t="shared" ca="1" si="159"/>
        <v>3660350.21</v>
      </c>
      <c r="DD303" s="7">
        <f t="shared" ca="1" si="159"/>
        <v>3579436.51</v>
      </c>
      <c r="DE303" s="7">
        <f t="shared" ca="1" si="159"/>
        <v>4615219.92</v>
      </c>
      <c r="DF303" s="7">
        <f t="shared" ca="1" si="159"/>
        <v>229732560.37</v>
      </c>
      <c r="DG303" s="7">
        <f t="shared" ca="1" si="159"/>
        <v>2234952.04</v>
      </c>
      <c r="DH303" s="7">
        <f t="shared" ca="1" si="159"/>
        <v>20650989.93</v>
      </c>
      <c r="DI303" s="7">
        <f t="shared" ca="1" si="159"/>
        <v>28043177.52</v>
      </c>
      <c r="DJ303" s="7">
        <f t="shared" ca="1" si="159"/>
        <v>8211576.4000000004</v>
      </c>
      <c r="DK303" s="7">
        <f t="shared" ca="1" si="159"/>
        <v>6295019.5</v>
      </c>
      <c r="DL303" s="7">
        <f t="shared" ca="1" si="159"/>
        <v>66823620.409999996</v>
      </c>
      <c r="DM303" s="7">
        <f t="shared" ca="1" si="159"/>
        <v>4440075.55</v>
      </c>
      <c r="DN303" s="7">
        <f t="shared" ca="1" si="159"/>
        <v>16075280.23</v>
      </c>
      <c r="DO303" s="7">
        <f t="shared" ca="1" si="159"/>
        <v>38630398.159999996</v>
      </c>
      <c r="DP303" s="7">
        <f t="shared" ca="1" si="159"/>
        <v>3881904.38</v>
      </c>
      <c r="DQ303" s="7">
        <f t="shared" ca="1" si="159"/>
        <v>11138997.6</v>
      </c>
      <c r="DR303" s="7">
        <f t="shared" ca="1" si="159"/>
        <v>16125868.59</v>
      </c>
      <c r="DS303" s="7">
        <f t="shared" ca="1" si="159"/>
        <v>8220717.54</v>
      </c>
      <c r="DT303" s="7">
        <f t="shared" ca="1" si="159"/>
        <v>3708126.51</v>
      </c>
      <c r="DU303" s="7">
        <f t="shared" ca="1" si="159"/>
        <v>5288530.8899999997</v>
      </c>
      <c r="DV303" s="7">
        <f t="shared" ca="1" si="159"/>
        <v>3870179.44</v>
      </c>
      <c r="DW303" s="7">
        <f t="shared" ca="1" si="159"/>
        <v>4762020.5199999996</v>
      </c>
      <c r="DX303" s="7">
        <f t="shared" ca="1" si="159"/>
        <v>3811652.82</v>
      </c>
      <c r="DY303" s="7">
        <f t="shared" ca="1" si="159"/>
        <v>5093286.76</v>
      </c>
      <c r="DZ303" s="7">
        <f t="shared" ca="1" si="159"/>
        <v>9153990.4900000002</v>
      </c>
      <c r="EA303" s="7">
        <f t="shared" ca="1" si="159"/>
        <v>7265995.7999999998</v>
      </c>
      <c r="EB303" s="7">
        <f t="shared" ca="1" si="159"/>
        <v>7038996.6299999999</v>
      </c>
      <c r="EC303" s="7">
        <f t="shared" ca="1" si="159"/>
        <v>4335034.8099999996</v>
      </c>
      <c r="ED303" s="7">
        <f t="shared" ca="1" si="159"/>
        <v>23689244.559999999</v>
      </c>
      <c r="EE303" s="7">
        <f t="shared" ca="1" si="159"/>
        <v>3687045.68</v>
      </c>
      <c r="EF303" s="7">
        <f t="shared" ca="1" si="159"/>
        <v>16370469.24</v>
      </c>
      <c r="EG303" s="7">
        <f t="shared" ca="1" si="159"/>
        <v>4175170.93</v>
      </c>
      <c r="EH303" s="7">
        <f t="shared" ca="1" si="159"/>
        <v>4140789.68</v>
      </c>
      <c r="EI303" s="7">
        <f t="shared" ca="1" si="159"/>
        <v>162554647.53</v>
      </c>
      <c r="EJ303" s="7">
        <f t="shared" ca="1" si="159"/>
        <v>112123605.77</v>
      </c>
      <c r="EK303" s="7">
        <f t="shared" ca="1" si="159"/>
        <v>8375153.3300000001</v>
      </c>
      <c r="EL303" s="7">
        <f t="shared" ca="1" si="159"/>
        <v>5899050.4400000004</v>
      </c>
      <c r="EM303" s="7">
        <f t="shared" ca="1" si="159"/>
        <v>5485560.5599999996</v>
      </c>
      <c r="EN303" s="7">
        <f t="shared" ca="1" si="159"/>
        <v>11829639.640000001</v>
      </c>
      <c r="EO303" s="7">
        <f t="shared" ca="1" si="159"/>
        <v>4726223.4400000004</v>
      </c>
      <c r="EP303" s="7">
        <f t="shared" ca="1" si="159"/>
        <v>6204234.5099999998</v>
      </c>
      <c r="EQ303" s="7">
        <f t="shared" ca="1" si="159"/>
        <v>30746048.289999999</v>
      </c>
      <c r="ER303" s="7">
        <f t="shared" ca="1" si="159"/>
        <v>5131906.5</v>
      </c>
      <c r="ES303" s="7">
        <f t="shared" ca="1" si="159"/>
        <v>3353793.81</v>
      </c>
      <c r="ET303" s="7">
        <f t="shared" ca="1" si="159"/>
        <v>4356324.13</v>
      </c>
      <c r="EU303" s="7">
        <f t="shared" ca="1" si="159"/>
        <v>7963315.6799999997</v>
      </c>
      <c r="EV303" s="7">
        <f t="shared" ca="1" si="159"/>
        <v>1890492.83</v>
      </c>
      <c r="EW303" s="7">
        <f t="shared" ca="1" si="159"/>
        <v>13309322.109999999</v>
      </c>
      <c r="EX303" s="7">
        <f t="shared" ca="1" si="159"/>
        <v>3791058.95</v>
      </c>
      <c r="EY303" s="7">
        <f t="shared" ca="1" si="159"/>
        <v>7759567.2400000002</v>
      </c>
      <c r="EZ303" s="7">
        <f t="shared" ca="1" si="159"/>
        <v>2820167.82</v>
      </c>
      <c r="FA303" s="7">
        <f t="shared" ca="1" si="159"/>
        <v>42112505.409999996</v>
      </c>
      <c r="FB303" s="7">
        <f t="shared" ca="1" si="159"/>
        <v>4797387.76</v>
      </c>
      <c r="FC303" s="7">
        <f t="shared" ca="1" si="159"/>
        <v>21147856.920000002</v>
      </c>
      <c r="FD303" s="7">
        <f t="shared" ca="1" si="159"/>
        <v>5770108.4400000004</v>
      </c>
      <c r="FE303" s="7">
        <f t="shared" ca="1" si="159"/>
        <v>1963010.65</v>
      </c>
      <c r="FF303" s="7">
        <f t="shared" ca="1" si="159"/>
        <v>3691748.16</v>
      </c>
      <c r="FG303" s="7">
        <f t="shared" ca="1" si="159"/>
        <v>2729985.41</v>
      </c>
      <c r="FH303" s="7">
        <f t="shared" ca="1" si="159"/>
        <v>1718391.6</v>
      </c>
      <c r="FI303" s="7">
        <f t="shared" ca="1" si="159"/>
        <v>20443703.68</v>
      </c>
      <c r="FJ303" s="7">
        <f t="shared" ca="1" si="159"/>
        <v>22797589.829999998</v>
      </c>
      <c r="FK303" s="7">
        <f t="shared" ca="1" si="159"/>
        <v>29294622.940000001</v>
      </c>
      <c r="FL303" s="7">
        <f t="shared" ca="1" si="159"/>
        <v>94168128.030000001</v>
      </c>
      <c r="FM303" s="7">
        <f t="shared" ca="1" si="159"/>
        <v>44634765.020000003</v>
      </c>
      <c r="FN303" s="7">
        <f t="shared" ca="1" si="159"/>
        <v>263482240.59</v>
      </c>
      <c r="FO303" s="7">
        <f t="shared" ca="1" si="159"/>
        <v>13522225.609999999</v>
      </c>
      <c r="FP303" s="7">
        <f t="shared" ca="1" si="159"/>
        <v>27763436.34</v>
      </c>
      <c r="FQ303" s="7">
        <f t="shared" ca="1" si="159"/>
        <v>12038652.4</v>
      </c>
      <c r="FR303" s="7">
        <f t="shared" ca="1" si="159"/>
        <v>3396557.44</v>
      </c>
      <c r="FS303" s="7">
        <f t="shared" ca="1" si="159"/>
        <v>3389803.97</v>
      </c>
      <c r="FT303" s="7">
        <f t="shared" ca="1" si="159"/>
        <v>1489181.21</v>
      </c>
      <c r="FU303" s="7">
        <f t="shared" ca="1" si="159"/>
        <v>10636237.18</v>
      </c>
      <c r="FV303" s="7">
        <f t="shared" ca="1" si="159"/>
        <v>9131296.1099999994</v>
      </c>
      <c r="FW303" s="7">
        <f t="shared" ca="1" si="159"/>
        <v>3213284.85</v>
      </c>
      <c r="FX303" s="7">
        <f t="shared" ca="1" si="159"/>
        <v>1701192.38</v>
      </c>
      <c r="FY303" s="7"/>
      <c r="FZ303" s="82">
        <f t="shared" ref="FZ303:FZ307" ca="1" si="160">SUM(C303:FX303)</f>
        <v>9938172923.0300045</v>
      </c>
      <c r="GA303" s="62"/>
      <c r="GB303" s="62">
        <f t="shared" ref="GB303:GB307" ca="1" si="161">FZ303-GA303</f>
        <v>9938172923.0300045</v>
      </c>
      <c r="GC303" s="7"/>
      <c r="GD303" s="7"/>
      <c r="GE303" s="7"/>
      <c r="GF303" s="7"/>
      <c r="GG303" s="7"/>
      <c r="GH303" s="7"/>
      <c r="GI303" s="7"/>
      <c r="GJ303" s="7"/>
      <c r="GK303" s="7"/>
    </row>
    <row r="304" spans="1:193" ht="15.5" x14ac:dyDescent="0.35">
      <c r="A304" s="12" t="s">
        <v>1073</v>
      </c>
      <c r="B304" s="7" t="s">
        <v>1074</v>
      </c>
      <c r="C304" s="7">
        <f t="shared" ref="C304:FX304" ca="1" si="162">C290</f>
        <v>33577243.379540466</v>
      </c>
      <c r="D304" s="7">
        <f t="shared" ca="1" si="162"/>
        <v>122050153.72307038</v>
      </c>
      <c r="E304" s="7">
        <f t="shared" ca="1" si="162"/>
        <v>33051226.751967102</v>
      </c>
      <c r="F304" s="7">
        <f t="shared" ca="1" si="162"/>
        <v>89318024.700250193</v>
      </c>
      <c r="G304" s="7">
        <f t="shared" ca="1" si="162"/>
        <v>14498385.88150131</v>
      </c>
      <c r="H304" s="7">
        <f t="shared" ca="1" si="162"/>
        <v>3932704.3086785823</v>
      </c>
      <c r="I304" s="7">
        <f t="shared" ca="1" si="162"/>
        <v>31923489.544274572</v>
      </c>
      <c r="J304" s="7">
        <f t="shared" ca="1" si="162"/>
        <v>5261813.9282190474</v>
      </c>
      <c r="K304" s="7">
        <f t="shared" ca="1" si="162"/>
        <v>1392552.5972030573</v>
      </c>
      <c r="L304" s="7">
        <f t="shared" ca="1" si="162"/>
        <v>23995379.430089008</v>
      </c>
      <c r="M304" s="7">
        <f t="shared" ca="1" si="162"/>
        <v>8495915.3011018187</v>
      </c>
      <c r="N304" s="7">
        <f t="shared" ca="1" si="162"/>
        <v>179878384.98932433</v>
      </c>
      <c r="O304" s="7">
        <f t="shared" ca="1" si="162"/>
        <v>73776337.477119565</v>
      </c>
      <c r="P304" s="7">
        <f t="shared" ca="1" si="162"/>
        <v>1546004.3060999489</v>
      </c>
      <c r="Q304" s="7">
        <f t="shared" ca="1" si="162"/>
        <v>155598755.6677776</v>
      </c>
      <c r="R304" s="7">
        <f t="shared" ca="1" si="162"/>
        <v>2049923.1370213896</v>
      </c>
      <c r="S304" s="7">
        <f t="shared" ca="1" si="162"/>
        <v>15805564.749845723</v>
      </c>
      <c r="T304" s="7">
        <f t="shared" ca="1" si="162"/>
        <v>660634.28444545891</v>
      </c>
      <c r="U304" s="7">
        <f t="shared" ca="1" si="162"/>
        <v>739582.32398065529</v>
      </c>
      <c r="V304" s="7">
        <f t="shared" ca="1" si="162"/>
        <v>1058751.3498526947</v>
      </c>
      <c r="W304" s="7">
        <f t="shared" ca="1" si="162"/>
        <v>183902.80493671706</v>
      </c>
      <c r="X304" s="7">
        <f t="shared" ca="1" si="162"/>
        <v>299853.13395517523</v>
      </c>
      <c r="Y304" s="7">
        <f t="shared" ca="1" si="162"/>
        <v>1933136.9605826172</v>
      </c>
      <c r="Z304" s="7">
        <f t="shared" ca="1" si="162"/>
        <v>656631.67105138488</v>
      </c>
      <c r="AA304" s="7">
        <f t="shared" ca="1" si="162"/>
        <v>185381345.16353503</v>
      </c>
      <c r="AB304" s="7">
        <f t="shared" ca="1" si="162"/>
        <v>283463458.41918844</v>
      </c>
      <c r="AC304" s="7">
        <f t="shared" ca="1" si="162"/>
        <v>10044074.968465116</v>
      </c>
      <c r="AD304" s="7">
        <f t="shared" ca="1" si="162"/>
        <v>10101101.432298334</v>
      </c>
      <c r="AE304" s="7">
        <f t="shared" ca="1" si="162"/>
        <v>658085.8743210776</v>
      </c>
      <c r="AF304" s="7">
        <f t="shared" ca="1" si="162"/>
        <v>1148215.3928001451</v>
      </c>
      <c r="AG304" s="7">
        <f t="shared" ca="1" si="162"/>
        <v>4791476.0997080402</v>
      </c>
      <c r="AH304" s="7">
        <f t="shared" ca="1" si="162"/>
        <v>1053294.134960775</v>
      </c>
      <c r="AI304" s="7">
        <f t="shared" ca="1" si="162"/>
        <v>331771.32239643257</v>
      </c>
      <c r="AJ304" s="7">
        <f t="shared" ca="1" si="162"/>
        <v>991489.20526479895</v>
      </c>
      <c r="AK304" s="7">
        <f t="shared" ca="1" si="162"/>
        <v>1447608.3068550292</v>
      </c>
      <c r="AL304" s="7">
        <f t="shared" ca="1" si="162"/>
        <v>2514362.7032171222</v>
      </c>
      <c r="AM304" s="7">
        <f t="shared" ca="1" si="162"/>
        <v>1330088.7374864481</v>
      </c>
      <c r="AN304" s="7">
        <f t="shared" ca="1" si="162"/>
        <v>4365927.3246415323</v>
      </c>
      <c r="AO304" s="7">
        <f t="shared" ca="1" si="162"/>
        <v>16264608.791705638</v>
      </c>
      <c r="AP304" s="7">
        <f t="shared" ca="1" si="162"/>
        <v>674082570.65659761</v>
      </c>
      <c r="AQ304" s="7">
        <f t="shared" ca="1" si="162"/>
        <v>1787585.3212162736</v>
      </c>
      <c r="AR304" s="7">
        <f t="shared" ca="1" si="162"/>
        <v>290757999.32671642</v>
      </c>
      <c r="AS304" s="7">
        <f t="shared" ca="1" si="162"/>
        <v>59077192.689198114</v>
      </c>
      <c r="AT304" s="7">
        <f t="shared" ca="1" si="162"/>
        <v>11020967.801551856</v>
      </c>
      <c r="AU304" s="7">
        <f t="shared" ca="1" si="162"/>
        <v>1738770.6923370271</v>
      </c>
      <c r="AV304" s="7">
        <f t="shared" ca="1" si="162"/>
        <v>1250191.6990698965</v>
      </c>
      <c r="AW304" s="7">
        <f t="shared" ca="1" si="162"/>
        <v>959160.18369534716</v>
      </c>
      <c r="AX304" s="7">
        <f t="shared" ca="1" si="162"/>
        <v>664479.30007901578</v>
      </c>
      <c r="AY304" s="7">
        <f t="shared" ca="1" si="162"/>
        <v>1669785.2574207489</v>
      </c>
      <c r="AZ304" s="7">
        <f t="shared" ca="1" si="162"/>
        <v>17525146.516146116</v>
      </c>
      <c r="BA304" s="7">
        <f t="shared" ca="1" si="162"/>
        <v>26210500.386955999</v>
      </c>
      <c r="BB304" s="7">
        <f t="shared" ca="1" si="162"/>
        <v>7119432.8314184062</v>
      </c>
      <c r="BC304" s="7">
        <f t="shared" ca="1" si="162"/>
        <v>97421277.96542123</v>
      </c>
      <c r="BD304" s="7">
        <f t="shared" ca="1" si="162"/>
        <v>17045085.064198572</v>
      </c>
      <c r="BE304" s="7">
        <f t="shared" ca="1" si="162"/>
        <v>5660860.9757390609</v>
      </c>
      <c r="BF304" s="7">
        <f t="shared" ca="1" si="162"/>
        <v>82180783.778288096</v>
      </c>
      <c r="BG304" s="7">
        <f t="shared" ca="1" si="162"/>
        <v>1867670.0979381581</v>
      </c>
      <c r="BH304" s="7">
        <f t="shared" ca="1" si="162"/>
        <v>2252962.4108905317</v>
      </c>
      <c r="BI304" s="7">
        <f t="shared" ca="1" si="162"/>
        <v>743165.76096947747</v>
      </c>
      <c r="BJ304" s="7">
        <f t="shared" ca="1" si="162"/>
        <v>27852314.82888132</v>
      </c>
      <c r="BK304" s="7">
        <f t="shared" ca="1" si="162"/>
        <v>54086678.790676355</v>
      </c>
      <c r="BL304" s="7">
        <f t="shared" ca="1" si="162"/>
        <v>217253.93096649402</v>
      </c>
      <c r="BM304" s="7">
        <f t="shared" ca="1" si="162"/>
        <v>1134358.7904461897</v>
      </c>
      <c r="BN304" s="7">
        <f t="shared" ca="1" si="162"/>
        <v>10824688.431099476</v>
      </c>
      <c r="BO304" s="7">
        <f t="shared" ca="1" si="162"/>
        <v>4340153.0736531466</v>
      </c>
      <c r="BP304" s="7">
        <f t="shared" ca="1" si="162"/>
        <v>2802884.6587538598</v>
      </c>
      <c r="BQ304" s="7">
        <f t="shared" ca="1" si="162"/>
        <v>57612581.678319909</v>
      </c>
      <c r="BR304" s="7">
        <f t="shared" ca="1" si="162"/>
        <v>11778633.236844599</v>
      </c>
      <c r="BS304" s="7">
        <f t="shared" ca="1" si="162"/>
        <v>4076179.8843034338</v>
      </c>
      <c r="BT304" s="7">
        <f t="shared" ca="1" si="162"/>
        <v>3087519.2551995334</v>
      </c>
      <c r="BU304" s="7">
        <f t="shared" ca="1" si="162"/>
        <v>2442749.9872815395</v>
      </c>
      <c r="BV304" s="7">
        <f t="shared" ca="1" si="162"/>
        <v>13991122.23835797</v>
      </c>
      <c r="BW304" s="7">
        <f t="shared" ca="1" si="162"/>
        <v>18631284.503404584</v>
      </c>
      <c r="BX304" s="7">
        <f t="shared" ca="1" si="162"/>
        <v>1363693.695489815</v>
      </c>
      <c r="BY304" s="7">
        <f t="shared" ca="1" si="162"/>
        <v>3747865.2837329269</v>
      </c>
      <c r="BZ304" s="7">
        <f t="shared" ca="1" si="162"/>
        <v>1216640.406784907</v>
      </c>
      <c r="CA304" s="7">
        <f t="shared" ca="1" si="162"/>
        <v>2527080.6753126369</v>
      </c>
      <c r="CB304" s="7">
        <f t="shared" ca="1" si="162"/>
        <v>398779588.42631292</v>
      </c>
      <c r="CC304" s="7">
        <f t="shared" ca="1" si="162"/>
        <v>585953.74241974927</v>
      </c>
      <c r="CD304" s="7">
        <f t="shared" ca="1" si="162"/>
        <v>486759.55037128291</v>
      </c>
      <c r="CE304" s="7">
        <f t="shared" ca="1" si="162"/>
        <v>1244213.6149625636</v>
      </c>
      <c r="CF304" s="7">
        <f t="shared" ca="1" si="162"/>
        <v>784467.85302799824</v>
      </c>
      <c r="CG304" s="7">
        <f t="shared" ca="1" si="162"/>
        <v>706193.14755458268</v>
      </c>
      <c r="CH304" s="7">
        <f t="shared" ca="1" si="162"/>
        <v>504345.75612722291</v>
      </c>
      <c r="CI304" s="7">
        <f t="shared" ca="1" si="162"/>
        <v>3398182.433490945</v>
      </c>
      <c r="CJ304" s="7">
        <f t="shared" ca="1" si="162"/>
        <v>11176103.84</v>
      </c>
      <c r="CK304" s="7">
        <f t="shared" ca="1" si="162"/>
        <v>20269323.91151683</v>
      </c>
      <c r="CL304" s="7">
        <f t="shared" ca="1" si="162"/>
        <v>3614355.5583170662</v>
      </c>
      <c r="CM304" s="7">
        <f t="shared" ca="1" si="162"/>
        <v>2110706.8200031449</v>
      </c>
      <c r="CN304" s="7">
        <f t="shared" ca="1" si="162"/>
        <v>145426796.29018176</v>
      </c>
      <c r="CO304" s="7">
        <f t="shared" ca="1" si="162"/>
        <v>97307604.414999232</v>
      </c>
      <c r="CP304" s="7">
        <f t="shared" ca="1" si="162"/>
        <v>11439729.491607882</v>
      </c>
      <c r="CQ304" s="7">
        <f t="shared" ca="1" si="162"/>
        <v>3199862.9846131844</v>
      </c>
      <c r="CR304" s="7">
        <f t="shared" ca="1" si="162"/>
        <v>684309.6914024268</v>
      </c>
      <c r="CS304" s="7">
        <f t="shared" ca="1" si="162"/>
        <v>1576195.9357032788</v>
      </c>
      <c r="CT304" s="7">
        <f t="shared" ca="1" si="162"/>
        <v>889757.01879692252</v>
      </c>
      <c r="CU304" s="7">
        <f t="shared" ca="1" si="162"/>
        <v>488316.14212136471</v>
      </c>
      <c r="CV304" s="7">
        <f t="shared" ca="1" si="162"/>
        <v>394328.38258771051</v>
      </c>
      <c r="CW304" s="7">
        <f t="shared" ca="1" si="162"/>
        <v>1360520.3263395098</v>
      </c>
      <c r="CX304" s="7">
        <f t="shared" ca="1" si="162"/>
        <v>2435164.1103650779</v>
      </c>
      <c r="CY304" s="7">
        <f t="shared" ca="1" si="162"/>
        <v>183638.3649225322</v>
      </c>
      <c r="CZ304" s="7">
        <f t="shared" ca="1" si="162"/>
        <v>6939480.3723420305</v>
      </c>
      <c r="DA304" s="7">
        <f t="shared" ca="1" si="162"/>
        <v>1312426.9138986289</v>
      </c>
      <c r="DB304" s="7">
        <f t="shared" ca="1" si="162"/>
        <v>1178716.7151717336</v>
      </c>
      <c r="DC304" s="7">
        <f t="shared" ca="1" si="162"/>
        <v>1378342.193580539</v>
      </c>
      <c r="DD304" s="7">
        <f t="shared" ca="1" si="162"/>
        <v>1003179.104609352</v>
      </c>
      <c r="DE304" s="7">
        <f t="shared" ca="1" si="162"/>
        <v>2055318.0689518426</v>
      </c>
      <c r="DF304" s="7">
        <f t="shared" ca="1" si="162"/>
        <v>77500197.071746662</v>
      </c>
      <c r="DG304" s="7">
        <f t="shared" ca="1" si="162"/>
        <v>1676111.7666029253</v>
      </c>
      <c r="DH304" s="7">
        <f t="shared" ca="1" si="162"/>
        <v>10294242.027414937</v>
      </c>
      <c r="DI304" s="7">
        <f t="shared" ca="1" si="162"/>
        <v>14459360.436222866</v>
      </c>
      <c r="DJ304" s="7">
        <f t="shared" ca="1" si="162"/>
        <v>1778092.1887167871</v>
      </c>
      <c r="DK304" s="7">
        <f t="shared" ca="1" si="162"/>
        <v>1337772.7186327181</v>
      </c>
      <c r="DL304" s="7">
        <f t="shared" ca="1" si="162"/>
        <v>24745378.667346906</v>
      </c>
      <c r="DM304" s="7">
        <f t="shared" ca="1" si="162"/>
        <v>691848.03229843068</v>
      </c>
      <c r="DN304" s="7">
        <f t="shared" ca="1" si="162"/>
        <v>7623368.8785485355</v>
      </c>
      <c r="DO304" s="7">
        <f t="shared" ca="1" si="162"/>
        <v>10354960.037545934</v>
      </c>
      <c r="DP304" s="7">
        <f t="shared" ca="1" si="162"/>
        <v>917522.61094726203</v>
      </c>
      <c r="DQ304" s="7">
        <f t="shared" ca="1" si="162"/>
        <v>10729139.732953411</v>
      </c>
      <c r="DR304" s="7">
        <f t="shared" ca="1" si="162"/>
        <v>2651707.841694423</v>
      </c>
      <c r="DS304" s="7">
        <f t="shared" ca="1" si="162"/>
        <v>1214990.4284804005</v>
      </c>
      <c r="DT304" s="7">
        <f t="shared" ca="1" si="162"/>
        <v>326960.03876811347</v>
      </c>
      <c r="DU304" s="7">
        <f t="shared" ca="1" si="162"/>
        <v>869938.80868899089</v>
      </c>
      <c r="DV304" s="7">
        <f t="shared" ca="1" si="162"/>
        <v>263788.35732696857</v>
      </c>
      <c r="DW304" s="7">
        <f t="shared" ca="1" si="162"/>
        <v>655755.4742524965</v>
      </c>
      <c r="DX304" s="7">
        <f t="shared" ca="1" si="162"/>
        <v>2794986.170100939</v>
      </c>
      <c r="DY304" s="7">
        <f t="shared" ca="1" si="162"/>
        <v>3994263.0860337317</v>
      </c>
      <c r="DZ304" s="7">
        <f t="shared" ca="1" si="162"/>
        <v>5854748.5726282215</v>
      </c>
      <c r="EA304" s="7">
        <f t="shared" ca="1" si="162"/>
        <v>6659175.8950050557</v>
      </c>
      <c r="EB304" s="7">
        <f t="shared" ca="1" si="162"/>
        <v>2486309.1854463532</v>
      </c>
      <c r="EC304" s="7">
        <f t="shared" ca="1" si="162"/>
        <v>1081509.2115600074</v>
      </c>
      <c r="ED304" s="7">
        <f t="shared" ca="1" si="162"/>
        <v>23082753.859999999</v>
      </c>
      <c r="EE304" s="7">
        <f t="shared" ca="1" si="162"/>
        <v>507477.87524220132</v>
      </c>
      <c r="EF304" s="7">
        <f t="shared" ca="1" si="162"/>
        <v>2676211.8795601861</v>
      </c>
      <c r="EG304" s="7">
        <f t="shared" ca="1" si="162"/>
        <v>884665.38384760427</v>
      </c>
      <c r="EH304" s="7">
        <f t="shared" ca="1" si="162"/>
        <v>418177.34504549758</v>
      </c>
      <c r="EI304" s="7">
        <f t="shared" ca="1" si="162"/>
        <v>41187752.741830133</v>
      </c>
      <c r="EJ304" s="7">
        <f t="shared" ca="1" si="162"/>
        <v>33147419.910898414</v>
      </c>
      <c r="EK304" s="7">
        <f t="shared" ca="1" si="162"/>
        <v>3478376.6187752448</v>
      </c>
      <c r="EL304" s="7">
        <f t="shared" ca="1" si="162"/>
        <v>1775841.2251296125</v>
      </c>
      <c r="EM304" s="7">
        <f t="shared" ca="1" si="162"/>
        <v>2875907.5512804766</v>
      </c>
      <c r="EN304" s="7">
        <f t="shared" ca="1" si="162"/>
        <v>2315719.5898614153</v>
      </c>
      <c r="EO304" s="7">
        <f t="shared" ca="1" si="162"/>
        <v>1281387.5743316102</v>
      </c>
      <c r="EP304" s="7">
        <f t="shared" ca="1" si="162"/>
        <v>3976589.3998100809</v>
      </c>
      <c r="EQ304" s="7">
        <f t="shared" ca="1" si="162"/>
        <v>10921269.912394898</v>
      </c>
      <c r="ER304" s="7">
        <f t="shared" ca="1" si="162"/>
        <v>3163709.3861279846</v>
      </c>
      <c r="ES304" s="7">
        <f t="shared" ca="1" si="162"/>
        <v>1029616.447151643</v>
      </c>
      <c r="ET304" s="7">
        <f t="shared" ca="1" si="162"/>
        <v>1515676.6005718485</v>
      </c>
      <c r="EU304" s="7">
        <f t="shared" ca="1" si="162"/>
        <v>1291571.5320035878</v>
      </c>
      <c r="EV304" s="7">
        <f t="shared" ca="1" si="162"/>
        <v>1231707.5363417482</v>
      </c>
      <c r="EW304" s="7">
        <f t="shared" ca="1" si="162"/>
        <v>9770014.1136098988</v>
      </c>
      <c r="EX304" s="7">
        <f t="shared" ca="1" si="162"/>
        <v>520119.96730038646</v>
      </c>
      <c r="EY304" s="7">
        <f t="shared" ca="1" si="162"/>
        <v>934350.63170224964</v>
      </c>
      <c r="EZ304" s="7">
        <f t="shared" ca="1" si="162"/>
        <v>814619.44106131198</v>
      </c>
      <c r="FA304" s="7">
        <f t="shared" ca="1" si="162"/>
        <v>40543326.016425557</v>
      </c>
      <c r="FB304" s="7">
        <f t="shared" ca="1" si="162"/>
        <v>4327778.13</v>
      </c>
      <c r="FC304" s="7">
        <f t="shared" ca="1" si="162"/>
        <v>12869715.010105763</v>
      </c>
      <c r="FD304" s="7">
        <f t="shared" ca="1" si="162"/>
        <v>1499960.2217570737</v>
      </c>
      <c r="FE304" s="7">
        <f t="shared" ca="1" si="162"/>
        <v>647657.86522704922</v>
      </c>
      <c r="FF304" s="7">
        <f t="shared" ca="1" si="162"/>
        <v>675729.71132404322</v>
      </c>
      <c r="FG304" s="7">
        <f t="shared" ca="1" si="162"/>
        <v>832458.89899266022</v>
      </c>
      <c r="FH304" s="7">
        <f t="shared" ca="1" si="162"/>
        <v>936509.28570683068</v>
      </c>
      <c r="FI304" s="7">
        <f t="shared" ca="1" si="162"/>
        <v>13751402.110691497</v>
      </c>
      <c r="FJ304" s="7">
        <f t="shared" ca="1" si="162"/>
        <v>21935711.407813057</v>
      </c>
      <c r="FK304" s="7">
        <f t="shared" ca="1" si="162"/>
        <v>23485658.593684152</v>
      </c>
      <c r="FL304" s="7">
        <f t="shared" ca="1" si="162"/>
        <v>61987261.709745578</v>
      </c>
      <c r="FM304" s="7">
        <f t="shared" ca="1" si="162"/>
        <v>27702978.901836876</v>
      </c>
      <c r="FN304" s="7">
        <f t="shared" ca="1" si="162"/>
        <v>81893540.268315867</v>
      </c>
      <c r="FO304" s="7">
        <f t="shared" ca="1" si="162"/>
        <v>12893048.30375581</v>
      </c>
      <c r="FP304" s="7">
        <f t="shared" ca="1" si="162"/>
        <v>18727647.343856838</v>
      </c>
      <c r="FQ304" s="7">
        <f t="shared" ca="1" si="162"/>
        <v>11628643.91167468</v>
      </c>
      <c r="FR304" s="7">
        <f t="shared" ca="1" si="162"/>
        <v>3219166.3690876132</v>
      </c>
      <c r="FS304" s="7">
        <f t="shared" ca="1" si="162"/>
        <v>2254624.2091523698</v>
      </c>
      <c r="FT304" s="7">
        <f t="shared" ca="1" si="162"/>
        <v>1379724.24</v>
      </c>
      <c r="FU304" s="7">
        <f t="shared" ca="1" si="162"/>
        <v>4039454.8441747362</v>
      </c>
      <c r="FV304" s="7">
        <f t="shared" ca="1" si="162"/>
        <v>2891740.6976905726</v>
      </c>
      <c r="FW304" s="7">
        <f t="shared" ca="1" si="162"/>
        <v>556322.11147656757</v>
      </c>
      <c r="FX304" s="7">
        <f t="shared" ca="1" si="162"/>
        <v>434566.92928709852</v>
      </c>
      <c r="FY304" s="7"/>
      <c r="FZ304" s="82">
        <f t="shared" ca="1" si="160"/>
        <v>4262132104.3750119</v>
      </c>
      <c r="GA304" s="62"/>
      <c r="GB304" s="62">
        <f t="shared" ca="1" si="161"/>
        <v>4262132104.3750119</v>
      </c>
      <c r="GC304" s="7"/>
      <c r="GD304" s="7"/>
      <c r="GE304" s="7"/>
      <c r="GF304" s="7"/>
      <c r="GG304" s="7"/>
      <c r="GH304" s="7"/>
      <c r="GI304" s="7"/>
      <c r="GJ304" s="7"/>
      <c r="GK304" s="7"/>
    </row>
    <row r="305" spans="1:193" ht="15.5" x14ac:dyDescent="0.35">
      <c r="A305" s="12" t="s">
        <v>1075</v>
      </c>
      <c r="B305" s="7" t="s">
        <v>506</v>
      </c>
      <c r="C305" s="7">
        <f t="shared" ref="C305:FX305" si="163">C291</f>
        <v>2560686.85</v>
      </c>
      <c r="D305" s="7">
        <f t="shared" si="163"/>
        <v>6068580.4500000002</v>
      </c>
      <c r="E305" s="7">
        <f t="shared" si="163"/>
        <v>1444121.25</v>
      </c>
      <c r="F305" s="7">
        <f t="shared" si="163"/>
        <v>2186086.4300000002</v>
      </c>
      <c r="G305" s="7">
        <f t="shared" si="163"/>
        <v>428862.04</v>
      </c>
      <c r="H305" s="7">
        <f t="shared" si="163"/>
        <v>184982.61</v>
      </c>
      <c r="I305" s="7">
        <f t="shared" si="163"/>
        <v>1809421.81</v>
      </c>
      <c r="J305" s="7">
        <f t="shared" si="163"/>
        <v>600359.41</v>
      </c>
      <c r="K305" s="7">
        <f t="shared" si="163"/>
        <v>149409.51999999999</v>
      </c>
      <c r="L305" s="7">
        <f t="shared" si="163"/>
        <v>1285932.06</v>
      </c>
      <c r="M305" s="7">
        <f t="shared" si="163"/>
        <v>495734.92</v>
      </c>
      <c r="N305" s="7">
        <f t="shared" si="163"/>
        <v>12893543.369999999</v>
      </c>
      <c r="O305" s="7">
        <f t="shared" si="163"/>
        <v>5184910.91</v>
      </c>
      <c r="P305" s="7">
        <f t="shared" si="163"/>
        <v>98033.26</v>
      </c>
      <c r="Q305" s="7">
        <f t="shared" si="163"/>
        <v>6984070.2400000002</v>
      </c>
      <c r="R305" s="7">
        <f t="shared" si="163"/>
        <v>117387.96</v>
      </c>
      <c r="S305" s="7">
        <f t="shared" si="163"/>
        <v>941027.17</v>
      </c>
      <c r="T305" s="7">
        <f t="shared" si="163"/>
        <v>50774.68</v>
      </c>
      <c r="U305" s="7">
        <f t="shared" si="163"/>
        <v>51513.32</v>
      </c>
      <c r="V305" s="7">
        <f t="shared" si="163"/>
        <v>91452.54</v>
      </c>
      <c r="W305" s="7">
        <f t="shared" si="163"/>
        <v>20485.07</v>
      </c>
      <c r="X305" s="7">
        <f t="shared" si="163"/>
        <v>23503.47</v>
      </c>
      <c r="Y305" s="7">
        <f t="shared" si="163"/>
        <v>145352.82</v>
      </c>
      <c r="Z305" s="7">
        <f t="shared" si="163"/>
        <v>63731.5</v>
      </c>
      <c r="AA305" s="7">
        <f t="shared" si="163"/>
        <v>6802241.46</v>
      </c>
      <c r="AB305" s="7">
        <f t="shared" si="163"/>
        <v>12251040.92</v>
      </c>
      <c r="AC305" s="7">
        <f t="shared" si="163"/>
        <v>578302.21</v>
      </c>
      <c r="AD305" s="7">
        <f t="shared" si="163"/>
        <v>703196.53</v>
      </c>
      <c r="AE305" s="7">
        <f t="shared" si="163"/>
        <v>48617.120000000003</v>
      </c>
      <c r="AF305" s="7">
        <f t="shared" si="163"/>
        <v>86811.59</v>
      </c>
      <c r="AG305" s="7">
        <f t="shared" si="163"/>
        <v>322958.38</v>
      </c>
      <c r="AH305" s="7">
        <f t="shared" si="163"/>
        <v>172657.77</v>
      </c>
      <c r="AI305" s="7">
        <f t="shared" si="163"/>
        <v>53122.47</v>
      </c>
      <c r="AJ305" s="7">
        <f t="shared" si="163"/>
        <v>128163.01</v>
      </c>
      <c r="AK305" s="7">
        <f t="shared" si="163"/>
        <v>74603.09</v>
      </c>
      <c r="AL305" s="7">
        <f t="shared" si="163"/>
        <v>98388.41</v>
      </c>
      <c r="AM305" s="7">
        <f t="shared" si="163"/>
        <v>115377.55</v>
      </c>
      <c r="AN305" s="7">
        <f t="shared" si="163"/>
        <v>413990.07</v>
      </c>
      <c r="AO305" s="7">
        <f t="shared" si="163"/>
        <v>1676936.43</v>
      </c>
      <c r="AP305" s="7">
        <f t="shared" si="163"/>
        <v>37700132.310000002</v>
      </c>
      <c r="AQ305" s="7">
        <f t="shared" si="163"/>
        <v>97428.55</v>
      </c>
      <c r="AR305" s="7">
        <f t="shared" si="163"/>
        <v>21880966.199999999</v>
      </c>
      <c r="AS305" s="7">
        <f t="shared" si="163"/>
        <v>2513262.4</v>
      </c>
      <c r="AT305" s="7">
        <f t="shared" si="163"/>
        <v>1167107.3600000001</v>
      </c>
      <c r="AU305" s="7">
        <f t="shared" si="163"/>
        <v>178802.57</v>
      </c>
      <c r="AV305" s="7">
        <f t="shared" si="163"/>
        <v>179035.75</v>
      </c>
      <c r="AW305" s="7">
        <f t="shared" si="163"/>
        <v>102589.94</v>
      </c>
      <c r="AX305" s="7">
        <f t="shared" si="163"/>
        <v>78396.2</v>
      </c>
      <c r="AY305" s="7">
        <f t="shared" si="163"/>
        <v>127245.96</v>
      </c>
      <c r="AZ305" s="7">
        <f t="shared" si="163"/>
        <v>1512386.73</v>
      </c>
      <c r="BA305" s="7">
        <f t="shared" si="163"/>
        <v>2187937.56</v>
      </c>
      <c r="BB305" s="7">
        <f t="shared" si="163"/>
        <v>485771.55</v>
      </c>
      <c r="BC305" s="7">
        <f t="shared" si="163"/>
        <v>8539684.5500000007</v>
      </c>
      <c r="BD305" s="7">
        <f t="shared" si="163"/>
        <v>1409316.74</v>
      </c>
      <c r="BE305" s="7">
        <f t="shared" si="163"/>
        <v>425098.36</v>
      </c>
      <c r="BF305" s="7">
        <f t="shared" si="163"/>
        <v>6979427.0599999996</v>
      </c>
      <c r="BG305" s="7">
        <f t="shared" si="163"/>
        <v>115579.55</v>
      </c>
      <c r="BH305" s="7">
        <f t="shared" si="163"/>
        <v>147663.12</v>
      </c>
      <c r="BI305" s="7">
        <f t="shared" si="163"/>
        <v>55868.160000000003</v>
      </c>
      <c r="BJ305" s="7">
        <f t="shared" si="163"/>
        <v>1934186.26</v>
      </c>
      <c r="BK305" s="7">
        <f t="shared" si="163"/>
        <v>1031173.03</v>
      </c>
      <c r="BL305" s="7">
        <f t="shared" si="163"/>
        <v>18195.330000000002</v>
      </c>
      <c r="BM305" s="7">
        <f t="shared" si="163"/>
        <v>91995.89</v>
      </c>
      <c r="BN305" s="7">
        <f t="shared" si="163"/>
        <v>1139858.77</v>
      </c>
      <c r="BO305" s="7">
        <f t="shared" si="163"/>
        <v>396388.6</v>
      </c>
      <c r="BP305" s="7">
        <f t="shared" si="163"/>
        <v>245997.25</v>
      </c>
      <c r="BQ305" s="7">
        <f t="shared" si="163"/>
        <v>1733716.34</v>
      </c>
      <c r="BR305" s="7">
        <f t="shared" si="163"/>
        <v>459017.22</v>
      </c>
      <c r="BS305" s="7">
        <f t="shared" si="163"/>
        <v>258944.15</v>
      </c>
      <c r="BT305" s="7">
        <f t="shared" si="163"/>
        <v>149392.14000000001</v>
      </c>
      <c r="BU305" s="7">
        <f t="shared" si="163"/>
        <v>109362.84</v>
      </c>
      <c r="BV305" s="7">
        <f t="shared" si="163"/>
        <v>817601.21</v>
      </c>
      <c r="BW305" s="7">
        <f t="shared" si="163"/>
        <v>711654.23</v>
      </c>
      <c r="BX305" s="7">
        <f t="shared" si="163"/>
        <v>99943.77</v>
      </c>
      <c r="BY305" s="7">
        <f t="shared" si="163"/>
        <v>193396.48000000001</v>
      </c>
      <c r="BZ305" s="7">
        <f t="shared" si="163"/>
        <v>99867.18</v>
      </c>
      <c r="CA305" s="7">
        <f t="shared" si="163"/>
        <v>394616.81</v>
      </c>
      <c r="CB305" s="7">
        <f t="shared" si="163"/>
        <v>24768877.350000001</v>
      </c>
      <c r="CC305" s="7">
        <f t="shared" si="163"/>
        <v>91062.73</v>
      </c>
      <c r="CD305" s="7">
        <f t="shared" si="163"/>
        <v>72919.69</v>
      </c>
      <c r="CE305" s="7">
        <f t="shared" si="163"/>
        <v>104487.79</v>
      </c>
      <c r="CF305" s="7">
        <f t="shared" si="163"/>
        <v>86249.23</v>
      </c>
      <c r="CG305" s="7">
        <f t="shared" si="163"/>
        <v>74426.7</v>
      </c>
      <c r="CH305" s="7">
        <f t="shared" si="163"/>
        <v>33444.1</v>
      </c>
      <c r="CI305" s="7">
        <f t="shared" si="163"/>
        <v>320790.64</v>
      </c>
      <c r="CJ305" s="7">
        <f t="shared" si="163"/>
        <v>313858.84000000003</v>
      </c>
      <c r="CK305" s="7">
        <f t="shared" si="163"/>
        <v>1519908.61</v>
      </c>
      <c r="CL305" s="7">
        <f t="shared" si="163"/>
        <v>233618.03</v>
      </c>
      <c r="CM305" s="7">
        <f t="shared" si="163"/>
        <v>113893.58</v>
      </c>
      <c r="CN305" s="7">
        <f t="shared" si="163"/>
        <v>8605084.4100000001</v>
      </c>
      <c r="CO305" s="7">
        <f t="shared" si="163"/>
        <v>5153394.09</v>
      </c>
      <c r="CP305" s="7">
        <f t="shared" si="163"/>
        <v>734189.06</v>
      </c>
      <c r="CQ305" s="7">
        <f t="shared" si="163"/>
        <v>386426.67</v>
      </c>
      <c r="CR305" s="7">
        <f t="shared" si="163"/>
        <v>80485.73</v>
      </c>
      <c r="CS305" s="7">
        <f t="shared" si="163"/>
        <v>248224.67</v>
      </c>
      <c r="CT305" s="7">
        <f t="shared" si="163"/>
        <v>85958.85</v>
      </c>
      <c r="CU305" s="7">
        <f t="shared" si="163"/>
        <v>58359.59</v>
      </c>
      <c r="CV305" s="7">
        <f t="shared" si="163"/>
        <v>47858.69</v>
      </c>
      <c r="CW305" s="7">
        <f t="shared" si="163"/>
        <v>134115.63</v>
      </c>
      <c r="CX305" s="7">
        <f t="shared" si="163"/>
        <v>243713.34</v>
      </c>
      <c r="CY305" s="7">
        <f t="shared" si="163"/>
        <v>18970.75</v>
      </c>
      <c r="CZ305" s="7">
        <f t="shared" si="163"/>
        <v>629899.39</v>
      </c>
      <c r="DA305" s="7">
        <f t="shared" si="163"/>
        <v>123499.93</v>
      </c>
      <c r="DB305" s="7">
        <f t="shared" si="163"/>
        <v>101395.44</v>
      </c>
      <c r="DC305" s="7">
        <f t="shared" si="163"/>
        <v>112080.46</v>
      </c>
      <c r="DD305" s="7">
        <f t="shared" si="163"/>
        <v>97944.92</v>
      </c>
      <c r="DE305" s="7">
        <f t="shared" si="163"/>
        <v>288400.14</v>
      </c>
      <c r="DF305" s="7">
        <f t="shared" si="163"/>
        <v>7817551.8200000003</v>
      </c>
      <c r="DG305" s="7">
        <f t="shared" si="163"/>
        <v>118174.05</v>
      </c>
      <c r="DH305" s="7">
        <f t="shared" si="163"/>
        <v>1002544.97</v>
      </c>
      <c r="DI305" s="7">
        <f t="shared" si="163"/>
        <v>1169415.45</v>
      </c>
      <c r="DJ305" s="7">
        <f t="shared" si="163"/>
        <v>169846.5</v>
      </c>
      <c r="DK305" s="7">
        <f t="shared" si="163"/>
        <v>88144.5</v>
      </c>
      <c r="DL305" s="7">
        <f t="shared" si="163"/>
        <v>2420056.54</v>
      </c>
      <c r="DM305" s="7">
        <f t="shared" si="163"/>
        <v>77790.55</v>
      </c>
      <c r="DN305" s="7">
        <f t="shared" si="163"/>
        <v>628414.66</v>
      </c>
      <c r="DO305" s="7">
        <f t="shared" si="163"/>
        <v>761258.72</v>
      </c>
      <c r="DP305" s="7">
        <f t="shared" si="163"/>
        <v>77422.7</v>
      </c>
      <c r="DQ305" s="7">
        <f t="shared" si="163"/>
        <v>409714.16</v>
      </c>
      <c r="DR305" s="7">
        <f t="shared" si="163"/>
        <v>475735.48</v>
      </c>
      <c r="DS305" s="7">
        <f t="shared" si="163"/>
        <v>198489</v>
      </c>
      <c r="DT305" s="7">
        <f t="shared" si="163"/>
        <v>53085.02</v>
      </c>
      <c r="DU305" s="7">
        <f t="shared" si="163"/>
        <v>128255.13</v>
      </c>
      <c r="DV305" s="7">
        <f t="shared" si="163"/>
        <v>49041.63</v>
      </c>
      <c r="DW305" s="7">
        <f t="shared" si="163"/>
        <v>105819.77</v>
      </c>
      <c r="DX305" s="7">
        <f t="shared" si="163"/>
        <v>165524.42000000001</v>
      </c>
      <c r="DY305" s="7">
        <f t="shared" si="163"/>
        <v>211849.28</v>
      </c>
      <c r="DZ305" s="7">
        <f t="shared" si="163"/>
        <v>440337.14</v>
      </c>
      <c r="EA305" s="7">
        <f t="shared" si="163"/>
        <v>606678.97</v>
      </c>
      <c r="EB305" s="7">
        <f t="shared" si="163"/>
        <v>264983.83</v>
      </c>
      <c r="EC305" s="7">
        <f t="shared" si="163"/>
        <v>112196.29</v>
      </c>
      <c r="ED305" s="7">
        <f t="shared" si="163"/>
        <v>606490.69999999995</v>
      </c>
      <c r="EE305" s="7">
        <f t="shared" si="163"/>
        <v>69368.460000000006</v>
      </c>
      <c r="EF305" s="7">
        <f t="shared" si="163"/>
        <v>327633.84999999998</v>
      </c>
      <c r="EG305" s="7">
        <f t="shared" si="163"/>
        <v>120677.96</v>
      </c>
      <c r="EH305" s="7">
        <f t="shared" si="163"/>
        <v>51207.78</v>
      </c>
      <c r="EI305" s="7">
        <f t="shared" si="163"/>
        <v>3323220.8</v>
      </c>
      <c r="EJ305" s="7">
        <f t="shared" si="163"/>
        <v>2056399.34</v>
      </c>
      <c r="EK305" s="7">
        <f t="shared" si="163"/>
        <v>137117.85</v>
      </c>
      <c r="EL305" s="7">
        <f t="shared" si="163"/>
        <v>36713.550000000003</v>
      </c>
      <c r="EM305" s="7">
        <f t="shared" si="163"/>
        <v>247634.55</v>
      </c>
      <c r="EN305" s="7">
        <f t="shared" si="163"/>
        <v>285190.57</v>
      </c>
      <c r="EO305" s="7">
        <f t="shared" si="163"/>
        <v>144936.91</v>
      </c>
      <c r="EP305" s="7">
        <f t="shared" si="163"/>
        <v>223170.3</v>
      </c>
      <c r="EQ305" s="7">
        <f t="shared" si="163"/>
        <v>1024267.5</v>
      </c>
      <c r="ER305" s="7">
        <f t="shared" si="163"/>
        <v>209171.85</v>
      </c>
      <c r="ES305" s="7">
        <f t="shared" si="163"/>
        <v>106678.02</v>
      </c>
      <c r="ET305" s="7">
        <f t="shared" si="163"/>
        <v>133939.82999999999</v>
      </c>
      <c r="EU305" s="7">
        <f t="shared" si="163"/>
        <v>189375.43</v>
      </c>
      <c r="EV305" s="7">
        <f t="shared" si="163"/>
        <v>43464.959999999999</v>
      </c>
      <c r="EW305" s="7">
        <f t="shared" si="163"/>
        <v>341846.47</v>
      </c>
      <c r="EX305" s="7">
        <f t="shared" si="163"/>
        <v>19788.41</v>
      </c>
      <c r="EY305" s="7">
        <f t="shared" si="163"/>
        <v>106184.84</v>
      </c>
      <c r="EZ305" s="7">
        <f t="shared" si="163"/>
        <v>92250.34</v>
      </c>
      <c r="FA305" s="7">
        <f t="shared" si="163"/>
        <v>1567984.63</v>
      </c>
      <c r="FB305" s="7">
        <f t="shared" si="163"/>
        <v>469609.63</v>
      </c>
      <c r="FC305" s="7">
        <f t="shared" si="163"/>
        <v>926616</v>
      </c>
      <c r="FD305" s="7">
        <f t="shared" si="163"/>
        <v>157711.57</v>
      </c>
      <c r="FE305" s="7">
        <f t="shared" si="163"/>
        <v>64813.09</v>
      </c>
      <c r="FF305" s="7">
        <f t="shared" si="163"/>
        <v>70542.399999999994</v>
      </c>
      <c r="FG305" s="7">
        <f t="shared" si="163"/>
        <v>71488.67</v>
      </c>
      <c r="FH305" s="7">
        <f t="shared" si="163"/>
        <v>112198.64</v>
      </c>
      <c r="FI305" s="7">
        <f t="shared" si="163"/>
        <v>558618.73</v>
      </c>
      <c r="FJ305" s="7">
        <f t="shared" si="163"/>
        <v>861473.15</v>
      </c>
      <c r="FK305" s="7">
        <f t="shared" si="163"/>
        <v>927120.98</v>
      </c>
      <c r="FL305" s="7">
        <f t="shared" si="163"/>
        <v>1829177.87</v>
      </c>
      <c r="FM305" s="7">
        <f t="shared" si="163"/>
        <v>532404.37</v>
      </c>
      <c r="FN305" s="7">
        <f t="shared" si="163"/>
        <v>3532207.73</v>
      </c>
      <c r="FO305" s="7">
        <f t="shared" si="163"/>
        <v>629176.46</v>
      </c>
      <c r="FP305" s="7">
        <f t="shared" si="163"/>
        <v>752042.46</v>
      </c>
      <c r="FQ305" s="7">
        <f t="shared" si="163"/>
        <v>409839.03</v>
      </c>
      <c r="FR305" s="7">
        <f t="shared" si="163"/>
        <v>177143.45</v>
      </c>
      <c r="FS305" s="7">
        <f t="shared" si="163"/>
        <v>72860.350000000006</v>
      </c>
      <c r="FT305" s="7">
        <f t="shared" si="163"/>
        <v>109456.97</v>
      </c>
      <c r="FU305" s="7">
        <f t="shared" si="163"/>
        <v>297429.19</v>
      </c>
      <c r="FV305" s="7">
        <f t="shared" si="163"/>
        <v>195022.78</v>
      </c>
      <c r="FW305" s="7">
        <f t="shared" si="163"/>
        <v>48430.720000000001</v>
      </c>
      <c r="FX305" s="7">
        <f t="shared" si="163"/>
        <v>39107.11</v>
      </c>
      <c r="FY305" s="7"/>
      <c r="FZ305" s="82">
        <f t="shared" si="160"/>
        <v>249920454.66999993</v>
      </c>
      <c r="GA305" s="62"/>
      <c r="GB305" s="62">
        <f t="shared" si="161"/>
        <v>249920454.66999993</v>
      </c>
      <c r="GC305" s="7"/>
      <c r="GD305" s="7"/>
      <c r="GE305" s="7"/>
      <c r="GF305" s="7"/>
      <c r="GG305" s="7"/>
      <c r="GH305" s="7"/>
      <c r="GI305" s="7"/>
      <c r="GJ305" s="7"/>
      <c r="GK305" s="7"/>
    </row>
    <row r="306" spans="1:193" ht="15.5" x14ac:dyDescent="0.35">
      <c r="A306" s="12" t="s">
        <v>1076</v>
      </c>
      <c r="B306" s="7" t="s">
        <v>1064</v>
      </c>
      <c r="C306" s="7">
        <f t="shared" ref="C306:FX306" ca="1" si="164">IF(C303-C304-C305&lt;0,0,C303-C304-C305)</f>
        <v>42914123.45045954</v>
      </c>
      <c r="D306" s="7">
        <f t="shared" ca="1" si="164"/>
        <v>317862390.32692963</v>
      </c>
      <c r="E306" s="7">
        <f t="shared" ca="1" si="164"/>
        <v>36956252.428032905</v>
      </c>
      <c r="F306" s="7">
        <f t="shared" ca="1" si="164"/>
        <v>187755749.08974981</v>
      </c>
      <c r="G306" s="7">
        <f t="shared" ca="1" si="164"/>
        <v>7176495.8984986907</v>
      </c>
      <c r="H306" s="7">
        <f t="shared" ca="1" si="164"/>
        <v>9267760.9813214187</v>
      </c>
      <c r="I306" s="7">
        <f t="shared" ca="1" si="164"/>
        <v>65149449.28572543</v>
      </c>
      <c r="J306" s="7">
        <f t="shared" ca="1" si="164"/>
        <v>18605155.331780955</v>
      </c>
      <c r="K306" s="7">
        <f t="shared" ca="1" si="164"/>
        <v>2770476.1327969427</v>
      </c>
      <c r="L306" s="7">
        <f t="shared" ca="1" si="164"/>
        <v>884663.38991099084</v>
      </c>
      <c r="M306" s="7">
        <f t="shared" ca="1" si="164"/>
        <v>3958227.9588981811</v>
      </c>
      <c r="N306" s="7">
        <f t="shared" ca="1" si="164"/>
        <v>398962364.04067564</v>
      </c>
      <c r="O306" s="7">
        <f t="shared" ca="1" si="164"/>
        <v>64804564.012880445</v>
      </c>
      <c r="P306" s="7">
        <f t="shared" ca="1" si="164"/>
        <v>3612404.7039000508</v>
      </c>
      <c r="Q306" s="7">
        <f t="shared" ca="1" si="164"/>
        <v>334437976.81222242</v>
      </c>
      <c r="R306" s="7">
        <f t="shared" ca="1" si="164"/>
        <v>77579232.17297861</v>
      </c>
      <c r="S306" s="7">
        <f t="shared" ca="1" si="164"/>
        <v>2522919.7901542783</v>
      </c>
      <c r="T306" s="7">
        <f t="shared" ca="1" si="164"/>
        <v>2606743.6555545409</v>
      </c>
      <c r="U306" s="7">
        <f t="shared" ca="1" si="164"/>
        <v>619193.0360193447</v>
      </c>
      <c r="V306" s="7">
        <f t="shared" ca="1" si="164"/>
        <v>3166158.4901473052</v>
      </c>
      <c r="W306" s="7">
        <f t="shared" ca="1" si="164"/>
        <v>1275689.8850632829</v>
      </c>
      <c r="X306" s="7">
        <f t="shared" ca="1" si="164"/>
        <v>939225.07604482467</v>
      </c>
      <c r="Y306" s="7">
        <f t="shared" ca="1" si="164"/>
        <v>9091305.4294173829</v>
      </c>
      <c r="Z306" s="7">
        <f t="shared" ca="1" si="164"/>
        <v>3158960.0589486151</v>
      </c>
      <c r="AA306" s="7">
        <f t="shared" ca="1" si="164"/>
        <v>160228813.48646498</v>
      </c>
      <c r="AB306" s="7">
        <f t="shared" ca="1" si="164"/>
        <v>17068306.000811532</v>
      </c>
      <c r="AC306" s="7">
        <f t="shared" ca="1" si="164"/>
        <v>643403.30153488461</v>
      </c>
      <c r="AD306" s="7">
        <f t="shared" ca="1" si="164"/>
        <v>5814568.0677016648</v>
      </c>
      <c r="AE306" s="7">
        <f t="shared" ca="1" si="164"/>
        <v>1534687.1156789223</v>
      </c>
      <c r="AF306" s="7">
        <f t="shared" ca="1" si="164"/>
        <v>2196478.0771998549</v>
      </c>
      <c r="AG306" s="7">
        <f t="shared" ca="1" si="164"/>
        <v>2916260.4202919602</v>
      </c>
      <c r="AH306" s="7">
        <f t="shared" ca="1" si="164"/>
        <v>10525231.455039226</v>
      </c>
      <c r="AI306" s="7">
        <f t="shared" ca="1" si="164"/>
        <v>5092562.9876035675</v>
      </c>
      <c r="AJ306" s="7">
        <f t="shared" ca="1" si="164"/>
        <v>2594141.8047352014</v>
      </c>
      <c r="AK306" s="7">
        <f t="shared" ca="1" si="164"/>
        <v>1936194.8831449705</v>
      </c>
      <c r="AL306" s="7">
        <f t="shared" ca="1" si="164"/>
        <v>2104450.0067828777</v>
      </c>
      <c r="AM306" s="7">
        <f t="shared" ca="1" si="164"/>
        <v>3794751.1525135525</v>
      </c>
      <c r="AN306" s="7">
        <f t="shared" ca="1" si="164"/>
        <v>0</v>
      </c>
      <c r="AO306" s="7">
        <f t="shared" ca="1" si="164"/>
        <v>32592778.928294361</v>
      </c>
      <c r="AP306" s="7">
        <f t="shared" ca="1" si="164"/>
        <v>307723552.94340235</v>
      </c>
      <c r="AQ306" s="7">
        <f t="shared" ca="1" si="164"/>
        <v>2607074.4887837269</v>
      </c>
      <c r="AR306" s="7">
        <f t="shared" ca="1" si="164"/>
        <v>381979805.98328358</v>
      </c>
      <c r="AS306" s="7">
        <f t="shared" ca="1" si="164"/>
        <v>17709384.040801883</v>
      </c>
      <c r="AT306" s="7">
        <f t="shared" ca="1" si="164"/>
        <v>15318093.208448146</v>
      </c>
      <c r="AU306" s="7">
        <f t="shared" ca="1" si="164"/>
        <v>2758344.9176629731</v>
      </c>
      <c r="AV306" s="7">
        <f t="shared" ca="1" si="164"/>
        <v>3691250.0009301035</v>
      </c>
      <c r="AW306" s="7">
        <f t="shared" ca="1" si="164"/>
        <v>3432608.0063046529</v>
      </c>
      <c r="AX306" s="7">
        <f t="shared" ca="1" si="164"/>
        <v>1314756.5299209843</v>
      </c>
      <c r="AY306" s="7">
        <f t="shared" ca="1" si="164"/>
        <v>4223613.9625792513</v>
      </c>
      <c r="AZ306" s="7">
        <f t="shared" ca="1" si="164"/>
        <v>123589282.07385387</v>
      </c>
      <c r="BA306" s="7">
        <f t="shared" ca="1" si="164"/>
        <v>72228978.723044008</v>
      </c>
      <c r="BB306" s="7">
        <f t="shared" ca="1" si="164"/>
        <v>76212310.238581598</v>
      </c>
      <c r="BC306" s="7">
        <f t="shared" ca="1" si="164"/>
        <v>176862041.55457875</v>
      </c>
      <c r="BD306" s="7">
        <f t="shared" ca="1" si="164"/>
        <v>21646613.975801431</v>
      </c>
      <c r="BE306" s="7">
        <f t="shared" ca="1" si="164"/>
        <v>8125770.0042609377</v>
      </c>
      <c r="BF306" s="7">
        <f t="shared" ca="1" si="164"/>
        <v>192718540.00171188</v>
      </c>
      <c r="BG306" s="7">
        <f t="shared" ca="1" si="164"/>
        <v>10009142.962061841</v>
      </c>
      <c r="BH306" s="7">
        <f t="shared" ca="1" si="164"/>
        <v>5230524.4891094677</v>
      </c>
      <c r="BI306" s="7">
        <f t="shared" ca="1" si="164"/>
        <v>3856409.6990305223</v>
      </c>
      <c r="BJ306" s="7">
        <f t="shared" ca="1" si="164"/>
        <v>39796391.421118684</v>
      </c>
      <c r="BK306" s="7">
        <f t="shared" ca="1" si="164"/>
        <v>335541249.44932365</v>
      </c>
      <c r="BL306" s="7">
        <f t="shared" ca="1" si="164"/>
        <v>1732509.8290335061</v>
      </c>
      <c r="BM306" s="7">
        <f t="shared" ca="1" si="164"/>
        <v>4209849.0095538115</v>
      </c>
      <c r="BN306" s="7">
        <f t="shared" ca="1" si="164"/>
        <v>23232252.088900525</v>
      </c>
      <c r="BO306" s="7">
        <f t="shared" ca="1" si="164"/>
        <v>9970711.4163468536</v>
      </c>
      <c r="BP306" s="7">
        <f t="shared" ca="1" si="164"/>
        <v>293631.9912461401</v>
      </c>
      <c r="BQ306" s="7">
        <f t="shared" ca="1" si="164"/>
        <v>13833775.361680087</v>
      </c>
      <c r="BR306" s="7">
        <f t="shared" ca="1" si="164"/>
        <v>39601310.643155403</v>
      </c>
      <c r="BS306" s="7">
        <f t="shared" ca="1" si="164"/>
        <v>10561548.845696567</v>
      </c>
      <c r="BT306" s="7">
        <f t="shared" ca="1" si="164"/>
        <v>2571772.8548004664</v>
      </c>
      <c r="BU306" s="7">
        <f t="shared" ca="1" si="164"/>
        <v>3479522.9227184607</v>
      </c>
      <c r="BV306" s="7">
        <f t="shared" ca="1" si="164"/>
        <v>35.741642029024661</v>
      </c>
      <c r="BW306" s="7">
        <f t="shared" ca="1" si="164"/>
        <v>4424263.0765954144</v>
      </c>
      <c r="BX306" s="7">
        <f t="shared" ca="1" si="164"/>
        <v>283855.79451018502</v>
      </c>
      <c r="BY306" s="7">
        <f t="shared" ca="1" si="164"/>
        <v>2285173.656267073</v>
      </c>
      <c r="BZ306" s="7">
        <f t="shared" ca="1" si="164"/>
        <v>2710721.9632150927</v>
      </c>
      <c r="CA306" s="7">
        <f t="shared" ca="1" si="164"/>
        <v>223598.51468736312</v>
      </c>
      <c r="CB306" s="7">
        <f t="shared" ca="1" si="164"/>
        <v>405777330.04368711</v>
      </c>
      <c r="CC306" s="7">
        <f t="shared" ca="1" si="164"/>
        <v>2914405.9075802504</v>
      </c>
      <c r="CD306" s="7">
        <f t="shared" ca="1" si="164"/>
        <v>652265.159628717</v>
      </c>
      <c r="CE306" s="7">
        <f t="shared" ca="1" si="164"/>
        <v>1817203.7650374363</v>
      </c>
      <c r="CF306" s="7">
        <f t="shared" ca="1" si="164"/>
        <v>1520894.5569720019</v>
      </c>
      <c r="CG306" s="7">
        <f t="shared" ca="1" si="164"/>
        <v>2891770.482445417</v>
      </c>
      <c r="CH306" s="7">
        <f t="shared" ca="1" si="164"/>
        <v>1717158.7038727771</v>
      </c>
      <c r="CI306" s="7">
        <f t="shared" ca="1" si="164"/>
        <v>4885658.8465090552</v>
      </c>
      <c r="CJ306" s="7">
        <f t="shared" ca="1" si="164"/>
        <v>0</v>
      </c>
      <c r="CK306" s="7">
        <f t="shared" ca="1" si="164"/>
        <v>35441067.15848317</v>
      </c>
      <c r="CL306" s="7">
        <f t="shared" ca="1" si="164"/>
        <v>11397766.271682935</v>
      </c>
      <c r="CM306" s="7">
        <f t="shared" ca="1" si="164"/>
        <v>7107590.4899968561</v>
      </c>
      <c r="CN306" s="7">
        <f t="shared" ca="1" si="164"/>
        <v>192535618.61981824</v>
      </c>
      <c r="CO306" s="7">
        <f t="shared" ca="1" si="164"/>
        <v>56040757.825000778</v>
      </c>
      <c r="CP306" s="7">
        <f t="shared" ca="1" si="164"/>
        <v>49.1483921171166</v>
      </c>
      <c r="CQ306" s="7">
        <f t="shared" ca="1" si="164"/>
        <v>6733654.1653868165</v>
      </c>
      <c r="CR306" s="7">
        <f t="shared" ca="1" si="164"/>
        <v>3115083.1585975732</v>
      </c>
      <c r="CS306" s="7">
        <f t="shared" ca="1" si="164"/>
        <v>2662120.4142967211</v>
      </c>
      <c r="CT306" s="7">
        <f t="shared" ca="1" si="164"/>
        <v>1594360.7212030771</v>
      </c>
      <c r="CU306" s="7">
        <f t="shared" ca="1" si="164"/>
        <v>4900870.4078786355</v>
      </c>
      <c r="CV306" s="7">
        <f t="shared" ca="1" si="164"/>
        <v>734497.65741228941</v>
      </c>
      <c r="CW306" s="7">
        <f t="shared" ca="1" si="164"/>
        <v>2296460.7936604903</v>
      </c>
      <c r="CX306" s="7">
        <f t="shared" ca="1" si="164"/>
        <v>3455085.8696349226</v>
      </c>
      <c r="CY306" s="7">
        <f t="shared" ca="1" si="164"/>
        <v>1045395.9150774679</v>
      </c>
      <c r="CZ306" s="7">
        <f t="shared" ca="1" si="164"/>
        <v>13438758.207657967</v>
      </c>
      <c r="DA306" s="7">
        <f t="shared" ca="1" si="164"/>
        <v>2303105.1261013714</v>
      </c>
      <c r="DB306" s="7">
        <f t="shared" ca="1" si="164"/>
        <v>3600852.184828266</v>
      </c>
      <c r="DC306" s="7">
        <f t="shared" ca="1" si="164"/>
        <v>2169927.556419461</v>
      </c>
      <c r="DD306" s="7">
        <f t="shared" ca="1" si="164"/>
        <v>2478312.4853906478</v>
      </c>
      <c r="DE306" s="7">
        <f t="shared" ca="1" si="164"/>
        <v>2271501.7110481574</v>
      </c>
      <c r="DF306" s="7">
        <f t="shared" ca="1" si="164"/>
        <v>144414811.47825336</v>
      </c>
      <c r="DG306" s="7">
        <f t="shared" ca="1" si="164"/>
        <v>440666.22339707479</v>
      </c>
      <c r="DH306" s="7">
        <f t="shared" ca="1" si="164"/>
        <v>9354202.9325850625</v>
      </c>
      <c r="DI306" s="7">
        <f t="shared" ca="1" si="164"/>
        <v>12414401.633777134</v>
      </c>
      <c r="DJ306" s="7">
        <f t="shared" ca="1" si="164"/>
        <v>6263637.7112832135</v>
      </c>
      <c r="DK306" s="7">
        <f t="shared" ca="1" si="164"/>
        <v>4869102.2813672815</v>
      </c>
      <c r="DL306" s="7">
        <f t="shared" ca="1" si="164"/>
        <v>39658185.202653088</v>
      </c>
      <c r="DM306" s="7">
        <f t="shared" ca="1" si="164"/>
        <v>3670436.9677015692</v>
      </c>
      <c r="DN306" s="7">
        <f t="shared" ca="1" si="164"/>
        <v>7823496.6914514638</v>
      </c>
      <c r="DO306" s="7">
        <f t="shared" ca="1" si="164"/>
        <v>27514179.402454063</v>
      </c>
      <c r="DP306" s="7">
        <f t="shared" ca="1" si="164"/>
        <v>2886959.0690527377</v>
      </c>
      <c r="DQ306" s="7">
        <f t="shared" ca="1" si="164"/>
        <v>143.70704658905743</v>
      </c>
      <c r="DR306" s="7">
        <f t="shared" ca="1" si="164"/>
        <v>12998425.268305577</v>
      </c>
      <c r="DS306" s="7">
        <f t="shared" ca="1" si="164"/>
        <v>6807238.1115195993</v>
      </c>
      <c r="DT306" s="7">
        <f t="shared" ca="1" si="164"/>
        <v>3328081.4512318862</v>
      </c>
      <c r="DU306" s="7">
        <f t="shared" ca="1" si="164"/>
        <v>4290336.951311009</v>
      </c>
      <c r="DV306" s="7">
        <f t="shared" ca="1" si="164"/>
        <v>3557349.4526730315</v>
      </c>
      <c r="DW306" s="7">
        <f t="shared" ca="1" si="164"/>
        <v>4000445.2757475032</v>
      </c>
      <c r="DX306" s="7">
        <f t="shared" ca="1" si="164"/>
        <v>851142.2298990608</v>
      </c>
      <c r="DY306" s="7">
        <f t="shared" ca="1" si="164"/>
        <v>887174.39396626805</v>
      </c>
      <c r="DZ306" s="7">
        <f t="shared" ca="1" si="164"/>
        <v>2858904.7773717786</v>
      </c>
      <c r="EA306" s="7">
        <f t="shared" ca="1" si="164"/>
        <v>140.93499494413845</v>
      </c>
      <c r="EB306" s="7">
        <f t="shared" ca="1" si="164"/>
        <v>4287703.6145536471</v>
      </c>
      <c r="EC306" s="7">
        <f t="shared" ca="1" si="164"/>
        <v>3141329.3084399924</v>
      </c>
      <c r="ED306" s="7">
        <f t="shared" ca="1" si="164"/>
        <v>0</v>
      </c>
      <c r="EE306" s="7">
        <f t="shared" ca="1" si="164"/>
        <v>3110199.3447577991</v>
      </c>
      <c r="EF306" s="7">
        <f t="shared" ca="1" si="164"/>
        <v>13366623.510439815</v>
      </c>
      <c r="EG306" s="7">
        <f t="shared" ca="1" si="164"/>
        <v>3169827.5861523962</v>
      </c>
      <c r="EH306" s="7">
        <f t="shared" ca="1" si="164"/>
        <v>3671404.5549545027</v>
      </c>
      <c r="EI306" s="7">
        <f t="shared" ca="1" si="164"/>
        <v>118043673.98816986</v>
      </c>
      <c r="EJ306" s="7">
        <f t="shared" ca="1" si="164"/>
        <v>76919786.519101575</v>
      </c>
      <c r="EK306" s="7">
        <f t="shared" ca="1" si="164"/>
        <v>4759658.8612247556</v>
      </c>
      <c r="EL306" s="7">
        <f t="shared" ca="1" si="164"/>
        <v>4086495.6648703879</v>
      </c>
      <c r="EM306" s="7">
        <f t="shared" ca="1" si="164"/>
        <v>2362018.4587195232</v>
      </c>
      <c r="EN306" s="7">
        <f t="shared" ca="1" si="164"/>
        <v>9228729.480138585</v>
      </c>
      <c r="EO306" s="7">
        <f t="shared" ca="1" si="164"/>
        <v>3299898.9556683898</v>
      </c>
      <c r="EP306" s="7">
        <f t="shared" ca="1" si="164"/>
        <v>2004474.8101899188</v>
      </c>
      <c r="EQ306" s="7">
        <f t="shared" ca="1" si="164"/>
        <v>18800510.877605103</v>
      </c>
      <c r="ER306" s="7">
        <f t="shared" ca="1" si="164"/>
        <v>1759025.2638720153</v>
      </c>
      <c r="ES306" s="7">
        <f t="shared" ca="1" si="164"/>
        <v>2217499.3428483573</v>
      </c>
      <c r="ET306" s="7">
        <f t="shared" ca="1" si="164"/>
        <v>2706707.6994281514</v>
      </c>
      <c r="EU306" s="7">
        <f t="shared" ca="1" si="164"/>
        <v>6482368.717996412</v>
      </c>
      <c r="EV306" s="7">
        <f t="shared" ca="1" si="164"/>
        <v>615320.33365825191</v>
      </c>
      <c r="EW306" s="7">
        <f t="shared" ca="1" si="164"/>
        <v>3197461.5263901008</v>
      </c>
      <c r="EX306" s="7">
        <f t="shared" ca="1" si="164"/>
        <v>3251150.5726996134</v>
      </c>
      <c r="EY306" s="7">
        <f t="shared" ca="1" si="164"/>
        <v>6719031.7682977505</v>
      </c>
      <c r="EZ306" s="7">
        <f t="shared" ca="1" si="164"/>
        <v>1913298.0389386879</v>
      </c>
      <c r="FA306" s="7">
        <f t="shared" ca="1" si="164"/>
        <v>1194.7635744391009</v>
      </c>
      <c r="FB306" s="7">
        <f t="shared" ca="1" si="164"/>
        <v>0</v>
      </c>
      <c r="FC306" s="7">
        <f t="shared" ca="1" si="164"/>
        <v>7351525.9098942392</v>
      </c>
      <c r="FD306" s="7">
        <f t="shared" ca="1" si="164"/>
        <v>4112436.6482429267</v>
      </c>
      <c r="FE306" s="7">
        <f t="shared" ca="1" si="164"/>
        <v>1250539.6947729506</v>
      </c>
      <c r="FF306" s="7">
        <f t="shared" ca="1" si="164"/>
        <v>2945476.0486759571</v>
      </c>
      <c r="FG306" s="7">
        <f t="shared" ca="1" si="164"/>
        <v>1826037.84100734</v>
      </c>
      <c r="FH306" s="7">
        <f t="shared" ca="1" si="164"/>
        <v>669683.6742931694</v>
      </c>
      <c r="FI306" s="7">
        <f t="shared" ca="1" si="164"/>
        <v>6133682.8393085022</v>
      </c>
      <c r="FJ306" s="7">
        <f t="shared" ca="1" si="164"/>
        <v>405.27218694088515</v>
      </c>
      <c r="FK306" s="7">
        <f t="shared" ca="1" si="164"/>
        <v>4881843.3663158491</v>
      </c>
      <c r="FL306" s="7">
        <f t="shared" ca="1" si="164"/>
        <v>30351688.450254422</v>
      </c>
      <c r="FM306" s="7">
        <f t="shared" ca="1" si="164"/>
        <v>16399381.748163128</v>
      </c>
      <c r="FN306" s="7">
        <f t="shared" ca="1" si="164"/>
        <v>178056492.59168413</v>
      </c>
      <c r="FO306" s="7">
        <f t="shared" ca="1" si="164"/>
        <v>0.84624418895691633</v>
      </c>
      <c r="FP306" s="7">
        <f t="shared" ca="1" si="164"/>
        <v>8283746.5361431623</v>
      </c>
      <c r="FQ306" s="7">
        <f t="shared" ca="1" si="164"/>
        <v>169.45832532015629</v>
      </c>
      <c r="FR306" s="7">
        <f t="shared" ca="1" si="164"/>
        <v>247.62091238674475</v>
      </c>
      <c r="FS306" s="7">
        <f t="shared" ca="1" si="164"/>
        <v>1062319.4108476304</v>
      </c>
      <c r="FT306" s="7">
        <f t="shared" ca="1" si="164"/>
        <v>0</v>
      </c>
      <c r="FU306" s="7">
        <f t="shared" ca="1" si="164"/>
        <v>6299353.1458252631</v>
      </c>
      <c r="FV306" s="7">
        <f t="shared" ca="1" si="164"/>
        <v>6044532.6323094266</v>
      </c>
      <c r="FW306" s="7">
        <f t="shared" ca="1" si="164"/>
        <v>2608532.0185234323</v>
      </c>
      <c r="FX306" s="7">
        <f t="shared" ca="1" si="164"/>
        <v>1227518.3407129012</v>
      </c>
      <c r="FY306" s="7"/>
      <c r="FZ306" s="82">
        <f t="shared" ca="1" si="160"/>
        <v>5426120374.669631</v>
      </c>
      <c r="GA306" s="62"/>
      <c r="GB306" s="62">
        <f t="shared" ca="1" si="161"/>
        <v>5426120374.669631</v>
      </c>
      <c r="GC306" s="7"/>
      <c r="GD306" s="7"/>
      <c r="GE306" s="7"/>
      <c r="GF306" s="7"/>
      <c r="GG306" s="7"/>
      <c r="GH306" s="7"/>
      <c r="GI306" s="7"/>
      <c r="GJ306" s="7"/>
      <c r="GK306" s="7"/>
    </row>
    <row r="307" spans="1:193" ht="15.5" x14ac:dyDescent="0.35">
      <c r="A307" s="12" t="s">
        <v>1077</v>
      </c>
      <c r="B307" s="7" t="s">
        <v>1078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0</v>
      </c>
      <c r="EY307" s="7">
        <v>0</v>
      </c>
      <c r="EZ307" s="7">
        <v>0</v>
      </c>
      <c r="FA307" s="7">
        <v>0</v>
      </c>
      <c r="FB307" s="7">
        <v>0</v>
      </c>
      <c r="FC307" s="7">
        <v>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  <c r="FK307" s="7">
        <v>0</v>
      </c>
      <c r="FL307" s="7">
        <v>0</v>
      </c>
      <c r="FM307" s="7">
        <v>0</v>
      </c>
      <c r="FN307" s="7">
        <v>0</v>
      </c>
      <c r="FO307" s="7">
        <v>0</v>
      </c>
      <c r="FP307" s="7">
        <v>0</v>
      </c>
      <c r="FQ307" s="7">
        <v>0</v>
      </c>
      <c r="FR307" s="7">
        <v>0</v>
      </c>
      <c r="FS307" s="7">
        <v>0</v>
      </c>
      <c r="FT307" s="7">
        <v>0</v>
      </c>
      <c r="FU307" s="7">
        <v>0</v>
      </c>
      <c r="FV307" s="7">
        <v>0</v>
      </c>
      <c r="FW307" s="7">
        <v>0</v>
      </c>
      <c r="FX307" s="7">
        <v>0</v>
      </c>
      <c r="FY307" s="7"/>
      <c r="FZ307" s="82">
        <f t="shared" si="160"/>
        <v>0</v>
      </c>
      <c r="GA307" s="62"/>
      <c r="GB307" s="62">
        <f t="shared" si="161"/>
        <v>0</v>
      </c>
      <c r="GC307" s="7"/>
      <c r="GD307" s="7"/>
      <c r="GE307" s="7"/>
      <c r="GF307" s="7"/>
      <c r="GG307" s="7"/>
      <c r="GH307" s="7"/>
      <c r="GI307" s="7"/>
      <c r="GJ307" s="7"/>
      <c r="GK307" s="7"/>
    </row>
    <row r="308" spans="1:193" ht="15.5" x14ac:dyDescent="0.3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>
        <v>115733</v>
      </c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>
        <f>FA307-FA308</f>
        <v>0</v>
      </c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>
        <v>410873</v>
      </c>
      <c r="FQ308" s="7"/>
      <c r="FR308" s="7"/>
      <c r="FS308" s="7"/>
      <c r="FT308" s="7"/>
      <c r="FU308" s="7"/>
      <c r="FV308" s="7"/>
      <c r="FW308" s="7"/>
      <c r="FX308" s="7"/>
      <c r="FY308" s="7"/>
      <c r="FZ308" s="82"/>
      <c r="GA308" s="86" t="s">
        <v>717</v>
      </c>
      <c r="GB308" s="7"/>
      <c r="GC308" s="113"/>
      <c r="GD308" s="7"/>
      <c r="GE308" s="7"/>
      <c r="GF308" s="7"/>
      <c r="GG308" s="7"/>
      <c r="GH308" s="7"/>
      <c r="GI308" s="7"/>
      <c r="GJ308" s="7"/>
      <c r="GK308" s="7"/>
    </row>
    <row r="309" spans="1:193" ht="15.5" x14ac:dyDescent="0.35">
      <c r="A309" s="12" t="s">
        <v>1079</v>
      </c>
      <c r="B309" s="7" t="s">
        <v>1080</v>
      </c>
      <c r="C309" s="7">
        <f t="shared" ref="C309:FX309" ca="1" si="165">(C303-C307)/C103</f>
        <v>12086.545933797112</v>
      </c>
      <c r="D309" s="7">
        <f t="shared" ca="1" si="165"/>
        <v>11517.988566750342</v>
      </c>
      <c r="E309" s="7">
        <f t="shared" ca="1" si="165"/>
        <v>12428.526775091321</v>
      </c>
      <c r="F309" s="7">
        <f t="shared" ca="1" si="165"/>
        <v>11425.5965329602</v>
      </c>
      <c r="G309" s="7">
        <f t="shared" ca="1" si="165"/>
        <v>11980.348953929539</v>
      </c>
      <c r="H309" s="7">
        <f t="shared" ca="1" si="165"/>
        <v>12205.204613841524</v>
      </c>
      <c r="I309" s="7">
        <f t="shared" ca="1" si="165"/>
        <v>12253.080624535316</v>
      </c>
      <c r="J309" s="7">
        <f t="shared" ca="1" si="165"/>
        <v>11838.266242500484</v>
      </c>
      <c r="K309" s="7">
        <f t="shared" ca="1" si="165"/>
        <v>17133.246920937625</v>
      </c>
      <c r="L309" s="7">
        <f t="shared" ca="1" si="165"/>
        <v>12135.789100691063</v>
      </c>
      <c r="M309" s="7">
        <f t="shared" ca="1" si="165"/>
        <v>13621.413884506152</v>
      </c>
      <c r="N309" s="7">
        <f t="shared" ca="1" si="165"/>
        <v>11684.631806342944</v>
      </c>
      <c r="O309" s="7">
        <f t="shared" ca="1" si="165"/>
        <v>11133.934233759797</v>
      </c>
      <c r="P309" s="7">
        <f t="shared" ca="1" si="165"/>
        <v>16671.24094513162</v>
      </c>
      <c r="Q309" s="7">
        <f t="shared" ca="1" si="165"/>
        <v>12572.047279037179</v>
      </c>
      <c r="R309" s="7">
        <f t="shared" ca="1" si="165"/>
        <v>11230.642078357367</v>
      </c>
      <c r="S309" s="7">
        <f t="shared" ca="1" si="165"/>
        <v>12002.934913417217</v>
      </c>
      <c r="T309" s="7">
        <f t="shared" ca="1" si="165"/>
        <v>20596.850527622595</v>
      </c>
      <c r="U309" s="7">
        <f t="shared" ca="1" si="165"/>
        <v>25410.606846846847</v>
      </c>
      <c r="V309" s="7">
        <f t="shared" ca="1" si="165"/>
        <v>16834.486661466461</v>
      </c>
      <c r="W309" s="7">
        <f t="shared" ca="1" si="165"/>
        <v>24791.922278056951</v>
      </c>
      <c r="X309" s="7">
        <f t="shared" ca="1" si="165"/>
        <v>25251.633599999997</v>
      </c>
      <c r="Y309" s="7">
        <f t="shared" ca="1" si="165"/>
        <v>12448.228251420931</v>
      </c>
      <c r="Z309" s="7">
        <f t="shared" ca="1" si="165"/>
        <v>16786.340242319344</v>
      </c>
      <c r="AA309" s="7">
        <f t="shared" ca="1" si="165"/>
        <v>11379.190766195565</v>
      </c>
      <c r="AB309" s="7">
        <f t="shared" ca="1" si="165"/>
        <v>11491.256368298846</v>
      </c>
      <c r="AC309" s="7">
        <f t="shared" ca="1" si="165"/>
        <v>12430.52022509103</v>
      </c>
      <c r="AD309" s="7">
        <f t="shared" ca="1" si="165"/>
        <v>11528.070220588235</v>
      </c>
      <c r="AE309" s="7">
        <f t="shared" ca="1" si="165"/>
        <v>23107.114536082474</v>
      </c>
      <c r="AF309" s="7">
        <f t="shared" ca="1" si="165"/>
        <v>20486.597373134329</v>
      </c>
      <c r="AG309" s="7">
        <f t="shared" ca="1" si="165"/>
        <v>13359.998170021627</v>
      </c>
      <c r="AH309" s="7">
        <f t="shared" ca="1" si="165"/>
        <v>12270.21338623786</v>
      </c>
      <c r="AI309" s="7">
        <f t="shared" ca="1" si="165"/>
        <v>14301.453733681463</v>
      </c>
      <c r="AJ309" s="7">
        <f t="shared" ca="1" si="165"/>
        <v>20461.675041322313</v>
      </c>
      <c r="AK309" s="7">
        <f t="shared" ca="1" si="165"/>
        <v>20871.492335546169</v>
      </c>
      <c r="AL309" s="7">
        <f t="shared" ca="1" si="165"/>
        <v>16350.783778162911</v>
      </c>
      <c r="AM309" s="7">
        <f t="shared" ca="1" si="165"/>
        <v>14861.649007373795</v>
      </c>
      <c r="AN309" s="7">
        <f t="shared" ca="1" si="165"/>
        <v>15906.511514143094</v>
      </c>
      <c r="AO309" s="7">
        <f t="shared" ca="1" si="165"/>
        <v>11468.13211165324</v>
      </c>
      <c r="AP309" s="7">
        <f t="shared" ca="1" si="165"/>
        <v>12029.061372142303</v>
      </c>
      <c r="AQ309" s="7">
        <f t="shared" ca="1" si="165"/>
        <v>17896.766374501993</v>
      </c>
      <c r="AR309" s="7">
        <f t="shared" ca="1" si="165"/>
        <v>11174.4929145398</v>
      </c>
      <c r="AS309" s="7">
        <f t="shared" ca="1" si="165"/>
        <v>12199.97525076923</v>
      </c>
      <c r="AT309" s="7">
        <f t="shared" ca="1" si="165"/>
        <v>11639.373887102236</v>
      </c>
      <c r="AU309" s="7">
        <f t="shared" ca="1" si="165"/>
        <v>17254.310627306273</v>
      </c>
      <c r="AV309" s="7">
        <f t="shared" ca="1" si="165"/>
        <v>16766.461853307141</v>
      </c>
      <c r="AW309" s="7">
        <f t="shared" ca="1" si="165"/>
        <v>17487.774824902725</v>
      </c>
      <c r="AX309" s="7">
        <f t="shared" ca="1" si="165"/>
        <v>25402.864567901233</v>
      </c>
      <c r="AY309" s="7">
        <f t="shared" ca="1" si="165"/>
        <v>14800.012733529989</v>
      </c>
      <c r="AZ309" s="7">
        <f t="shared" ca="1" si="165"/>
        <v>11669.296972771304</v>
      </c>
      <c r="BA309" s="7">
        <f t="shared" ca="1" si="165"/>
        <v>11014.02281777087</v>
      </c>
      <c r="BB309" s="7">
        <f t="shared" ca="1" si="165"/>
        <v>11080.670335655646</v>
      </c>
      <c r="BC309" s="7">
        <f t="shared" ca="1" si="165"/>
        <v>11450.370409191939</v>
      </c>
      <c r="BD309" s="7">
        <f t="shared" ca="1" si="165"/>
        <v>11024.334235051547</v>
      </c>
      <c r="BE309" s="7">
        <f t="shared" ca="1" si="165"/>
        <v>11855.951731041961</v>
      </c>
      <c r="BF309" s="7">
        <f t="shared" ca="1" si="165"/>
        <v>11004.741524851352</v>
      </c>
      <c r="BG309" s="7">
        <f t="shared" ca="1" si="165"/>
        <v>13026.713675863566</v>
      </c>
      <c r="BH309" s="7">
        <f t="shared" ca="1" si="165"/>
        <v>13078.234824335903</v>
      </c>
      <c r="BI309" s="7">
        <f t="shared" ca="1" si="165"/>
        <v>18086.416550116552</v>
      </c>
      <c r="BJ309" s="7">
        <f t="shared" ca="1" si="165"/>
        <v>11018.843134491442</v>
      </c>
      <c r="BK309" s="7">
        <f t="shared" ca="1" si="165"/>
        <v>11115.100458079991</v>
      </c>
      <c r="BL309" s="7">
        <f t="shared" ca="1" si="165"/>
        <v>25458.720439844761</v>
      </c>
      <c r="BM309" s="7">
        <f t="shared" ca="1" si="165"/>
        <v>15129.985221263569</v>
      </c>
      <c r="BN309" s="7">
        <f t="shared" ca="1" si="165"/>
        <v>11189.216457909461</v>
      </c>
      <c r="BO309" s="7">
        <f t="shared" ca="1" si="165"/>
        <v>11697.489135448979</v>
      </c>
      <c r="BP309" s="7">
        <f t="shared" ca="1" si="165"/>
        <v>20838.615336658353</v>
      </c>
      <c r="BQ309" s="7">
        <f t="shared" ca="1" si="165"/>
        <v>12430.369849843728</v>
      </c>
      <c r="BR309" s="7">
        <f t="shared" ca="1" si="165"/>
        <v>11549.541284199271</v>
      </c>
      <c r="BS309" s="7">
        <f t="shared" ca="1" si="165"/>
        <v>12863.028132285643</v>
      </c>
      <c r="BT309" s="7">
        <f t="shared" ca="1" si="165"/>
        <v>15593.783221476509</v>
      </c>
      <c r="BU309" s="7">
        <f t="shared" ca="1" si="165"/>
        <v>15320.385445770891</v>
      </c>
      <c r="BV309" s="7">
        <f t="shared" ca="1" si="165"/>
        <v>11891.720220027302</v>
      </c>
      <c r="BW309" s="7">
        <f t="shared" ca="1" si="165"/>
        <v>11780.521343246592</v>
      </c>
      <c r="BX309" s="7">
        <f t="shared" ca="1" si="165"/>
        <v>26278.094135338346</v>
      </c>
      <c r="BY309" s="7">
        <f t="shared" ca="1" si="165"/>
        <v>14456.548456001858</v>
      </c>
      <c r="BZ309" s="7">
        <f t="shared" ca="1" si="165"/>
        <v>17663.287499999999</v>
      </c>
      <c r="CA309" s="7">
        <f t="shared" ca="1" si="165"/>
        <v>21513.652530779756</v>
      </c>
      <c r="CB309" s="7">
        <f t="shared" ca="1" si="165"/>
        <v>11261.449451610408</v>
      </c>
      <c r="CC309" s="7">
        <f t="shared" ca="1" si="165"/>
        <v>18972.12033808769</v>
      </c>
      <c r="CD309" s="7">
        <f t="shared" ca="1" si="165"/>
        <v>24238.887999999999</v>
      </c>
      <c r="CE309" s="7">
        <f t="shared" ca="1" si="165"/>
        <v>19999.400947567909</v>
      </c>
      <c r="CF309" s="7">
        <f t="shared" ca="1" si="165"/>
        <v>21258.770133333335</v>
      </c>
      <c r="CG309" s="7">
        <f t="shared" ca="1" si="165"/>
        <v>18371.137218609303</v>
      </c>
      <c r="CH309" s="7">
        <f t="shared" ca="1" si="165"/>
        <v>23367.342590673576</v>
      </c>
      <c r="CI309" s="7">
        <f t="shared" ca="1" si="165"/>
        <v>12508.550545137376</v>
      </c>
      <c r="CJ309" s="7">
        <f t="shared" ca="1" si="165"/>
        <v>13172.031044365471</v>
      </c>
      <c r="CK309" s="7">
        <f t="shared" ca="1" si="165"/>
        <v>11652.305747734908</v>
      </c>
      <c r="CL309" s="7">
        <f t="shared" ca="1" si="165"/>
        <v>12315.808918329427</v>
      </c>
      <c r="CM309" s="7">
        <f t="shared" ca="1" si="165"/>
        <v>13576.070541169625</v>
      </c>
      <c r="CN309" s="7">
        <f t="shared" ca="1" si="165"/>
        <v>10989.478769544938</v>
      </c>
      <c r="CO309" s="7">
        <f t="shared" ca="1" si="165"/>
        <v>11011.119115368851</v>
      </c>
      <c r="CP309" s="7">
        <f t="shared" ca="1" si="165"/>
        <v>13028.646939212329</v>
      </c>
      <c r="CQ309" s="7">
        <f t="shared" ca="1" si="165"/>
        <v>13400.784079989611</v>
      </c>
      <c r="CR309" s="7">
        <f t="shared" ca="1" si="165"/>
        <v>17979.048100092677</v>
      </c>
      <c r="CS309" s="7">
        <f t="shared" ca="1" si="165"/>
        <v>15714.679579684762</v>
      </c>
      <c r="CT309" s="7">
        <f t="shared" ca="1" si="165"/>
        <v>22643.846607929514</v>
      </c>
      <c r="CU309" s="7">
        <f t="shared" ca="1" si="165"/>
        <v>11595.457939548744</v>
      </c>
      <c r="CV309" s="7">
        <f t="shared" ca="1" si="165"/>
        <v>23533.694599999999</v>
      </c>
      <c r="CW309" s="7">
        <f t="shared" ca="1" si="165"/>
        <v>19079.500503271265</v>
      </c>
      <c r="CX309" s="7">
        <f t="shared" ca="1" si="165"/>
        <v>13294.242132639793</v>
      </c>
      <c r="CY309" s="7">
        <f t="shared" ca="1" si="165"/>
        <v>24960.100600000002</v>
      </c>
      <c r="CZ309" s="7">
        <f t="shared" ca="1" si="165"/>
        <v>11627.262547044498</v>
      </c>
      <c r="DA309" s="7">
        <f t="shared" ca="1" si="165"/>
        <v>18373.621474201474</v>
      </c>
      <c r="DB309" s="7">
        <f t="shared" ca="1" si="165"/>
        <v>15455.8718809373</v>
      </c>
      <c r="DC309" s="7">
        <f t="shared" ca="1" si="165"/>
        <v>18965.545129533679</v>
      </c>
      <c r="DD309" s="7">
        <f t="shared" ca="1" si="165"/>
        <v>20512.530143266475</v>
      </c>
      <c r="DE309" s="7">
        <f t="shared" ca="1" si="165"/>
        <v>16176.725972660357</v>
      </c>
      <c r="DF309" s="7">
        <f t="shared" ca="1" si="165"/>
        <v>11026.492487016791</v>
      </c>
      <c r="DG309" s="7">
        <f t="shared" ca="1" si="165"/>
        <v>23903.23037433155</v>
      </c>
      <c r="DH309" s="7">
        <f t="shared" ca="1" si="165"/>
        <v>11438.456812894648</v>
      </c>
      <c r="DI309" s="7">
        <f t="shared" ca="1" si="165"/>
        <v>11435.459576723892</v>
      </c>
      <c r="DJ309" s="7">
        <f t="shared" ca="1" si="165"/>
        <v>13159.577564102565</v>
      </c>
      <c r="DK309" s="7">
        <f t="shared" ca="1" si="165"/>
        <v>13150.239189471486</v>
      </c>
      <c r="DL309" s="7">
        <f t="shared" ca="1" si="165"/>
        <v>11735.795646294344</v>
      </c>
      <c r="DM309" s="7">
        <f t="shared" ca="1" si="165"/>
        <v>18893.938510638298</v>
      </c>
      <c r="DN309" s="7">
        <f t="shared" ca="1" si="165"/>
        <v>12403.765609567901</v>
      </c>
      <c r="DO309" s="7">
        <f t="shared" ca="1" si="165"/>
        <v>11741.762358662612</v>
      </c>
      <c r="DP309" s="7">
        <f t="shared" ca="1" si="165"/>
        <v>19409.5219</v>
      </c>
      <c r="DQ309" s="7">
        <f t="shared" ca="1" si="165"/>
        <v>12543.916216216216</v>
      </c>
      <c r="DR309" s="7">
        <f t="shared" ca="1" si="165"/>
        <v>12261.153124999999</v>
      </c>
      <c r="DS309" s="7">
        <f t="shared" ca="1" si="165"/>
        <v>13703.479813302218</v>
      </c>
      <c r="DT309" s="7">
        <f t="shared" ca="1" si="165"/>
        <v>21009.215354107648</v>
      </c>
      <c r="DU309" s="7">
        <f t="shared" ca="1" si="165"/>
        <v>15049.888702333523</v>
      </c>
      <c r="DV309" s="7">
        <f t="shared" ca="1" si="165"/>
        <v>18606.631923076922</v>
      </c>
      <c r="DW309" s="7">
        <f t="shared" ca="1" si="165"/>
        <v>15862.826515656228</v>
      </c>
      <c r="DX309" s="7">
        <f t="shared" ca="1" si="165"/>
        <v>22688.409642857143</v>
      </c>
      <c r="DY309" s="7">
        <f t="shared" ca="1" si="165"/>
        <v>17172.241267700603</v>
      </c>
      <c r="DZ309" s="7">
        <f t="shared" ca="1" si="165"/>
        <v>13426.21075095336</v>
      </c>
      <c r="EA309" s="7">
        <f t="shared" ca="1" si="165"/>
        <v>13693.923482849603</v>
      </c>
      <c r="EB309" s="7">
        <f t="shared" ca="1" si="165"/>
        <v>13171.775130988024</v>
      </c>
      <c r="EC309" s="7">
        <f t="shared" ca="1" si="165"/>
        <v>15205.313258505785</v>
      </c>
      <c r="ED309" s="7">
        <f t="shared" ca="1" si="165"/>
        <v>15167.911742860801</v>
      </c>
      <c r="EE309" s="7">
        <f t="shared" ca="1" si="165"/>
        <v>19243.453444676412</v>
      </c>
      <c r="EF309" s="7">
        <f t="shared" ca="1" si="165"/>
        <v>12079.744126328216</v>
      </c>
      <c r="EG309" s="7">
        <f t="shared" ca="1" si="165"/>
        <v>16470.102287968442</v>
      </c>
      <c r="EH309" s="7">
        <f t="shared" ca="1" si="165"/>
        <v>16737.225869037997</v>
      </c>
      <c r="EI309" s="7">
        <f t="shared" ca="1" si="165"/>
        <v>11702.745623204682</v>
      </c>
      <c r="EJ309" s="7">
        <f t="shared" ca="1" si="165"/>
        <v>11008.375381186612</v>
      </c>
      <c r="EK309" s="7">
        <f t="shared" ca="1" si="165"/>
        <v>12524.530177957229</v>
      </c>
      <c r="EL309" s="7">
        <f t="shared" ca="1" si="165"/>
        <v>12840.771528080106</v>
      </c>
      <c r="EM309" s="7">
        <f t="shared" ca="1" si="165"/>
        <v>14508.226818302035</v>
      </c>
      <c r="EN309" s="7">
        <f t="shared" ca="1" si="165"/>
        <v>12586.061964038729</v>
      </c>
      <c r="EO309" s="7">
        <f t="shared" ca="1" si="165"/>
        <v>15475.518795022923</v>
      </c>
      <c r="EP309" s="7">
        <f t="shared" ca="1" si="165"/>
        <v>14478.960350058342</v>
      </c>
      <c r="EQ309" s="7">
        <f t="shared" ca="1" si="165"/>
        <v>11751.279731692401</v>
      </c>
      <c r="ER309" s="7">
        <f t="shared" ca="1" si="165"/>
        <v>16575.925387596897</v>
      </c>
      <c r="ES309" s="7">
        <f t="shared" ca="1" si="165"/>
        <v>20575.422147239264</v>
      </c>
      <c r="ET309" s="7">
        <f t="shared" ca="1" si="165"/>
        <v>22057.337367088607</v>
      </c>
      <c r="EU309" s="7">
        <f t="shared" ca="1" si="165"/>
        <v>13842.022735963845</v>
      </c>
      <c r="EV309" s="7">
        <f t="shared" ca="1" si="165"/>
        <v>26039.846143250692</v>
      </c>
      <c r="EW309" s="7">
        <f t="shared" ca="1" si="165"/>
        <v>16242.765572370026</v>
      </c>
      <c r="EX309" s="7">
        <f t="shared" ca="1" si="165"/>
        <v>21850.48386167147</v>
      </c>
      <c r="EY309" s="7">
        <f t="shared" ca="1" si="165"/>
        <v>11819.599756283322</v>
      </c>
      <c r="EZ309" s="7">
        <f t="shared" ca="1" si="165"/>
        <v>21811.04269141531</v>
      </c>
      <c r="FA309" s="7">
        <f t="shared" ca="1" si="165"/>
        <v>12396.239670905452</v>
      </c>
      <c r="FB309" s="7">
        <f t="shared" ca="1" si="165"/>
        <v>16651.81450885109</v>
      </c>
      <c r="FC309" s="7">
        <f t="shared" ca="1" si="165"/>
        <v>11580.252392947104</v>
      </c>
      <c r="FD309" s="7">
        <f t="shared" ca="1" si="165"/>
        <v>14353.503582089554</v>
      </c>
      <c r="FE309" s="7">
        <f t="shared" ca="1" si="165"/>
        <v>24848.236075949368</v>
      </c>
      <c r="FF309" s="7">
        <f t="shared" ca="1" si="165"/>
        <v>19955.395459459462</v>
      </c>
      <c r="FG309" s="7">
        <f t="shared" ca="1" si="165"/>
        <v>22599.216970198679</v>
      </c>
      <c r="FH309" s="7">
        <f t="shared" ca="1" si="165"/>
        <v>24548.451428571429</v>
      </c>
      <c r="FI309" s="7">
        <f t="shared" ca="1" si="165"/>
        <v>12008.049151248164</v>
      </c>
      <c r="FJ309" s="7">
        <f t="shared" ca="1" si="165"/>
        <v>11305.524339201585</v>
      </c>
      <c r="FK309" s="7">
        <f t="shared" ca="1" si="165"/>
        <v>11583.022790716066</v>
      </c>
      <c r="FL309" s="7">
        <f t="shared" ca="1" si="165"/>
        <v>11028.650000585583</v>
      </c>
      <c r="FM309" s="7">
        <f t="shared" ca="1" si="165"/>
        <v>11210.540002511618</v>
      </c>
      <c r="FN309" s="7">
        <f t="shared" ca="1" si="165"/>
        <v>11604.437756382871</v>
      </c>
      <c r="FO309" s="7">
        <f t="shared" ca="1" si="165"/>
        <v>12082.045755897068</v>
      </c>
      <c r="FP309" s="7">
        <f t="shared" ca="1" si="165"/>
        <v>11857.115669442665</v>
      </c>
      <c r="FQ309" s="7">
        <f t="shared" ca="1" si="165"/>
        <v>12223.22306833181</v>
      </c>
      <c r="FR309" s="7">
        <f t="shared" ca="1" si="165"/>
        <v>20205.576680547292</v>
      </c>
      <c r="FS309" s="7">
        <f t="shared" ca="1" si="165"/>
        <v>20141.437730243611</v>
      </c>
      <c r="FT309" s="7">
        <f t="shared" ca="1" si="165"/>
        <v>26357.189557522124</v>
      </c>
      <c r="FU309" s="7">
        <f t="shared" ca="1" si="165"/>
        <v>13444.870661104789</v>
      </c>
      <c r="FV309" s="7">
        <f t="shared" ca="1" si="165"/>
        <v>13163.177324491853</v>
      </c>
      <c r="FW309" s="7">
        <f t="shared" ca="1" si="165"/>
        <v>21493.54414715719</v>
      </c>
      <c r="FX309" s="7">
        <f t="shared" ca="1" si="165"/>
        <v>26375.075658914728</v>
      </c>
      <c r="FY309" s="7"/>
      <c r="FZ309" s="7">
        <f ca="1">(FZ303-FZ307)/FZ103</f>
        <v>11694.300125766256</v>
      </c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</row>
    <row r="310" spans="1:193" ht="15.5" x14ac:dyDescent="0.35">
      <c r="A310" s="7"/>
      <c r="B310" s="7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7">
        <f ca="1">FZ303/FZ103</f>
        <v>11694.300125766256</v>
      </c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</row>
    <row r="311" spans="1:193" ht="15.5" x14ac:dyDescent="0.35">
      <c r="A311" s="7"/>
      <c r="B311" s="5" t="s">
        <v>1081</v>
      </c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</row>
    <row r="312" spans="1:193" ht="15.5" x14ac:dyDescent="0.35">
      <c r="A312" s="12" t="s">
        <v>720</v>
      </c>
      <c r="B312" s="7" t="s">
        <v>721</v>
      </c>
      <c r="C312" s="39">
        <f t="shared" ref="C312:FX312" ca="1" si="166">ROUND(((C303-C307)-((C172+C176)*C313))/C96,2)</f>
        <v>12132.37</v>
      </c>
      <c r="D312" s="39">
        <f t="shared" ca="1" si="166"/>
        <v>11556.69</v>
      </c>
      <c r="E312" s="39">
        <f t="shared" ca="1" si="166"/>
        <v>12452.35</v>
      </c>
      <c r="F312" s="39">
        <f t="shared" ca="1" si="166"/>
        <v>11516.06</v>
      </c>
      <c r="G312" s="39">
        <f t="shared" ca="1" si="166"/>
        <v>11986.85</v>
      </c>
      <c r="H312" s="39">
        <f t="shared" ca="1" si="166"/>
        <v>12216.34</v>
      </c>
      <c r="I312" s="39">
        <f t="shared" ca="1" si="166"/>
        <v>12266.57</v>
      </c>
      <c r="J312" s="39">
        <f t="shared" ca="1" si="166"/>
        <v>11838.27</v>
      </c>
      <c r="K312" s="39">
        <f t="shared" ca="1" si="166"/>
        <v>17133.25</v>
      </c>
      <c r="L312" s="39">
        <f t="shared" ca="1" si="166"/>
        <v>12266.64</v>
      </c>
      <c r="M312" s="39">
        <f t="shared" ca="1" si="166"/>
        <v>13825</v>
      </c>
      <c r="N312" s="39">
        <f t="shared" ca="1" si="166"/>
        <v>11721.26</v>
      </c>
      <c r="O312" s="39">
        <f t="shared" ca="1" si="166"/>
        <v>11217.79</v>
      </c>
      <c r="P312" s="39">
        <f t="shared" ca="1" si="166"/>
        <v>16671.240000000002</v>
      </c>
      <c r="Q312" s="39">
        <f t="shared" ca="1" si="166"/>
        <v>12637.62</v>
      </c>
      <c r="R312" s="39">
        <f t="shared" ca="1" si="166"/>
        <v>21564.76</v>
      </c>
      <c r="S312" s="39">
        <f t="shared" ca="1" si="166"/>
        <v>12016.33</v>
      </c>
      <c r="T312" s="39">
        <f t="shared" ca="1" si="166"/>
        <v>20596.849999999999</v>
      </c>
      <c r="U312" s="39">
        <f t="shared" ca="1" si="166"/>
        <v>25410.61</v>
      </c>
      <c r="V312" s="39">
        <f t="shared" ca="1" si="166"/>
        <v>16834.490000000002</v>
      </c>
      <c r="W312" s="39">
        <f t="shared" ca="1" si="166"/>
        <v>25214.27</v>
      </c>
      <c r="X312" s="39">
        <f t="shared" ca="1" si="166"/>
        <v>25251.63</v>
      </c>
      <c r="Y312" s="39">
        <f t="shared" ca="1" si="166"/>
        <v>14647.28</v>
      </c>
      <c r="Z312" s="39">
        <f t="shared" ca="1" si="166"/>
        <v>16786.34</v>
      </c>
      <c r="AA312" s="39">
        <f t="shared" ca="1" si="166"/>
        <v>11403</v>
      </c>
      <c r="AB312" s="39">
        <f t="shared" ca="1" si="166"/>
        <v>11519.14</v>
      </c>
      <c r="AC312" s="39">
        <f t="shared" ca="1" si="166"/>
        <v>12430.52</v>
      </c>
      <c r="AD312" s="39">
        <f t="shared" ca="1" si="166"/>
        <v>11580.28</v>
      </c>
      <c r="AE312" s="39">
        <f t="shared" ca="1" si="166"/>
        <v>23107.11</v>
      </c>
      <c r="AF312" s="39">
        <f t="shared" ca="1" si="166"/>
        <v>20486.599999999999</v>
      </c>
      <c r="AG312" s="39">
        <f t="shared" ca="1" si="166"/>
        <v>13360</v>
      </c>
      <c r="AH312" s="39">
        <f t="shared" ca="1" si="166"/>
        <v>12270.21</v>
      </c>
      <c r="AI312" s="39">
        <f t="shared" ca="1" si="166"/>
        <v>14301.45</v>
      </c>
      <c r="AJ312" s="39">
        <f t="shared" ca="1" si="166"/>
        <v>20461.68</v>
      </c>
      <c r="AK312" s="39">
        <f t="shared" ca="1" si="166"/>
        <v>20871.490000000002</v>
      </c>
      <c r="AL312" s="39">
        <f t="shared" ca="1" si="166"/>
        <v>16350.78</v>
      </c>
      <c r="AM312" s="39">
        <f t="shared" ca="1" si="166"/>
        <v>14861.65</v>
      </c>
      <c r="AN312" s="39">
        <f t="shared" ca="1" si="166"/>
        <v>15959.62</v>
      </c>
      <c r="AO312" s="39">
        <f t="shared" ca="1" si="166"/>
        <v>11558.84</v>
      </c>
      <c r="AP312" s="39">
        <f t="shared" ca="1" si="166"/>
        <v>12066.68</v>
      </c>
      <c r="AQ312" s="39">
        <f t="shared" ca="1" si="166"/>
        <v>17875.89</v>
      </c>
      <c r="AR312" s="39">
        <f t="shared" ca="1" si="166"/>
        <v>11217.69</v>
      </c>
      <c r="AS312" s="39">
        <f t="shared" ca="1" si="166"/>
        <v>12230.35</v>
      </c>
      <c r="AT312" s="39">
        <f t="shared" ca="1" si="166"/>
        <v>11649.73</v>
      </c>
      <c r="AU312" s="39">
        <f t="shared" ca="1" si="166"/>
        <v>17254.310000000001</v>
      </c>
      <c r="AV312" s="39">
        <f t="shared" ca="1" si="166"/>
        <v>16766.46</v>
      </c>
      <c r="AW312" s="39">
        <f t="shared" ca="1" si="166"/>
        <v>17624.93</v>
      </c>
      <c r="AX312" s="39">
        <f t="shared" ca="1" si="166"/>
        <v>25402.86</v>
      </c>
      <c r="AY312" s="39">
        <f t="shared" ca="1" si="166"/>
        <v>14800.01</v>
      </c>
      <c r="AZ312" s="39">
        <f t="shared" ca="1" si="166"/>
        <v>11679.87</v>
      </c>
      <c r="BA312" s="39">
        <f t="shared" ca="1" si="166"/>
        <v>11029.05</v>
      </c>
      <c r="BB312" s="39">
        <f t="shared" ca="1" si="166"/>
        <v>11093.95</v>
      </c>
      <c r="BC312" s="39">
        <f t="shared" ca="1" si="166"/>
        <v>11482.61</v>
      </c>
      <c r="BD312" s="39">
        <f t="shared" ca="1" si="166"/>
        <v>11036.47</v>
      </c>
      <c r="BE312" s="39">
        <f t="shared" ca="1" si="166"/>
        <v>11855.95</v>
      </c>
      <c r="BF312" s="39">
        <f t="shared" ca="1" si="166"/>
        <v>11044.7</v>
      </c>
      <c r="BG312" s="39">
        <f t="shared" ca="1" si="166"/>
        <v>13026.71</v>
      </c>
      <c r="BH312" s="39">
        <f t="shared" ca="1" si="166"/>
        <v>13500.85</v>
      </c>
      <c r="BI312" s="39">
        <f t="shared" ca="1" si="166"/>
        <v>18086.419999999998</v>
      </c>
      <c r="BJ312" s="39">
        <f t="shared" ca="1" si="166"/>
        <v>11046.14</v>
      </c>
      <c r="BK312" s="39">
        <f t="shared" ca="1" si="166"/>
        <v>11539.49</v>
      </c>
      <c r="BL312" s="39">
        <f t="shared" ca="1" si="166"/>
        <v>26204.560000000001</v>
      </c>
      <c r="BM312" s="39">
        <f t="shared" ca="1" si="166"/>
        <v>15951.3</v>
      </c>
      <c r="BN312" s="39">
        <f t="shared" ca="1" si="166"/>
        <v>11302.73</v>
      </c>
      <c r="BO312" s="39">
        <f t="shared" ca="1" si="166"/>
        <v>11725.47</v>
      </c>
      <c r="BP312" s="39">
        <f t="shared" ca="1" si="166"/>
        <v>20838.62</v>
      </c>
      <c r="BQ312" s="39">
        <f t="shared" ca="1" si="166"/>
        <v>12433.87</v>
      </c>
      <c r="BR312" s="39">
        <f t="shared" ca="1" si="166"/>
        <v>11549.54</v>
      </c>
      <c r="BS312" s="39">
        <f t="shared" ca="1" si="166"/>
        <v>12863.03</v>
      </c>
      <c r="BT312" s="39">
        <f t="shared" ca="1" si="166"/>
        <v>15593.78</v>
      </c>
      <c r="BU312" s="39">
        <f t="shared" ca="1" si="166"/>
        <v>15320.39</v>
      </c>
      <c r="BV312" s="39">
        <f t="shared" ca="1" si="166"/>
        <v>11891.72</v>
      </c>
      <c r="BW312" s="39">
        <f t="shared" ca="1" si="166"/>
        <v>11780.52</v>
      </c>
      <c r="BX312" s="39">
        <f t="shared" ca="1" si="166"/>
        <v>26278.09</v>
      </c>
      <c r="BY312" s="39">
        <f t="shared" ca="1" si="166"/>
        <v>14383.55</v>
      </c>
      <c r="BZ312" s="39">
        <f t="shared" ca="1" si="166"/>
        <v>17663.29</v>
      </c>
      <c r="CA312" s="39">
        <f t="shared" ca="1" si="166"/>
        <v>21513.65</v>
      </c>
      <c r="CB312" s="39">
        <f t="shared" ca="1" si="166"/>
        <v>11306.66</v>
      </c>
      <c r="CC312" s="39">
        <f t="shared" ca="1" si="166"/>
        <v>18972.12</v>
      </c>
      <c r="CD312" s="39">
        <f t="shared" ca="1" si="166"/>
        <v>24238.89</v>
      </c>
      <c r="CE312" s="39">
        <f t="shared" ca="1" si="166"/>
        <v>19999.400000000001</v>
      </c>
      <c r="CF312" s="39">
        <f t="shared" ca="1" si="166"/>
        <v>21258.77</v>
      </c>
      <c r="CG312" s="39">
        <f t="shared" ca="1" si="166"/>
        <v>18371.14</v>
      </c>
      <c r="CH312" s="39">
        <f t="shared" ca="1" si="166"/>
        <v>23367.34</v>
      </c>
      <c r="CI312" s="39">
        <f t="shared" ca="1" si="166"/>
        <v>12508.55</v>
      </c>
      <c r="CJ312" s="39">
        <f t="shared" ca="1" si="166"/>
        <v>13160.02</v>
      </c>
      <c r="CK312" s="39">
        <f t="shared" ca="1" si="166"/>
        <v>11657.94</v>
      </c>
      <c r="CL312" s="39">
        <f t="shared" ca="1" si="166"/>
        <v>12364.13</v>
      </c>
      <c r="CM312" s="39">
        <f t="shared" ca="1" si="166"/>
        <v>13585.1</v>
      </c>
      <c r="CN312" s="39">
        <f t="shared" ca="1" si="166"/>
        <v>11082.48</v>
      </c>
      <c r="CO312" s="39">
        <f t="shared" ca="1" si="166"/>
        <v>11063.12</v>
      </c>
      <c r="CP312" s="39">
        <f t="shared" ca="1" si="166"/>
        <v>13076.19</v>
      </c>
      <c r="CQ312" s="39">
        <f t="shared" ca="1" si="166"/>
        <v>13400.78</v>
      </c>
      <c r="CR312" s="39">
        <f t="shared" ca="1" si="166"/>
        <v>17979.05</v>
      </c>
      <c r="CS312" s="39">
        <f t="shared" ca="1" si="166"/>
        <v>15714.68</v>
      </c>
      <c r="CT312" s="39">
        <f t="shared" ca="1" si="166"/>
        <v>22643.85</v>
      </c>
      <c r="CU312" s="39">
        <f t="shared" ca="1" si="166"/>
        <v>18070.560000000001</v>
      </c>
      <c r="CV312" s="39">
        <f t="shared" ca="1" si="166"/>
        <v>23533.69</v>
      </c>
      <c r="CW312" s="39">
        <f t="shared" ca="1" si="166"/>
        <v>19079.5</v>
      </c>
      <c r="CX312" s="39">
        <f t="shared" ca="1" si="166"/>
        <v>13294.24</v>
      </c>
      <c r="CY312" s="39">
        <f t="shared" ca="1" si="166"/>
        <v>24960.1</v>
      </c>
      <c r="CZ312" s="39">
        <f t="shared" ca="1" si="166"/>
        <v>11627.26</v>
      </c>
      <c r="DA312" s="39">
        <f t="shared" ca="1" si="166"/>
        <v>18373.62</v>
      </c>
      <c r="DB312" s="39">
        <f t="shared" ca="1" si="166"/>
        <v>15455.87</v>
      </c>
      <c r="DC312" s="39">
        <f t="shared" ca="1" si="166"/>
        <v>18965.55</v>
      </c>
      <c r="DD312" s="39">
        <f t="shared" ca="1" si="166"/>
        <v>20512.53</v>
      </c>
      <c r="DE312" s="39">
        <f t="shared" ca="1" si="166"/>
        <v>16176.73</v>
      </c>
      <c r="DF312" s="39">
        <f t="shared" ca="1" si="166"/>
        <v>11034.97</v>
      </c>
      <c r="DG312" s="39">
        <f t="shared" ca="1" si="166"/>
        <v>23903.23</v>
      </c>
      <c r="DH312" s="39">
        <f t="shared" ca="1" si="166"/>
        <v>11438.46</v>
      </c>
      <c r="DI312" s="39">
        <f t="shared" ca="1" si="166"/>
        <v>11437.02</v>
      </c>
      <c r="DJ312" s="39">
        <f t="shared" ca="1" si="166"/>
        <v>13163.88</v>
      </c>
      <c r="DK312" s="39">
        <f t="shared" ca="1" si="166"/>
        <v>13155.83</v>
      </c>
      <c r="DL312" s="39">
        <f t="shared" ca="1" si="166"/>
        <v>11735.8</v>
      </c>
      <c r="DM312" s="39">
        <f t="shared" ca="1" si="166"/>
        <v>18893.939999999999</v>
      </c>
      <c r="DN312" s="39">
        <f t="shared" ca="1" si="166"/>
        <v>12414.09</v>
      </c>
      <c r="DO312" s="39">
        <f t="shared" ca="1" si="166"/>
        <v>11738.58</v>
      </c>
      <c r="DP312" s="39">
        <f t="shared" ca="1" si="166"/>
        <v>19409.52</v>
      </c>
      <c r="DQ312" s="39">
        <f t="shared" ca="1" si="166"/>
        <v>12558.06</v>
      </c>
      <c r="DR312" s="39">
        <f t="shared" ca="1" si="166"/>
        <v>12261.15</v>
      </c>
      <c r="DS312" s="39">
        <f t="shared" ca="1" si="166"/>
        <v>13703.48</v>
      </c>
      <c r="DT312" s="39">
        <f t="shared" ca="1" si="166"/>
        <v>21009.22</v>
      </c>
      <c r="DU312" s="39">
        <f t="shared" ca="1" si="166"/>
        <v>15049.89</v>
      </c>
      <c r="DV312" s="39">
        <f t="shared" ca="1" si="166"/>
        <v>18606.63</v>
      </c>
      <c r="DW312" s="39">
        <f t="shared" ca="1" si="166"/>
        <v>15862.83</v>
      </c>
      <c r="DX312" s="39">
        <f t="shared" ca="1" si="166"/>
        <v>22688.41</v>
      </c>
      <c r="DY312" s="39">
        <f t="shared" ca="1" si="166"/>
        <v>17172.240000000002</v>
      </c>
      <c r="DZ312" s="39">
        <f t="shared" ca="1" si="166"/>
        <v>13445.93</v>
      </c>
      <c r="EA312" s="39">
        <f t="shared" ca="1" si="166"/>
        <v>13693.92</v>
      </c>
      <c r="EB312" s="39">
        <f t="shared" ca="1" si="166"/>
        <v>13171.78</v>
      </c>
      <c r="EC312" s="39">
        <f t="shared" ca="1" si="166"/>
        <v>15205.31</v>
      </c>
      <c r="ED312" s="39">
        <f t="shared" ca="1" si="166"/>
        <v>15167.91</v>
      </c>
      <c r="EE312" s="39">
        <f t="shared" ca="1" si="166"/>
        <v>19243.45</v>
      </c>
      <c r="EF312" s="39">
        <f t="shared" ca="1" si="166"/>
        <v>12097.6</v>
      </c>
      <c r="EG312" s="39">
        <f t="shared" ca="1" si="166"/>
        <v>16470.099999999999</v>
      </c>
      <c r="EH312" s="39">
        <f t="shared" ca="1" si="166"/>
        <v>16737.23</v>
      </c>
      <c r="EI312" s="39">
        <f t="shared" ca="1" si="166"/>
        <v>11722.67</v>
      </c>
      <c r="EJ312" s="39">
        <f t="shared" ca="1" si="166"/>
        <v>11047.21</v>
      </c>
      <c r="EK312" s="39">
        <f t="shared" ca="1" si="166"/>
        <v>12524.53</v>
      </c>
      <c r="EL312" s="39">
        <f t="shared" ca="1" si="166"/>
        <v>12840.77</v>
      </c>
      <c r="EM312" s="39">
        <f t="shared" ca="1" si="166"/>
        <v>14508.23</v>
      </c>
      <c r="EN312" s="39">
        <f t="shared" ca="1" si="166"/>
        <v>12687.03</v>
      </c>
      <c r="EO312" s="39">
        <f t="shared" ca="1" si="166"/>
        <v>15475.52</v>
      </c>
      <c r="EP312" s="39">
        <f t="shared" ca="1" si="166"/>
        <v>14478.96</v>
      </c>
      <c r="EQ312" s="39">
        <f t="shared" ca="1" si="166"/>
        <v>11760.27</v>
      </c>
      <c r="ER312" s="39">
        <f t="shared" ca="1" si="166"/>
        <v>16683.7</v>
      </c>
      <c r="ES312" s="39">
        <f t="shared" ca="1" si="166"/>
        <v>20575.419999999998</v>
      </c>
      <c r="ET312" s="39">
        <f t="shared" ca="1" si="166"/>
        <v>22057.34</v>
      </c>
      <c r="EU312" s="39">
        <f t="shared" ca="1" si="166"/>
        <v>13842.02</v>
      </c>
      <c r="EV312" s="39">
        <f t="shared" ca="1" si="166"/>
        <v>26039.85</v>
      </c>
      <c r="EW312" s="39">
        <f t="shared" ca="1" si="166"/>
        <v>16242.77</v>
      </c>
      <c r="EX312" s="39">
        <f t="shared" ca="1" si="166"/>
        <v>21850.48</v>
      </c>
      <c r="EY312" s="39">
        <f t="shared" ca="1" si="166"/>
        <v>14738.82</v>
      </c>
      <c r="EZ312" s="39">
        <f t="shared" ca="1" si="166"/>
        <v>21811.040000000001</v>
      </c>
      <c r="FA312" s="39">
        <f t="shared" ca="1" si="166"/>
        <v>12440.18</v>
      </c>
      <c r="FB312" s="39">
        <f t="shared" ca="1" si="166"/>
        <v>16651.810000000001</v>
      </c>
      <c r="FC312" s="39">
        <f t="shared" ca="1" si="166"/>
        <v>11605.67</v>
      </c>
      <c r="FD312" s="39">
        <f t="shared" ca="1" si="166"/>
        <v>14353.5</v>
      </c>
      <c r="FE312" s="39">
        <f t="shared" ca="1" si="166"/>
        <v>24848.240000000002</v>
      </c>
      <c r="FF312" s="39">
        <f t="shared" ca="1" si="166"/>
        <v>19955.400000000001</v>
      </c>
      <c r="FG312" s="39">
        <f t="shared" ca="1" si="166"/>
        <v>22599.22</v>
      </c>
      <c r="FH312" s="39">
        <f t="shared" ca="1" si="166"/>
        <v>24548.45</v>
      </c>
      <c r="FI312" s="39">
        <f t="shared" ca="1" si="166"/>
        <v>12008.05</v>
      </c>
      <c r="FJ312" s="39">
        <f t="shared" ca="1" si="166"/>
        <v>11305.52</v>
      </c>
      <c r="FK312" s="39">
        <f t="shared" ca="1" si="166"/>
        <v>11583.02</v>
      </c>
      <c r="FL312" s="39">
        <f t="shared" ca="1" si="166"/>
        <v>11028.65</v>
      </c>
      <c r="FM312" s="39">
        <f t="shared" ca="1" si="166"/>
        <v>11210.54</v>
      </c>
      <c r="FN312" s="39">
        <f t="shared" ca="1" si="166"/>
        <v>11625.87</v>
      </c>
      <c r="FO312" s="39">
        <f t="shared" ca="1" si="166"/>
        <v>12084.91</v>
      </c>
      <c r="FP312" s="39">
        <f t="shared" ca="1" si="166"/>
        <v>11857.12</v>
      </c>
      <c r="FQ312" s="39">
        <f t="shared" ca="1" si="166"/>
        <v>12223.22</v>
      </c>
      <c r="FR312" s="39">
        <f t="shared" ca="1" si="166"/>
        <v>20205.580000000002</v>
      </c>
      <c r="FS312" s="39">
        <f t="shared" ca="1" si="166"/>
        <v>20141.439999999999</v>
      </c>
      <c r="FT312" s="39">
        <f t="shared" ca="1" si="166"/>
        <v>26357.19</v>
      </c>
      <c r="FU312" s="39">
        <f t="shared" ca="1" si="166"/>
        <v>13444.87</v>
      </c>
      <c r="FV312" s="39">
        <f t="shared" ca="1" si="166"/>
        <v>13182.18</v>
      </c>
      <c r="FW312" s="39">
        <f t="shared" ca="1" si="166"/>
        <v>21784.98</v>
      </c>
      <c r="FX312" s="39">
        <f t="shared" ca="1" si="166"/>
        <v>26375.08</v>
      </c>
      <c r="FY312" s="7"/>
      <c r="FZ312" s="4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</row>
    <row r="313" spans="1:193" ht="15.5" x14ac:dyDescent="0.35">
      <c r="A313" s="12" t="s">
        <v>722</v>
      </c>
      <c r="B313" s="7" t="s">
        <v>1082</v>
      </c>
      <c r="C313" s="39">
        <f t="shared" ref="C313:FX313" si="167">ROUND((C173),2)</f>
        <v>10480</v>
      </c>
      <c r="D313" s="39">
        <f t="shared" si="167"/>
        <v>10480</v>
      </c>
      <c r="E313" s="39">
        <f t="shared" si="167"/>
        <v>10480</v>
      </c>
      <c r="F313" s="39">
        <f t="shared" si="167"/>
        <v>10480</v>
      </c>
      <c r="G313" s="39">
        <f t="shared" si="167"/>
        <v>10480</v>
      </c>
      <c r="H313" s="39">
        <f t="shared" si="167"/>
        <v>10480</v>
      </c>
      <c r="I313" s="39">
        <f t="shared" si="167"/>
        <v>10480</v>
      </c>
      <c r="J313" s="39">
        <f t="shared" si="167"/>
        <v>10480</v>
      </c>
      <c r="K313" s="39">
        <f t="shared" si="167"/>
        <v>10480</v>
      </c>
      <c r="L313" s="39">
        <f t="shared" si="167"/>
        <v>10480</v>
      </c>
      <c r="M313" s="39">
        <f t="shared" si="167"/>
        <v>10480</v>
      </c>
      <c r="N313" s="39">
        <f t="shared" si="167"/>
        <v>10480</v>
      </c>
      <c r="O313" s="39">
        <f t="shared" si="167"/>
        <v>10480</v>
      </c>
      <c r="P313" s="39">
        <f t="shared" si="167"/>
        <v>10480</v>
      </c>
      <c r="Q313" s="39">
        <f t="shared" si="167"/>
        <v>10480</v>
      </c>
      <c r="R313" s="39">
        <f t="shared" si="167"/>
        <v>10480</v>
      </c>
      <c r="S313" s="39">
        <f t="shared" si="167"/>
        <v>10480</v>
      </c>
      <c r="T313" s="39">
        <f t="shared" si="167"/>
        <v>10480</v>
      </c>
      <c r="U313" s="39">
        <f t="shared" si="167"/>
        <v>10480</v>
      </c>
      <c r="V313" s="39">
        <f t="shared" si="167"/>
        <v>10480</v>
      </c>
      <c r="W313" s="39">
        <f t="shared" si="167"/>
        <v>10480</v>
      </c>
      <c r="X313" s="39">
        <f t="shared" si="167"/>
        <v>10480</v>
      </c>
      <c r="Y313" s="39">
        <f t="shared" si="167"/>
        <v>10480</v>
      </c>
      <c r="Z313" s="39">
        <f t="shared" si="167"/>
        <v>10480</v>
      </c>
      <c r="AA313" s="39">
        <f t="shared" si="167"/>
        <v>10480</v>
      </c>
      <c r="AB313" s="39">
        <f t="shared" si="167"/>
        <v>10480</v>
      </c>
      <c r="AC313" s="39">
        <f t="shared" si="167"/>
        <v>10480</v>
      </c>
      <c r="AD313" s="39">
        <f t="shared" si="167"/>
        <v>10480</v>
      </c>
      <c r="AE313" s="39">
        <f t="shared" si="167"/>
        <v>10480</v>
      </c>
      <c r="AF313" s="39">
        <f t="shared" si="167"/>
        <v>10480</v>
      </c>
      <c r="AG313" s="39">
        <f t="shared" si="167"/>
        <v>10480</v>
      </c>
      <c r="AH313" s="39">
        <f t="shared" si="167"/>
        <v>10480</v>
      </c>
      <c r="AI313" s="39">
        <f t="shared" si="167"/>
        <v>10480</v>
      </c>
      <c r="AJ313" s="39">
        <f t="shared" si="167"/>
        <v>10480</v>
      </c>
      <c r="AK313" s="39">
        <f t="shared" si="167"/>
        <v>10480</v>
      </c>
      <c r="AL313" s="39">
        <f t="shared" si="167"/>
        <v>10480</v>
      </c>
      <c r="AM313" s="39">
        <f t="shared" si="167"/>
        <v>10480</v>
      </c>
      <c r="AN313" s="39">
        <f t="shared" si="167"/>
        <v>10480</v>
      </c>
      <c r="AO313" s="39">
        <f t="shared" si="167"/>
        <v>10480</v>
      </c>
      <c r="AP313" s="39">
        <f t="shared" si="167"/>
        <v>10480</v>
      </c>
      <c r="AQ313" s="39">
        <f t="shared" si="167"/>
        <v>10480</v>
      </c>
      <c r="AR313" s="39">
        <f t="shared" si="167"/>
        <v>10480</v>
      </c>
      <c r="AS313" s="39">
        <f t="shared" si="167"/>
        <v>10480</v>
      </c>
      <c r="AT313" s="39">
        <f t="shared" si="167"/>
        <v>10480</v>
      </c>
      <c r="AU313" s="39">
        <f t="shared" si="167"/>
        <v>10480</v>
      </c>
      <c r="AV313" s="39">
        <f t="shared" si="167"/>
        <v>10480</v>
      </c>
      <c r="AW313" s="39">
        <f t="shared" si="167"/>
        <v>10480</v>
      </c>
      <c r="AX313" s="39">
        <f t="shared" si="167"/>
        <v>10480</v>
      </c>
      <c r="AY313" s="39">
        <f t="shared" si="167"/>
        <v>10480</v>
      </c>
      <c r="AZ313" s="39">
        <f t="shared" si="167"/>
        <v>10480</v>
      </c>
      <c r="BA313" s="39">
        <f t="shared" si="167"/>
        <v>10480</v>
      </c>
      <c r="BB313" s="39">
        <f t="shared" si="167"/>
        <v>10480</v>
      </c>
      <c r="BC313" s="39">
        <f t="shared" si="167"/>
        <v>10480</v>
      </c>
      <c r="BD313" s="39">
        <f t="shared" si="167"/>
        <v>10480</v>
      </c>
      <c r="BE313" s="39">
        <f t="shared" si="167"/>
        <v>10480</v>
      </c>
      <c r="BF313" s="39">
        <f t="shared" si="167"/>
        <v>10480</v>
      </c>
      <c r="BG313" s="39">
        <f t="shared" si="167"/>
        <v>10480</v>
      </c>
      <c r="BH313" s="39">
        <f t="shared" si="167"/>
        <v>10480</v>
      </c>
      <c r="BI313" s="39">
        <f t="shared" si="167"/>
        <v>10480</v>
      </c>
      <c r="BJ313" s="39">
        <f t="shared" si="167"/>
        <v>10480</v>
      </c>
      <c r="BK313" s="39">
        <f t="shared" si="167"/>
        <v>10480</v>
      </c>
      <c r="BL313" s="39">
        <f t="shared" si="167"/>
        <v>10480</v>
      </c>
      <c r="BM313" s="39">
        <f t="shared" si="167"/>
        <v>10480</v>
      </c>
      <c r="BN313" s="39">
        <f t="shared" si="167"/>
        <v>10480</v>
      </c>
      <c r="BO313" s="39">
        <f t="shared" si="167"/>
        <v>10480</v>
      </c>
      <c r="BP313" s="39">
        <f t="shared" si="167"/>
        <v>10480</v>
      </c>
      <c r="BQ313" s="39">
        <f t="shared" si="167"/>
        <v>10480</v>
      </c>
      <c r="BR313" s="39">
        <f t="shared" si="167"/>
        <v>10480</v>
      </c>
      <c r="BS313" s="39">
        <f t="shared" si="167"/>
        <v>10480</v>
      </c>
      <c r="BT313" s="39">
        <f t="shared" si="167"/>
        <v>10480</v>
      </c>
      <c r="BU313" s="39">
        <f t="shared" si="167"/>
        <v>10480</v>
      </c>
      <c r="BV313" s="39">
        <f t="shared" si="167"/>
        <v>10480</v>
      </c>
      <c r="BW313" s="39">
        <f t="shared" si="167"/>
        <v>10480</v>
      </c>
      <c r="BX313" s="39">
        <f t="shared" si="167"/>
        <v>10480</v>
      </c>
      <c r="BY313" s="39">
        <f t="shared" si="167"/>
        <v>10480</v>
      </c>
      <c r="BZ313" s="39">
        <f t="shared" si="167"/>
        <v>10480</v>
      </c>
      <c r="CA313" s="39">
        <f t="shared" si="167"/>
        <v>10480</v>
      </c>
      <c r="CB313" s="39">
        <f t="shared" si="167"/>
        <v>10480</v>
      </c>
      <c r="CC313" s="39">
        <f t="shared" si="167"/>
        <v>10480</v>
      </c>
      <c r="CD313" s="39">
        <f t="shared" si="167"/>
        <v>10480</v>
      </c>
      <c r="CE313" s="39">
        <f t="shared" si="167"/>
        <v>10480</v>
      </c>
      <c r="CF313" s="39">
        <f t="shared" si="167"/>
        <v>10480</v>
      </c>
      <c r="CG313" s="39">
        <f t="shared" si="167"/>
        <v>10480</v>
      </c>
      <c r="CH313" s="39">
        <f t="shared" si="167"/>
        <v>10480</v>
      </c>
      <c r="CI313" s="39">
        <f t="shared" si="167"/>
        <v>10480</v>
      </c>
      <c r="CJ313" s="39">
        <f t="shared" si="167"/>
        <v>10480</v>
      </c>
      <c r="CK313" s="39">
        <f t="shared" si="167"/>
        <v>10480</v>
      </c>
      <c r="CL313" s="39">
        <f t="shared" si="167"/>
        <v>10480</v>
      </c>
      <c r="CM313" s="39">
        <f t="shared" si="167"/>
        <v>10480</v>
      </c>
      <c r="CN313" s="39">
        <f t="shared" si="167"/>
        <v>10480</v>
      </c>
      <c r="CO313" s="39">
        <f t="shared" si="167"/>
        <v>10480</v>
      </c>
      <c r="CP313" s="39">
        <f t="shared" si="167"/>
        <v>10480</v>
      </c>
      <c r="CQ313" s="39">
        <f t="shared" si="167"/>
        <v>10480</v>
      </c>
      <c r="CR313" s="39">
        <f t="shared" si="167"/>
        <v>10480</v>
      </c>
      <c r="CS313" s="39">
        <f t="shared" si="167"/>
        <v>10480</v>
      </c>
      <c r="CT313" s="39">
        <f t="shared" si="167"/>
        <v>10480</v>
      </c>
      <c r="CU313" s="39">
        <f t="shared" si="167"/>
        <v>10480</v>
      </c>
      <c r="CV313" s="39">
        <f t="shared" si="167"/>
        <v>10480</v>
      </c>
      <c r="CW313" s="39">
        <f t="shared" si="167"/>
        <v>10480</v>
      </c>
      <c r="CX313" s="39">
        <f t="shared" si="167"/>
        <v>10480</v>
      </c>
      <c r="CY313" s="39">
        <f t="shared" si="167"/>
        <v>10480</v>
      </c>
      <c r="CZ313" s="39">
        <f t="shared" si="167"/>
        <v>10480</v>
      </c>
      <c r="DA313" s="39">
        <f t="shared" si="167"/>
        <v>10480</v>
      </c>
      <c r="DB313" s="39">
        <f t="shared" si="167"/>
        <v>10480</v>
      </c>
      <c r="DC313" s="39">
        <f t="shared" si="167"/>
        <v>10480</v>
      </c>
      <c r="DD313" s="39">
        <f t="shared" si="167"/>
        <v>10480</v>
      </c>
      <c r="DE313" s="39">
        <f t="shared" si="167"/>
        <v>10480</v>
      </c>
      <c r="DF313" s="39">
        <f t="shared" si="167"/>
        <v>10480</v>
      </c>
      <c r="DG313" s="39">
        <f t="shared" si="167"/>
        <v>10480</v>
      </c>
      <c r="DH313" s="39">
        <f t="shared" si="167"/>
        <v>10480</v>
      </c>
      <c r="DI313" s="39">
        <f t="shared" si="167"/>
        <v>10480</v>
      </c>
      <c r="DJ313" s="39">
        <f t="shared" si="167"/>
        <v>10480</v>
      </c>
      <c r="DK313" s="39">
        <f t="shared" si="167"/>
        <v>10480</v>
      </c>
      <c r="DL313" s="39">
        <f t="shared" si="167"/>
        <v>10480</v>
      </c>
      <c r="DM313" s="39">
        <f t="shared" si="167"/>
        <v>10480</v>
      </c>
      <c r="DN313" s="39">
        <f t="shared" si="167"/>
        <v>10480</v>
      </c>
      <c r="DO313" s="39">
        <f t="shared" si="167"/>
        <v>10480</v>
      </c>
      <c r="DP313" s="39">
        <f t="shared" si="167"/>
        <v>10480</v>
      </c>
      <c r="DQ313" s="39">
        <f t="shared" si="167"/>
        <v>10480</v>
      </c>
      <c r="DR313" s="39">
        <f t="shared" si="167"/>
        <v>10480</v>
      </c>
      <c r="DS313" s="39">
        <f t="shared" si="167"/>
        <v>10480</v>
      </c>
      <c r="DT313" s="39">
        <f t="shared" si="167"/>
        <v>10480</v>
      </c>
      <c r="DU313" s="39">
        <f t="shared" si="167"/>
        <v>10480</v>
      </c>
      <c r="DV313" s="39">
        <f t="shared" si="167"/>
        <v>10480</v>
      </c>
      <c r="DW313" s="39">
        <f t="shared" si="167"/>
        <v>10480</v>
      </c>
      <c r="DX313" s="39">
        <f t="shared" si="167"/>
        <v>10480</v>
      </c>
      <c r="DY313" s="39">
        <f t="shared" si="167"/>
        <v>10480</v>
      </c>
      <c r="DZ313" s="39">
        <f t="shared" si="167"/>
        <v>10480</v>
      </c>
      <c r="EA313" s="39">
        <f t="shared" si="167"/>
        <v>10480</v>
      </c>
      <c r="EB313" s="39">
        <f t="shared" si="167"/>
        <v>10480</v>
      </c>
      <c r="EC313" s="39">
        <f t="shared" si="167"/>
        <v>10480</v>
      </c>
      <c r="ED313" s="39">
        <f t="shared" si="167"/>
        <v>10480</v>
      </c>
      <c r="EE313" s="39">
        <f t="shared" si="167"/>
        <v>10480</v>
      </c>
      <c r="EF313" s="39">
        <f t="shared" si="167"/>
        <v>10480</v>
      </c>
      <c r="EG313" s="39">
        <f t="shared" si="167"/>
        <v>10480</v>
      </c>
      <c r="EH313" s="39">
        <f t="shared" si="167"/>
        <v>10480</v>
      </c>
      <c r="EI313" s="39">
        <f t="shared" si="167"/>
        <v>10480</v>
      </c>
      <c r="EJ313" s="39">
        <f t="shared" si="167"/>
        <v>10480</v>
      </c>
      <c r="EK313" s="39">
        <f t="shared" si="167"/>
        <v>10480</v>
      </c>
      <c r="EL313" s="39">
        <f t="shared" si="167"/>
        <v>10480</v>
      </c>
      <c r="EM313" s="39">
        <f t="shared" si="167"/>
        <v>10480</v>
      </c>
      <c r="EN313" s="39">
        <f t="shared" si="167"/>
        <v>10480</v>
      </c>
      <c r="EO313" s="39">
        <f t="shared" si="167"/>
        <v>10480</v>
      </c>
      <c r="EP313" s="39">
        <f t="shared" si="167"/>
        <v>10480</v>
      </c>
      <c r="EQ313" s="39">
        <f t="shared" si="167"/>
        <v>10480</v>
      </c>
      <c r="ER313" s="39">
        <f t="shared" si="167"/>
        <v>10480</v>
      </c>
      <c r="ES313" s="39">
        <f t="shared" si="167"/>
        <v>10480</v>
      </c>
      <c r="ET313" s="39">
        <f t="shared" si="167"/>
        <v>10480</v>
      </c>
      <c r="EU313" s="39">
        <f t="shared" si="167"/>
        <v>10480</v>
      </c>
      <c r="EV313" s="39">
        <f t="shared" si="167"/>
        <v>10480</v>
      </c>
      <c r="EW313" s="39">
        <f t="shared" si="167"/>
        <v>10480</v>
      </c>
      <c r="EX313" s="39">
        <f t="shared" si="167"/>
        <v>10480</v>
      </c>
      <c r="EY313" s="39">
        <f t="shared" si="167"/>
        <v>10480</v>
      </c>
      <c r="EZ313" s="39">
        <f t="shared" si="167"/>
        <v>10480</v>
      </c>
      <c r="FA313" s="39">
        <f t="shared" si="167"/>
        <v>10480</v>
      </c>
      <c r="FB313" s="39">
        <f t="shared" si="167"/>
        <v>10480</v>
      </c>
      <c r="FC313" s="39">
        <f t="shared" si="167"/>
        <v>10480</v>
      </c>
      <c r="FD313" s="39">
        <f t="shared" si="167"/>
        <v>10480</v>
      </c>
      <c r="FE313" s="39">
        <f t="shared" si="167"/>
        <v>10480</v>
      </c>
      <c r="FF313" s="39">
        <f t="shared" si="167"/>
        <v>10480</v>
      </c>
      <c r="FG313" s="39">
        <f t="shared" si="167"/>
        <v>10480</v>
      </c>
      <c r="FH313" s="39">
        <f t="shared" si="167"/>
        <v>10480</v>
      </c>
      <c r="FI313" s="39">
        <f t="shared" si="167"/>
        <v>10480</v>
      </c>
      <c r="FJ313" s="39">
        <f t="shared" si="167"/>
        <v>10480</v>
      </c>
      <c r="FK313" s="39">
        <f t="shared" si="167"/>
        <v>10480</v>
      </c>
      <c r="FL313" s="39">
        <f t="shared" si="167"/>
        <v>10480</v>
      </c>
      <c r="FM313" s="39">
        <f t="shared" si="167"/>
        <v>10480</v>
      </c>
      <c r="FN313" s="39">
        <f t="shared" si="167"/>
        <v>10480</v>
      </c>
      <c r="FO313" s="39">
        <f t="shared" si="167"/>
        <v>10480</v>
      </c>
      <c r="FP313" s="39">
        <f t="shared" si="167"/>
        <v>10480</v>
      </c>
      <c r="FQ313" s="39">
        <f t="shared" si="167"/>
        <v>10480</v>
      </c>
      <c r="FR313" s="39">
        <f t="shared" si="167"/>
        <v>10480</v>
      </c>
      <c r="FS313" s="39">
        <f t="shared" si="167"/>
        <v>10480</v>
      </c>
      <c r="FT313" s="39">
        <f t="shared" si="167"/>
        <v>10480</v>
      </c>
      <c r="FU313" s="39">
        <f t="shared" si="167"/>
        <v>10480</v>
      </c>
      <c r="FV313" s="39">
        <f t="shared" si="167"/>
        <v>10480</v>
      </c>
      <c r="FW313" s="39">
        <f t="shared" si="167"/>
        <v>10480</v>
      </c>
      <c r="FX313" s="39">
        <f t="shared" si="167"/>
        <v>10480</v>
      </c>
      <c r="FY313" s="7"/>
      <c r="FZ313" s="4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</row>
    <row r="314" spans="1:193" ht="15.5" x14ac:dyDescent="0.35">
      <c r="A314" s="12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4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</row>
    <row r="315" spans="1:193" ht="15.5" x14ac:dyDescent="0.35">
      <c r="A315" s="12" t="s">
        <v>724</v>
      </c>
      <c r="B315" s="7" t="s">
        <v>725</v>
      </c>
      <c r="C315" s="7">
        <f ca="1">IFERROR(__xludf.DUMMYFUNCTION("((C312*(C94+C95)+(C313*(C102+C100)))*-1)"),0)</f>
        <v>0</v>
      </c>
      <c r="D315" s="7">
        <f ca="1">IFERROR(__xludf.DUMMYFUNCTION("((D312*(D94+D95)+(D313*(D102+D100)))*-1)"),-54244296.701)</f>
        <v>-54244296.700999998</v>
      </c>
      <c r="E315" s="7">
        <f ca="1">IFERROR(__xludf.DUMMYFUNCTION("((E312*(E94+E95)+(E313*(E102+E100)))*-1)"),-8252172.345)</f>
        <v>-8252172.3449999997</v>
      </c>
      <c r="F315" s="7">
        <f ca="1">IFERROR(__xludf.DUMMYFUNCTION("((F312*(F94+F95)+(F313*(F102+F100)))*-1)"),-10747938.7979999)</f>
        <v>-10747938.7979999</v>
      </c>
      <c r="G315" s="7">
        <f ca="1">IFERROR(__xludf.DUMMYFUNCTION("((G312*(G94+G95)+(G313*(G102+G100)))*-1)"),0)</f>
        <v>0</v>
      </c>
      <c r="H315" s="7">
        <f ca="1">IFERROR(__xludf.DUMMYFUNCTION("((H312*(H94+H95)+(H313*(H102+H100)))*-1)"),0)</f>
        <v>0</v>
      </c>
      <c r="I315" s="7">
        <f ca="1">IFERROR(__xludf.DUMMYFUNCTION("((I312*(I94+I95)+(I313*(I102+I100)))*-1)"),-9202380.814)</f>
        <v>-9202380.8139999993</v>
      </c>
      <c r="J315" s="7">
        <f ca="1">IFERROR(__xludf.DUMMYFUNCTION("((J312*(J94+J95)+(J313*(J102+J100)))*-1)"),0)</f>
        <v>0</v>
      </c>
      <c r="K315" s="7">
        <f ca="1">IFERROR(__xludf.DUMMYFUNCTION("((K312*(K94+K95)+(K313*(K102+K100)))*-1)"),0)</f>
        <v>0</v>
      </c>
      <c r="L315" s="7">
        <f ca="1">IFERROR(__xludf.DUMMYFUNCTION("((L312*(L94+L95)+(L313*(L102+L100)))*-1)"),0)</f>
        <v>0</v>
      </c>
      <c r="M315" s="7">
        <f ca="1">IFERROR(__xludf.DUMMYFUNCTION("((M312*(M94+M95)+(M313*(M102+M100)))*-1)"),0)</f>
        <v>0</v>
      </c>
      <c r="N315" s="7">
        <f ca="1">IFERROR(__xludf.DUMMYFUNCTION("((N312*(N94+N95)+(N313*(N102+N100)))*-1)"),-1054913.4)</f>
        <v>-1054913.3999999999</v>
      </c>
      <c r="O315" s="7">
        <f ca="1">IFERROR(__xludf.DUMMYFUNCTION("((O312*(O94+O95)+(O313*(O102+O100)))*-1)"),0)</f>
        <v>0</v>
      </c>
      <c r="P315" s="7">
        <f ca="1">IFERROR(__xludf.DUMMYFUNCTION("((P312*(P94+P95)+(P313*(P102+P100)))*-1)"),0)</f>
        <v>0</v>
      </c>
      <c r="Q315" s="7">
        <f ca="1">IFERROR(__xludf.DUMMYFUNCTION("((Q312*(Q94+Q95)+(Q313*(Q102+Q100)))*-1)"),-24786164.106)</f>
        <v>-24786164.105999999</v>
      </c>
      <c r="R315" s="7">
        <f ca="1">IFERROR(__xludf.DUMMYFUNCTION("((R312*(R94+R95)+(R313*(R102+R100)))*-1)"),0)</f>
        <v>0</v>
      </c>
      <c r="S315" s="7">
        <f ca="1">IFERROR(__xludf.DUMMYFUNCTION("((S312*(S94+S95)+(S313*(S102+S100)))*-1)"),0)</f>
        <v>0</v>
      </c>
      <c r="T315" s="7">
        <f ca="1">IFERROR(__xludf.DUMMYFUNCTION("((T312*(T94+T95)+(T313*(T102+T100)))*-1)"),0)</f>
        <v>0</v>
      </c>
      <c r="U315" s="7">
        <f ca="1">IFERROR(__xludf.DUMMYFUNCTION("((U312*(U94+U95)+(U313*(U102+U100)))*-1)"),0)</f>
        <v>0</v>
      </c>
      <c r="V315" s="7">
        <f ca="1">IFERROR(__xludf.DUMMYFUNCTION("((V312*(V94+V95)+(V313*(V102+V100)))*-1)"),0)</f>
        <v>0</v>
      </c>
      <c r="W315" s="7">
        <f ca="1">IFERROR(__xludf.DUMMYFUNCTION("((W312*(W94+W95)+(W313*(W102+W100)))*-1)"),0)</f>
        <v>0</v>
      </c>
      <c r="X315" s="7">
        <f ca="1">IFERROR(__xludf.DUMMYFUNCTION("((X312*(X94+X95)+(X313*(X102+X100)))*-1)"),0)</f>
        <v>0</v>
      </c>
      <c r="Y315" s="7">
        <f ca="1">IFERROR(__xludf.DUMMYFUNCTION("((Y312*(Y94+Y95)+(Y313*(Y102+Y100)))*-1)"),0)</f>
        <v>0</v>
      </c>
      <c r="Z315" s="7">
        <f ca="1">IFERROR(__xludf.DUMMYFUNCTION("((Z312*(Z94+Z95)+(Z313*(Z102+Z100)))*-1)"),0)</f>
        <v>0</v>
      </c>
      <c r="AA315" s="7">
        <f ca="1">IFERROR(__xludf.DUMMYFUNCTION("((AA312*(AA94+AA95)+(AA313*(AA102+AA100)))*-1)"),0)</f>
        <v>0</v>
      </c>
      <c r="AB315" s="7">
        <f ca="1">IFERROR(__xludf.DUMMYFUNCTION("((AB312*(AB94+AB95)+(AB313*(AB102+AB100)))*-1)"),0)</f>
        <v>0</v>
      </c>
      <c r="AC315" s="7">
        <f ca="1">IFERROR(__xludf.DUMMYFUNCTION("((AC312*(AC94+AC95)+(AC313*(AC102+AC100)))*-1)"),0)</f>
        <v>0</v>
      </c>
      <c r="AD315" s="7">
        <f ca="1">IFERROR(__xludf.DUMMYFUNCTION("((AD312*(AD94+AD95)+(AD313*(AD102+AD100)))*-1)"),-1783363.12)</f>
        <v>-1783363.12</v>
      </c>
      <c r="AE315" s="7">
        <f ca="1">IFERROR(__xludf.DUMMYFUNCTION("((AE312*(AE94+AE95)+(AE313*(AE102+AE100)))*-1)"),0)</f>
        <v>0</v>
      </c>
      <c r="AF315" s="7">
        <f ca="1">IFERROR(__xludf.DUMMYFUNCTION("((AF312*(AF94+AF95)+(AF313*(AF102+AF100)))*-1)"),0)</f>
        <v>0</v>
      </c>
      <c r="AG315" s="7">
        <f ca="1">IFERROR(__xludf.DUMMYFUNCTION("((AG312*(AG94+AG95)+(AG313*(AG102+AG100)))*-1)"),0)</f>
        <v>0</v>
      </c>
      <c r="AH315" s="7">
        <f ca="1">IFERROR(__xludf.DUMMYFUNCTION("((AH312*(AH94+AH95)+(AH313*(AH102+AH100)))*-1)"),0)</f>
        <v>0</v>
      </c>
      <c r="AI315" s="7">
        <f ca="1">IFERROR(__xludf.DUMMYFUNCTION("((AI312*(AI94+AI95)+(AI313*(AI102+AI100)))*-1)"),0)</f>
        <v>0</v>
      </c>
      <c r="AJ315" s="7">
        <f ca="1">IFERROR(__xludf.DUMMYFUNCTION("((AJ312*(AJ94+AJ95)+(AJ313*(AJ102+AJ100)))*-1)"),0)</f>
        <v>0</v>
      </c>
      <c r="AK315" s="7">
        <f ca="1">IFERROR(__xludf.DUMMYFUNCTION("((AK312*(AK94+AK95)+(AK313*(AK102+AK100)))*-1)"),0)</f>
        <v>0</v>
      </c>
      <c r="AL315" s="7">
        <f ca="1">IFERROR(__xludf.DUMMYFUNCTION("((AL312*(AL94+AL95)+(AL313*(AL102+AL100)))*-1)"),0)</f>
        <v>0</v>
      </c>
      <c r="AM315" s="7">
        <f ca="1">IFERROR(__xludf.DUMMYFUNCTION("((AM312*(AM94+AM95)+(AM313*(AM102+AM100)))*-1)"),0)</f>
        <v>0</v>
      </c>
      <c r="AN315" s="7">
        <f ca="1">IFERROR(__xludf.DUMMYFUNCTION("((AN312*(AN94+AN95)+(AN313*(AN102+AN100)))*-1)"),0)</f>
        <v>0</v>
      </c>
      <c r="AO315" s="7">
        <f ca="1">IFERROR(__xludf.DUMMYFUNCTION("((AO312*(AO94+AO95)+(AO313*(AO102+AO100)))*-1)"),0)</f>
        <v>0</v>
      </c>
      <c r="AP315" s="7">
        <f ca="1">IFERROR(__xludf.DUMMYFUNCTION("((AP312*(AP94+AP95)+(AP313*(AP102+AP100)))*-1)"),0)</f>
        <v>0</v>
      </c>
      <c r="AQ315" s="7">
        <f ca="1">IFERROR(__xludf.DUMMYFUNCTION("((AQ312*(AQ94+AQ95)+(AQ313*(AQ102+AQ100)))*-1)"),0)</f>
        <v>0</v>
      </c>
      <c r="AR315" s="7">
        <f ca="1">IFERROR(__xludf.DUMMYFUNCTION("((AR312*(AR94+AR95)+(AR313*(AR102+AR100)))*-1)"),-22517269.137)</f>
        <v>-22517269.136999998</v>
      </c>
      <c r="AS315" s="7">
        <f ca="1">IFERROR(__xludf.DUMMYFUNCTION("((AS312*(AS94+AS95)+(AS313*(AS102+AS100)))*-1)"),-3672774.105)</f>
        <v>-3672774.105</v>
      </c>
      <c r="AT315" s="7">
        <f ca="1">IFERROR(__xludf.DUMMYFUNCTION("((AT312*(AT94+AT95)+(AT313*(AT102+AT100)))*-1)"),0)</f>
        <v>0</v>
      </c>
      <c r="AU315" s="7">
        <f ca="1">IFERROR(__xludf.DUMMYFUNCTION("((AU312*(AU94+AU95)+(AU313*(AU102+AU100)))*-1)"),0)</f>
        <v>0</v>
      </c>
      <c r="AV315" s="7">
        <f ca="1">IFERROR(__xludf.DUMMYFUNCTION("((AV312*(AV94+AV95)+(AV313*(AV102+AV100)))*-1)"),0)</f>
        <v>0</v>
      </c>
      <c r="AW315" s="7">
        <f ca="1">IFERROR(__xludf.DUMMYFUNCTION("((AW312*(AW94+AW95)+(AW313*(AW102+AW100)))*-1)"),0)</f>
        <v>0</v>
      </c>
      <c r="AX315" s="7">
        <f ca="1">IFERROR(__xludf.DUMMYFUNCTION("((AX312*(AX94+AX95)+(AX313*(AX102+AX100)))*-1)"),0)</f>
        <v>0</v>
      </c>
      <c r="AY315" s="7">
        <f ca="1">IFERROR(__xludf.DUMMYFUNCTION("((AY312*(AY94+AY95)+(AY313*(AY102+AY100)))*-1)"),0)</f>
        <v>0</v>
      </c>
      <c r="AZ315" s="7">
        <f ca="1">IFERROR(__xludf.DUMMYFUNCTION("((AZ312*(AZ94+AZ95)+(AZ313*(AZ102+AZ100)))*-1)"),0)</f>
        <v>0</v>
      </c>
      <c r="BA315" s="7">
        <f ca="1">IFERROR(__xludf.DUMMYFUNCTION("((BA312*(BA94+BA95)+(BA313*(BA102+BA100)))*-1)"),0)</f>
        <v>0</v>
      </c>
      <c r="BB315" s="7">
        <f ca="1">IFERROR(__xludf.DUMMYFUNCTION("((BB312*(BB94+BB95)+(BB313*(BB102+BB100)))*-1)"),0)</f>
        <v>0</v>
      </c>
      <c r="BC315" s="7">
        <f ca="1">IFERROR(__xludf.DUMMYFUNCTION("((BC312*(BC94+BC95)+(BC313*(BC102+BC100)))*-1)"),-34047086.911)</f>
        <v>-34047086.910999998</v>
      </c>
      <c r="BD315" s="7">
        <f ca="1">IFERROR(__xludf.DUMMYFUNCTION("((BD312*(BD94+BD95)+(BD313*(BD102+BD100)))*-1)"),0)</f>
        <v>0</v>
      </c>
      <c r="BE315" s="7">
        <f ca="1">IFERROR(__xludf.DUMMYFUNCTION("((BE312*(BE94+BE95)+(BE313*(BE102+BE100)))*-1)"),0)</f>
        <v>0</v>
      </c>
      <c r="BF315" s="7">
        <f ca="1">IFERROR(__xludf.DUMMYFUNCTION("((BF312*(BF94+BF95)+(BF313*(BF102+BF100)))*-1)"),0)</f>
        <v>0</v>
      </c>
      <c r="BG315" s="7">
        <f ca="1">IFERROR(__xludf.DUMMYFUNCTION("((BG312*(BG94+BG95)+(BG313*(BG102+BG100)))*-1)"),0)</f>
        <v>0</v>
      </c>
      <c r="BH315" s="7">
        <f ca="1">IFERROR(__xludf.DUMMYFUNCTION("((BH312*(BH94+BH95)+(BH313*(BH102+BH100)))*-1)"),0)</f>
        <v>0</v>
      </c>
      <c r="BI315" s="7">
        <f ca="1">IFERROR(__xludf.DUMMYFUNCTION("((BI312*(BI94+BI95)+(BI313*(BI102+BI100)))*-1)"),0)</f>
        <v>0</v>
      </c>
      <c r="BJ315" s="7">
        <f ca="1">IFERROR(__xludf.DUMMYFUNCTION("((BJ312*(BJ94+BJ95)+(BJ313*(BJ102+BJ100)))*-1)"),0)</f>
        <v>0</v>
      </c>
      <c r="BK315" s="7">
        <f ca="1">IFERROR(__xludf.DUMMYFUNCTION("((BK312*(BK94+BK95)+(BK313*(BK102+BK100)))*-1)"),0)</f>
        <v>0</v>
      </c>
      <c r="BL315" s="7">
        <f ca="1">IFERROR(__xludf.DUMMYFUNCTION("((BL312*(BL94+BL95)+(BL313*(BL102+BL100)))*-1)"),0)</f>
        <v>0</v>
      </c>
      <c r="BM315" s="7">
        <f ca="1">IFERROR(__xludf.DUMMYFUNCTION("((BM312*(BM94+BM95)+(BM313*(BM102+BM100)))*-1)"),0)</f>
        <v>0</v>
      </c>
      <c r="BN315" s="7">
        <f ca="1">IFERROR(__xludf.DUMMYFUNCTION("((BN312*(BN94+BN95)+(BN313*(BN102+BN100)))*-1)"),0)</f>
        <v>0</v>
      </c>
      <c r="BO315" s="7">
        <f ca="1">IFERROR(__xludf.DUMMYFUNCTION("((BO312*(BO94+BO95)+(BO313*(BO102+BO100)))*-1)"),0)</f>
        <v>0</v>
      </c>
      <c r="BP315" s="7">
        <f ca="1">IFERROR(__xludf.DUMMYFUNCTION("((BP312*(BP94+BP95)+(BP313*(BP102+BP100)))*-1)"),0)</f>
        <v>0</v>
      </c>
      <c r="BQ315" s="7">
        <f ca="1">IFERROR(__xludf.DUMMYFUNCTION("((BQ312*(BQ94+BQ95)+(BQ313*(BQ102+BQ100)))*-1)"),-3140795.562)</f>
        <v>-3140795.5619999999</v>
      </c>
      <c r="BR315" s="7">
        <f ca="1">IFERROR(__xludf.DUMMYFUNCTION("((BR312*(BR94+BR95)+(BR313*(BR102+BR100)))*-1)"),0)</f>
        <v>0</v>
      </c>
      <c r="BS315" s="7">
        <f ca="1">IFERROR(__xludf.DUMMYFUNCTION("((BS312*(BS94+BS95)+(BS313*(BS102+BS100)))*-1)"),0)</f>
        <v>0</v>
      </c>
      <c r="BT315" s="7">
        <f ca="1">IFERROR(__xludf.DUMMYFUNCTION("((BT312*(BT94+BT95)+(BT313*(BT102+BT100)))*-1)"),0)</f>
        <v>0</v>
      </c>
      <c r="BU315" s="7">
        <f ca="1">IFERROR(__xludf.DUMMYFUNCTION("((BU312*(BU94+BU95)+(BU313*(BU102+BU100)))*-1)"),0)</f>
        <v>0</v>
      </c>
      <c r="BV315" s="7">
        <f ca="1">IFERROR(__xludf.DUMMYFUNCTION("((BV312*(BV94+BV95)+(BV313*(BV102+BV100)))*-1)"),0)</f>
        <v>0</v>
      </c>
      <c r="BW315" s="7">
        <f ca="1">IFERROR(__xludf.DUMMYFUNCTION("((BW312*(BW94+BW95)+(BW313*(BW102+BW100)))*-1)"),0)</f>
        <v>0</v>
      </c>
      <c r="BX315" s="7">
        <f ca="1">IFERROR(__xludf.DUMMYFUNCTION("((BX312*(BX94+BX95)+(BX313*(BX102+BX100)))*-1)"),0)</f>
        <v>0</v>
      </c>
      <c r="BY315" s="7">
        <f ca="1">IFERROR(__xludf.DUMMYFUNCTION("((BY312*(BY94+BY95)+(BY313*(BY102+BY100)))*-1)"),0)</f>
        <v>0</v>
      </c>
      <c r="BZ315" s="7">
        <f ca="1">IFERROR(__xludf.DUMMYFUNCTION("((BZ312*(BZ94+BZ95)+(BZ313*(BZ102+BZ100)))*-1)"),0)</f>
        <v>0</v>
      </c>
      <c r="CA315" s="7">
        <f ca="1">IFERROR(__xludf.DUMMYFUNCTION("((CA312*(CA94+CA95)+(CA313*(CA102+CA100)))*-1)"),0)</f>
        <v>0</v>
      </c>
      <c r="CB315" s="7">
        <f ca="1">IFERROR(__xludf.DUMMYFUNCTION("((CB312*(CB94+CB95)+(CB313*(CB102+CB100)))*-1)"),-9438799.768)</f>
        <v>-9438799.7679999992</v>
      </c>
      <c r="CC315" s="7">
        <f ca="1">IFERROR(__xludf.DUMMYFUNCTION("((CC312*(CC94+CC95)+(CC313*(CC102+CC100)))*-1)"),0)</f>
        <v>0</v>
      </c>
      <c r="CD315" s="7">
        <f ca="1">IFERROR(__xludf.DUMMYFUNCTION("((CD312*(CD94+CD95)+(CD313*(CD102+CD100)))*-1)"),0)</f>
        <v>0</v>
      </c>
      <c r="CE315" s="7">
        <f ca="1">IFERROR(__xludf.DUMMYFUNCTION("((CE312*(CE94+CE95)+(CE313*(CE102+CE100)))*-1)"),0)</f>
        <v>0</v>
      </c>
      <c r="CF315" s="7">
        <f ca="1">IFERROR(__xludf.DUMMYFUNCTION("((CF312*(CF94+CF95)+(CF313*(CF102+CF100)))*-1)"),0)</f>
        <v>0</v>
      </c>
      <c r="CG315" s="7">
        <f ca="1">IFERROR(__xludf.DUMMYFUNCTION("((CG312*(CG94+CG95)+(CG313*(CG102+CG100)))*-1)"),0)</f>
        <v>0</v>
      </c>
      <c r="CH315" s="7">
        <f ca="1">IFERROR(__xludf.DUMMYFUNCTION("((CH312*(CH94+CH95)+(CH313*(CH102+CH100)))*-1)"),0)</f>
        <v>0</v>
      </c>
      <c r="CI315" s="7">
        <f ca="1">IFERROR(__xludf.DUMMYFUNCTION("((CI312*(CI94+CI95)+(CI313*(CI102+CI100)))*-1)"),0)</f>
        <v>0</v>
      </c>
      <c r="CJ315" s="7">
        <f ca="1">IFERROR(__xludf.DUMMYFUNCTION("((CJ312*(CJ94+CJ95)+(CJ313*(CJ102+CJ100)))*-1)"),0)</f>
        <v>0</v>
      </c>
      <c r="CK315" s="7">
        <f ca="1">IFERROR(__xludf.DUMMYFUNCTION("((CK312*(CK94+CK95)+(CK313*(CK102+CK100)))*-1)"),-6787252.668)</f>
        <v>-6787252.6679999996</v>
      </c>
      <c r="CL315" s="7">
        <f ca="1">IFERROR(__xludf.DUMMYFUNCTION("((CL312*(CL94+CL95)+(CL313*(CL102+CL100)))*-1)"),0)</f>
        <v>0</v>
      </c>
      <c r="CM315" s="7">
        <f ca="1">IFERROR(__xludf.DUMMYFUNCTION("((CM312*(CM94+CM95)+(CM313*(CM102+CM100)))*-1)"),0)</f>
        <v>0</v>
      </c>
      <c r="CN315" s="7">
        <f ca="1">IFERROR(__xludf.DUMMYFUNCTION("((CN312*(CN94+CN95)+(CN313*(CN102+CN100)))*-1)"),-30375080.4)</f>
        <v>-30375080.399999999</v>
      </c>
      <c r="CO315" s="7">
        <f ca="1">IFERROR(__xludf.DUMMYFUNCTION("((CO312*(CO94+CO95)+(CO313*(CO102+CO100)))*-1)"),0)</f>
        <v>0</v>
      </c>
      <c r="CP315" s="7">
        <f ca="1">IFERROR(__xludf.DUMMYFUNCTION("((CP312*(CP94+CP95)+(CP313*(CP102+CP100)))*-1)"),0)</f>
        <v>0</v>
      </c>
      <c r="CQ315" s="7">
        <f ca="1">IFERROR(__xludf.DUMMYFUNCTION("((CQ312*(CQ94+CQ95)+(CQ313*(CQ102+CQ100)))*-1)"),0)</f>
        <v>0</v>
      </c>
      <c r="CR315" s="7">
        <f ca="1">IFERROR(__xludf.DUMMYFUNCTION("((CR312*(CR94+CR95)+(CR313*(CR102+CR100)))*-1)"),0)</f>
        <v>0</v>
      </c>
      <c r="CS315" s="7">
        <f ca="1">IFERROR(__xludf.DUMMYFUNCTION("((CS312*(CS94+CS95)+(CS313*(CS102+CS100)))*-1)"),0)</f>
        <v>0</v>
      </c>
      <c r="CT315" s="7">
        <f ca="1">IFERROR(__xludf.DUMMYFUNCTION("((CT312*(CT94+CT95)+(CT313*(CT102+CT100)))*-1)"),0)</f>
        <v>0</v>
      </c>
      <c r="CU315" s="7">
        <f ca="1">IFERROR(__xludf.DUMMYFUNCTION("((CU312*(CU94+CU95)+(CU313*(CU102+CU100)))*-1)"),0)</f>
        <v>0</v>
      </c>
      <c r="CV315" s="7">
        <f ca="1">IFERROR(__xludf.DUMMYFUNCTION("((CV312*(CV94+CV95)+(CV313*(CV102+CV100)))*-1)"),0)</f>
        <v>0</v>
      </c>
      <c r="CW315" s="7">
        <f ca="1">IFERROR(__xludf.DUMMYFUNCTION("((CW312*(CW94+CW95)+(CW313*(CW102+CW100)))*-1)"),0)</f>
        <v>0</v>
      </c>
      <c r="CX315" s="7">
        <f ca="1">IFERROR(__xludf.DUMMYFUNCTION("((CX312*(CX94+CX95)+(CX313*(CX102+CX100)))*-1)"),0)</f>
        <v>0</v>
      </c>
      <c r="CY315" s="7">
        <f ca="1">IFERROR(__xludf.DUMMYFUNCTION("((CY312*(CY94+CY95)+(CY313*(CY102+CY100)))*-1)"),0)</f>
        <v>0</v>
      </c>
      <c r="CZ315" s="7">
        <f ca="1">IFERROR(__xludf.DUMMYFUNCTION("((CZ312*(CZ94+CZ95)+(CZ313*(CZ102+CZ100)))*-1)"),0)</f>
        <v>0</v>
      </c>
      <c r="DA315" s="7">
        <f ca="1">IFERROR(__xludf.DUMMYFUNCTION("((DA312*(DA94+DA95)+(DA313*(DA102+DA100)))*-1)"),0)</f>
        <v>0</v>
      </c>
      <c r="DB315" s="7">
        <f ca="1">IFERROR(__xludf.DUMMYFUNCTION("((DB312*(DB94+DB95)+(DB313*(DB102+DB100)))*-1)"),0)</f>
        <v>0</v>
      </c>
      <c r="DC315" s="7">
        <f ca="1">IFERROR(__xludf.DUMMYFUNCTION("((DC312*(DC94+DC95)+(DC313*(DC102+DC100)))*-1)"),0)</f>
        <v>0</v>
      </c>
      <c r="DD315" s="7">
        <f ca="1">IFERROR(__xludf.DUMMYFUNCTION("((DD312*(DD94+DD95)+(DD313*(DD102+DD100)))*-1)"),0)</f>
        <v>0</v>
      </c>
      <c r="DE315" s="7">
        <f ca="1">IFERROR(__xludf.DUMMYFUNCTION("((DE312*(DE94+DE95)+(DE313*(DE102+DE100)))*-1)"),0)</f>
        <v>0</v>
      </c>
      <c r="DF315" s="7">
        <f ca="1">IFERROR(__xludf.DUMMYFUNCTION("((DF312*(DF94+DF95)+(DF313*(DF102+DF100)))*-1)"),-15261363.51)</f>
        <v>-15261363.51</v>
      </c>
      <c r="DG315" s="7">
        <f ca="1">IFERROR(__xludf.DUMMYFUNCTION("((DG312*(DG94+DG95)+(DG313*(DG102+DG100)))*-1)"),0)</f>
        <v>0</v>
      </c>
      <c r="DH315" s="7">
        <f ca="1">IFERROR(__xludf.DUMMYFUNCTION("((DH312*(DH94+DH95)+(DH313*(DH102+DH100)))*-1)"),0)</f>
        <v>0</v>
      </c>
      <c r="DI315" s="7">
        <f ca="1">IFERROR(__xludf.DUMMYFUNCTION("((DI312*(DI94+DI95)+(DI313*(DI102+DI100)))*-1)"),-905811.984)</f>
        <v>-905811.98400000005</v>
      </c>
      <c r="DJ315" s="7">
        <f ca="1">IFERROR(__xludf.DUMMYFUNCTION("((DJ312*(DJ94+DJ95)+(DJ313*(DJ102+DJ100)))*-1)"),0)</f>
        <v>0</v>
      </c>
      <c r="DK315" s="7">
        <f ca="1">IFERROR(__xludf.DUMMYFUNCTION("((DK312*(DK94+DK95)+(DK313*(DK102+DK100)))*-1)"),0)</f>
        <v>0</v>
      </c>
      <c r="DL315" s="7">
        <f ca="1">IFERROR(__xludf.DUMMYFUNCTION("((DL312*(DL94+DL95)+(DL313*(DL102+DL100)))*-1)"),0)</f>
        <v>0</v>
      </c>
      <c r="DM315" s="7">
        <f ca="1">IFERROR(__xludf.DUMMYFUNCTION("((DM312*(DM94+DM95)+(DM313*(DM102+DM100)))*-1)"),0)</f>
        <v>0</v>
      </c>
      <c r="DN315" s="7">
        <f ca="1">IFERROR(__xludf.DUMMYFUNCTION("((DN312*(DN94+DN95)+(DN313*(DN102+DN100)))*-1)"),0)</f>
        <v>0</v>
      </c>
      <c r="DO315" s="7">
        <f ca="1">IFERROR(__xludf.DUMMYFUNCTION("((DO312*(DO94+DO95)+(DO313*(DO102+DO100)))*-1)"),0)</f>
        <v>0</v>
      </c>
      <c r="DP315" s="7">
        <f ca="1">IFERROR(__xludf.DUMMYFUNCTION("((DP312*(DP94+DP95)+(DP313*(DP102+DP100)))*-1)"),0)</f>
        <v>0</v>
      </c>
      <c r="DQ315" s="7">
        <f ca="1">IFERROR(__xludf.DUMMYFUNCTION("((DQ312*(DQ94+DQ95)+(DQ313*(DQ102+DQ100)))*-1)"),0)</f>
        <v>0</v>
      </c>
      <c r="DR315" s="7">
        <f ca="1">IFERROR(__xludf.DUMMYFUNCTION("((DR312*(DR94+DR95)+(DR313*(DR102+DR100)))*-1)"),0)</f>
        <v>0</v>
      </c>
      <c r="DS315" s="7">
        <f ca="1">IFERROR(__xludf.DUMMYFUNCTION("((DS312*(DS94+DS95)+(DS313*(DS102+DS100)))*-1)"),0)</f>
        <v>0</v>
      </c>
      <c r="DT315" s="7">
        <f ca="1">IFERROR(__xludf.DUMMYFUNCTION("((DT312*(DT94+DT95)+(DT313*(DT102+DT100)))*-1)"),0)</f>
        <v>0</v>
      </c>
      <c r="DU315" s="7">
        <f ca="1">IFERROR(__xludf.DUMMYFUNCTION("((DU312*(DU94+DU95)+(DU313*(DU102+DU100)))*-1)"),0)</f>
        <v>0</v>
      </c>
      <c r="DV315" s="7">
        <f ca="1">IFERROR(__xludf.DUMMYFUNCTION("((DV312*(DV94+DV95)+(DV313*(DV102+DV100)))*-1)"),0)</f>
        <v>0</v>
      </c>
      <c r="DW315" s="7">
        <f ca="1">IFERROR(__xludf.DUMMYFUNCTION("((DW312*(DW94+DW95)+(DW313*(DW102+DW100)))*-1)"),0)</f>
        <v>0</v>
      </c>
      <c r="DX315" s="7">
        <f ca="1">IFERROR(__xludf.DUMMYFUNCTION("((DX312*(DX94+DX95)+(DX313*(DX102+DX100)))*-1)"),0)</f>
        <v>0</v>
      </c>
      <c r="DY315" s="7">
        <f ca="1">IFERROR(__xludf.DUMMYFUNCTION("((DY312*(DY94+DY95)+(DY313*(DY102+DY100)))*-1)"),0)</f>
        <v>0</v>
      </c>
      <c r="DZ315" s="7">
        <f ca="1">IFERROR(__xludf.DUMMYFUNCTION("((DZ312*(DZ94+DZ95)+(DZ313*(DZ102+DZ100)))*-1)"),0)</f>
        <v>0</v>
      </c>
      <c r="EA315" s="7">
        <f ca="1">IFERROR(__xludf.DUMMYFUNCTION("((EA312*(EA94+EA95)+(EA313*(EA102+EA100)))*-1)"),-273878.4)</f>
        <v>-273878.40000000002</v>
      </c>
      <c r="EB315" s="7">
        <f ca="1">IFERROR(__xludf.DUMMYFUNCTION("((EB312*(EB94+EB95)+(EB313*(EB102+EB100)))*-1)"),0)</f>
        <v>0</v>
      </c>
      <c r="EC315" s="7">
        <f ca="1">IFERROR(__xludf.DUMMYFUNCTION("((EC312*(EC94+EC95)+(EC313*(EC102+EC100)))*-1)"),0)</f>
        <v>0</v>
      </c>
      <c r="ED315" s="7">
        <f ca="1">IFERROR(__xludf.DUMMYFUNCTION("((ED312*(ED94+ED95)+(ED313*(ED102+ED100)))*-1)"),0)</f>
        <v>0</v>
      </c>
      <c r="EE315" s="7">
        <f ca="1">IFERROR(__xludf.DUMMYFUNCTION("((EE312*(EE94+EE95)+(EE313*(EE102+EE100)))*-1)"),0)</f>
        <v>0</v>
      </c>
      <c r="EF315" s="7">
        <f ca="1">IFERROR(__xludf.DUMMYFUNCTION("((EF312*(EF94+EF95)+(EF313*(EF102+EF100)))*-1)"),0)</f>
        <v>0</v>
      </c>
      <c r="EG315" s="7">
        <f ca="1">IFERROR(__xludf.DUMMYFUNCTION("((EG312*(EG94+EG95)+(EG313*(EG102+EG100)))*-1)"),0)</f>
        <v>0</v>
      </c>
      <c r="EH315" s="7">
        <f ca="1">IFERROR(__xludf.DUMMYFUNCTION("((EH312*(EH94+EH95)+(EH313*(EH102+EH100)))*-1)"),0)</f>
        <v>0</v>
      </c>
      <c r="EI315" s="7">
        <f ca="1">IFERROR(__xludf.DUMMYFUNCTION("((EI312*(EI94+EI95)+(EI313*(EI102+EI100)))*-1)"),0)</f>
        <v>0</v>
      </c>
      <c r="EJ315" s="7">
        <f ca="1">IFERROR(__xludf.DUMMYFUNCTION("((EJ312*(EJ94+EJ95)+(EJ313*(EJ102+EJ100)))*-1)"),0)</f>
        <v>0</v>
      </c>
      <c r="EK315" s="7">
        <f ca="1">IFERROR(__xludf.DUMMYFUNCTION("((EK312*(EK94+EK95)+(EK313*(EK102+EK100)))*-1)"),0)</f>
        <v>0</v>
      </c>
      <c r="EL315" s="7">
        <f ca="1">IFERROR(__xludf.DUMMYFUNCTION("((EL312*(EL94+EL95)+(EL313*(EL102+EL100)))*-1)"),0)</f>
        <v>0</v>
      </c>
      <c r="EM315" s="7">
        <f ca="1">IFERROR(__xludf.DUMMYFUNCTION("((EM312*(EM94+EM95)+(EM313*(EM102+EM100)))*-1)"),0)</f>
        <v>0</v>
      </c>
      <c r="EN315" s="7">
        <f ca="1">IFERROR(__xludf.DUMMYFUNCTION("((EN312*(EN94+EN95)+(EN313*(EN102+EN100)))*-1)"),0)</f>
        <v>0</v>
      </c>
      <c r="EO315" s="7">
        <f ca="1">IFERROR(__xludf.DUMMYFUNCTION("((EO312*(EO94+EO95)+(EO313*(EO102+EO100)))*-1)"),0)</f>
        <v>0</v>
      </c>
      <c r="EP315" s="7">
        <f ca="1">IFERROR(__xludf.DUMMYFUNCTION("((EP312*(EP94+EP95)+(EP313*(EP102+EP100)))*-1)"),0)</f>
        <v>0</v>
      </c>
      <c r="EQ315" s="7">
        <f ca="1">IFERROR(__xludf.DUMMYFUNCTION("((EQ312*(EQ94+EQ95)+(EQ313*(EQ102+EQ100)))*-1)"),-1211307.81)</f>
        <v>-1211307.81</v>
      </c>
      <c r="ER315" s="7">
        <f ca="1">IFERROR(__xludf.DUMMYFUNCTION("((ER312*(ER94+ER95)+(ER313*(ER102+ER100)))*-1)"),0)</f>
        <v>0</v>
      </c>
      <c r="ES315" s="7">
        <f ca="1">IFERROR(__xludf.DUMMYFUNCTION("((ES312*(ES94+ES95)+(ES313*(ES102+ES100)))*-1)"),0)</f>
        <v>0</v>
      </c>
      <c r="ET315" s="7">
        <f ca="1">IFERROR(__xludf.DUMMYFUNCTION("((ET312*(ET94+ET95)+(ET313*(ET102+ET100)))*-1)"),0)</f>
        <v>0</v>
      </c>
      <c r="EU315" s="7">
        <f ca="1">IFERROR(__xludf.DUMMYFUNCTION("((EU312*(EU94+EU95)+(EU313*(EU102+EU100)))*-1)"),0)</f>
        <v>0</v>
      </c>
      <c r="EV315" s="7">
        <f ca="1">IFERROR(__xludf.DUMMYFUNCTION("((EV312*(EV94+EV95)+(EV313*(EV102+EV100)))*-1)"),0)</f>
        <v>0</v>
      </c>
      <c r="EW315" s="7">
        <f ca="1">IFERROR(__xludf.DUMMYFUNCTION("((EW312*(EW94+EW95)+(EW313*(EW102+EW100)))*-1)"),0)</f>
        <v>0</v>
      </c>
      <c r="EX315" s="7">
        <f ca="1">IFERROR(__xludf.DUMMYFUNCTION("((EX312*(EX94+EX95)+(EX313*(EX102+EX100)))*-1)"),0)</f>
        <v>0</v>
      </c>
      <c r="EY315" s="7">
        <f ca="1">IFERROR(__xludf.DUMMYFUNCTION("((EY312*(EY94+EY95)+(EY313*(EY102+EY100)))*-1)"),0)</f>
        <v>0</v>
      </c>
      <c r="EZ315" s="7">
        <f ca="1">IFERROR(__xludf.DUMMYFUNCTION("((EZ312*(EZ94+EZ95)+(EZ313*(EZ102+EZ100)))*-1)"),0)</f>
        <v>0</v>
      </c>
      <c r="FA315" s="7">
        <f ca="1">IFERROR(__xludf.DUMMYFUNCTION("((FA312*(FA94+FA95)+(FA313*(FA102+FA100)))*-1)"),0)</f>
        <v>0</v>
      </c>
      <c r="FB315" s="7">
        <f ca="1">IFERROR(__xludf.DUMMYFUNCTION("((FB312*(FB94+FB95)+(FB313*(FB102+FB100)))*-1)"),0)</f>
        <v>0</v>
      </c>
      <c r="FC315" s="7">
        <f ca="1">IFERROR(__xludf.DUMMYFUNCTION("((FC312*(FC94+FC95)+(FC313*(FC102+FC100)))*-1)"),0)</f>
        <v>0</v>
      </c>
      <c r="FD315" s="7">
        <f ca="1">IFERROR(__xludf.DUMMYFUNCTION("((FD312*(FD94+FD95)+(FD313*(FD102+FD100)))*-1)"),0)</f>
        <v>0</v>
      </c>
      <c r="FE315" s="7">
        <f ca="1">IFERROR(__xludf.DUMMYFUNCTION("((FE312*(FE94+FE95)+(FE313*(FE102+FE100)))*-1)"),0)</f>
        <v>0</v>
      </c>
      <c r="FF315" s="7">
        <f ca="1">IFERROR(__xludf.DUMMYFUNCTION("((FF312*(FF94+FF95)+(FF313*(FF102+FF100)))*-1)"),0)</f>
        <v>0</v>
      </c>
      <c r="FG315" s="7">
        <f ca="1">IFERROR(__xludf.DUMMYFUNCTION("((FG312*(FG94+FG95)+(FG313*(FG102+FG100)))*-1)"),0)</f>
        <v>0</v>
      </c>
      <c r="FH315" s="7">
        <f ca="1">IFERROR(__xludf.DUMMYFUNCTION("((FH312*(FH94+FH95)+(FH313*(FH102+FH100)))*-1)"),0)</f>
        <v>0</v>
      </c>
      <c r="FI315" s="7">
        <f ca="1">IFERROR(__xludf.DUMMYFUNCTION("((FI312*(FI94+FI95)+(FI313*(FI102+FI100)))*-1)"),0)</f>
        <v>0</v>
      </c>
      <c r="FJ315" s="7">
        <f ca="1">IFERROR(__xludf.DUMMYFUNCTION("((FJ312*(FJ94+FJ95)+(FJ313*(FJ102+FJ100)))*-1)"),0)</f>
        <v>0</v>
      </c>
      <c r="FK315" s="7">
        <f ca="1">IFERROR(__xludf.DUMMYFUNCTION("((FK312*(FK94+FK95)+(FK313*(FK102+FK100)))*-1)"),0)</f>
        <v>0</v>
      </c>
      <c r="FL315" s="7">
        <f ca="1">IFERROR(__xludf.DUMMYFUNCTION("((FL312*(FL94+FL95)+(FL313*(FL102+FL100)))*-1)"),0)</f>
        <v>0</v>
      </c>
      <c r="FM315" s="7">
        <f ca="1">IFERROR(__xludf.DUMMYFUNCTION("((FM312*(FM94+FM95)+(FM313*(FM102+FM100)))*-1)"),0)</f>
        <v>0</v>
      </c>
      <c r="FN315" s="7">
        <f ca="1">IFERROR(__xludf.DUMMYFUNCTION("((FN312*(FN94+FN95)+(FN313*(FN102+FN100)))*-1)"),0)</f>
        <v>0</v>
      </c>
      <c r="FO315" s="7">
        <f ca="1">IFERROR(__xludf.DUMMYFUNCTION("((FO312*(FO94+FO95)+(FO313*(FO102+FO100)))*-1)"),0)</f>
        <v>0</v>
      </c>
      <c r="FP315" s="7">
        <f ca="1">IFERROR(__xludf.DUMMYFUNCTION("((FP312*(FP94+FP95)+(FP313*(FP102+FP100)))*-1)"),0)</f>
        <v>0</v>
      </c>
      <c r="FQ315" s="7">
        <f ca="1">IFERROR(__xludf.DUMMYFUNCTION("((FQ312*(FQ94+FQ95)+(FQ313*(FQ102+FQ100)))*-1)"),0)</f>
        <v>0</v>
      </c>
      <c r="FR315" s="7">
        <f ca="1">IFERROR(__xludf.DUMMYFUNCTION("((FR312*(FR94+FR95)+(FR313*(FR102+FR100)))*-1)"),0)</f>
        <v>0</v>
      </c>
      <c r="FS315" s="7">
        <f ca="1">IFERROR(__xludf.DUMMYFUNCTION("((FS312*(FS94+FS95)+(FS313*(FS102+FS100)))*-1)"),0)</f>
        <v>0</v>
      </c>
      <c r="FT315" s="7">
        <f ca="1">IFERROR(__xludf.DUMMYFUNCTION("((FT312*(FT94+FT95)+(FT313*(FT102+FT100)))*-1)"),0)</f>
        <v>0</v>
      </c>
      <c r="FU315" s="7">
        <f ca="1">IFERROR(__xludf.DUMMYFUNCTION("((FU312*(FU94+FU95)+(FU313*(FU102+FU100)))*-1)"),0)</f>
        <v>0</v>
      </c>
      <c r="FV315" s="7">
        <f ca="1">IFERROR(__xludf.DUMMYFUNCTION("((FV312*(FV94+FV95)+(FV313*(FV102+FV100)))*-1)"),0)</f>
        <v>0</v>
      </c>
      <c r="FW315" s="7">
        <f ca="1">IFERROR(__xludf.DUMMYFUNCTION("((FW312*(FW94+FW95)+(FW313*(FW102+FW100)))*-1)"),0)</f>
        <v>0</v>
      </c>
      <c r="FX315" s="7">
        <f ca="1">IFERROR(__xludf.DUMMYFUNCTION("((FX312*(FX94+FX95)+(FX313*(FX102+FX100)))*-1)"),0)</f>
        <v>0</v>
      </c>
      <c r="FY315" s="7">
        <f ca="1">SUM(C315:FX315)</f>
        <v>-237702649.53899989</v>
      </c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</row>
    <row r="316" spans="1:193" ht="15.5" x14ac:dyDescent="0.35">
      <c r="A316" s="12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</row>
    <row r="317" spans="1:193" ht="15.5" x14ac:dyDescent="0.35">
      <c r="A317" s="12" t="s">
        <v>726</v>
      </c>
      <c r="B317" s="7" t="s">
        <v>727</v>
      </c>
      <c r="C317" s="7">
        <f t="shared" ref="C317:FX317" ca="1" si="168">C303+C315</f>
        <v>79052053.680000007</v>
      </c>
      <c r="D317" s="7">
        <f t="shared" ca="1" si="168"/>
        <v>391736827.79900002</v>
      </c>
      <c r="E317" s="7">
        <f t="shared" ca="1" si="168"/>
        <v>63199428.085000008</v>
      </c>
      <c r="F317" s="7">
        <f t="shared" ca="1" si="168"/>
        <v>268511921.42200011</v>
      </c>
      <c r="G317" s="7">
        <f t="shared" ca="1" si="168"/>
        <v>22103743.82</v>
      </c>
      <c r="H317" s="7">
        <f t="shared" ca="1" si="168"/>
        <v>13385447.9</v>
      </c>
      <c r="I317" s="7">
        <f t="shared" ca="1" si="168"/>
        <v>89679979.826000005</v>
      </c>
      <c r="J317" s="7">
        <f t="shared" ca="1" si="168"/>
        <v>24467328.670000002</v>
      </c>
      <c r="K317" s="7">
        <f t="shared" ca="1" si="168"/>
        <v>4312438.25</v>
      </c>
      <c r="L317" s="7">
        <f t="shared" ca="1" si="168"/>
        <v>26165974.879999999</v>
      </c>
      <c r="M317" s="7">
        <f t="shared" ca="1" si="168"/>
        <v>12949878.18</v>
      </c>
      <c r="N317" s="7">
        <f t="shared" ca="1" si="168"/>
        <v>590679379</v>
      </c>
      <c r="O317" s="7">
        <f t="shared" ca="1" si="168"/>
        <v>143765812.40000001</v>
      </c>
      <c r="P317" s="7">
        <f t="shared" ca="1" si="168"/>
        <v>5256442.2699999996</v>
      </c>
      <c r="Q317" s="7">
        <f t="shared" ca="1" si="168"/>
        <v>472234638.61400002</v>
      </c>
      <c r="R317" s="7">
        <f t="shared" ca="1" si="168"/>
        <v>79746543.269999996</v>
      </c>
      <c r="S317" s="7">
        <f t="shared" ca="1" si="168"/>
        <v>19269511.710000001</v>
      </c>
      <c r="T317" s="7">
        <f t="shared" ca="1" si="168"/>
        <v>3318152.62</v>
      </c>
      <c r="U317" s="7">
        <f t="shared" ca="1" si="168"/>
        <v>1410288.68</v>
      </c>
      <c r="V317" s="7">
        <f t="shared" ca="1" si="168"/>
        <v>4316362.38</v>
      </c>
      <c r="W317" s="7">
        <f t="shared" ca="1" si="168"/>
        <v>1480077.76</v>
      </c>
      <c r="X317" s="7">
        <f t="shared" ca="1" si="168"/>
        <v>1262581.68</v>
      </c>
      <c r="Y317" s="7">
        <f t="shared" ca="1" si="168"/>
        <v>11169795.210000001</v>
      </c>
      <c r="Z317" s="7">
        <f t="shared" ca="1" si="168"/>
        <v>3879323.23</v>
      </c>
      <c r="AA317" s="7">
        <f t="shared" ca="1" si="168"/>
        <v>352412400.11000001</v>
      </c>
      <c r="AB317" s="7">
        <f t="shared" ca="1" si="168"/>
        <v>312782805.33999997</v>
      </c>
      <c r="AC317" s="7">
        <f t="shared" ca="1" si="168"/>
        <v>11265780.48</v>
      </c>
      <c r="AD317" s="7">
        <f t="shared" ca="1" si="168"/>
        <v>14835502.91</v>
      </c>
      <c r="AE317" s="7">
        <f t="shared" ca="1" si="168"/>
        <v>2241390.11</v>
      </c>
      <c r="AF317" s="7">
        <f t="shared" ca="1" si="168"/>
        <v>3431505.06</v>
      </c>
      <c r="AG317" s="7">
        <f t="shared" ca="1" si="168"/>
        <v>8030694.9000000004</v>
      </c>
      <c r="AH317" s="7">
        <f t="shared" ca="1" si="168"/>
        <v>11751183.359999999</v>
      </c>
      <c r="AI317" s="7">
        <f t="shared" ca="1" si="168"/>
        <v>5477456.7800000003</v>
      </c>
      <c r="AJ317" s="7">
        <f t="shared" ca="1" si="168"/>
        <v>3713794.02</v>
      </c>
      <c r="AK317" s="7">
        <f t="shared" ca="1" si="168"/>
        <v>3458406.28</v>
      </c>
      <c r="AL317" s="7">
        <f t="shared" ca="1" si="168"/>
        <v>4717201.12</v>
      </c>
      <c r="AM317" s="7">
        <f t="shared" ca="1" si="168"/>
        <v>5240217.4400000004</v>
      </c>
      <c r="AN317" s="7">
        <f t="shared" ca="1" si="168"/>
        <v>4779906.71</v>
      </c>
      <c r="AO317" s="7">
        <f t="shared" ca="1" si="168"/>
        <v>50534324.149999999</v>
      </c>
      <c r="AP317" s="7">
        <f t="shared" ca="1" si="168"/>
        <v>1019506255.91</v>
      </c>
      <c r="AQ317" s="7">
        <f t="shared" ca="1" si="168"/>
        <v>4492088.3600000003</v>
      </c>
      <c r="AR317" s="7">
        <f t="shared" ca="1" si="168"/>
        <v>672101502.37300003</v>
      </c>
      <c r="AS317" s="7">
        <f t="shared" ca="1" si="168"/>
        <v>75627065.024999991</v>
      </c>
      <c r="AT317" s="7">
        <f t="shared" ca="1" si="168"/>
        <v>27506168.370000001</v>
      </c>
      <c r="AU317" s="7">
        <f t="shared" ca="1" si="168"/>
        <v>4675918.18</v>
      </c>
      <c r="AV317" s="7">
        <f t="shared" ca="1" si="168"/>
        <v>5120477.45</v>
      </c>
      <c r="AW317" s="7">
        <f t="shared" ca="1" si="168"/>
        <v>4494358.13</v>
      </c>
      <c r="AX317" s="7">
        <f t="shared" ca="1" si="168"/>
        <v>2057632.03</v>
      </c>
      <c r="AY317" s="7">
        <f t="shared" ca="1" si="168"/>
        <v>6020645.1799999997</v>
      </c>
      <c r="AZ317" s="7">
        <f t="shared" ca="1" si="168"/>
        <v>142626815.31999999</v>
      </c>
      <c r="BA317" s="7">
        <f t="shared" ca="1" si="168"/>
        <v>100627416.67</v>
      </c>
      <c r="BB317" s="7">
        <f t="shared" ca="1" si="168"/>
        <v>83817514.620000005</v>
      </c>
      <c r="BC317" s="7">
        <f t="shared" ca="1" si="168"/>
        <v>248775917.15899998</v>
      </c>
      <c r="BD317" s="7">
        <f t="shared" ca="1" si="168"/>
        <v>40101015.780000001</v>
      </c>
      <c r="BE317" s="7">
        <f t="shared" ca="1" si="168"/>
        <v>14211729.34</v>
      </c>
      <c r="BF317" s="7">
        <f t="shared" ca="1" si="168"/>
        <v>281878750.83999997</v>
      </c>
      <c r="BG317" s="7">
        <f t="shared" ca="1" si="168"/>
        <v>11992392.609999999</v>
      </c>
      <c r="BH317" s="7">
        <f t="shared" ca="1" si="168"/>
        <v>7631150.0199999996</v>
      </c>
      <c r="BI317" s="7">
        <f t="shared" ca="1" si="168"/>
        <v>4655443.62</v>
      </c>
      <c r="BJ317" s="7">
        <f t="shared" ca="1" si="168"/>
        <v>69582892.510000005</v>
      </c>
      <c r="BK317" s="7">
        <f t="shared" ca="1" si="168"/>
        <v>390659101.26999998</v>
      </c>
      <c r="BL317" s="7">
        <f t="shared" ca="1" si="168"/>
        <v>1967959.09</v>
      </c>
      <c r="BM317" s="7">
        <f t="shared" ca="1" si="168"/>
        <v>5436203.6900000004</v>
      </c>
      <c r="BN317" s="7">
        <f t="shared" ca="1" si="168"/>
        <v>35196799.289999999</v>
      </c>
      <c r="BO317" s="7">
        <f t="shared" ca="1" si="168"/>
        <v>14707253.09</v>
      </c>
      <c r="BP317" s="7">
        <f t="shared" ca="1" si="168"/>
        <v>3342513.9</v>
      </c>
      <c r="BQ317" s="7">
        <f t="shared" ca="1" si="168"/>
        <v>70039277.817999989</v>
      </c>
      <c r="BR317" s="7">
        <f t="shared" ca="1" si="168"/>
        <v>51838961.100000001</v>
      </c>
      <c r="BS317" s="7">
        <f t="shared" ca="1" si="168"/>
        <v>14896672.880000001</v>
      </c>
      <c r="BT317" s="7">
        <f t="shared" ca="1" si="168"/>
        <v>5808684.25</v>
      </c>
      <c r="BU317" s="7">
        <f t="shared" ca="1" si="168"/>
        <v>6031635.75</v>
      </c>
      <c r="BV317" s="7">
        <f t="shared" ca="1" si="168"/>
        <v>14808759.189999999</v>
      </c>
      <c r="BW317" s="7">
        <f t="shared" ca="1" si="168"/>
        <v>23767201.809999999</v>
      </c>
      <c r="BX317" s="7">
        <f t="shared" ca="1" si="168"/>
        <v>1747493.26</v>
      </c>
      <c r="BY317" s="7">
        <f t="shared" ca="1" si="168"/>
        <v>6226435.4199999999</v>
      </c>
      <c r="BZ317" s="7">
        <f t="shared" ca="1" si="168"/>
        <v>4027229.55</v>
      </c>
      <c r="CA317" s="7">
        <f t="shared" ca="1" si="168"/>
        <v>3145296</v>
      </c>
      <c r="CB317" s="7">
        <f t="shared" ca="1" si="168"/>
        <v>819886996.05200005</v>
      </c>
      <c r="CC317" s="7">
        <f t="shared" ca="1" si="168"/>
        <v>3591422.38</v>
      </c>
      <c r="CD317" s="7">
        <f t="shared" ca="1" si="168"/>
        <v>1211944.3999999999</v>
      </c>
      <c r="CE317" s="7">
        <f t="shared" ca="1" si="168"/>
        <v>3165905.17</v>
      </c>
      <c r="CF317" s="7">
        <f t="shared" ca="1" si="168"/>
        <v>2391611.64</v>
      </c>
      <c r="CG317" s="7">
        <f t="shared" ca="1" si="168"/>
        <v>3672390.33</v>
      </c>
      <c r="CH317" s="7">
        <f t="shared" ca="1" si="168"/>
        <v>2254948.56</v>
      </c>
      <c r="CI317" s="7">
        <f t="shared" ca="1" si="168"/>
        <v>8604631.9199999999</v>
      </c>
      <c r="CJ317" s="7">
        <f t="shared" ca="1" si="168"/>
        <v>11489962.68</v>
      </c>
      <c r="CK317" s="7">
        <f t="shared" ca="1" si="168"/>
        <v>50443047.012000002</v>
      </c>
      <c r="CL317" s="7">
        <f t="shared" ca="1" si="168"/>
        <v>15245739.859999999</v>
      </c>
      <c r="CM317" s="7">
        <f t="shared" ca="1" si="168"/>
        <v>9332190.8900000006</v>
      </c>
      <c r="CN317" s="7">
        <f t="shared" ca="1" si="168"/>
        <v>316192418.92000002</v>
      </c>
      <c r="CO317" s="7">
        <f t="shared" ca="1" si="168"/>
        <v>158501756.33000001</v>
      </c>
      <c r="CP317" s="7">
        <f t="shared" ca="1" si="168"/>
        <v>12173967.699999999</v>
      </c>
      <c r="CQ317" s="7">
        <f t="shared" ca="1" si="168"/>
        <v>10319943.82</v>
      </c>
      <c r="CR317" s="7">
        <f t="shared" ca="1" si="168"/>
        <v>3879878.58</v>
      </c>
      <c r="CS317" s="7">
        <f t="shared" ca="1" si="168"/>
        <v>4486541.0199999996</v>
      </c>
      <c r="CT317" s="7">
        <f t="shared" ca="1" si="168"/>
        <v>2570076.59</v>
      </c>
      <c r="CU317" s="7">
        <f t="shared" ca="1" si="168"/>
        <v>5447546.1399999997</v>
      </c>
      <c r="CV317" s="7">
        <f t="shared" ca="1" si="168"/>
        <v>1176684.73</v>
      </c>
      <c r="CW317" s="7">
        <f t="shared" ca="1" si="168"/>
        <v>3791096.75</v>
      </c>
      <c r="CX317" s="7">
        <f t="shared" ca="1" si="168"/>
        <v>6133963.3200000003</v>
      </c>
      <c r="CY317" s="7">
        <f t="shared" ca="1" si="168"/>
        <v>1248005.03</v>
      </c>
      <c r="CZ317" s="7">
        <f t="shared" ca="1" si="168"/>
        <v>21008137.969999999</v>
      </c>
      <c r="DA317" s="7">
        <f t="shared" ca="1" si="168"/>
        <v>3739031.97</v>
      </c>
      <c r="DB317" s="7">
        <f t="shared" ca="1" si="168"/>
        <v>4880964.34</v>
      </c>
      <c r="DC317" s="7">
        <f t="shared" ca="1" si="168"/>
        <v>3660350.21</v>
      </c>
      <c r="DD317" s="7">
        <f t="shared" ca="1" si="168"/>
        <v>3579436.51</v>
      </c>
      <c r="DE317" s="7">
        <f t="shared" ca="1" si="168"/>
        <v>4615219.92</v>
      </c>
      <c r="DF317" s="7">
        <f t="shared" ca="1" si="168"/>
        <v>214471196.86000001</v>
      </c>
      <c r="DG317" s="7">
        <f t="shared" ca="1" si="168"/>
        <v>2234952.04</v>
      </c>
      <c r="DH317" s="7">
        <f t="shared" ca="1" si="168"/>
        <v>20650989.93</v>
      </c>
      <c r="DI317" s="7">
        <f t="shared" ca="1" si="168"/>
        <v>27137365.535999998</v>
      </c>
      <c r="DJ317" s="7">
        <f t="shared" ca="1" si="168"/>
        <v>8211576.4000000004</v>
      </c>
      <c r="DK317" s="7">
        <f t="shared" ca="1" si="168"/>
        <v>6295019.5</v>
      </c>
      <c r="DL317" s="7">
        <f t="shared" ca="1" si="168"/>
        <v>66823620.409999996</v>
      </c>
      <c r="DM317" s="7">
        <f t="shared" ca="1" si="168"/>
        <v>4440075.55</v>
      </c>
      <c r="DN317" s="7">
        <f t="shared" ca="1" si="168"/>
        <v>16075280.23</v>
      </c>
      <c r="DO317" s="7">
        <f t="shared" ca="1" si="168"/>
        <v>38630398.159999996</v>
      </c>
      <c r="DP317" s="7">
        <f t="shared" ca="1" si="168"/>
        <v>3881904.38</v>
      </c>
      <c r="DQ317" s="7">
        <f t="shared" ca="1" si="168"/>
        <v>11138997.6</v>
      </c>
      <c r="DR317" s="7">
        <f t="shared" ca="1" si="168"/>
        <v>16125868.59</v>
      </c>
      <c r="DS317" s="7">
        <f t="shared" ca="1" si="168"/>
        <v>8220717.54</v>
      </c>
      <c r="DT317" s="7">
        <f t="shared" ca="1" si="168"/>
        <v>3708126.51</v>
      </c>
      <c r="DU317" s="7">
        <f t="shared" ca="1" si="168"/>
        <v>5288530.8899999997</v>
      </c>
      <c r="DV317" s="7">
        <f t="shared" ca="1" si="168"/>
        <v>3870179.44</v>
      </c>
      <c r="DW317" s="7">
        <f t="shared" ca="1" si="168"/>
        <v>4762020.5199999996</v>
      </c>
      <c r="DX317" s="7">
        <f t="shared" ca="1" si="168"/>
        <v>3811652.82</v>
      </c>
      <c r="DY317" s="7">
        <f t="shared" ca="1" si="168"/>
        <v>5093286.76</v>
      </c>
      <c r="DZ317" s="7">
        <f t="shared" ca="1" si="168"/>
        <v>9153990.4900000002</v>
      </c>
      <c r="EA317" s="7">
        <f t="shared" ca="1" si="168"/>
        <v>6992117.3999999994</v>
      </c>
      <c r="EB317" s="7">
        <f t="shared" ca="1" si="168"/>
        <v>7038996.6299999999</v>
      </c>
      <c r="EC317" s="7">
        <f t="shared" ca="1" si="168"/>
        <v>4335034.8099999996</v>
      </c>
      <c r="ED317" s="7">
        <f t="shared" ca="1" si="168"/>
        <v>23689244.559999999</v>
      </c>
      <c r="EE317" s="7">
        <f t="shared" ca="1" si="168"/>
        <v>3687045.68</v>
      </c>
      <c r="EF317" s="7">
        <f t="shared" ca="1" si="168"/>
        <v>16370469.24</v>
      </c>
      <c r="EG317" s="7">
        <f t="shared" ca="1" si="168"/>
        <v>4175170.93</v>
      </c>
      <c r="EH317" s="7">
        <f t="shared" ca="1" si="168"/>
        <v>4140789.68</v>
      </c>
      <c r="EI317" s="7">
        <f t="shared" ca="1" si="168"/>
        <v>162554647.53</v>
      </c>
      <c r="EJ317" s="7">
        <f t="shared" ca="1" si="168"/>
        <v>112123605.77</v>
      </c>
      <c r="EK317" s="7">
        <f t="shared" ca="1" si="168"/>
        <v>8375153.3300000001</v>
      </c>
      <c r="EL317" s="7">
        <f t="shared" ca="1" si="168"/>
        <v>5899050.4400000004</v>
      </c>
      <c r="EM317" s="7">
        <f t="shared" ca="1" si="168"/>
        <v>5485560.5599999996</v>
      </c>
      <c r="EN317" s="7">
        <f t="shared" ca="1" si="168"/>
        <v>11829639.640000001</v>
      </c>
      <c r="EO317" s="7">
        <f t="shared" ca="1" si="168"/>
        <v>4726223.4400000004</v>
      </c>
      <c r="EP317" s="7">
        <f t="shared" ca="1" si="168"/>
        <v>6204234.5099999998</v>
      </c>
      <c r="EQ317" s="7">
        <f t="shared" ca="1" si="168"/>
        <v>29534740.48</v>
      </c>
      <c r="ER317" s="7">
        <f t="shared" ca="1" si="168"/>
        <v>5131906.5</v>
      </c>
      <c r="ES317" s="7">
        <f t="shared" ca="1" si="168"/>
        <v>3353793.81</v>
      </c>
      <c r="ET317" s="7">
        <f t="shared" ca="1" si="168"/>
        <v>4356324.13</v>
      </c>
      <c r="EU317" s="7">
        <f t="shared" ca="1" si="168"/>
        <v>7963315.6799999997</v>
      </c>
      <c r="EV317" s="7">
        <f t="shared" ca="1" si="168"/>
        <v>1890492.83</v>
      </c>
      <c r="EW317" s="7">
        <f t="shared" ca="1" si="168"/>
        <v>13309322.109999999</v>
      </c>
      <c r="EX317" s="7">
        <f t="shared" ca="1" si="168"/>
        <v>3791058.95</v>
      </c>
      <c r="EY317" s="7">
        <f t="shared" ca="1" si="168"/>
        <v>7759567.2400000002</v>
      </c>
      <c r="EZ317" s="7">
        <f t="shared" ca="1" si="168"/>
        <v>2820167.82</v>
      </c>
      <c r="FA317" s="7">
        <f t="shared" ca="1" si="168"/>
        <v>42112505.409999996</v>
      </c>
      <c r="FB317" s="7">
        <f t="shared" ca="1" si="168"/>
        <v>4797387.76</v>
      </c>
      <c r="FC317" s="7">
        <f t="shared" ca="1" si="168"/>
        <v>21147856.920000002</v>
      </c>
      <c r="FD317" s="7">
        <f t="shared" ca="1" si="168"/>
        <v>5770108.4400000004</v>
      </c>
      <c r="FE317" s="7">
        <f t="shared" ca="1" si="168"/>
        <v>1963010.65</v>
      </c>
      <c r="FF317" s="7">
        <f t="shared" ca="1" si="168"/>
        <v>3691748.16</v>
      </c>
      <c r="FG317" s="7">
        <f t="shared" ca="1" si="168"/>
        <v>2729985.41</v>
      </c>
      <c r="FH317" s="7">
        <f t="shared" ca="1" si="168"/>
        <v>1718391.6</v>
      </c>
      <c r="FI317" s="7">
        <f t="shared" ca="1" si="168"/>
        <v>20443703.68</v>
      </c>
      <c r="FJ317" s="7">
        <f t="shared" ca="1" si="168"/>
        <v>22797589.829999998</v>
      </c>
      <c r="FK317" s="7">
        <f t="shared" ca="1" si="168"/>
        <v>29294622.940000001</v>
      </c>
      <c r="FL317" s="7">
        <f t="shared" ca="1" si="168"/>
        <v>94168128.030000001</v>
      </c>
      <c r="FM317" s="7">
        <f t="shared" ca="1" si="168"/>
        <v>44634765.020000003</v>
      </c>
      <c r="FN317" s="7">
        <f t="shared" ca="1" si="168"/>
        <v>263482240.59</v>
      </c>
      <c r="FO317" s="7">
        <f t="shared" ca="1" si="168"/>
        <v>13522225.609999999</v>
      </c>
      <c r="FP317" s="7">
        <f t="shared" ca="1" si="168"/>
        <v>27763436.34</v>
      </c>
      <c r="FQ317" s="7">
        <f t="shared" ca="1" si="168"/>
        <v>12038652.4</v>
      </c>
      <c r="FR317" s="7">
        <f t="shared" ca="1" si="168"/>
        <v>3396557.44</v>
      </c>
      <c r="FS317" s="7">
        <f t="shared" ca="1" si="168"/>
        <v>3389803.97</v>
      </c>
      <c r="FT317" s="7">
        <f t="shared" ca="1" si="168"/>
        <v>1489181.21</v>
      </c>
      <c r="FU317" s="7">
        <f t="shared" ca="1" si="168"/>
        <v>10636237.18</v>
      </c>
      <c r="FV317" s="7">
        <f t="shared" ca="1" si="168"/>
        <v>9131296.1099999994</v>
      </c>
      <c r="FW317" s="7">
        <f t="shared" ca="1" si="168"/>
        <v>3213284.85</v>
      </c>
      <c r="FX317" s="7">
        <f t="shared" ca="1" si="168"/>
        <v>1701192.38</v>
      </c>
      <c r="FY317" s="7">
        <f ca="1">IFERROR(__xludf.DUMMYFUNCTION("-(FY303+FY315)"),237702649.539)</f>
        <v>237702649.539</v>
      </c>
      <c r="FZ317" s="7">
        <f t="shared" ref="FZ317:FZ320" ca="1" si="169">SUM(C317:FY317)</f>
        <v>9938172923.0300045</v>
      </c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</row>
    <row r="318" spans="1:193" ht="15.5" x14ac:dyDescent="0.35">
      <c r="A318" s="12" t="s">
        <v>728</v>
      </c>
      <c r="B318" s="7" t="s">
        <v>1083</v>
      </c>
      <c r="C318" s="7">
        <f t="shared" ref="C318:FY318" ca="1" si="170">C304</f>
        <v>33577243.379540466</v>
      </c>
      <c r="D318" s="7">
        <f t="shared" ca="1" si="170"/>
        <v>122050153.72307038</v>
      </c>
      <c r="E318" s="7">
        <f t="shared" ca="1" si="170"/>
        <v>33051226.751967102</v>
      </c>
      <c r="F318" s="7">
        <f t="shared" ca="1" si="170"/>
        <v>89318024.700250193</v>
      </c>
      <c r="G318" s="7">
        <f t="shared" ca="1" si="170"/>
        <v>14498385.88150131</v>
      </c>
      <c r="H318" s="7">
        <f t="shared" ca="1" si="170"/>
        <v>3932704.3086785823</v>
      </c>
      <c r="I318" s="7">
        <f t="shared" ca="1" si="170"/>
        <v>31923489.544274572</v>
      </c>
      <c r="J318" s="7">
        <f t="shared" ca="1" si="170"/>
        <v>5261813.9282190474</v>
      </c>
      <c r="K318" s="7">
        <f t="shared" ca="1" si="170"/>
        <v>1392552.5972030573</v>
      </c>
      <c r="L318" s="7">
        <f t="shared" ca="1" si="170"/>
        <v>23995379.430089008</v>
      </c>
      <c r="M318" s="7">
        <f t="shared" ca="1" si="170"/>
        <v>8495915.3011018187</v>
      </c>
      <c r="N318" s="7">
        <f t="shared" ca="1" si="170"/>
        <v>179878384.98932433</v>
      </c>
      <c r="O318" s="7">
        <f t="shared" ca="1" si="170"/>
        <v>73776337.477119565</v>
      </c>
      <c r="P318" s="7">
        <f t="shared" ca="1" si="170"/>
        <v>1546004.3060999489</v>
      </c>
      <c r="Q318" s="7">
        <f t="shared" ca="1" si="170"/>
        <v>155598755.6677776</v>
      </c>
      <c r="R318" s="7">
        <f t="shared" ca="1" si="170"/>
        <v>2049923.1370213896</v>
      </c>
      <c r="S318" s="7">
        <f t="shared" ca="1" si="170"/>
        <v>15805564.749845723</v>
      </c>
      <c r="T318" s="7">
        <f t="shared" ca="1" si="170"/>
        <v>660634.28444545891</v>
      </c>
      <c r="U318" s="7">
        <f t="shared" ca="1" si="170"/>
        <v>739582.32398065529</v>
      </c>
      <c r="V318" s="7">
        <f t="shared" ca="1" si="170"/>
        <v>1058751.3498526947</v>
      </c>
      <c r="W318" s="7">
        <f t="shared" ca="1" si="170"/>
        <v>183902.80493671706</v>
      </c>
      <c r="X318" s="7">
        <f t="shared" ca="1" si="170"/>
        <v>299853.13395517523</v>
      </c>
      <c r="Y318" s="7">
        <f t="shared" ca="1" si="170"/>
        <v>1933136.9605826172</v>
      </c>
      <c r="Z318" s="7">
        <f t="shared" ca="1" si="170"/>
        <v>656631.67105138488</v>
      </c>
      <c r="AA318" s="7">
        <f t="shared" ca="1" si="170"/>
        <v>185381345.16353503</v>
      </c>
      <c r="AB318" s="7">
        <f t="shared" ca="1" si="170"/>
        <v>283463458.41918844</v>
      </c>
      <c r="AC318" s="7">
        <f t="shared" ca="1" si="170"/>
        <v>10044074.968465116</v>
      </c>
      <c r="AD318" s="7">
        <f t="shared" ca="1" si="170"/>
        <v>10101101.432298334</v>
      </c>
      <c r="AE318" s="7">
        <f t="shared" ca="1" si="170"/>
        <v>658085.8743210776</v>
      </c>
      <c r="AF318" s="7">
        <f t="shared" ca="1" si="170"/>
        <v>1148215.3928001451</v>
      </c>
      <c r="AG318" s="7">
        <f t="shared" ca="1" si="170"/>
        <v>4791476.0997080402</v>
      </c>
      <c r="AH318" s="7">
        <f t="shared" ca="1" si="170"/>
        <v>1053294.134960775</v>
      </c>
      <c r="AI318" s="7">
        <f t="shared" ca="1" si="170"/>
        <v>331771.32239643257</v>
      </c>
      <c r="AJ318" s="7">
        <f t="shared" ca="1" si="170"/>
        <v>991489.20526479895</v>
      </c>
      <c r="AK318" s="7">
        <f t="shared" ca="1" si="170"/>
        <v>1447608.3068550292</v>
      </c>
      <c r="AL318" s="7">
        <f t="shared" ca="1" si="170"/>
        <v>2514362.7032171222</v>
      </c>
      <c r="AM318" s="7">
        <f t="shared" ca="1" si="170"/>
        <v>1330088.7374864481</v>
      </c>
      <c r="AN318" s="7">
        <f t="shared" ca="1" si="170"/>
        <v>4365927.3246415323</v>
      </c>
      <c r="AO318" s="7">
        <f t="shared" ca="1" si="170"/>
        <v>16264608.791705638</v>
      </c>
      <c r="AP318" s="7">
        <f t="shared" ca="1" si="170"/>
        <v>674082570.65659761</v>
      </c>
      <c r="AQ318" s="7">
        <f t="shared" ca="1" si="170"/>
        <v>1787585.3212162736</v>
      </c>
      <c r="AR318" s="7">
        <f t="shared" ca="1" si="170"/>
        <v>290757999.32671642</v>
      </c>
      <c r="AS318" s="7">
        <f t="shared" ca="1" si="170"/>
        <v>59077192.689198114</v>
      </c>
      <c r="AT318" s="7">
        <f t="shared" ca="1" si="170"/>
        <v>11020967.801551856</v>
      </c>
      <c r="AU318" s="7">
        <f t="shared" ca="1" si="170"/>
        <v>1738770.6923370271</v>
      </c>
      <c r="AV318" s="7">
        <f t="shared" ca="1" si="170"/>
        <v>1250191.6990698965</v>
      </c>
      <c r="AW318" s="7">
        <f t="shared" ca="1" si="170"/>
        <v>959160.18369534716</v>
      </c>
      <c r="AX318" s="7">
        <f t="shared" ca="1" si="170"/>
        <v>664479.30007901578</v>
      </c>
      <c r="AY318" s="7">
        <f t="shared" ca="1" si="170"/>
        <v>1669785.2574207489</v>
      </c>
      <c r="AZ318" s="7">
        <f t="shared" ca="1" si="170"/>
        <v>17525146.516146116</v>
      </c>
      <c r="BA318" s="7">
        <f t="shared" ca="1" si="170"/>
        <v>26210500.386955999</v>
      </c>
      <c r="BB318" s="7">
        <f t="shared" ca="1" si="170"/>
        <v>7119432.8314184062</v>
      </c>
      <c r="BC318" s="7">
        <f t="shared" ca="1" si="170"/>
        <v>97421277.96542123</v>
      </c>
      <c r="BD318" s="7">
        <f t="shared" ca="1" si="170"/>
        <v>17045085.064198572</v>
      </c>
      <c r="BE318" s="7">
        <f t="shared" ca="1" si="170"/>
        <v>5660860.9757390609</v>
      </c>
      <c r="BF318" s="7">
        <f t="shared" ca="1" si="170"/>
        <v>82180783.778288096</v>
      </c>
      <c r="BG318" s="7">
        <f t="shared" ca="1" si="170"/>
        <v>1867670.0979381581</v>
      </c>
      <c r="BH318" s="7">
        <f t="shared" ca="1" si="170"/>
        <v>2252962.4108905317</v>
      </c>
      <c r="BI318" s="7">
        <f t="shared" ca="1" si="170"/>
        <v>743165.76096947747</v>
      </c>
      <c r="BJ318" s="7">
        <f t="shared" ca="1" si="170"/>
        <v>27852314.82888132</v>
      </c>
      <c r="BK318" s="7">
        <f t="shared" ca="1" si="170"/>
        <v>54086678.790676355</v>
      </c>
      <c r="BL318" s="7">
        <f t="shared" ca="1" si="170"/>
        <v>217253.93096649402</v>
      </c>
      <c r="BM318" s="7">
        <f t="shared" ca="1" si="170"/>
        <v>1134358.7904461897</v>
      </c>
      <c r="BN318" s="7">
        <f t="shared" ca="1" si="170"/>
        <v>10824688.431099476</v>
      </c>
      <c r="BO318" s="7">
        <f t="shared" ca="1" si="170"/>
        <v>4340153.0736531466</v>
      </c>
      <c r="BP318" s="7">
        <f t="shared" ca="1" si="170"/>
        <v>2802884.6587538598</v>
      </c>
      <c r="BQ318" s="7">
        <f t="shared" ca="1" si="170"/>
        <v>57612581.678319909</v>
      </c>
      <c r="BR318" s="7">
        <f t="shared" ca="1" si="170"/>
        <v>11778633.236844599</v>
      </c>
      <c r="BS318" s="7">
        <f t="shared" ca="1" si="170"/>
        <v>4076179.8843034338</v>
      </c>
      <c r="BT318" s="7">
        <f t="shared" ca="1" si="170"/>
        <v>3087519.2551995334</v>
      </c>
      <c r="BU318" s="7">
        <f t="shared" ca="1" si="170"/>
        <v>2442749.9872815395</v>
      </c>
      <c r="BV318" s="7">
        <f t="shared" ca="1" si="170"/>
        <v>13991122.23835797</v>
      </c>
      <c r="BW318" s="7">
        <f t="shared" ca="1" si="170"/>
        <v>18631284.503404584</v>
      </c>
      <c r="BX318" s="7">
        <f t="shared" ca="1" si="170"/>
        <v>1363693.695489815</v>
      </c>
      <c r="BY318" s="7">
        <f t="shared" ca="1" si="170"/>
        <v>3747865.2837329269</v>
      </c>
      <c r="BZ318" s="7">
        <f t="shared" ca="1" si="170"/>
        <v>1216640.406784907</v>
      </c>
      <c r="CA318" s="7">
        <f t="shared" ca="1" si="170"/>
        <v>2527080.6753126369</v>
      </c>
      <c r="CB318" s="7">
        <f t="shared" ca="1" si="170"/>
        <v>398779588.42631292</v>
      </c>
      <c r="CC318" s="7">
        <f t="shared" ca="1" si="170"/>
        <v>585953.74241974927</v>
      </c>
      <c r="CD318" s="7">
        <f t="shared" ca="1" si="170"/>
        <v>486759.55037128291</v>
      </c>
      <c r="CE318" s="7">
        <f t="shared" ca="1" si="170"/>
        <v>1244213.6149625636</v>
      </c>
      <c r="CF318" s="7">
        <f t="shared" ca="1" si="170"/>
        <v>784467.85302799824</v>
      </c>
      <c r="CG318" s="7">
        <f t="shared" ca="1" si="170"/>
        <v>706193.14755458268</v>
      </c>
      <c r="CH318" s="7">
        <f t="shared" ca="1" si="170"/>
        <v>504345.75612722291</v>
      </c>
      <c r="CI318" s="7">
        <f t="shared" ca="1" si="170"/>
        <v>3398182.433490945</v>
      </c>
      <c r="CJ318" s="7">
        <f t="shared" ca="1" si="170"/>
        <v>11176103.84</v>
      </c>
      <c r="CK318" s="7">
        <f t="shared" ca="1" si="170"/>
        <v>20269323.91151683</v>
      </c>
      <c r="CL318" s="7">
        <f t="shared" ca="1" si="170"/>
        <v>3614355.5583170662</v>
      </c>
      <c r="CM318" s="7">
        <f t="shared" ca="1" si="170"/>
        <v>2110706.8200031449</v>
      </c>
      <c r="CN318" s="7">
        <f t="shared" ca="1" si="170"/>
        <v>145426796.29018176</v>
      </c>
      <c r="CO318" s="7">
        <f t="shared" ca="1" si="170"/>
        <v>97307604.414999232</v>
      </c>
      <c r="CP318" s="7">
        <f t="shared" ca="1" si="170"/>
        <v>11439729.491607882</v>
      </c>
      <c r="CQ318" s="7">
        <f t="shared" ca="1" si="170"/>
        <v>3199862.9846131844</v>
      </c>
      <c r="CR318" s="7">
        <f t="shared" ca="1" si="170"/>
        <v>684309.6914024268</v>
      </c>
      <c r="CS318" s="7">
        <f t="shared" ca="1" si="170"/>
        <v>1576195.9357032788</v>
      </c>
      <c r="CT318" s="7">
        <f t="shared" ca="1" si="170"/>
        <v>889757.01879692252</v>
      </c>
      <c r="CU318" s="7">
        <f t="shared" ca="1" si="170"/>
        <v>488316.14212136471</v>
      </c>
      <c r="CV318" s="7">
        <f t="shared" ca="1" si="170"/>
        <v>394328.38258771051</v>
      </c>
      <c r="CW318" s="7">
        <f t="shared" ca="1" si="170"/>
        <v>1360520.3263395098</v>
      </c>
      <c r="CX318" s="7">
        <f t="shared" ca="1" si="170"/>
        <v>2435164.1103650779</v>
      </c>
      <c r="CY318" s="7">
        <f t="shared" ca="1" si="170"/>
        <v>183638.3649225322</v>
      </c>
      <c r="CZ318" s="7">
        <f t="shared" ca="1" si="170"/>
        <v>6939480.3723420305</v>
      </c>
      <c r="DA318" s="7">
        <f t="shared" ca="1" si="170"/>
        <v>1312426.9138986289</v>
      </c>
      <c r="DB318" s="7">
        <f t="shared" ca="1" si="170"/>
        <v>1178716.7151717336</v>
      </c>
      <c r="DC318" s="7">
        <f t="shared" ca="1" si="170"/>
        <v>1378342.193580539</v>
      </c>
      <c r="DD318" s="7">
        <f t="shared" ca="1" si="170"/>
        <v>1003179.104609352</v>
      </c>
      <c r="DE318" s="7">
        <f t="shared" ca="1" si="170"/>
        <v>2055318.0689518426</v>
      </c>
      <c r="DF318" s="7">
        <f t="shared" ca="1" si="170"/>
        <v>77500197.071746662</v>
      </c>
      <c r="DG318" s="7">
        <f t="shared" ca="1" si="170"/>
        <v>1676111.7666029253</v>
      </c>
      <c r="DH318" s="7">
        <f t="shared" ca="1" si="170"/>
        <v>10294242.027414937</v>
      </c>
      <c r="DI318" s="7">
        <f t="shared" ca="1" si="170"/>
        <v>14459360.436222866</v>
      </c>
      <c r="DJ318" s="7">
        <f t="shared" ca="1" si="170"/>
        <v>1778092.1887167871</v>
      </c>
      <c r="DK318" s="7">
        <f t="shared" ca="1" si="170"/>
        <v>1337772.7186327181</v>
      </c>
      <c r="DL318" s="7">
        <f t="shared" ca="1" si="170"/>
        <v>24745378.667346906</v>
      </c>
      <c r="DM318" s="7">
        <f t="shared" ca="1" si="170"/>
        <v>691848.03229843068</v>
      </c>
      <c r="DN318" s="7">
        <f t="shared" ca="1" si="170"/>
        <v>7623368.8785485355</v>
      </c>
      <c r="DO318" s="7">
        <f t="shared" ca="1" si="170"/>
        <v>10354960.037545934</v>
      </c>
      <c r="DP318" s="7">
        <f t="shared" ca="1" si="170"/>
        <v>917522.61094726203</v>
      </c>
      <c r="DQ318" s="7">
        <f t="shared" ca="1" si="170"/>
        <v>10729139.732953411</v>
      </c>
      <c r="DR318" s="7">
        <f t="shared" ca="1" si="170"/>
        <v>2651707.841694423</v>
      </c>
      <c r="DS318" s="7">
        <f t="shared" ca="1" si="170"/>
        <v>1214990.4284804005</v>
      </c>
      <c r="DT318" s="7">
        <f t="shared" ca="1" si="170"/>
        <v>326960.03876811347</v>
      </c>
      <c r="DU318" s="7">
        <f t="shared" ca="1" si="170"/>
        <v>869938.80868899089</v>
      </c>
      <c r="DV318" s="7">
        <f t="shared" ca="1" si="170"/>
        <v>263788.35732696857</v>
      </c>
      <c r="DW318" s="7">
        <f t="shared" ca="1" si="170"/>
        <v>655755.4742524965</v>
      </c>
      <c r="DX318" s="7">
        <f t="shared" ca="1" si="170"/>
        <v>2794986.170100939</v>
      </c>
      <c r="DY318" s="7">
        <f t="shared" ca="1" si="170"/>
        <v>3994263.0860337317</v>
      </c>
      <c r="DZ318" s="7">
        <f t="shared" ca="1" si="170"/>
        <v>5854748.5726282215</v>
      </c>
      <c r="EA318" s="7">
        <f t="shared" ca="1" si="170"/>
        <v>6659175.8950050557</v>
      </c>
      <c r="EB318" s="7">
        <f t="shared" ca="1" si="170"/>
        <v>2486309.1854463532</v>
      </c>
      <c r="EC318" s="7">
        <f t="shared" ca="1" si="170"/>
        <v>1081509.2115600074</v>
      </c>
      <c r="ED318" s="7">
        <f t="shared" ca="1" si="170"/>
        <v>23082753.859999999</v>
      </c>
      <c r="EE318" s="7">
        <f t="shared" ca="1" si="170"/>
        <v>507477.87524220132</v>
      </c>
      <c r="EF318" s="7">
        <f t="shared" ca="1" si="170"/>
        <v>2676211.8795601861</v>
      </c>
      <c r="EG318" s="7">
        <f t="shared" ca="1" si="170"/>
        <v>884665.38384760427</v>
      </c>
      <c r="EH318" s="7">
        <f t="shared" ca="1" si="170"/>
        <v>418177.34504549758</v>
      </c>
      <c r="EI318" s="7">
        <f t="shared" ca="1" si="170"/>
        <v>41187752.741830133</v>
      </c>
      <c r="EJ318" s="7">
        <f t="shared" ca="1" si="170"/>
        <v>33147419.910898414</v>
      </c>
      <c r="EK318" s="7">
        <f t="shared" ca="1" si="170"/>
        <v>3478376.6187752448</v>
      </c>
      <c r="EL318" s="7">
        <f t="shared" ca="1" si="170"/>
        <v>1775841.2251296125</v>
      </c>
      <c r="EM318" s="7">
        <f t="shared" ca="1" si="170"/>
        <v>2875907.5512804766</v>
      </c>
      <c r="EN318" s="7">
        <f t="shared" ca="1" si="170"/>
        <v>2315719.5898614153</v>
      </c>
      <c r="EO318" s="7">
        <f t="shared" ca="1" si="170"/>
        <v>1281387.5743316102</v>
      </c>
      <c r="EP318" s="7">
        <f t="shared" ca="1" si="170"/>
        <v>3976589.3998100809</v>
      </c>
      <c r="EQ318" s="7">
        <f t="shared" ca="1" si="170"/>
        <v>10921269.912394898</v>
      </c>
      <c r="ER318" s="7">
        <f t="shared" ca="1" si="170"/>
        <v>3163709.3861279846</v>
      </c>
      <c r="ES318" s="7">
        <f t="shared" ca="1" si="170"/>
        <v>1029616.447151643</v>
      </c>
      <c r="ET318" s="7">
        <f t="shared" ca="1" si="170"/>
        <v>1515676.6005718485</v>
      </c>
      <c r="EU318" s="7">
        <f t="shared" ca="1" si="170"/>
        <v>1291571.5320035878</v>
      </c>
      <c r="EV318" s="7">
        <f t="shared" ca="1" si="170"/>
        <v>1231707.5363417482</v>
      </c>
      <c r="EW318" s="7">
        <f t="shared" ca="1" si="170"/>
        <v>9770014.1136098988</v>
      </c>
      <c r="EX318" s="7">
        <f t="shared" ca="1" si="170"/>
        <v>520119.96730038646</v>
      </c>
      <c r="EY318" s="7">
        <f t="shared" ca="1" si="170"/>
        <v>934350.63170224964</v>
      </c>
      <c r="EZ318" s="7">
        <f t="shared" ca="1" si="170"/>
        <v>814619.44106131198</v>
      </c>
      <c r="FA318" s="7">
        <f t="shared" ca="1" si="170"/>
        <v>40543326.016425557</v>
      </c>
      <c r="FB318" s="7">
        <f t="shared" ca="1" si="170"/>
        <v>4327778.13</v>
      </c>
      <c r="FC318" s="7">
        <f t="shared" ca="1" si="170"/>
        <v>12869715.010105763</v>
      </c>
      <c r="FD318" s="7">
        <f t="shared" ca="1" si="170"/>
        <v>1499960.2217570737</v>
      </c>
      <c r="FE318" s="7">
        <f t="shared" ca="1" si="170"/>
        <v>647657.86522704922</v>
      </c>
      <c r="FF318" s="7">
        <f t="shared" ca="1" si="170"/>
        <v>675729.71132404322</v>
      </c>
      <c r="FG318" s="7">
        <f t="shared" ca="1" si="170"/>
        <v>832458.89899266022</v>
      </c>
      <c r="FH318" s="7">
        <f t="shared" ca="1" si="170"/>
        <v>936509.28570683068</v>
      </c>
      <c r="FI318" s="7">
        <f t="shared" ca="1" si="170"/>
        <v>13751402.110691497</v>
      </c>
      <c r="FJ318" s="7">
        <f t="shared" ca="1" si="170"/>
        <v>21935711.407813057</v>
      </c>
      <c r="FK318" s="7">
        <f t="shared" ca="1" si="170"/>
        <v>23485658.593684152</v>
      </c>
      <c r="FL318" s="7">
        <f t="shared" ca="1" si="170"/>
        <v>61987261.709745578</v>
      </c>
      <c r="FM318" s="7">
        <f t="shared" ca="1" si="170"/>
        <v>27702978.901836876</v>
      </c>
      <c r="FN318" s="7">
        <f t="shared" ca="1" si="170"/>
        <v>81893540.268315867</v>
      </c>
      <c r="FO318" s="7">
        <f t="shared" ca="1" si="170"/>
        <v>12893048.30375581</v>
      </c>
      <c r="FP318" s="7">
        <f t="shared" ca="1" si="170"/>
        <v>18727647.343856838</v>
      </c>
      <c r="FQ318" s="7">
        <f t="shared" ca="1" si="170"/>
        <v>11628643.91167468</v>
      </c>
      <c r="FR318" s="7">
        <f t="shared" ca="1" si="170"/>
        <v>3219166.3690876132</v>
      </c>
      <c r="FS318" s="7">
        <f t="shared" ca="1" si="170"/>
        <v>2254624.2091523698</v>
      </c>
      <c r="FT318" s="7">
        <f t="shared" ca="1" si="170"/>
        <v>1379724.24</v>
      </c>
      <c r="FU318" s="7">
        <f t="shared" ca="1" si="170"/>
        <v>4039454.8441747362</v>
      </c>
      <c r="FV318" s="7">
        <f t="shared" ca="1" si="170"/>
        <v>2891740.6976905726</v>
      </c>
      <c r="FW318" s="7">
        <f t="shared" ca="1" si="170"/>
        <v>556322.11147656757</v>
      </c>
      <c r="FX318" s="7">
        <f t="shared" ca="1" si="170"/>
        <v>434566.92928709852</v>
      </c>
      <c r="FY318" s="7">
        <f t="shared" si="170"/>
        <v>0</v>
      </c>
      <c r="FZ318" s="7">
        <f t="shared" ca="1" si="169"/>
        <v>4262132104.3750119</v>
      </c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</row>
    <row r="319" spans="1:193" ht="15.5" x14ac:dyDescent="0.35">
      <c r="A319" s="12" t="s">
        <v>730</v>
      </c>
      <c r="B319" s="7" t="s">
        <v>506</v>
      </c>
      <c r="C319" s="7">
        <f t="shared" ref="C319:FY319" si="171">C305</f>
        <v>2560686.85</v>
      </c>
      <c r="D319" s="7">
        <f t="shared" si="171"/>
        <v>6068580.4500000002</v>
      </c>
      <c r="E319" s="7">
        <f t="shared" si="171"/>
        <v>1444121.25</v>
      </c>
      <c r="F319" s="7">
        <f t="shared" si="171"/>
        <v>2186086.4300000002</v>
      </c>
      <c r="G319" s="7">
        <f t="shared" si="171"/>
        <v>428862.04</v>
      </c>
      <c r="H319" s="7">
        <f t="shared" si="171"/>
        <v>184982.61</v>
      </c>
      <c r="I319" s="7">
        <f t="shared" si="171"/>
        <v>1809421.81</v>
      </c>
      <c r="J319" s="7">
        <f t="shared" si="171"/>
        <v>600359.41</v>
      </c>
      <c r="K319" s="7">
        <f t="shared" si="171"/>
        <v>149409.51999999999</v>
      </c>
      <c r="L319" s="7">
        <f t="shared" si="171"/>
        <v>1285932.06</v>
      </c>
      <c r="M319" s="7">
        <f t="shared" si="171"/>
        <v>495734.92</v>
      </c>
      <c r="N319" s="7">
        <f t="shared" si="171"/>
        <v>12893543.369999999</v>
      </c>
      <c r="O319" s="7">
        <f t="shared" si="171"/>
        <v>5184910.91</v>
      </c>
      <c r="P319" s="7">
        <f t="shared" si="171"/>
        <v>98033.26</v>
      </c>
      <c r="Q319" s="7">
        <f t="shared" si="171"/>
        <v>6984070.2400000002</v>
      </c>
      <c r="R319" s="7">
        <f t="shared" si="171"/>
        <v>117387.96</v>
      </c>
      <c r="S319" s="7">
        <f t="shared" si="171"/>
        <v>941027.17</v>
      </c>
      <c r="T319" s="7">
        <f t="shared" si="171"/>
        <v>50774.68</v>
      </c>
      <c r="U319" s="7">
        <f t="shared" si="171"/>
        <v>51513.32</v>
      </c>
      <c r="V319" s="7">
        <f t="shared" si="171"/>
        <v>91452.54</v>
      </c>
      <c r="W319" s="7">
        <f t="shared" si="171"/>
        <v>20485.07</v>
      </c>
      <c r="X319" s="7">
        <f t="shared" si="171"/>
        <v>23503.47</v>
      </c>
      <c r="Y319" s="7">
        <f t="shared" si="171"/>
        <v>145352.82</v>
      </c>
      <c r="Z319" s="7">
        <f t="shared" si="171"/>
        <v>63731.5</v>
      </c>
      <c r="AA319" s="7">
        <f t="shared" si="171"/>
        <v>6802241.46</v>
      </c>
      <c r="AB319" s="7">
        <f t="shared" si="171"/>
        <v>12251040.92</v>
      </c>
      <c r="AC319" s="7">
        <f t="shared" si="171"/>
        <v>578302.21</v>
      </c>
      <c r="AD319" s="7">
        <f t="shared" si="171"/>
        <v>703196.53</v>
      </c>
      <c r="AE319" s="7">
        <f t="shared" si="171"/>
        <v>48617.120000000003</v>
      </c>
      <c r="AF319" s="7">
        <f t="shared" si="171"/>
        <v>86811.59</v>
      </c>
      <c r="AG319" s="7">
        <f t="shared" si="171"/>
        <v>322958.38</v>
      </c>
      <c r="AH319" s="7">
        <f t="shared" si="171"/>
        <v>172657.77</v>
      </c>
      <c r="AI319" s="7">
        <f t="shared" si="171"/>
        <v>53122.47</v>
      </c>
      <c r="AJ319" s="7">
        <f t="shared" si="171"/>
        <v>128163.01</v>
      </c>
      <c r="AK319" s="7">
        <f t="shared" si="171"/>
        <v>74603.09</v>
      </c>
      <c r="AL319" s="7">
        <f t="shared" si="171"/>
        <v>98388.41</v>
      </c>
      <c r="AM319" s="7">
        <f t="shared" si="171"/>
        <v>115377.55</v>
      </c>
      <c r="AN319" s="7">
        <f t="shared" si="171"/>
        <v>413990.07</v>
      </c>
      <c r="AO319" s="7">
        <f t="shared" si="171"/>
        <v>1676936.43</v>
      </c>
      <c r="AP319" s="7">
        <f t="shared" si="171"/>
        <v>37700132.310000002</v>
      </c>
      <c r="AQ319" s="7">
        <f t="shared" si="171"/>
        <v>97428.55</v>
      </c>
      <c r="AR319" s="7">
        <f t="shared" si="171"/>
        <v>21880966.199999999</v>
      </c>
      <c r="AS319" s="7">
        <f t="shared" si="171"/>
        <v>2513262.4</v>
      </c>
      <c r="AT319" s="7">
        <f t="shared" si="171"/>
        <v>1167107.3600000001</v>
      </c>
      <c r="AU319" s="7">
        <f t="shared" si="171"/>
        <v>178802.57</v>
      </c>
      <c r="AV319" s="7">
        <f t="shared" si="171"/>
        <v>179035.75</v>
      </c>
      <c r="AW319" s="7">
        <f t="shared" si="171"/>
        <v>102589.94</v>
      </c>
      <c r="AX319" s="7">
        <f t="shared" si="171"/>
        <v>78396.2</v>
      </c>
      <c r="AY319" s="7">
        <f t="shared" si="171"/>
        <v>127245.96</v>
      </c>
      <c r="AZ319" s="7">
        <f t="shared" si="171"/>
        <v>1512386.73</v>
      </c>
      <c r="BA319" s="7">
        <f t="shared" si="171"/>
        <v>2187937.56</v>
      </c>
      <c r="BB319" s="7">
        <f t="shared" si="171"/>
        <v>485771.55</v>
      </c>
      <c r="BC319" s="7">
        <f t="shared" si="171"/>
        <v>8539684.5500000007</v>
      </c>
      <c r="BD319" s="7">
        <f t="shared" si="171"/>
        <v>1409316.74</v>
      </c>
      <c r="BE319" s="7">
        <f t="shared" si="171"/>
        <v>425098.36</v>
      </c>
      <c r="BF319" s="7">
        <f t="shared" si="171"/>
        <v>6979427.0599999996</v>
      </c>
      <c r="BG319" s="7">
        <f t="shared" si="171"/>
        <v>115579.55</v>
      </c>
      <c r="BH319" s="7">
        <f t="shared" si="171"/>
        <v>147663.12</v>
      </c>
      <c r="BI319" s="7">
        <f t="shared" si="171"/>
        <v>55868.160000000003</v>
      </c>
      <c r="BJ319" s="7">
        <f t="shared" si="171"/>
        <v>1934186.26</v>
      </c>
      <c r="BK319" s="7">
        <f t="shared" si="171"/>
        <v>1031173.03</v>
      </c>
      <c r="BL319" s="7">
        <f t="shared" si="171"/>
        <v>18195.330000000002</v>
      </c>
      <c r="BM319" s="7">
        <f t="shared" si="171"/>
        <v>91995.89</v>
      </c>
      <c r="BN319" s="7">
        <f t="shared" si="171"/>
        <v>1139858.77</v>
      </c>
      <c r="BO319" s="7">
        <f t="shared" si="171"/>
        <v>396388.6</v>
      </c>
      <c r="BP319" s="7">
        <f t="shared" si="171"/>
        <v>245997.25</v>
      </c>
      <c r="BQ319" s="7">
        <f t="shared" si="171"/>
        <v>1733716.34</v>
      </c>
      <c r="BR319" s="7">
        <f t="shared" si="171"/>
        <v>459017.22</v>
      </c>
      <c r="BS319" s="7">
        <f t="shared" si="171"/>
        <v>258944.15</v>
      </c>
      <c r="BT319" s="7">
        <f t="shared" si="171"/>
        <v>149392.14000000001</v>
      </c>
      <c r="BU319" s="7">
        <f t="shared" si="171"/>
        <v>109362.84</v>
      </c>
      <c r="BV319" s="7">
        <f t="shared" si="171"/>
        <v>817601.21</v>
      </c>
      <c r="BW319" s="7">
        <f t="shared" si="171"/>
        <v>711654.23</v>
      </c>
      <c r="BX319" s="7">
        <f t="shared" si="171"/>
        <v>99943.77</v>
      </c>
      <c r="BY319" s="7">
        <f t="shared" si="171"/>
        <v>193396.48000000001</v>
      </c>
      <c r="BZ319" s="7">
        <f t="shared" si="171"/>
        <v>99867.18</v>
      </c>
      <c r="CA319" s="7">
        <f t="shared" si="171"/>
        <v>394616.81</v>
      </c>
      <c r="CB319" s="7">
        <f t="shared" si="171"/>
        <v>24768877.350000001</v>
      </c>
      <c r="CC319" s="7">
        <f t="shared" si="171"/>
        <v>91062.73</v>
      </c>
      <c r="CD319" s="7">
        <f t="shared" si="171"/>
        <v>72919.69</v>
      </c>
      <c r="CE319" s="7">
        <f t="shared" si="171"/>
        <v>104487.79</v>
      </c>
      <c r="CF319" s="7">
        <f t="shared" si="171"/>
        <v>86249.23</v>
      </c>
      <c r="CG319" s="7">
        <f t="shared" si="171"/>
        <v>74426.7</v>
      </c>
      <c r="CH319" s="7">
        <f t="shared" si="171"/>
        <v>33444.1</v>
      </c>
      <c r="CI319" s="7">
        <f t="shared" si="171"/>
        <v>320790.64</v>
      </c>
      <c r="CJ319" s="7">
        <f t="shared" si="171"/>
        <v>313858.84000000003</v>
      </c>
      <c r="CK319" s="7">
        <f t="shared" si="171"/>
        <v>1519908.61</v>
      </c>
      <c r="CL319" s="7">
        <f t="shared" si="171"/>
        <v>233618.03</v>
      </c>
      <c r="CM319" s="7">
        <f t="shared" si="171"/>
        <v>113893.58</v>
      </c>
      <c r="CN319" s="7">
        <f t="shared" si="171"/>
        <v>8605084.4100000001</v>
      </c>
      <c r="CO319" s="7">
        <f t="shared" si="171"/>
        <v>5153394.09</v>
      </c>
      <c r="CP319" s="7">
        <f t="shared" si="171"/>
        <v>734189.06</v>
      </c>
      <c r="CQ319" s="7">
        <f t="shared" si="171"/>
        <v>386426.67</v>
      </c>
      <c r="CR319" s="7">
        <f t="shared" si="171"/>
        <v>80485.73</v>
      </c>
      <c r="CS319" s="7">
        <f t="shared" si="171"/>
        <v>248224.67</v>
      </c>
      <c r="CT319" s="7">
        <f t="shared" si="171"/>
        <v>85958.85</v>
      </c>
      <c r="CU319" s="7">
        <f t="shared" si="171"/>
        <v>58359.59</v>
      </c>
      <c r="CV319" s="7">
        <f t="shared" si="171"/>
        <v>47858.69</v>
      </c>
      <c r="CW319" s="7">
        <f t="shared" si="171"/>
        <v>134115.63</v>
      </c>
      <c r="CX319" s="7">
        <f t="shared" si="171"/>
        <v>243713.34</v>
      </c>
      <c r="CY319" s="7">
        <f t="shared" si="171"/>
        <v>18970.75</v>
      </c>
      <c r="CZ319" s="7">
        <f t="shared" si="171"/>
        <v>629899.39</v>
      </c>
      <c r="DA319" s="7">
        <f t="shared" si="171"/>
        <v>123499.93</v>
      </c>
      <c r="DB319" s="7">
        <f t="shared" si="171"/>
        <v>101395.44</v>
      </c>
      <c r="DC319" s="7">
        <f t="shared" si="171"/>
        <v>112080.46</v>
      </c>
      <c r="DD319" s="7">
        <f t="shared" si="171"/>
        <v>97944.92</v>
      </c>
      <c r="DE319" s="7">
        <f t="shared" si="171"/>
        <v>288400.14</v>
      </c>
      <c r="DF319" s="7">
        <f t="shared" si="171"/>
        <v>7817551.8200000003</v>
      </c>
      <c r="DG319" s="7">
        <f t="shared" si="171"/>
        <v>118174.05</v>
      </c>
      <c r="DH319" s="7">
        <f t="shared" si="171"/>
        <v>1002544.97</v>
      </c>
      <c r="DI319" s="7">
        <f t="shared" si="171"/>
        <v>1169415.45</v>
      </c>
      <c r="DJ319" s="7">
        <f t="shared" si="171"/>
        <v>169846.5</v>
      </c>
      <c r="DK319" s="7">
        <f t="shared" si="171"/>
        <v>88144.5</v>
      </c>
      <c r="DL319" s="7">
        <f t="shared" si="171"/>
        <v>2420056.54</v>
      </c>
      <c r="DM319" s="7">
        <f t="shared" si="171"/>
        <v>77790.55</v>
      </c>
      <c r="DN319" s="7">
        <f t="shared" si="171"/>
        <v>628414.66</v>
      </c>
      <c r="DO319" s="7">
        <f t="shared" si="171"/>
        <v>761258.72</v>
      </c>
      <c r="DP319" s="7">
        <f t="shared" si="171"/>
        <v>77422.7</v>
      </c>
      <c r="DQ319" s="7">
        <f t="shared" si="171"/>
        <v>409714.16</v>
      </c>
      <c r="DR319" s="7">
        <f t="shared" si="171"/>
        <v>475735.48</v>
      </c>
      <c r="DS319" s="7">
        <f t="shared" si="171"/>
        <v>198489</v>
      </c>
      <c r="DT319" s="7">
        <f t="shared" si="171"/>
        <v>53085.02</v>
      </c>
      <c r="DU319" s="7">
        <f t="shared" si="171"/>
        <v>128255.13</v>
      </c>
      <c r="DV319" s="7">
        <f t="shared" si="171"/>
        <v>49041.63</v>
      </c>
      <c r="DW319" s="7">
        <f t="shared" si="171"/>
        <v>105819.77</v>
      </c>
      <c r="DX319" s="7">
        <f t="shared" si="171"/>
        <v>165524.42000000001</v>
      </c>
      <c r="DY319" s="7">
        <f t="shared" si="171"/>
        <v>211849.28</v>
      </c>
      <c r="DZ319" s="7">
        <f t="shared" si="171"/>
        <v>440337.14</v>
      </c>
      <c r="EA319" s="7">
        <f t="shared" si="171"/>
        <v>606678.97</v>
      </c>
      <c r="EB319" s="7">
        <f t="shared" si="171"/>
        <v>264983.83</v>
      </c>
      <c r="EC319" s="7">
        <f t="shared" si="171"/>
        <v>112196.29</v>
      </c>
      <c r="ED319" s="7">
        <f t="shared" si="171"/>
        <v>606490.69999999995</v>
      </c>
      <c r="EE319" s="7">
        <f t="shared" si="171"/>
        <v>69368.460000000006</v>
      </c>
      <c r="EF319" s="7">
        <f t="shared" si="171"/>
        <v>327633.84999999998</v>
      </c>
      <c r="EG319" s="7">
        <f t="shared" si="171"/>
        <v>120677.96</v>
      </c>
      <c r="EH319" s="7">
        <f t="shared" si="171"/>
        <v>51207.78</v>
      </c>
      <c r="EI319" s="7">
        <f t="shared" si="171"/>
        <v>3323220.8</v>
      </c>
      <c r="EJ319" s="7">
        <f t="shared" si="171"/>
        <v>2056399.34</v>
      </c>
      <c r="EK319" s="7">
        <f t="shared" si="171"/>
        <v>137117.85</v>
      </c>
      <c r="EL319" s="7">
        <f t="shared" si="171"/>
        <v>36713.550000000003</v>
      </c>
      <c r="EM319" s="7">
        <f t="shared" si="171"/>
        <v>247634.55</v>
      </c>
      <c r="EN319" s="7">
        <f t="shared" si="171"/>
        <v>285190.57</v>
      </c>
      <c r="EO319" s="7">
        <f t="shared" si="171"/>
        <v>144936.91</v>
      </c>
      <c r="EP319" s="7">
        <f t="shared" si="171"/>
        <v>223170.3</v>
      </c>
      <c r="EQ319" s="7">
        <f t="shared" si="171"/>
        <v>1024267.5</v>
      </c>
      <c r="ER319" s="7">
        <f t="shared" si="171"/>
        <v>209171.85</v>
      </c>
      <c r="ES319" s="7">
        <f t="shared" si="171"/>
        <v>106678.02</v>
      </c>
      <c r="ET319" s="7">
        <f t="shared" si="171"/>
        <v>133939.82999999999</v>
      </c>
      <c r="EU319" s="7">
        <f t="shared" si="171"/>
        <v>189375.43</v>
      </c>
      <c r="EV319" s="7">
        <f t="shared" si="171"/>
        <v>43464.959999999999</v>
      </c>
      <c r="EW319" s="7">
        <f t="shared" si="171"/>
        <v>341846.47</v>
      </c>
      <c r="EX319" s="7">
        <f t="shared" si="171"/>
        <v>19788.41</v>
      </c>
      <c r="EY319" s="7">
        <f t="shared" si="171"/>
        <v>106184.84</v>
      </c>
      <c r="EZ319" s="7">
        <f t="shared" si="171"/>
        <v>92250.34</v>
      </c>
      <c r="FA319" s="7">
        <f t="shared" si="171"/>
        <v>1567984.63</v>
      </c>
      <c r="FB319" s="7">
        <f t="shared" si="171"/>
        <v>469609.63</v>
      </c>
      <c r="FC319" s="7">
        <f t="shared" si="171"/>
        <v>926616</v>
      </c>
      <c r="FD319" s="7">
        <f t="shared" si="171"/>
        <v>157711.57</v>
      </c>
      <c r="FE319" s="7">
        <f t="shared" si="171"/>
        <v>64813.09</v>
      </c>
      <c r="FF319" s="7">
        <f t="shared" si="171"/>
        <v>70542.399999999994</v>
      </c>
      <c r="FG319" s="7">
        <f t="shared" si="171"/>
        <v>71488.67</v>
      </c>
      <c r="FH319" s="7">
        <f t="shared" si="171"/>
        <v>112198.64</v>
      </c>
      <c r="FI319" s="7">
        <f t="shared" si="171"/>
        <v>558618.73</v>
      </c>
      <c r="FJ319" s="7">
        <f t="shared" si="171"/>
        <v>861473.15</v>
      </c>
      <c r="FK319" s="7">
        <f t="shared" si="171"/>
        <v>927120.98</v>
      </c>
      <c r="FL319" s="7">
        <f t="shared" si="171"/>
        <v>1829177.87</v>
      </c>
      <c r="FM319" s="7">
        <f t="shared" si="171"/>
        <v>532404.37</v>
      </c>
      <c r="FN319" s="7">
        <f t="shared" si="171"/>
        <v>3532207.73</v>
      </c>
      <c r="FO319" s="7">
        <f t="shared" si="171"/>
        <v>629176.46</v>
      </c>
      <c r="FP319" s="7">
        <f t="shared" si="171"/>
        <v>752042.46</v>
      </c>
      <c r="FQ319" s="7">
        <f t="shared" si="171"/>
        <v>409839.03</v>
      </c>
      <c r="FR319" s="7">
        <f t="shared" si="171"/>
        <v>177143.45</v>
      </c>
      <c r="FS319" s="7">
        <f t="shared" si="171"/>
        <v>72860.350000000006</v>
      </c>
      <c r="FT319" s="7">
        <f t="shared" si="171"/>
        <v>109456.97</v>
      </c>
      <c r="FU319" s="7">
        <f t="shared" si="171"/>
        <v>297429.19</v>
      </c>
      <c r="FV319" s="7">
        <f t="shared" si="171"/>
        <v>195022.78</v>
      </c>
      <c r="FW319" s="7">
        <f t="shared" si="171"/>
        <v>48430.720000000001</v>
      </c>
      <c r="FX319" s="7">
        <f t="shared" si="171"/>
        <v>39107.11</v>
      </c>
      <c r="FY319" s="7">
        <f t="shared" si="171"/>
        <v>0</v>
      </c>
      <c r="FZ319" s="7">
        <f t="shared" si="169"/>
        <v>249920454.66999993</v>
      </c>
      <c r="GB319" s="7"/>
      <c r="GC319" s="7"/>
      <c r="GD319" s="15"/>
      <c r="GE319" s="15"/>
      <c r="GF319" s="7"/>
      <c r="GG319" s="7"/>
      <c r="GH319" s="7"/>
      <c r="GI319" s="7"/>
      <c r="GJ319" s="7"/>
      <c r="GK319" s="7"/>
    </row>
    <row r="320" spans="1:193" ht="15.5" x14ac:dyDescent="0.35">
      <c r="A320" s="12" t="s">
        <v>732</v>
      </c>
      <c r="B320" s="7" t="s">
        <v>733</v>
      </c>
      <c r="C320" s="7">
        <f t="shared" ref="C320:FX320" ca="1" si="172">C306+C315</f>
        <v>42914123.45045954</v>
      </c>
      <c r="D320" s="7">
        <f t="shared" ca="1" si="172"/>
        <v>263618093.62592962</v>
      </c>
      <c r="E320" s="7">
        <f t="shared" ca="1" si="172"/>
        <v>28704080.083032906</v>
      </c>
      <c r="F320" s="7">
        <f t="shared" ca="1" si="172"/>
        <v>177007810.29174992</v>
      </c>
      <c r="G320" s="7">
        <f t="shared" ca="1" si="172"/>
        <v>7176495.8984986907</v>
      </c>
      <c r="H320" s="7">
        <f t="shared" ca="1" si="172"/>
        <v>9267760.9813214187</v>
      </c>
      <c r="I320" s="7">
        <f t="shared" ca="1" si="172"/>
        <v>55947068.471725434</v>
      </c>
      <c r="J320" s="7">
        <f t="shared" ca="1" si="172"/>
        <v>18605155.331780955</v>
      </c>
      <c r="K320" s="7">
        <f t="shared" ca="1" si="172"/>
        <v>2770476.1327969427</v>
      </c>
      <c r="L320" s="7">
        <f t="shared" ca="1" si="172"/>
        <v>884663.38991099084</v>
      </c>
      <c r="M320" s="7">
        <f t="shared" ca="1" si="172"/>
        <v>3958227.9588981811</v>
      </c>
      <c r="N320" s="7">
        <f t="shared" ca="1" si="172"/>
        <v>397907450.64067566</v>
      </c>
      <c r="O320" s="7">
        <f t="shared" ca="1" si="172"/>
        <v>64804564.012880445</v>
      </c>
      <c r="P320" s="7">
        <f t="shared" ca="1" si="172"/>
        <v>3612404.7039000508</v>
      </c>
      <c r="Q320" s="7">
        <f t="shared" ca="1" si="172"/>
        <v>309651812.70622241</v>
      </c>
      <c r="R320" s="7">
        <f t="shared" ca="1" si="172"/>
        <v>77579232.17297861</v>
      </c>
      <c r="S320" s="7">
        <f t="shared" ca="1" si="172"/>
        <v>2522919.7901542783</v>
      </c>
      <c r="T320" s="7">
        <f t="shared" ca="1" si="172"/>
        <v>2606743.6555545409</v>
      </c>
      <c r="U320" s="7">
        <f t="shared" ca="1" si="172"/>
        <v>619193.0360193447</v>
      </c>
      <c r="V320" s="7">
        <f t="shared" ca="1" si="172"/>
        <v>3166158.4901473052</v>
      </c>
      <c r="W320" s="7">
        <f t="shared" ca="1" si="172"/>
        <v>1275689.8850632829</v>
      </c>
      <c r="X320" s="7">
        <f t="shared" ca="1" si="172"/>
        <v>939225.07604482467</v>
      </c>
      <c r="Y320" s="7">
        <f t="shared" ca="1" si="172"/>
        <v>9091305.4294173829</v>
      </c>
      <c r="Z320" s="7">
        <f t="shared" ca="1" si="172"/>
        <v>3158960.0589486151</v>
      </c>
      <c r="AA320" s="7">
        <f t="shared" ca="1" si="172"/>
        <v>160228813.48646498</v>
      </c>
      <c r="AB320" s="7">
        <f t="shared" ca="1" si="172"/>
        <v>17068306.000811532</v>
      </c>
      <c r="AC320" s="7">
        <f t="shared" ca="1" si="172"/>
        <v>643403.30153488461</v>
      </c>
      <c r="AD320" s="7">
        <f t="shared" ca="1" si="172"/>
        <v>4031204.9477016646</v>
      </c>
      <c r="AE320" s="7">
        <f t="shared" ca="1" si="172"/>
        <v>1534687.1156789223</v>
      </c>
      <c r="AF320" s="7">
        <f t="shared" ca="1" si="172"/>
        <v>2196478.0771998549</v>
      </c>
      <c r="AG320" s="7">
        <f t="shared" ca="1" si="172"/>
        <v>2916260.4202919602</v>
      </c>
      <c r="AH320" s="7">
        <f t="shared" ca="1" si="172"/>
        <v>10525231.455039226</v>
      </c>
      <c r="AI320" s="7">
        <f t="shared" ca="1" si="172"/>
        <v>5092562.9876035675</v>
      </c>
      <c r="AJ320" s="7">
        <f t="shared" ca="1" si="172"/>
        <v>2594141.8047352014</v>
      </c>
      <c r="AK320" s="7">
        <f t="shared" ca="1" si="172"/>
        <v>1936194.8831449705</v>
      </c>
      <c r="AL320" s="7">
        <f t="shared" ca="1" si="172"/>
        <v>2104450.0067828777</v>
      </c>
      <c r="AM320" s="7">
        <f t="shared" ca="1" si="172"/>
        <v>3794751.1525135525</v>
      </c>
      <c r="AN320" s="7">
        <f t="shared" ca="1" si="172"/>
        <v>0</v>
      </c>
      <c r="AO320" s="7">
        <f t="shared" ca="1" si="172"/>
        <v>32592778.928294361</v>
      </c>
      <c r="AP320" s="7">
        <f t="shared" ca="1" si="172"/>
        <v>307723552.94340235</v>
      </c>
      <c r="AQ320" s="7">
        <f t="shared" ca="1" si="172"/>
        <v>2607074.4887837269</v>
      </c>
      <c r="AR320" s="7">
        <f t="shared" ca="1" si="172"/>
        <v>359462536.84628356</v>
      </c>
      <c r="AS320" s="7">
        <f t="shared" ca="1" si="172"/>
        <v>14036609.935801882</v>
      </c>
      <c r="AT320" s="7">
        <f t="shared" ca="1" si="172"/>
        <v>15318093.208448146</v>
      </c>
      <c r="AU320" s="7">
        <f t="shared" ca="1" si="172"/>
        <v>2758344.9176629731</v>
      </c>
      <c r="AV320" s="7">
        <f t="shared" ca="1" si="172"/>
        <v>3691250.0009301035</v>
      </c>
      <c r="AW320" s="7">
        <f t="shared" ca="1" si="172"/>
        <v>3432608.0063046529</v>
      </c>
      <c r="AX320" s="7">
        <f t="shared" ca="1" si="172"/>
        <v>1314756.5299209843</v>
      </c>
      <c r="AY320" s="7">
        <f t="shared" ca="1" si="172"/>
        <v>4223613.9625792513</v>
      </c>
      <c r="AZ320" s="7">
        <f t="shared" ca="1" si="172"/>
        <v>123589282.07385387</v>
      </c>
      <c r="BA320" s="7">
        <f t="shared" ca="1" si="172"/>
        <v>72228978.723044008</v>
      </c>
      <c r="BB320" s="7">
        <f t="shared" ca="1" si="172"/>
        <v>76212310.238581598</v>
      </c>
      <c r="BC320" s="7">
        <f t="shared" ca="1" si="172"/>
        <v>142814954.64357877</v>
      </c>
      <c r="BD320" s="7">
        <f t="shared" ca="1" si="172"/>
        <v>21646613.975801431</v>
      </c>
      <c r="BE320" s="7">
        <f t="shared" ca="1" si="172"/>
        <v>8125770.0042609377</v>
      </c>
      <c r="BF320" s="7">
        <f t="shared" ca="1" si="172"/>
        <v>192718540.00171188</v>
      </c>
      <c r="BG320" s="7">
        <f t="shared" ca="1" si="172"/>
        <v>10009142.962061841</v>
      </c>
      <c r="BH320" s="7">
        <f t="shared" ca="1" si="172"/>
        <v>5230524.4891094677</v>
      </c>
      <c r="BI320" s="7">
        <f t="shared" ca="1" si="172"/>
        <v>3856409.6990305223</v>
      </c>
      <c r="BJ320" s="7">
        <f t="shared" ca="1" si="172"/>
        <v>39796391.421118684</v>
      </c>
      <c r="BK320" s="7">
        <f t="shared" ca="1" si="172"/>
        <v>335541249.44932365</v>
      </c>
      <c r="BL320" s="7">
        <f t="shared" ca="1" si="172"/>
        <v>1732509.8290335061</v>
      </c>
      <c r="BM320" s="7">
        <f t="shared" ca="1" si="172"/>
        <v>4209849.0095538115</v>
      </c>
      <c r="BN320" s="7">
        <f t="shared" ca="1" si="172"/>
        <v>23232252.088900525</v>
      </c>
      <c r="BO320" s="7">
        <f t="shared" ca="1" si="172"/>
        <v>9970711.4163468536</v>
      </c>
      <c r="BP320" s="7">
        <f t="shared" ca="1" si="172"/>
        <v>293631.9912461401</v>
      </c>
      <c r="BQ320" s="7">
        <f t="shared" ca="1" si="172"/>
        <v>10692979.799680088</v>
      </c>
      <c r="BR320" s="7">
        <f t="shared" ca="1" si="172"/>
        <v>39601310.643155403</v>
      </c>
      <c r="BS320" s="7">
        <f t="shared" ca="1" si="172"/>
        <v>10561548.845696567</v>
      </c>
      <c r="BT320" s="7">
        <f t="shared" ca="1" si="172"/>
        <v>2571772.8548004664</v>
      </c>
      <c r="BU320" s="7">
        <f t="shared" ca="1" si="172"/>
        <v>3479522.9227184607</v>
      </c>
      <c r="BV320" s="7">
        <f t="shared" ca="1" si="172"/>
        <v>35.741642029024661</v>
      </c>
      <c r="BW320" s="7">
        <f t="shared" ca="1" si="172"/>
        <v>4424263.0765954144</v>
      </c>
      <c r="BX320" s="7">
        <f t="shared" ca="1" si="172"/>
        <v>283855.79451018502</v>
      </c>
      <c r="BY320" s="7">
        <f t="shared" ca="1" si="172"/>
        <v>2285173.656267073</v>
      </c>
      <c r="BZ320" s="7">
        <f t="shared" ca="1" si="172"/>
        <v>2710721.9632150927</v>
      </c>
      <c r="CA320" s="7">
        <f t="shared" ca="1" si="172"/>
        <v>223598.51468736312</v>
      </c>
      <c r="CB320" s="7">
        <f t="shared" ca="1" si="172"/>
        <v>396338530.2756871</v>
      </c>
      <c r="CC320" s="7">
        <f t="shared" ca="1" si="172"/>
        <v>2914405.9075802504</v>
      </c>
      <c r="CD320" s="7">
        <f t="shared" ca="1" si="172"/>
        <v>652265.159628717</v>
      </c>
      <c r="CE320" s="7">
        <f t="shared" ca="1" si="172"/>
        <v>1817203.7650374363</v>
      </c>
      <c r="CF320" s="7">
        <f t="shared" ca="1" si="172"/>
        <v>1520894.5569720019</v>
      </c>
      <c r="CG320" s="7">
        <f t="shared" ca="1" si="172"/>
        <v>2891770.482445417</v>
      </c>
      <c r="CH320" s="7">
        <f t="shared" ca="1" si="172"/>
        <v>1717158.7038727771</v>
      </c>
      <c r="CI320" s="7">
        <f t="shared" ca="1" si="172"/>
        <v>4885658.8465090552</v>
      </c>
      <c r="CJ320" s="7">
        <f t="shared" ca="1" si="172"/>
        <v>0</v>
      </c>
      <c r="CK320" s="7">
        <f t="shared" ca="1" si="172"/>
        <v>28653814.490483172</v>
      </c>
      <c r="CL320" s="7">
        <f t="shared" ca="1" si="172"/>
        <v>11397766.271682935</v>
      </c>
      <c r="CM320" s="7">
        <f t="shared" ca="1" si="172"/>
        <v>7107590.4899968561</v>
      </c>
      <c r="CN320" s="7">
        <f t="shared" ca="1" si="172"/>
        <v>162160538.21981823</v>
      </c>
      <c r="CO320" s="7">
        <f t="shared" ca="1" si="172"/>
        <v>56040757.825000778</v>
      </c>
      <c r="CP320" s="7">
        <f t="shared" ca="1" si="172"/>
        <v>49.1483921171166</v>
      </c>
      <c r="CQ320" s="7">
        <f t="shared" ca="1" si="172"/>
        <v>6733654.1653868165</v>
      </c>
      <c r="CR320" s="7">
        <f t="shared" ca="1" si="172"/>
        <v>3115083.1585975732</v>
      </c>
      <c r="CS320" s="7">
        <f t="shared" ca="1" si="172"/>
        <v>2662120.4142967211</v>
      </c>
      <c r="CT320" s="7">
        <f t="shared" ca="1" si="172"/>
        <v>1594360.7212030771</v>
      </c>
      <c r="CU320" s="7">
        <f t="shared" ca="1" si="172"/>
        <v>4900870.4078786355</v>
      </c>
      <c r="CV320" s="7">
        <f t="shared" ca="1" si="172"/>
        <v>734497.65741228941</v>
      </c>
      <c r="CW320" s="7">
        <f t="shared" ca="1" si="172"/>
        <v>2296460.7936604903</v>
      </c>
      <c r="CX320" s="7">
        <f t="shared" ca="1" si="172"/>
        <v>3455085.8696349226</v>
      </c>
      <c r="CY320" s="7">
        <f t="shared" ca="1" si="172"/>
        <v>1045395.9150774679</v>
      </c>
      <c r="CZ320" s="7">
        <f t="shared" ca="1" si="172"/>
        <v>13438758.207657967</v>
      </c>
      <c r="DA320" s="7">
        <f t="shared" ca="1" si="172"/>
        <v>2303105.1261013714</v>
      </c>
      <c r="DB320" s="7">
        <f t="shared" ca="1" si="172"/>
        <v>3600852.184828266</v>
      </c>
      <c r="DC320" s="7">
        <f t="shared" ca="1" si="172"/>
        <v>2169927.556419461</v>
      </c>
      <c r="DD320" s="7">
        <f t="shared" ca="1" si="172"/>
        <v>2478312.4853906478</v>
      </c>
      <c r="DE320" s="7">
        <f t="shared" ca="1" si="172"/>
        <v>2271501.7110481574</v>
      </c>
      <c r="DF320" s="7">
        <f t="shared" ca="1" si="172"/>
        <v>129153447.96825336</v>
      </c>
      <c r="DG320" s="7">
        <f t="shared" ca="1" si="172"/>
        <v>440666.22339707479</v>
      </c>
      <c r="DH320" s="7">
        <f t="shared" ca="1" si="172"/>
        <v>9354202.9325850625</v>
      </c>
      <c r="DI320" s="7">
        <f t="shared" ca="1" si="172"/>
        <v>11508589.649777135</v>
      </c>
      <c r="DJ320" s="7">
        <f t="shared" ca="1" si="172"/>
        <v>6263637.7112832135</v>
      </c>
      <c r="DK320" s="7">
        <f t="shared" ca="1" si="172"/>
        <v>4869102.2813672815</v>
      </c>
      <c r="DL320" s="7">
        <f t="shared" ca="1" si="172"/>
        <v>39658185.202653088</v>
      </c>
      <c r="DM320" s="7">
        <f t="shared" ca="1" si="172"/>
        <v>3670436.9677015692</v>
      </c>
      <c r="DN320" s="7">
        <f t="shared" ca="1" si="172"/>
        <v>7823496.6914514638</v>
      </c>
      <c r="DO320" s="7">
        <f t="shared" ca="1" si="172"/>
        <v>27514179.402454063</v>
      </c>
      <c r="DP320" s="7">
        <f t="shared" ca="1" si="172"/>
        <v>2886959.0690527377</v>
      </c>
      <c r="DQ320" s="7">
        <f t="shared" ca="1" si="172"/>
        <v>143.70704658905743</v>
      </c>
      <c r="DR320" s="7">
        <f t="shared" ca="1" si="172"/>
        <v>12998425.268305577</v>
      </c>
      <c r="DS320" s="7">
        <f t="shared" ca="1" si="172"/>
        <v>6807238.1115195993</v>
      </c>
      <c r="DT320" s="7">
        <f t="shared" ca="1" si="172"/>
        <v>3328081.4512318862</v>
      </c>
      <c r="DU320" s="7">
        <f t="shared" ca="1" si="172"/>
        <v>4290336.951311009</v>
      </c>
      <c r="DV320" s="7">
        <f t="shared" ca="1" si="172"/>
        <v>3557349.4526730315</v>
      </c>
      <c r="DW320" s="7">
        <f t="shared" ca="1" si="172"/>
        <v>4000445.2757475032</v>
      </c>
      <c r="DX320" s="7">
        <f t="shared" ca="1" si="172"/>
        <v>851142.2298990608</v>
      </c>
      <c r="DY320" s="7">
        <f t="shared" ca="1" si="172"/>
        <v>887174.39396626805</v>
      </c>
      <c r="DZ320" s="7">
        <f t="shared" ca="1" si="172"/>
        <v>2858904.7773717786</v>
      </c>
      <c r="EA320" s="7">
        <f t="shared" ca="1" si="172"/>
        <v>-273737.46500505588</v>
      </c>
      <c r="EB320" s="7">
        <f t="shared" ca="1" si="172"/>
        <v>4287703.6145536471</v>
      </c>
      <c r="EC320" s="7">
        <f t="shared" ca="1" si="172"/>
        <v>3141329.3084399924</v>
      </c>
      <c r="ED320" s="7">
        <f t="shared" ca="1" si="172"/>
        <v>0</v>
      </c>
      <c r="EE320" s="7">
        <f t="shared" ca="1" si="172"/>
        <v>3110199.3447577991</v>
      </c>
      <c r="EF320" s="7">
        <f t="shared" ca="1" si="172"/>
        <v>13366623.510439815</v>
      </c>
      <c r="EG320" s="7">
        <f t="shared" ca="1" si="172"/>
        <v>3169827.5861523962</v>
      </c>
      <c r="EH320" s="7">
        <f t="shared" ca="1" si="172"/>
        <v>3671404.5549545027</v>
      </c>
      <c r="EI320" s="7">
        <f t="shared" ca="1" si="172"/>
        <v>118043673.98816986</v>
      </c>
      <c r="EJ320" s="7">
        <f t="shared" ca="1" si="172"/>
        <v>76919786.519101575</v>
      </c>
      <c r="EK320" s="7">
        <f t="shared" ca="1" si="172"/>
        <v>4759658.8612247556</v>
      </c>
      <c r="EL320" s="7">
        <f t="shared" ca="1" si="172"/>
        <v>4086495.6648703879</v>
      </c>
      <c r="EM320" s="7">
        <f t="shared" ca="1" si="172"/>
        <v>2362018.4587195232</v>
      </c>
      <c r="EN320" s="7">
        <f t="shared" ca="1" si="172"/>
        <v>9228729.480138585</v>
      </c>
      <c r="EO320" s="7">
        <f t="shared" ca="1" si="172"/>
        <v>3299898.9556683898</v>
      </c>
      <c r="EP320" s="7">
        <f t="shared" ca="1" si="172"/>
        <v>2004474.8101899188</v>
      </c>
      <c r="EQ320" s="7">
        <f t="shared" ca="1" si="172"/>
        <v>17589203.067605104</v>
      </c>
      <c r="ER320" s="7">
        <f t="shared" ca="1" si="172"/>
        <v>1759025.2638720153</v>
      </c>
      <c r="ES320" s="7">
        <f t="shared" ca="1" si="172"/>
        <v>2217499.3428483573</v>
      </c>
      <c r="ET320" s="7">
        <f t="shared" ca="1" si="172"/>
        <v>2706707.6994281514</v>
      </c>
      <c r="EU320" s="7">
        <f t="shared" ca="1" si="172"/>
        <v>6482368.717996412</v>
      </c>
      <c r="EV320" s="7">
        <f t="shared" ca="1" si="172"/>
        <v>615320.33365825191</v>
      </c>
      <c r="EW320" s="7">
        <f t="shared" ca="1" si="172"/>
        <v>3197461.5263901008</v>
      </c>
      <c r="EX320" s="7">
        <f t="shared" ca="1" si="172"/>
        <v>3251150.5726996134</v>
      </c>
      <c r="EY320" s="7">
        <f t="shared" ca="1" si="172"/>
        <v>6719031.7682977505</v>
      </c>
      <c r="EZ320" s="7">
        <f t="shared" ca="1" si="172"/>
        <v>1913298.0389386879</v>
      </c>
      <c r="FA320" s="7">
        <f t="shared" ca="1" si="172"/>
        <v>1194.7635744391009</v>
      </c>
      <c r="FB320" s="7">
        <f t="shared" ca="1" si="172"/>
        <v>0</v>
      </c>
      <c r="FC320" s="7">
        <f t="shared" ca="1" si="172"/>
        <v>7351525.9098942392</v>
      </c>
      <c r="FD320" s="7">
        <f t="shared" ca="1" si="172"/>
        <v>4112436.6482429267</v>
      </c>
      <c r="FE320" s="7">
        <f t="shared" ca="1" si="172"/>
        <v>1250539.6947729506</v>
      </c>
      <c r="FF320" s="7">
        <f t="shared" ca="1" si="172"/>
        <v>2945476.0486759571</v>
      </c>
      <c r="FG320" s="7">
        <f t="shared" ca="1" si="172"/>
        <v>1826037.84100734</v>
      </c>
      <c r="FH320" s="7">
        <f t="shared" ca="1" si="172"/>
        <v>669683.6742931694</v>
      </c>
      <c r="FI320" s="7">
        <f t="shared" ca="1" si="172"/>
        <v>6133682.8393085022</v>
      </c>
      <c r="FJ320" s="7">
        <f t="shared" ca="1" si="172"/>
        <v>405.27218694088515</v>
      </c>
      <c r="FK320" s="7">
        <f t="shared" ca="1" si="172"/>
        <v>4881843.3663158491</v>
      </c>
      <c r="FL320" s="7">
        <f t="shared" ca="1" si="172"/>
        <v>30351688.450254422</v>
      </c>
      <c r="FM320" s="7">
        <f t="shared" ca="1" si="172"/>
        <v>16399381.748163128</v>
      </c>
      <c r="FN320" s="7">
        <f t="shared" ca="1" si="172"/>
        <v>178056492.59168413</v>
      </c>
      <c r="FO320" s="7">
        <f t="shared" ca="1" si="172"/>
        <v>0.84624418895691633</v>
      </c>
      <c r="FP320" s="7">
        <f t="shared" ca="1" si="172"/>
        <v>8283746.5361431623</v>
      </c>
      <c r="FQ320" s="7">
        <f t="shared" ca="1" si="172"/>
        <v>169.45832532015629</v>
      </c>
      <c r="FR320" s="7">
        <f t="shared" ca="1" si="172"/>
        <v>247.62091238674475</v>
      </c>
      <c r="FS320" s="7">
        <f t="shared" ca="1" si="172"/>
        <v>1062319.4108476304</v>
      </c>
      <c r="FT320" s="7">
        <f t="shared" ca="1" si="172"/>
        <v>0</v>
      </c>
      <c r="FU320" s="7">
        <f t="shared" ca="1" si="172"/>
        <v>6299353.1458252631</v>
      </c>
      <c r="FV320" s="7">
        <f t="shared" ca="1" si="172"/>
        <v>6044532.6323094266</v>
      </c>
      <c r="FW320" s="7">
        <f t="shared" ca="1" si="172"/>
        <v>2608532.0185234323</v>
      </c>
      <c r="FX320" s="7">
        <f t="shared" ca="1" si="172"/>
        <v>1227518.3407129012</v>
      </c>
      <c r="FY320" s="7">
        <f ca="1">FY306-FY315</f>
        <v>237702649.53899989</v>
      </c>
      <c r="FZ320" s="7">
        <f t="shared" ca="1" si="169"/>
        <v>5426120374.6696301</v>
      </c>
      <c r="GB320" s="7"/>
      <c r="GC320" s="7"/>
      <c r="GD320" s="7"/>
      <c r="GE320" s="7"/>
      <c r="GF320" s="7"/>
      <c r="GG320" s="7"/>
      <c r="GH320" s="7"/>
      <c r="GI320" s="7"/>
      <c r="GJ320" s="7"/>
      <c r="GK320" s="7"/>
    </row>
    <row r="321" spans="1:193" ht="15.5" x14ac:dyDescent="0.35">
      <c r="A321" s="7"/>
      <c r="B321" s="7" t="s">
        <v>1084</v>
      </c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</row>
    <row r="322" spans="1:193" ht="15.5" x14ac:dyDescent="0.35">
      <c r="A322" s="7"/>
      <c r="B322" s="7" t="s">
        <v>735</v>
      </c>
      <c r="C322" s="7">
        <f ca="1">IFERROR(__xludf.DUMMYFUNCTION("-C307"),0)</f>
        <v>0</v>
      </c>
      <c r="D322" s="7">
        <f ca="1">IFERROR(__xludf.DUMMYFUNCTION("-D307"),0)</f>
        <v>0</v>
      </c>
      <c r="E322" s="7">
        <f ca="1">IFERROR(__xludf.DUMMYFUNCTION("-E307"),0)</f>
        <v>0</v>
      </c>
      <c r="F322" s="7">
        <f ca="1">IFERROR(__xludf.DUMMYFUNCTION("-F307"),0)</f>
        <v>0</v>
      </c>
      <c r="G322" s="7">
        <f ca="1">IFERROR(__xludf.DUMMYFUNCTION("-G307"),0)</f>
        <v>0</v>
      </c>
      <c r="H322" s="7">
        <f ca="1">IFERROR(__xludf.DUMMYFUNCTION("-H307"),0)</f>
        <v>0</v>
      </c>
      <c r="I322" s="7">
        <f ca="1">IFERROR(__xludf.DUMMYFUNCTION("-I307"),0)</f>
        <v>0</v>
      </c>
      <c r="J322" s="7">
        <f ca="1">IFERROR(__xludf.DUMMYFUNCTION("-J307"),0)</f>
        <v>0</v>
      </c>
      <c r="K322" s="7">
        <f ca="1">IFERROR(__xludf.DUMMYFUNCTION("-K307"),0)</f>
        <v>0</v>
      </c>
      <c r="L322" s="7">
        <f ca="1">IFERROR(__xludf.DUMMYFUNCTION("-L307"),0)</f>
        <v>0</v>
      </c>
      <c r="M322" s="7">
        <f ca="1">IFERROR(__xludf.DUMMYFUNCTION("-M307"),0)</f>
        <v>0</v>
      </c>
      <c r="N322" s="7">
        <f ca="1">IFERROR(__xludf.DUMMYFUNCTION("-N307"),0)</f>
        <v>0</v>
      </c>
      <c r="O322" s="7">
        <f ca="1">IFERROR(__xludf.DUMMYFUNCTION("-O307"),0)</f>
        <v>0</v>
      </c>
      <c r="P322" s="7">
        <f ca="1">IFERROR(__xludf.DUMMYFUNCTION("-P307"),0)</f>
        <v>0</v>
      </c>
      <c r="Q322" s="7">
        <f ca="1">IFERROR(__xludf.DUMMYFUNCTION("-Q307"),0)</f>
        <v>0</v>
      </c>
      <c r="R322" s="7">
        <f ca="1">IFERROR(__xludf.DUMMYFUNCTION("-R307"),0)</f>
        <v>0</v>
      </c>
      <c r="S322" s="7">
        <f ca="1">IFERROR(__xludf.DUMMYFUNCTION("-S307"),0)</f>
        <v>0</v>
      </c>
      <c r="T322" s="7">
        <f ca="1">IFERROR(__xludf.DUMMYFUNCTION("-T307"),0)</f>
        <v>0</v>
      </c>
      <c r="U322" s="7">
        <f ca="1">IFERROR(__xludf.DUMMYFUNCTION("-U307"),0)</f>
        <v>0</v>
      </c>
      <c r="V322" s="7">
        <f ca="1">IFERROR(__xludf.DUMMYFUNCTION("-V307"),0)</f>
        <v>0</v>
      </c>
      <c r="W322" s="7">
        <f ca="1">IFERROR(__xludf.DUMMYFUNCTION("-W307"),0)</f>
        <v>0</v>
      </c>
      <c r="X322" s="7">
        <f ca="1">IFERROR(__xludf.DUMMYFUNCTION("-X307"),0)</f>
        <v>0</v>
      </c>
      <c r="Y322" s="7">
        <f ca="1">IFERROR(__xludf.DUMMYFUNCTION("-Y307"),0)</f>
        <v>0</v>
      </c>
      <c r="Z322" s="7">
        <f ca="1">IFERROR(__xludf.DUMMYFUNCTION("-Z307"),0)</f>
        <v>0</v>
      </c>
      <c r="AA322" s="7">
        <f ca="1">IFERROR(__xludf.DUMMYFUNCTION("-AA307"),0)</f>
        <v>0</v>
      </c>
      <c r="AB322" s="7">
        <f ca="1">IFERROR(__xludf.DUMMYFUNCTION("-AB307"),0)</f>
        <v>0</v>
      </c>
      <c r="AC322" s="7">
        <f ca="1">IFERROR(__xludf.DUMMYFUNCTION("-AC307"),0)</f>
        <v>0</v>
      </c>
      <c r="AD322" s="7">
        <f ca="1">IFERROR(__xludf.DUMMYFUNCTION("-AD307"),0)</f>
        <v>0</v>
      </c>
      <c r="AE322" s="7">
        <f ca="1">IFERROR(__xludf.DUMMYFUNCTION("-AE307"),0)</f>
        <v>0</v>
      </c>
      <c r="AF322" s="7">
        <f ca="1">IFERROR(__xludf.DUMMYFUNCTION("-AF307"),0)</f>
        <v>0</v>
      </c>
      <c r="AG322" s="7">
        <f ca="1">IFERROR(__xludf.DUMMYFUNCTION("-AG307"),0)</f>
        <v>0</v>
      </c>
      <c r="AH322" s="7">
        <f ca="1">IFERROR(__xludf.DUMMYFUNCTION("-AH307"),0)</f>
        <v>0</v>
      </c>
      <c r="AI322" s="7">
        <f ca="1">IFERROR(__xludf.DUMMYFUNCTION("-AI307"),0)</f>
        <v>0</v>
      </c>
      <c r="AJ322" s="7">
        <f ca="1">IFERROR(__xludf.DUMMYFUNCTION("-AJ307"),0)</f>
        <v>0</v>
      </c>
      <c r="AK322" s="7">
        <f ca="1">IFERROR(__xludf.DUMMYFUNCTION("-AK307"),0)</f>
        <v>0</v>
      </c>
      <c r="AL322" s="7">
        <f ca="1">IFERROR(__xludf.DUMMYFUNCTION("-AL307"),0)</f>
        <v>0</v>
      </c>
      <c r="AM322" s="7">
        <f ca="1">IFERROR(__xludf.DUMMYFUNCTION("-AM307"),0)</f>
        <v>0</v>
      </c>
      <c r="AN322" s="7">
        <f ca="1">IFERROR(__xludf.DUMMYFUNCTION("-AN307"),0)</f>
        <v>0</v>
      </c>
      <c r="AO322" s="7">
        <f ca="1">IFERROR(__xludf.DUMMYFUNCTION("-AO307"),0)</f>
        <v>0</v>
      </c>
      <c r="AP322" s="7">
        <f ca="1">IFERROR(__xludf.DUMMYFUNCTION("-AP307"),0)</f>
        <v>0</v>
      </c>
      <c r="AQ322" s="7">
        <f ca="1">IFERROR(__xludf.DUMMYFUNCTION("-AQ307"),0)</f>
        <v>0</v>
      </c>
      <c r="AR322" s="7">
        <f ca="1">IFERROR(__xludf.DUMMYFUNCTION("-AR307"),0)</f>
        <v>0</v>
      </c>
      <c r="AS322" s="7">
        <f ca="1">IFERROR(__xludf.DUMMYFUNCTION("-AS307"),0)</f>
        <v>0</v>
      </c>
      <c r="AT322" s="7">
        <f ca="1">IFERROR(__xludf.DUMMYFUNCTION("-AT307"),0)</f>
        <v>0</v>
      </c>
      <c r="AU322" s="7">
        <f ca="1">IFERROR(__xludf.DUMMYFUNCTION("-AU307"),0)</f>
        <v>0</v>
      </c>
      <c r="AV322" s="7">
        <f ca="1">IFERROR(__xludf.DUMMYFUNCTION("-AV307"),0)</f>
        <v>0</v>
      </c>
      <c r="AW322" s="7">
        <f ca="1">IFERROR(__xludf.DUMMYFUNCTION("-AW307"),0)</f>
        <v>0</v>
      </c>
      <c r="AX322" s="7">
        <f ca="1">IFERROR(__xludf.DUMMYFUNCTION("-AX307"),0)</f>
        <v>0</v>
      </c>
      <c r="AY322" s="7">
        <f ca="1">IFERROR(__xludf.DUMMYFUNCTION("-AY307"),0)</f>
        <v>0</v>
      </c>
      <c r="AZ322" s="7">
        <f ca="1">IFERROR(__xludf.DUMMYFUNCTION("-AZ307"),0)</f>
        <v>0</v>
      </c>
      <c r="BA322" s="7">
        <f ca="1">IFERROR(__xludf.DUMMYFUNCTION("-BA307"),0)</f>
        <v>0</v>
      </c>
      <c r="BB322" s="7">
        <f ca="1">IFERROR(__xludf.DUMMYFUNCTION("-BB307"),0)</f>
        <v>0</v>
      </c>
      <c r="BC322" s="7">
        <f ca="1">IFERROR(__xludf.DUMMYFUNCTION("-BC307"),0)</f>
        <v>0</v>
      </c>
      <c r="BD322" s="7">
        <f ca="1">IFERROR(__xludf.DUMMYFUNCTION("-BD307"),0)</f>
        <v>0</v>
      </c>
      <c r="BE322" s="7">
        <f ca="1">IFERROR(__xludf.DUMMYFUNCTION("-BE307"),0)</f>
        <v>0</v>
      </c>
      <c r="BF322" s="7">
        <f ca="1">IFERROR(__xludf.DUMMYFUNCTION("-BF307"),0)</f>
        <v>0</v>
      </c>
      <c r="BG322" s="7">
        <f ca="1">IFERROR(__xludf.DUMMYFUNCTION("-BG307"),0)</f>
        <v>0</v>
      </c>
      <c r="BH322" s="7">
        <f ca="1">IFERROR(__xludf.DUMMYFUNCTION("-BH307"),0)</f>
        <v>0</v>
      </c>
      <c r="BI322" s="7">
        <f ca="1">IFERROR(__xludf.DUMMYFUNCTION("-BI307"),0)</f>
        <v>0</v>
      </c>
      <c r="BJ322" s="7">
        <f ca="1">IFERROR(__xludf.DUMMYFUNCTION("-BJ307"),0)</f>
        <v>0</v>
      </c>
      <c r="BK322" s="7">
        <f ca="1">IFERROR(__xludf.DUMMYFUNCTION("-BK307"),0)</f>
        <v>0</v>
      </c>
      <c r="BL322" s="7">
        <f ca="1">IFERROR(__xludf.DUMMYFUNCTION("-BL307"),0)</f>
        <v>0</v>
      </c>
      <c r="BM322" s="7">
        <f ca="1">IFERROR(__xludf.DUMMYFUNCTION("-BM307"),0)</f>
        <v>0</v>
      </c>
      <c r="BN322" s="7">
        <f ca="1">IFERROR(__xludf.DUMMYFUNCTION("-BN307"),0)</f>
        <v>0</v>
      </c>
      <c r="BO322" s="7">
        <f ca="1">IFERROR(__xludf.DUMMYFUNCTION("-BO307"),0)</f>
        <v>0</v>
      </c>
      <c r="BP322" s="7">
        <f ca="1">IFERROR(__xludf.DUMMYFUNCTION("-BP307"),0)</f>
        <v>0</v>
      </c>
      <c r="BQ322" s="7">
        <f ca="1">IFERROR(__xludf.DUMMYFUNCTION("-BQ307"),0)</f>
        <v>0</v>
      </c>
      <c r="BR322" s="7">
        <f ca="1">IFERROR(__xludf.DUMMYFUNCTION("-BR307"),0)</f>
        <v>0</v>
      </c>
      <c r="BS322" s="7">
        <f ca="1">IFERROR(__xludf.DUMMYFUNCTION("-BS307"),0)</f>
        <v>0</v>
      </c>
      <c r="BT322" s="7">
        <f ca="1">IFERROR(__xludf.DUMMYFUNCTION("-BT307"),0)</f>
        <v>0</v>
      </c>
      <c r="BU322" s="7">
        <f ca="1">IFERROR(__xludf.DUMMYFUNCTION("-BU307"),0)</f>
        <v>0</v>
      </c>
      <c r="BV322" s="7">
        <f ca="1">IFERROR(__xludf.DUMMYFUNCTION("-BV307"),0)</f>
        <v>0</v>
      </c>
      <c r="BW322" s="7">
        <f ca="1">IFERROR(__xludf.DUMMYFUNCTION("-BW307"),0)</f>
        <v>0</v>
      </c>
      <c r="BX322" s="7">
        <f ca="1">IFERROR(__xludf.DUMMYFUNCTION("-BX307"),0)</f>
        <v>0</v>
      </c>
      <c r="BY322" s="7">
        <f ca="1">IFERROR(__xludf.DUMMYFUNCTION("-BY307"),0)</f>
        <v>0</v>
      </c>
      <c r="BZ322" s="7">
        <f ca="1">IFERROR(__xludf.DUMMYFUNCTION("-BZ307"),0)</f>
        <v>0</v>
      </c>
      <c r="CA322" s="7">
        <f ca="1">IFERROR(__xludf.DUMMYFUNCTION("-CA307"),0)</f>
        <v>0</v>
      </c>
      <c r="CB322" s="7">
        <f ca="1">IFERROR(__xludf.DUMMYFUNCTION("-CB307"),0)</f>
        <v>0</v>
      </c>
      <c r="CC322" s="7">
        <f ca="1">IFERROR(__xludf.DUMMYFUNCTION("-CC307"),0)</f>
        <v>0</v>
      </c>
      <c r="CD322" s="7">
        <f ca="1">IFERROR(__xludf.DUMMYFUNCTION("-CD307"),0)</f>
        <v>0</v>
      </c>
      <c r="CE322" s="7">
        <f ca="1">IFERROR(__xludf.DUMMYFUNCTION("-CE307"),0)</f>
        <v>0</v>
      </c>
      <c r="CF322" s="7">
        <f ca="1">IFERROR(__xludf.DUMMYFUNCTION("-CF307"),0)</f>
        <v>0</v>
      </c>
      <c r="CG322" s="7">
        <f ca="1">IFERROR(__xludf.DUMMYFUNCTION("-CG307"),0)</f>
        <v>0</v>
      </c>
      <c r="CH322" s="7">
        <f ca="1">IFERROR(__xludf.DUMMYFUNCTION("-CH307"),0)</f>
        <v>0</v>
      </c>
      <c r="CI322" s="7">
        <f ca="1">IFERROR(__xludf.DUMMYFUNCTION("-CI307"),0)</f>
        <v>0</v>
      </c>
      <c r="CJ322" s="7">
        <f ca="1">IFERROR(__xludf.DUMMYFUNCTION("-CJ307"),0)</f>
        <v>0</v>
      </c>
      <c r="CK322" s="7">
        <f ca="1">IFERROR(__xludf.DUMMYFUNCTION("-CK307"),0)</f>
        <v>0</v>
      </c>
      <c r="CL322" s="7">
        <f ca="1">IFERROR(__xludf.DUMMYFUNCTION("-CL307"),0)</f>
        <v>0</v>
      </c>
      <c r="CM322" s="7">
        <f ca="1">IFERROR(__xludf.DUMMYFUNCTION("-CM307"),0)</f>
        <v>0</v>
      </c>
      <c r="CN322" s="7">
        <f ca="1">IFERROR(__xludf.DUMMYFUNCTION("-CN307"),0)</f>
        <v>0</v>
      </c>
      <c r="CO322" s="7">
        <f ca="1">IFERROR(__xludf.DUMMYFUNCTION("-CO307"),0)</f>
        <v>0</v>
      </c>
      <c r="CP322" s="7">
        <f ca="1">IFERROR(__xludf.DUMMYFUNCTION("-CP307"),0)</f>
        <v>0</v>
      </c>
      <c r="CQ322" s="7">
        <f ca="1">IFERROR(__xludf.DUMMYFUNCTION("-CQ307"),0)</f>
        <v>0</v>
      </c>
      <c r="CR322" s="7">
        <f ca="1">IFERROR(__xludf.DUMMYFUNCTION("-CR307"),0)</f>
        <v>0</v>
      </c>
      <c r="CS322" s="7">
        <f ca="1">IFERROR(__xludf.DUMMYFUNCTION("-CS307"),0)</f>
        <v>0</v>
      </c>
      <c r="CT322" s="7">
        <f ca="1">IFERROR(__xludf.DUMMYFUNCTION("-CT307"),0)</f>
        <v>0</v>
      </c>
      <c r="CU322" s="7">
        <f ca="1">IFERROR(__xludf.DUMMYFUNCTION("-CU307"),0)</f>
        <v>0</v>
      </c>
      <c r="CV322" s="7">
        <f ca="1">IFERROR(__xludf.DUMMYFUNCTION("-CV307"),0)</f>
        <v>0</v>
      </c>
      <c r="CW322" s="7">
        <f ca="1">IFERROR(__xludf.DUMMYFUNCTION("-CW307"),0)</f>
        <v>0</v>
      </c>
      <c r="CX322" s="7">
        <f ca="1">IFERROR(__xludf.DUMMYFUNCTION("-CX307"),0)</f>
        <v>0</v>
      </c>
      <c r="CY322" s="7">
        <f ca="1">IFERROR(__xludf.DUMMYFUNCTION("-CY307"),0)</f>
        <v>0</v>
      </c>
      <c r="CZ322" s="7">
        <f ca="1">IFERROR(__xludf.DUMMYFUNCTION("-CZ307"),0)</f>
        <v>0</v>
      </c>
      <c r="DA322" s="7">
        <f ca="1">IFERROR(__xludf.DUMMYFUNCTION("-DA307"),0)</f>
        <v>0</v>
      </c>
      <c r="DB322" s="7">
        <f ca="1">IFERROR(__xludf.DUMMYFUNCTION("-DB307"),0)</f>
        <v>0</v>
      </c>
      <c r="DC322" s="7">
        <f ca="1">IFERROR(__xludf.DUMMYFUNCTION("-DC307"),0)</f>
        <v>0</v>
      </c>
      <c r="DD322" s="7">
        <f ca="1">IFERROR(__xludf.DUMMYFUNCTION("-DD307"),0)</f>
        <v>0</v>
      </c>
      <c r="DE322" s="7">
        <f ca="1">IFERROR(__xludf.DUMMYFUNCTION("-DE307"),0)</f>
        <v>0</v>
      </c>
      <c r="DF322" s="7">
        <f ca="1">IFERROR(__xludf.DUMMYFUNCTION("-DF307"),0)</f>
        <v>0</v>
      </c>
      <c r="DG322" s="7">
        <f ca="1">IFERROR(__xludf.DUMMYFUNCTION("-DG307"),0)</f>
        <v>0</v>
      </c>
      <c r="DH322" s="7">
        <f ca="1">IFERROR(__xludf.DUMMYFUNCTION("-DH307"),0)</f>
        <v>0</v>
      </c>
      <c r="DI322" s="7">
        <f ca="1">IFERROR(__xludf.DUMMYFUNCTION("-DI307"),0)</f>
        <v>0</v>
      </c>
      <c r="DJ322" s="7">
        <f ca="1">IFERROR(__xludf.DUMMYFUNCTION("-DJ307"),0)</f>
        <v>0</v>
      </c>
      <c r="DK322" s="7">
        <f ca="1">IFERROR(__xludf.DUMMYFUNCTION("-DK307"),0)</f>
        <v>0</v>
      </c>
      <c r="DL322" s="7">
        <f ca="1">IFERROR(__xludf.DUMMYFUNCTION("-DL307"),0)</f>
        <v>0</v>
      </c>
      <c r="DM322" s="7">
        <f ca="1">IFERROR(__xludf.DUMMYFUNCTION("-DM307"),0)</f>
        <v>0</v>
      </c>
      <c r="DN322" s="7">
        <f ca="1">IFERROR(__xludf.DUMMYFUNCTION("-DN307"),0)</f>
        <v>0</v>
      </c>
      <c r="DO322" s="7">
        <f ca="1">IFERROR(__xludf.DUMMYFUNCTION("-DO307"),0)</f>
        <v>0</v>
      </c>
      <c r="DP322" s="7">
        <f ca="1">IFERROR(__xludf.DUMMYFUNCTION("-DP307"),0)</f>
        <v>0</v>
      </c>
      <c r="DQ322" s="7">
        <f ca="1">IFERROR(__xludf.DUMMYFUNCTION("-DQ307"),0)</f>
        <v>0</v>
      </c>
      <c r="DR322" s="7">
        <f ca="1">IFERROR(__xludf.DUMMYFUNCTION("-DR307"),0)</f>
        <v>0</v>
      </c>
      <c r="DS322" s="7">
        <f ca="1">IFERROR(__xludf.DUMMYFUNCTION("-DS307"),0)</f>
        <v>0</v>
      </c>
      <c r="DT322" s="7">
        <f ca="1">IFERROR(__xludf.DUMMYFUNCTION("-DT307"),0)</f>
        <v>0</v>
      </c>
      <c r="DU322" s="7">
        <f ca="1">IFERROR(__xludf.DUMMYFUNCTION("-DU307"),0)</f>
        <v>0</v>
      </c>
      <c r="DV322" s="7">
        <f ca="1">IFERROR(__xludf.DUMMYFUNCTION("-DV307"),0)</f>
        <v>0</v>
      </c>
      <c r="DW322" s="7">
        <f ca="1">IFERROR(__xludf.DUMMYFUNCTION("-DW307"),0)</f>
        <v>0</v>
      </c>
      <c r="DX322" s="7">
        <f ca="1">IFERROR(__xludf.DUMMYFUNCTION("-DX307"),0)</f>
        <v>0</v>
      </c>
      <c r="DY322" s="7">
        <f ca="1">IFERROR(__xludf.DUMMYFUNCTION("-DY307"),0)</f>
        <v>0</v>
      </c>
      <c r="DZ322" s="7">
        <f ca="1">IFERROR(__xludf.DUMMYFUNCTION("-DZ307"),0)</f>
        <v>0</v>
      </c>
      <c r="EA322" s="7">
        <f ca="1">IFERROR(__xludf.DUMMYFUNCTION("-EA307"),0)</f>
        <v>0</v>
      </c>
      <c r="EB322" s="7">
        <f ca="1">IFERROR(__xludf.DUMMYFUNCTION("-EB307"),0)</f>
        <v>0</v>
      </c>
      <c r="EC322" s="7">
        <f ca="1">IFERROR(__xludf.DUMMYFUNCTION("-EC307"),0)</f>
        <v>0</v>
      </c>
      <c r="ED322" s="7">
        <f ca="1">IFERROR(__xludf.DUMMYFUNCTION("-ED307"),0)</f>
        <v>0</v>
      </c>
      <c r="EE322" s="7">
        <f ca="1">IFERROR(__xludf.DUMMYFUNCTION("-EE307"),0)</f>
        <v>0</v>
      </c>
      <c r="EF322" s="7">
        <f ca="1">IFERROR(__xludf.DUMMYFUNCTION("-EF307"),0)</f>
        <v>0</v>
      </c>
      <c r="EG322" s="7">
        <f ca="1">IFERROR(__xludf.DUMMYFUNCTION("-EG307"),0)</f>
        <v>0</v>
      </c>
      <c r="EH322" s="7">
        <f ca="1">IFERROR(__xludf.DUMMYFUNCTION("-EH307"),0)</f>
        <v>0</v>
      </c>
      <c r="EI322" s="7">
        <f ca="1">IFERROR(__xludf.DUMMYFUNCTION("-EI307"),0)</f>
        <v>0</v>
      </c>
      <c r="EJ322" s="7">
        <f ca="1">IFERROR(__xludf.DUMMYFUNCTION("-EJ307"),0)</f>
        <v>0</v>
      </c>
      <c r="EK322" s="7">
        <f ca="1">IFERROR(__xludf.DUMMYFUNCTION("-EK307"),0)</f>
        <v>0</v>
      </c>
      <c r="EL322" s="7">
        <f ca="1">IFERROR(__xludf.DUMMYFUNCTION("-EL307"),0)</f>
        <v>0</v>
      </c>
      <c r="EM322" s="7">
        <f ca="1">IFERROR(__xludf.DUMMYFUNCTION("-EM307"),0)</f>
        <v>0</v>
      </c>
      <c r="EN322" s="7">
        <f ca="1">IFERROR(__xludf.DUMMYFUNCTION("-EN307"),0)</f>
        <v>0</v>
      </c>
      <c r="EO322" s="7">
        <f ca="1">IFERROR(__xludf.DUMMYFUNCTION("-EO307"),0)</f>
        <v>0</v>
      </c>
      <c r="EP322" s="7">
        <f ca="1">IFERROR(__xludf.DUMMYFUNCTION("-EP307"),0)</f>
        <v>0</v>
      </c>
      <c r="EQ322" s="7">
        <f ca="1">IFERROR(__xludf.DUMMYFUNCTION("-EQ307"),0)</f>
        <v>0</v>
      </c>
      <c r="ER322" s="7">
        <f ca="1">IFERROR(__xludf.DUMMYFUNCTION("-ER307"),0)</f>
        <v>0</v>
      </c>
      <c r="ES322" s="7">
        <f ca="1">IFERROR(__xludf.DUMMYFUNCTION("-ES307"),0)</f>
        <v>0</v>
      </c>
      <c r="ET322" s="7">
        <f ca="1">IFERROR(__xludf.DUMMYFUNCTION("-ET307"),0)</f>
        <v>0</v>
      </c>
      <c r="EU322" s="7">
        <f ca="1">IFERROR(__xludf.DUMMYFUNCTION("-EU307"),0)</f>
        <v>0</v>
      </c>
      <c r="EV322" s="7">
        <f ca="1">IFERROR(__xludf.DUMMYFUNCTION("-EV307"),0)</f>
        <v>0</v>
      </c>
      <c r="EW322" s="7">
        <f ca="1">IFERROR(__xludf.DUMMYFUNCTION("-EW307"),0)</f>
        <v>0</v>
      </c>
      <c r="EX322" s="7">
        <f ca="1">IFERROR(__xludf.DUMMYFUNCTION("-EX307"),0)</f>
        <v>0</v>
      </c>
      <c r="EY322" s="7">
        <f ca="1">IFERROR(__xludf.DUMMYFUNCTION("-EY307"),0)</f>
        <v>0</v>
      </c>
      <c r="EZ322" s="7">
        <f ca="1">IFERROR(__xludf.DUMMYFUNCTION("-EZ307"),0)</f>
        <v>0</v>
      </c>
      <c r="FA322" s="7">
        <f ca="1">IFERROR(__xludf.DUMMYFUNCTION("-FA307"),0)</f>
        <v>0</v>
      </c>
      <c r="FB322" s="7">
        <f ca="1">IFERROR(__xludf.DUMMYFUNCTION("-FB307"),0)</f>
        <v>0</v>
      </c>
      <c r="FC322" s="7">
        <f ca="1">IFERROR(__xludf.DUMMYFUNCTION("-FC307"),0)</f>
        <v>0</v>
      </c>
      <c r="FD322" s="7">
        <f ca="1">IFERROR(__xludf.DUMMYFUNCTION("-FD307"),0)</f>
        <v>0</v>
      </c>
      <c r="FE322" s="7">
        <f ca="1">IFERROR(__xludf.DUMMYFUNCTION("-FE307"),0)</f>
        <v>0</v>
      </c>
      <c r="FF322" s="7">
        <f ca="1">IFERROR(__xludf.DUMMYFUNCTION("-FF307"),0)</f>
        <v>0</v>
      </c>
      <c r="FG322" s="7">
        <f ca="1">IFERROR(__xludf.DUMMYFUNCTION("-FG307"),0)</f>
        <v>0</v>
      </c>
      <c r="FH322" s="7">
        <f ca="1">IFERROR(__xludf.DUMMYFUNCTION("-FH307"),0)</f>
        <v>0</v>
      </c>
      <c r="FI322" s="7">
        <f ca="1">IFERROR(__xludf.DUMMYFUNCTION("-FI307"),0)</f>
        <v>0</v>
      </c>
      <c r="FJ322" s="7">
        <f ca="1">IFERROR(__xludf.DUMMYFUNCTION("-FJ307"),0)</f>
        <v>0</v>
      </c>
      <c r="FK322" s="7">
        <f ca="1">IFERROR(__xludf.DUMMYFUNCTION("-FK307"),0)</f>
        <v>0</v>
      </c>
      <c r="FL322" s="7">
        <f ca="1">IFERROR(__xludf.DUMMYFUNCTION("-FL307"),0)</f>
        <v>0</v>
      </c>
      <c r="FM322" s="7">
        <f ca="1">IFERROR(__xludf.DUMMYFUNCTION("-FM307"),0)</f>
        <v>0</v>
      </c>
      <c r="FN322" s="7">
        <f ca="1">IFERROR(__xludf.DUMMYFUNCTION("-FN307"),0)</f>
        <v>0</v>
      </c>
      <c r="FO322" s="7">
        <f ca="1">IFERROR(__xludf.DUMMYFUNCTION("-FO307"),0)</f>
        <v>0</v>
      </c>
      <c r="FP322" s="7">
        <f ca="1">IFERROR(__xludf.DUMMYFUNCTION("-FP307"),0)</f>
        <v>0</v>
      </c>
      <c r="FQ322" s="7">
        <f ca="1">IFERROR(__xludf.DUMMYFUNCTION("-FQ307"),0)</f>
        <v>0</v>
      </c>
      <c r="FR322" s="7">
        <f ca="1">IFERROR(__xludf.DUMMYFUNCTION("-FR307"),0)</f>
        <v>0</v>
      </c>
      <c r="FS322" s="7">
        <f ca="1">IFERROR(__xludf.DUMMYFUNCTION("-FS307"),0)</f>
        <v>0</v>
      </c>
      <c r="FT322" s="7">
        <f ca="1">IFERROR(__xludf.DUMMYFUNCTION("-FT307"),0)</f>
        <v>0</v>
      </c>
      <c r="FU322" s="7">
        <f ca="1">IFERROR(__xludf.DUMMYFUNCTION("-FU307"),0)</f>
        <v>0</v>
      </c>
      <c r="FV322" s="7">
        <f ca="1">IFERROR(__xludf.DUMMYFUNCTION("-FV307"),0)</f>
        <v>0</v>
      </c>
      <c r="FW322" s="7">
        <f ca="1">IFERROR(__xludf.DUMMYFUNCTION("-FW307"),0)</f>
        <v>0</v>
      </c>
      <c r="FX322" s="7">
        <f ca="1">IFERROR(__xludf.DUMMYFUNCTION("-FX307"),0)</f>
        <v>0</v>
      </c>
      <c r="FY322" s="7">
        <f ca="1">IFERROR(__xludf.DUMMYFUNCTION("-FY307"),0)</f>
        <v>0</v>
      </c>
      <c r="FZ322" s="7">
        <f ca="1">SUM(C322:FY322)</f>
        <v>0</v>
      </c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</row>
    <row r="323" spans="1:193" ht="15.5" x14ac:dyDescent="0.3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>
        <f ca="1">FT318+FT319</f>
        <v>1489181.21</v>
      </c>
      <c r="FU323" s="7"/>
      <c r="FV323" s="7"/>
      <c r="FW323" s="7"/>
      <c r="FX323" s="7"/>
      <c r="FY323" s="7"/>
      <c r="FZ323" s="7"/>
      <c r="GB323" s="7"/>
      <c r="GC323" s="7"/>
      <c r="GD323" s="7"/>
      <c r="GE323" s="38"/>
      <c r="GF323" s="7"/>
      <c r="GG323" s="7"/>
      <c r="GH323" s="7"/>
      <c r="GI323" s="7"/>
      <c r="GJ323" s="7"/>
      <c r="GK323" s="7"/>
    </row>
    <row r="324" spans="1:193" ht="15.5" x14ac:dyDescent="0.3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</row>
    <row r="325" spans="1:193" ht="15.5" x14ac:dyDescent="0.35">
      <c r="A325" s="12" t="s">
        <v>684</v>
      </c>
      <c r="B325" s="5" t="s">
        <v>1085</v>
      </c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95"/>
      <c r="EZ325" s="95"/>
      <c r="FA325" s="95"/>
      <c r="FB325" s="95"/>
      <c r="FC325" s="95"/>
      <c r="FD325" s="95"/>
      <c r="FE325" s="95"/>
      <c r="FF325" s="95"/>
      <c r="FG325" s="95"/>
      <c r="FH325" s="95"/>
      <c r="FI325" s="95"/>
      <c r="FJ325" s="95"/>
      <c r="FK325" s="95"/>
      <c r="FL325" s="95"/>
      <c r="FM325" s="95"/>
      <c r="FN325" s="95"/>
      <c r="FO325" s="95"/>
      <c r="FP325" s="95"/>
      <c r="FQ325" s="95"/>
      <c r="FR325" s="95"/>
      <c r="FS325" s="95"/>
      <c r="FT325" s="95"/>
      <c r="FU325" s="95"/>
      <c r="FV325" s="95"/>
      <c r="FW325" s="95"/>
      <c r="FX325" s="95"/>
      <c r="FY325" s="95"/>
      <c r="FZ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</row>
    <row r="326" spans="1:193" ht="15.5" x14ac:dyDescent="0.35">
      <c r="A326" s="12" t="s">
        <v>1086</v>
      </c>
      <c r="B326" s="7" t="s">
        <v>1087</v>
      </c>
      <c r="C326" s="45">
        <f ca="1">IFERROR(__xludf.DUMMYFUNCTION("+C273"),0.027)</f>
        <v>2.7E-2</v>
      </c>
      <c r="D326" s="45">
        <f ca="1">IFERROR(__xludf.DUMMYFUNCTION("+D273"),0.027)</f>
        <v>2.7E-2</v>
      </c>
      <c r="E326" s="45">
        <f ca="1">IFERROR(__xludf.DUMMYFUNCTION("+E273"),0.027)</f>
        <v>2.7E-2</v>
      </c>
      <c r="F326" s="45">
        <f ca="1">IFERROR(__xludf.DUMMYFUNCTION("+F273"),0.027)</f>
        <v>2.7E-2</v>
      </c>
      <c r="G326" s="45">
        <f ca="1">IFERROR(__xludf.DUMMYFUNCTION("+G273"),0.025265)</f>
        <v>2.5264999999999999E-2</v>
      </c>
      <c r="H326" s="45">
        <f ca="1">IFERROR(__xludf.DUMMYFUNCTION("+H273"),0.027)</f>
        <v>2.7E-2</v>
      </c>
      <c r="I326" s="45">
        <f ca="1">IFERROR(__xludf.DUMMYFUNCTION("+I273"),0.027)</f>
        <v>2.7E-2</v>
      </c>
      <c r="J326" s="45">
        <f ca="1">IFERROR(__xludf.DUMMYFUNCTION("+J273"),0.027)</f>
        <v>2.7E-2</v>
      </c>
      <c r="K326" s="45">
        <f ca="1">IFERROR(__xludf.DUMMYFUNCTION("+K273"),0.027)</f>
        <v>2.7E-2</v>
      </c>
      <c r="L326" s="45">
        <f ca="1">IFERROR(__xludf.DUMMYFUNCTION("+L273"),0.026895)</f>
        <v>2.6894999999999999E-2</v>
      </c>
      <c r="M326" s="45">
        <f ca="1">IFERROR(__xludf.DUMMYFUNCTION("+M273"),0.0259469999999999)</f>
        <v>2.5946999999999901E-2</v>
      </c>
      <c r="N326" s="45">
        <f ca="1">IFERROR(__xludf.DUMMYFUNCTION("+N273"),0.018756)</f>
        <v>1.8755999999999998E-2</v>
      </c>
      <c r="O326" s="45">
        <f ca="1">IFERROR(__xludf.DUMMYFUNCTION("+O273"),0.027)</f>
        <v>2.7E-2</v>
      </c>
      <c r="P326" s="45">
        <f ca="1">IFERROR(__xludf.DUMMYFUNCTION("+P273"),0.027)</f>
        <v>2.7E-2</v>
      </c>
      <c r="Q326" s="45">
        <f ca="1">IFERROR(__xludf.DUMMYFUNCTION("+Q273"),0.027)</f>
        <v>2.7E-2</v>
      </c>
      <c r="R326" s="45">
        <f ca="1">IFERROR(__xludf.DUMMYFUNCTION("+R273"),0.027)</f>
        <v>2.7E-2</v>
      </c>
      <c r="S326" s="45">
        <f ca="1">IFERROR(__xludf.DUMMYFUNCTION("+S273"),0.026014)</f>
        <v>2.6013999999999999E-2</v>
      </c>
      <c r="T326" s="45">
        <f ca="1">IFERROR(__xludf.DUMMYFUNCTION("+T273"),0.024301)</f>
        <v>2.4301E-2</v>
      </c>
      <c r="U326" s="45">
        <f ca="1">IFERROR(__xludf.DUMMYFUNCTION("+U273"),0.023801)</f>
        <v>2.3800999999999999E-2</v>
      </c>
      <c r="V326" s="45">
        <f ca="1">IFERROR(__xludf.DUMMYFUNCTION("+V273"),0.027)</f>
        <v>2.7E-2</v>
      </c>
      <c r="W326" s="45">
        <f ca="1">IFERROR(__xludf.DUMMYFUNCTION("+W273"),0.027)</f>
        <v>2.7E-2</v>
      </c>
      <c r="X326" s="45">
        <f ca="1">IFERROR(__xludf.DUMMYFUNCTION("+X273"),0.015756)</f>
        <v>1.5755999999999999E-2</v>
      </c>
      <c r="Y326" s="45">
        <f ca="1">IFERROR(__xludf.DUMMYFUNCTION("+Y273"),0.024498)</f>
        <v>2.4497999999999999E-2</v>
      </c>
      <c r="Z326" s="45">
        <f ca="1">IFERROR(__xludf.DUMMYFUNCTION("+Z273"),0.02359)</f>
        <v>2.359E-2</v>
      </c>
      <c r="AA326" s="45">
        <f ca="1">IFERROR(__xludf.DUMMYFUNCTION("+AA273"),0.027)</f>
        <v>2.7E-2</v>
      </c>
      <c r="AB326" s="45">
        <f ca="1">IFERROR(__xludf.DUMMYFUNCTION("+AB273"),0.027)</f>
        <v>2.7E-2</v>
      </c>
      <c r="AC326" s="45">
        <f ca="1">IFERROR(__xludf.DUMMYFUNCTION("+AC273"),0.020982)</f>
        <v>2.0982000000000001E-2</v>
      </c>
      <c r="AD326" s="45">
        <f ca="1">IFERROR(__xludf.DUMMYFUNCTION("+AD273"),0.019693)</f>
        <v>1.9692999999999999E-2</v>
      </c>
      <c r="AE326" s="45">
        <f ca="1">IFERROR(__xludf.DUMMYFUNCTION("+AE273"),0.012814)</f>
        <v>1.2814000000000001E-2</v>
      </c>
      <c r="AF326" s="45">
        <f ca="1">IFERROR(__xludf.DUMMYFUNCTION("+AF273"),0.011674)</f>
        <v>1.1674E-2</v>
      </c>
      <c r="AG326" s="45">
        <f ca="1">IFERROR(__xludf.DUMMYFUNCTION("+AG273"),0.012485)</f>
        <v>1.2485E-2</v>
      </c>
      <c r="AH326" s="45">
        <f ca="1">IFERROR(__xludf.DUMMYFUNCTION("+AH273"),0.022123)</f>
        <v>2.2123E-2</v>
      </c>
      <c r="AI326" s="45">
        <f ca="1">IFERROR(__xludf.DUMMYFUNCTION("+AI273"),0.027)</f>
        <v>2.7E-2</v>
      </c>
      <c r="AJ326" s="45">
        <f ca="1">IFERROR(__xludf.DUMMYFUNCTION("+AJ273"),0.023788)</f>
        <v>2.3788E-2</v>
      </c>
      <c r="AK326" s="45">
        <f ca="1">IFERROR(__xludf.DUMMYFUNCTION("+AK273"),0.02128)</f>
        <v>2.128E-2</v>
      </c>
      <c r="AL326" s="45">
        <f ca="1">IFERROR(__xludf.DUMMYFUNCTION("+AL273"),0.027)</f>
        <v>2.7E-2</v>
      </c>
      <c r="AM326" s="45">
        <f ca="1">IFERROR(__xludf.DUMMYFUNCTION("+AM273"),0.021449)</f>
        <v>2.1448999999999999E-2</v>
      </c>
      <c r="AN326" s="45">
        <f ca="1">IFERROR(__xludf.DUMMYFUNCTION("+AN273"),0.024713)</f>
        <v>2.4712999999999999E-2</v>
      </c>
      <c r="AO326" s="45">
        <f ca="1">IFERROR(__xludf.DUMMYFUNCTION("+AO273"),0.027)</f>
        <v>2.7E-2</v>
      </c>
      <c r="AP326" s="45">
        <f ca="1">IFERROR(__xludf.DUMMYFUNCTION("+AP273"),0.027)</f>
        <v>2.7E-2</v>
      </c>
      <c r="AQ326" s="45">
        <f ca="1">IFERROR(__xludf.DUMMYFUNCTION("+AQ273"),0.018685)</f>
        <v>1.8685E-2</v>
      </c>
      <c r="AR326" s="45">
        <f ca="1">IFERROR(__xludf.DUMMYFUNCTION("+AR273"),0.027)</f>
        <v>2.7E-2</v>
      </c>
      <c r="AS326" s="45">
        <f ca="1">IFERROR(__xludf.DUMMYFUNCTION("+AS273"),0.012138)</f>
        <v>1.2137999999999999E-2</v>
      </c>
      <c r="AT326" s="45">
        <f ca="1">IFERROR(__xludf.DUMMYFUNCTION("+AT273"),0.027)</f>
        <v>2.7E-2</v>
      </c>
      <c r="AU326" s="45">
        <f ca="1">IFERROR(__xludf.DUMMYFUNCTION("+AU273"),0.0241879999999999)</f>
        <v>2.4187999999999901E-2</v>
      </c>
      <c r="AV326" s="45">
        <f ca="1">IFERROR(__xludf.DUMMYFUNCTION("+AV273"),0.027)</f>
        <v>2.7E-2</v>
      </c>
      <c r="AW326" s="45">
        <f ca="1">IFERROR(__xludf.DUMMYFUNCTION("+AW273"),0.024431)</f>
        <v>2.4431000000000001E-2</v>
      </c>
      <c r="AX326" s="45">
        <f ca="1">IFERROR(__xludf.DUMMYFUNCTION("+AX273"),0.0217979999999999)</f>
        <v>2.1797999999999901E-2</v>
      </c>
      <c r="AY326" s="45">
        <f ca="1">IFERROR(__xludf.DUMMYFUNCTION("+AY273"),0.027)</f>
        <v>2.7E-2</v>
      </c>
      <c r="AZ326" s="45">
        <f ca="1">IFERROR(__xludf.DUMMYFUNCTION("+AZ273"),0.01572)</f>
        <v>1.5720000000000001E-2</v>
      </c>
      <c r="BA326" s="45">
        <f ca="1">IFERROR(__xludf.DUMMYFUNCTION("+BA273"),0.0268939999999999)</f>
        <v>2.6893999999999901E-2</v>
      </c>
      <c r="BB326" s="45">
        <f ca="1">IFERROR(__xludf.DUMMYFUNCTION("+BB273"),0.024684)</f>
        <v>2.4684000000000001E-2</v>
      </c>
      <c r="BC326" s="45">
        <f ca="1">IFERROR(__xludf.DUMMYFUNCTION("+BC273"),0.020715)</f>
        <v>2.0715000000000001E-2</v>
      </c>
      <c r="BD326" s="45">
        <f ca="1">IFERROR(__xludf.DUMMYFUNCTION("+BD273"),0.027)</f>
        <v>2.7E-2</v>
      </c>
      <c r="BE326" s="45">
        <f ca="1">IFERROR(__xludf.DUMMYFUNCTION("+BE273"),0.027)</f>
        <v>2.7E-2</v>
      </c>
      <c r="BF326" s="45">
        <f ca="1">IFERROR(__xludf.DUMMYFUNCTION("+BF273"),0.027)</f>
        <v>2.7E-2</v>
      </c>
      <c r="BG326" s="45">
        <f ca="1">IFERROR(__xludf.DUMMYFUNCTION("+BG273"),0.027)</f>
        <v>2.7E-2</v>
      </c>
      <c r="BH326" s="45">
        <f ca="1">IFERROR(__xludf.DUMMYFUNCTION("+BH273"),0.026419)</f>
        <v>2.6419000000000002E-2</v>
      </c>
      <c r="BI326" s="45">
        <f ca="1">IFERROR(__xludf.DUMMYFUNCTION("+BI273"),0.013433)</f>
        <v>1.3433E-2</v>
      </c>
      <c r="BJ326" s="45">
        <f ca="1">IFERROR(__xludf.DUMMYFUNCTION("+BJ273"),0.027)</f>
        <v>2.7E-2</v>
      </c>
      <c r="BK326" s="45">
        <f ca="1">IFERROR(__xludf.DUMMYFUNCTION("+BK273"),0.027)</f>
        <v>2.7E-2</v>
      </c>
      <c r="BL326" s="45">
        <f ca="1">IFERROR(__xludf.DUMMYFUNCTION("+BL273"),0.027)</f>
        <v>2.7E-2</v>
      </c>
      <c r="BM326" s="45">
        <f ca="1">IFERROR(__xludf.DUMMYFUNCTION("+BM273"),0.025834)</f>
        <v>2.5833999999999999E-2</v>
      </c>
      <c r="BN326" s="45">
        <f ca="1">IFERROR(__xludf.DUMMYFUNCTION("+BN273"),0.027)</f>
        <v>2.7E-2</v>
      </c>
      <c r="BO326" s="45">
        <f ca="1">IFERROR(__xludf.DUMMYFUNCTION("+BO273"),0.020203)</f>
        <v>2.0202999999999999E-2</v>
      </c>
      <c r="BP326" s="45">
        <f ca="1">IFERROR(__xludf.DUMMYFUNCTION("+BP273"),0.026702)</f>
        <v>2.6702E-2</v>
      </c>
      <c r="BQ326" s="45">
        <f ca="1">IFERROR(__xludf.DUMMYFUNCTION("+BQ273"),0.026759)</f>
        <v>2.6759000000000002E-2</v>
      </c>
      <c r="BR326" s="45">
        <f ca="1">IFERROR(__xludf.DUMMYFUNCTION("+BR273"),0.00969999999999999)</f>
        <v>9.6999999999999899E-3</v>
      </c>
      <c r="BS326" s="45">
        <f ca="1">IFERROR(__xludf.DUMMYFUNCTION("+BS273"),0.004395)</f>
        <v>4.3949999999999996E-3</v>
      </c>
      <c r="BT326" s="45">
        <f ca="1">IFERROR(__xludf.DUMMYFUNCTION("+BT273"),0.006651)</f>
        <v>6.6509999999999998E-3</v>
      </c>
      <c r="BU326" s="45">
        <f ca="1">IFERROR(__xludf.DUMMYFUNCTION("+BU273"),0.013811)</f>
        <v>1.3811E-2</v>
      </c>
      <c r="BV326" s="45">
        <f ca="1">IFERROR(__xludf.DUMMYFUNCTION("+BV273"),0.009453)</f>
        <v>9.4529999999999996E-3</v>
      </c>
      <c r="BW326" s="45">
        <f ca="1">IFERROR(__xludf.DUMMYFUNCTION("+BW273"),0.015736)</f>
        <v>1.5736E-2</v>
      </c>
      <c r="BX326" s="45">
        <f ca="1">IFERROR(__xludf.DUMMYFUNCTION("+BX273"),0.019067)</f>
        <v>1.9067000000000001E-2</v>
      </c>
      <c r="BY326" s="45">
        <f ca="1">IFERROR(__xludf.DUMMYFUNCTION("+BY273"),0.027)</f>
        <v>2.7E-2</v>
      </c>
      <c r="BZ326" s="45">
        <f ca="1">IFERROR(__xludf.DUMMYFUNCTION("+BZ273"),0.027)</f>
        <v>2.7E-2</v>
      </c>
      <c r="CA326" s="45">
        <f ca="1">IFERROR(__xludf.DUMMYFUNCTION("+CA273"),0.023041)</f>
        <v>2.3040999999999999E-2</v>
      </c>
      <c r="CB326" s="45">
        <f ca="1">IFERROR(__xludf.DUMMYFUNCTION("+CB273"),0.027)</f>
        <v>2.7E-2</v>
      </c>
      <c r="CC326" s="45">
        <f ca="1">IFERROR(__xludf.DUMMYFUNCTION("+CC273"),0.027)</f>
        <v>2.7E-2</v>
      </c>
      <c r="CD326" s="45">
        <f ca="1">IFERROR(__xludf.DUMMYFUNCTION("+CD273"),0.02452)</f>
        <v>2.452E-2</v>
      </c>
      <c r="CE326" s="45">
        <f ca="1">IFERROR(__xludf.DUMMYFUNCTION("+CE273"),0.027)</f>
        <v>2.7E-2</v>
      </c>
      <c r="CF326" s="45">
        <f ca="1">IFERROR(__xludf.DUMMYFUNCTION("+CF273"),0.0243339999999999)</f>
        <v>2.4333999999999901E-2</v>
      </c>
      <c r="CG326" s="45">
        <f ca="1">IFERROR(__xludf.DUMMYFUNCTION("+CG273"),0.027)</f>
        <v>2.7E-2</v>
      </c>
      <c r="CH326" s="45">
        <f ca="1">IFERROR(__xludf.DUMMYFUNCTION("+CH273"),0.027)</f>
        <v>2.7E-2</v>
      </c>
      <c r="CI326" s="45">
        <f ca="1">IFERROR(__xludf.DUMMYFUNCTION("+CI273"),0.027)</f>
        <v>2.7E-2</v>
      </c>
      <c r="CJ326" s="45">
        <f ca="1">IFERROR(__xludf.DUMMYFUNCTION("+CJ273"),0.025294)</f>
        <v>2.5294000000000001E-2</v>
      </c>
      <c r="CK326" s="45">
        <f ca="1">IFERROR(__xludf.DUMMYFUNCTION("+CK273"),0.011601)</f>
        <v>1.1601E-2</v>
      </c>
      <c r="CL326" s="45">
        <f ca="1">IFERROR(__xludf.DUMMYFUNCTION("+CL273"),0.013229)</f>
        <v>1.3228999999999999E-2</v>
      </c>
      <c r="CM326" s="45">
        <f ca="1">IFERROR(__xludf.DUMMYFUNCTION("+CM273"),0.007274)</f>
        <v>7.2740000000000001E-3</v>
      </c>
      <c r="CN326" s="45">
        <f ca="1">IFERROR(__xludf.DUMMYFUNCTION("+CN273"),0.027)</f>
        <v>2.7E-2</v>
      </c>
      <c r="CO326" s="45">
        <f ca="1">IFERROR(__xludf.DUMMYFUNCTION("+CO273"),0.027)</f>
        <v>2.7E-2</v>
      </c>
      <c r="CP326" s="45">
        <f ca="1">IFERROR(__xludf.DUMMYFUNCTION("+CP273"),0.016776)</f>
        <v>1.6775999999999999E-2</v>
      </c>
      <c r="CQ326" s="45">
        <f ca="1">IFERROR(__xludf.DUMMYFUNCTION("+CQ273"),0.0174269999999999)</f>
        <v>1.7426999999999901E-2</v>
      </c>
      <c r="CR326" s="45">
        <f ca="1">IFERROR(__xludf.DUMMYFUNCTION("+CR273"),0.004169)</f>
        <v>4.169E-3</v>
      </c>
      <c r="CS326" s="45">
        <f ca="1">IFERROR(__xludf.DUMMYFUNCTION("+CS273"),0.027)</f>
        <v>2.7E-2</v>
      </c>
      <c r="CT326" s="45">
        <f ca="1">IFERROR(__xludf.DUMMYFUNCTION("+CT273"),0.0135199999999999)</f>
        <v>1.35199999999999E-2</v>
      </c>
      <c r="CU326" s="45">
        <f ca="1">IFERROR(__xludf.DUMMYFUNCTION("+CU273"),0.024616)</f>
        <v>2.4615999999999999E-2</v>
      </c>
      <c r="CV326" s="45">
        <f ca="1">IFERROR(__xludf.DUMMYFUNCTION("+CV273"),0.015979)</f>
        <v>1.5979E-2</v>
      </c>
      <c r="CW326" s="45">
        <f ca="1">IFERROR(__xludf.DUMMYFUNCTION("+CW273"),0.017379)</f>
        <v>1.7378999999999999E-2</v>
      </c>
      <c r="CX326" s="45">
        <f ca="1">IFERROR(__xludf.DUMMYFUNCTION("+CX273"),0.026824)</f>
        <v>2.6824000000000001E-2</v>
      </c>
      <c r="CY326" s="45">
        <f ca="1">IFERROR(__xludf.DUMMYFUNCTION("+CY273"),0.027)</f>
        <v>2.7E-2</v>
      </c>
      <c r="CZ326" s="45">
        <f ca="1">IFERROR(__xludf.DUMMYFUNCTION("+CZ273"),0.027)</f>
        <v>2.7E-2</v>
      </c>
      <c r="DA326" s="45">
        <f ca="1">IFERROR(__xludf.DUMMYFUNCTION("+DA273"),0.027)</f>
        <v>2.7E-2</v>
      </c>
      <c r="DB326" s="45">
        <f ca="1">IFERROR(__xludf.DUMMYFUNCTION("+DB273"),0.027)</f>
        <v>2.7E-2</v>
      </c>
      <c r="DC326" s="45">
        <f ca="1">IFERROR(__xludf.DUMMYFUNCTION("+DC273"),0.022418)</f>
        <v>2.2418E-2</v>
      </c>
      <c r="DD326" s="45">
        <f ca="1">IFERROR(__xludf.DUMMYFUNCTION("+DD273"),0.00343)</f>
        <v>3.4299999999999999E-3</v>
      </c>
      <c r="DE326" s="45">
        <f ca="1">IFERROR(__xludf.DUMMYFUNCTION("+DE273"),0.011895)</f>
        <v>1.1894999999999999E-2</v>
      </c>
      <c r="DF326" s="45">
        <f ca="1">IFERROR(__xludf.DUMMYFUNCTION("+DF273"),0.027)</f>
        <v>2.7E-2</v>
      </c>
      <c r="DG326" s="45">
        <f ca="1">IFERROR(__xludf.DUMMYFUNCTION("+DG273"),0.025453)</f>
        <v>2.5453E-2</v>
      </c>
      <c r="DH326" s="45">
        <f ca="1">IFERROR(__xludf.DUMMYFUNCTION("+DH273"),0.0255159999999999)</f>
        <v>2.55159999999999E-2</v>
      </c>
      <c r="DI326" s="45">
        <f ca="1">IFERROR(__xludf.DUMMYFUNCTION("+DI273"),0.0238449999999999)</f>
        <v>2.3844999999999901E-2</v>
      </c>
      <c r="DJ326" s="45">
        <f ca="1">IFERROR(__xludf.DUMMYFUNCTION("+DJ273"),0.025883)</f>
        <v>2.5883E-2</v>
      </c>
      <c r="DK326" s="45">
        <f ca="1">IFERROR(__xludf.DUMMYFUNCTION("+DK273"),0.020658)</f>
        <v>2.0657999999999999E-2</v>
      </c>
      <c r="DL326" s="45">
        <f ca="1">IFERROR(__xludf.DUMMYFUNCTION("+DL273"),0.0269669999999999)</f>
        <v>2.6966999999999901E-2</v>
      </c>
      <c r="DM326" s="45">
        <f ca="1">IFERROR(__xludf.DUMMYFUNCTION("+DM273"),0.024899)</f>
        <v>2.4899000000000001E-2</v>
      </c>
      <c r="DN326" s="45">
        <f ca="1">IFERROR(__xludf.DUMMYFUNCTION("+DN273"),0.027)</f>
        <v>2.7E-2</v>
      </c>
      <c r="DO326" s="45">
        <f ca="1">IFERROR(__xludf.DUMMYFUNCTION("+DO273"),0.027)</f>
        <v>2.7E-2</v>
      </c>
      <c r="DP326" s="45">
        <f ca="1">IFERROR(__xludf.DUMMYFUNCTION("+DP273"),0.027)</f>
        <v>2.7E-2</v>
      </c>
      <c r="DQ326" s="45">
        <f ca="1">IFERROR(__xludf.DUMMYFUNCTION("+DQ273"),0.021427)</f>
        <v>2.1427000000000002E-2</v>
      </c>
      <c r="DR326" s="45">
        <f ca="1">IFERROR(__xludf.DUMMYFUNCTION("+DR273"),0.027)</f>
        <v>2.7E-2</v>
      </c>
      <c r="DS326" s="45">
        <f ca="1">IFERROR(__xludf.DUMMYFUNCTION("+DS273"),0.027)</f>
        <v>2.7E-2</v>
      </c>
      <c r="DT326" s="45">
        <f ca="1">IFERROR(__xludf.DUMMYFUNCTION("+DT273"),0.026729)</f>
        <v>2.6728999999999999E-2</v>
      </c>
      <c r="DU326" s="45">
        <f ca="1">IFERROR(__xludf.DUMMYFUNCTION("+DU273"),0.027)</f>
        <v>2.7E-2</v>
      </c>
      <c r="DV326" s="45">
        <f ca="1">IFERROR(__xludf.DUMMYFUNCTION("+DV273"),0.027)</f>
        <v>2.7E-2</v>
      </c>
      <c r="DW326" s="45">
        <f ca="1">IFERROR(__xludf.DUMMYFUNCTION("+DW273"),0.026997)</f>
        <v>2.6997E-2</v>
      </c>
      <c r="DX326" s="45">
        <f ca="1">IFERROR(__xludf.DUMMYFUNCTION("+DX273"),0.023931)</f>
        <v>2.3931000000000001E-2</v>
      </c>
      <c r="DY326" s="45">
        <f ca="1">IFERROR(__xludf.DUMMYFUNCTION("+DY273"),0.017928)</f>
        <v>1.7927999999999999E-2</v>
      </c>
      <c r="DZ326" s="45">
        <f ca="1">IFERROR(__xludf.DUMMYFUNCTION("+DZ273"),0.0226619999999999)</f>
        <v>2.2661999999999901E-2</v>
      </c>
      <c r="EA326" s="45">
        <f ca="1">IFERROR(__xludf.DUMMYFUNCTION("+EA273"),0.010126)</f>
        <v>1.0126E-2</v>
      </c>
      <c r="EB326" s="45">
        <f ca="1">IFERROR(__xludf.DUMMYFUNCTION("+EB273"),0.027)</f>
        <v>2.7E-2</v>
      </c>
      <c r="EC326" s="45">
        <f ca="1">IFERROR(__xludf.DUMMYFUNCTION("+EC273"),0.027)</f>
        <v>2.7E-2</v>
      </c>
      <c r="ED326" s="45">
        <f ca="1">IFERROR(__xludf.DUMMYFUNCTION("+ED273"),0.003947)</f>
        <v>3.947E-3</v>
      </c>
      <c r="EE326" s="45">
        <f ca="1">IFERROR(__xludf.DUMMYFUNCTION("+EE273"),0.027)</f>
        <v>2.7E-2</v>
      </c>
      <c r="EF326" s="45">
        <f ca="1">IFERROR(__xludf.DUMMYFUNCTION("+EF273"),0.024595)</f>
        <v>2.4594999999999999E-2</v>
      </c>
      <c r="EG326" s="45">
        <f ca="1">IFERROR(__xludf.DUMMYFUNCTION("+EG273"),0.027)</f>
        <v>2.7E-2</v>
      </c>
      <c r="EH326" s="45">
        <f ca="1">IFERROR(__xludf.DUMMYFUNCTION("+EH273"),0.027)</f>
        <v>2.7E-2</v>
      </c>
      <c r="EI326" s="45">
        <f ca="1">IFERROR(__xludf.DUMMYFUNCTION("+EI273"),0.027)</f>
        <v>2.7E-2</v>
      </c>
      <c r="EJ326" s="45">
        <f ca="1">IFERROR(__xludf.DUMMYFUNCTION("+EJ273"),0.027)</f>
        <v>2.7E-2</v>
      </c>
      <c r="EK326" s="45">
        <f ca="1">IFERROR(__xludf.DUMMYFUNCTION("+EK273"),0.005767)</f>
        <v>5.7670000000000004E-3</v>
      </c>
      <c r="EL326" s="45">
        <f ca="1">IFERROR(__xludf.DUMMYFUNCTION("+EL273"),0.006143)</f>
        <v>6.143E-3</v>
      </c>
      <c r="EM326" s="45">
        <f ca="1">IFERROR(__xludf.DUMMYFUNCTION("+EM273"),0.021308)</f>
        <v>2.1308000000000001E-2</v>
      </c>
      <c r="EN326" s="45">
        <f ca="1">IFERROR(__xludf.DUMMYFUNCTION("+EN273"),0.027)</f>
        <v>2.7E-2</v>
      </c>
      <c r="EO326" s="45">
        <f ca="1">IFERROR(__xludf.DUMMYFUNCTION("+EO273"),0.027)</f>
        <v>2.7E-2</v>
      </c>
      <c r="EP326" s="45">
        <f ca="1">IFERROR(__xludf.DUMMYFUNCTION("+EP273"),0.0255859999999999)</f>
        <v>2.55859999999999E-2</v>
      </c>
      <c r="EQ326" s="45">
        <f ca="1">IFERROR(__xludf.DUMMYFUNCTION("+EQ273"),0.005593)</f>
        <v>5.5929999999999999E-3</v>
      </c>
      <c r="ER326" s="45">
        <f ca="1">IFERROR(__xludf.DUMMYFUNCTION("+ER273"),0.021283)</f>
        <v>2.1283E-2</v>
      </c>
      <c r="ES326" s="45">
        <f ca="1">IFERROR(__xludf.DUMMYFUNCTION("+ES273"),0.027)</f>
        <v>2.7E-2</v>
      </c>
      <c r="ET326" s="45">
        <f ca="1">IFERROR(__xludf.DUMMYFUNCTION("+ET273"),0.027)</f>
        <v>2.7E-2</v>
      </c>
      <c r="EU326" s="45">
        <f ca="1">IFERROR(__xludf.DUMMYFUNCTION("+EU273"),0.027)</f>
        <v>2.7E-2</v>
      </c>
      <c r="EV326" s="45">
        <f ca="1">IFERROR(__xludf.DUMMYFUNCTION("+EV273"),0.015009)</f>
        <v>1.5009E-2</v>
      </c>
      <c r="EW326" s="45">
        <f ca="1">IFERROR(__xludf.DUMMYFUNCTION("+EW273"),0.00728099999999999)</f>
        <v>7.2809999999999897E-3</v>
      </c>
      <c r="EX326" s="45">
        <f ca="1">IFERROR(__xludf.DUMMYFUNCTION("+EX273"),0.00891)</f>
        <v>8.9099999999999995E-3</v>
      </c>
      <c r="EY326" s="45">
        <f ca="1">IFERROR(__xludf.DUMMYFUNCTION("+EY273"),0.027)</f>
        <v>2.7E-2</v>
      </c>
      <c r="EZ326" s="45">
        <f ca="1">IFERROR(__xludf.DUMMYFUNCTION("+EZ273"),0.027)</f>
        <v>2.7E-2</v>
      </c>
      <c r="FA326" s="45">
        <f ca="1">IFERROR(__xludf.DUMMYFUNCTION("+FA273"),0.010598)</f>
        <v>1.0598E-2</v>
      </c>
      <c r="FB326" s="45">
        <f ca="1">IFERROR(__xludf.DUMMYFUNCTION("+FB273"),0.008814)</f>
        <v>8.8140000000000007E-3</v>
      </c>
      <c r="FC326" s="45">
        <f ca="1">IFERROR(__xludf.DUMMYFUNCTION("+FC273"),0.027)</f>
        <v>2.7E-2</v>
      </c>
      <c r="FD326" s="45">
        <f ca="1">IFERROR(__xludf.DUMMYFUNCTION("+FD273"),0.027)</f>
        <v>2.7E-2</v>
      </c>
      <c r="FE326" s="45">
        <f ca="1">IFERROR(__xludf.DUMMYFUNCTION("+FE273"),0.019181)</f>
        <v>1.9181E-2</v>
      </c>
      <c r="FF326" s="45">
        <f ca="1">IFERROR(__xludf.DUMMYFUNCTION("+FF273"),0.027)</f>
        <v>2.7E-2</v>
      </c>
      <c r="FG326" s="45">
        <f ca="1">IFERROR(__xludf.DUMMYFUNCTION("+FG273"),0.027)</f>
        <v>2.7E-2</v>
      </c>
      <c r="FH326" s="45">
        <f ca="1">IFERROR(__xludf.DUMMYFUNCTION("+FH273"),0.024772)</f>
        <v>2.4771999999999999E-2</v>
      </c>
      <c r="FI326" s="45">
        <f ca="1">IFERROR(__xludf.DUMMYFUNCTION("+FI273"),0.009639)</f>
        <v>9.639E-3</v>
      </c>
      <c r="FJ326" s="45">
        <f ca="1">IFERROR(__xludf.DUMMYFUNCTION("+FJ273"),0.022076)</f>
        <v>2.2075999999999998E-2</v>
      </c>
      <c r="FK326" s="45">
        <f ca="1">IFERROR(__xludf.DUMMYFUNCTION("+FK273"),0.010845)</f>
        <v>1.0845E-2</v>
      </c>
      <c r="FL326" s="45">
        <f ca="1">IFERROR(__xludf.DUMMYFUNCTION("+FL273"),0.027)</f>
        <v>2.7E-2</v>
      </c>
      <c r="FM326" s="45">
        <f ca="1">IFERROR(__xludf.DUMMYFUNCTION("+FM273"),0.023414)</f>
        <v>2.3414000000000001E-2</v>
      </c>
      <c r="FN326" s="45">
        <f ca="1">IFERROR(__xludf.DUMMYFUNCTION("+FN273"),0.027)</f>
        <v>2.7E-2</v>
      </c>
      <c r="FO326" s="45">
        <f ca="1">IFERROR(__xludf.DUMMYFUNCTION("+FO273"),0.003991)</f>
        <v>3.9909999999999998E-3</v>
      </c>
      <c r="FP326" s="45">
        <f ca="1">IFERROR(__xludf.DUMMYFUNCTION("+FP273"),0.012143)</f>
        <v>1.2142999999999999E-2</v>
      </c>
      <c r="FQ326" s="45">
        <f ca="1">IFERROR(__xludf.DUMMYFUNCTION("+FQ273"),0.021522)</f>
        <v>2.1521999999999999E-2</v>
      </c>
      <c r="FR326" s="45">
        <f ca="1">IFERROR(__xludf.DUMMYFUNCTION("+FR273"),0.005627)</f>
        <v>5.6270000000000001E-3</v>
      </c>
      <c r="FS326" s="45">
        <f ca="1">IFERROR(__xludf.DUMMYFUNCTION("+FS273"),0.005068)</f>
        <v>5.0679999999999996E-3</v>
      </c>
      <c r="FT326" s="45">
        <f ca="1">IFERROR(__xludf.DUMMYFUNCTION("+FT273"),0.003005)</f>
        <v>3.0049999999999999E-3</v>
      </c>
      <c r="FU326" s="45">
        <f ca="1">IFERROR(__xludf.DUMMYFUNCTION("+FU273"),0.0233449999999999)</f>
        <v>2.3344999999999901E-2</v>
      </c>
      <c r="FV326" s="45">
        <f ca="1">IFERROR(__xludf.DUMMYFUNCTION("+FV273"),0.020032)</f>
        <v>2.0032000000000001E-2</v>
      </c>
      <c r="FW326" s="45">
        <f ca="1">IFERROR(__xludf.DUMMYFUNCTION("+FW273"),0.026498)</f>
        <v>2.6498000000000001E-2</v>
      </c>
      <c r="FX326" s="45">
        <f ca="1">IFERROR(__xludf.DUMMYFUNCTION("+FX273"),0.024675)</f>
        <v>2.4674999999999999E-2</v>
      </c>
      <c r="FY326" s="45"/>
      <c r="FZ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</row>
    <row r="327" spans="1:193" ht="15.5" x14ac:dyDescent="0.35">
      <c r="A327" s="12" t="s">
        <v>1088</v>
      </c>
      <c r="B327" s="7" t="s">
        <v>1089</v>
      </c>
      <c r="C327" s="45">
        <f ca="1">IFERROR(__xludf.DUMMYFUNCTION("+C285"),0)</f>
        <v>0</v>
      </c>
      <c r="D327" s="45">
        <f ca="1">IFERROR(__xludf.DUMMYFUNCTION("+D285"),0)</f>
        <v>0</v>
      </c>
      <c r="E327" s="45">
        <f ca="1">IFERROR(__xludf.DUMMYFUNCTION("+E285"),0)</f>
        <v>0</v>
      </c>
      <c r="F327" s="45">
        <f ca="1">IFERROR(__xludf.DUMMYFUNCTION("+F285"),0)</f>
        <v>0</v>
      </c>
      <c r="G327" s="45">
        <f ca="1">IFERROR(__xludf.DUMMYFUNCTION("+G285"),0)</f>
        <v>0</v>
      </c>
      <c r="H327" s="45">
        <f ca="1">IFERROR(__xludf.DUMMYFUNCTION("+H285"),0)</f>
        <v>0</v>
      </c>
      <c r="I327" s="45">
        <f ca="1">IFERROR(__xludf.DUMMYFUNCTION("+I285"),0)</f>
        <v>0</v>
      </c>
      <c r="J327" s="45">
        <f ca="1">IFERROR(__xludf.DUMMYFUNCTION("+J285"),0)</f>
        <v>0</v>
      </c>
      <c r="K327" s="45">
        <f ca="1">IFERROR(__xludf.DUMMYFUNCTION("+K285"),0)</f>
        <v>0</v>
      </c>
      <c r="L327" s="45">
        <f ca="1">IFERROR(__xludf.DUMMYFUNCTION("+L285"),0)</f>
        <v>0</v>
      </c>
      <c r="M327" s="45">
        <f ca="1">IFERROR(__xludf.DUMMYFUNCTION("+M285"),0)</f>
        <v>0</v>
      </c>
      <c r="N327" s="45">
        <f ca="1">IFERROR(__xludf.DUMMYFUNCTION("+N285"),0)</f>
        <v>0</v>
      </c>
      <c r="O327" s="45">
        <f ca="1">IFERROR(__xludf.DUMMYFUNCTION("+O285"),0)</f>
        <v>0</v>
      </c>
      <c r="P327" s="45">
        <f ca="1">IFERROR(__xludf.DUMMYFUNCTION("+P285"),0)</f>
        <v>0</v>
      </c>
      <c r="Q327" s="45">
        <f ca="1">IFERROR(__xludf.DUMMYFUNCTION("+Q285"),0)</f>
        <v>0</v>
      </c>
      <c r="R327" s="45">
        <f ca="1">IFERROR(__xludf.DUMMYFUNCTION("+R285"),0)</f>
        <v>0</v>
      </c>
      <c r="S327" s="45">
        <f ca="1">IFERROR(__xludf.DUMMYFUNCTION("+S285"),0)</f>
        <v>0</v>
      </c>
      <c r="T327" s="45">
        <f ca="1">IFERROR(__xludf.DUMMYFUNCTION("+T285"),0)</f>
        <v>0</v>
      </c>
      <c r="U327" s="45">
        <f ca="1">IFERROR(__xludf.DUMMYFUNCTION("+U285"),0)</f>
        <v>0</v>
      </c>
      <c r="V327" s="45">
        <f ca="1">IFERROR(__xludf.DUMMYFUNCTION("+V285"),0)</f>
        <v>0</v>
      </c>
      <c r="W327" s="45">
        <f ca="1">IFERROR(__xludf.DUMMYFUNCTION("+W285"),0)</f>
        <v>0</v>
      </c>
      <c r="X327" s="45">
        <f ca="1">IFERROR(__xludf.DUMMYFUNCTION("+X285"),0)</f>
        <v>0</v>
      </c>
      <c r="Y327" s="45">
        <f ca="1">IFERROR(__xludf.DUMMYFUNCTION("+Y285"),0)</f>
        <v>0</v>
      </c>
      <c r="Z327" s="45">
        <f ca="1">IFERROR(__xludf.DUMMYFUNCTION("+Z285"),0)</f>
        <v>0</v>
      </c>
      <c r="AA327" s="45">
        <f ca="1">IFERROR(__xludf.DUMMYFUNCTION("+AA285"),0)</f>
        <v>0</v>
      </c>
      <c r="AB327" s="45">
        <f ca="1">IFERROR(__xludf.DUMMYFUNCTION("+AB285"),0)</f>
        <v>0</v>
      </c>
      <c r="AC327" s="45">
        <f ca="1">IFERROR(__xludf.DUMMYFUNCTION("+AC285"),0)</f>
        <v>0</v>
      </c>
      <c r="AD327" s="45">
        <f ca="1">IFERROR(__xludf.DUMMYFUNCTION("+AD285"),0)</f>
        <v>0</v>
      </c>
      <c r="AE327" s="45">
        <f ca="1">IFERROR(__xludf.DUMMYFUNCTION("+AE285"),0)</f>
        <v>0</v>
      </c>
      <c r="AF327" s="45">
        <f ca="1">IFERROR(__xludf.DUMMYFUNCTION("+AF285"),0)</f>
        <v>0</v>
      </c>
      <c r="AG327" s="45">
        <f ca="1">IFERROR(__xludf.DUMMYFUNCTION("+AG285"),0)</f>
        <v>0</v>
      </c>
      <c r="AH327" s="45">
        <f ca="1">IFERROR(__xludf.DUMMYFUNCTION("+AH285"),0)</f>
        <v>0</v>
      </c>
      <c r="AI327" s="45">
        <f ca="1">IFERROR(__xludf.DUMMYFUNCTION("+AI285"),0)</f>
        <v>0</v>
      </c>
      <c r="AJ327" s="45">
        <f ca="1">IFERROR(__xludf.DUMMYFUNCTION("+AJ285"),0)</f>
        <v>0</v>
      </c>
      <c r="AK327" s="45">
        <f ca="1">IFERROR(__xludf.DUMMYFUNCTION("+AK285"),0)</f>
        <v>0</v>
      </c>
      <c r="AL327" s="45">
        <f ca="1">IFERROR(__xludf.DUMMYFUNCTION("+AL285"),0)</f>
        <v>0</v>
      </c>
      <c r="AM327" s="45">
        <f ca="1">IFERROR(__xludf.DUMMYFUNCTION("+AM285"),0)</f>
        <v>0</v>
      </c>
      <c r="AN327" s="45">
        <f ca="1">IFERROR(__xludf.DUMMYFUNCTION("+AN285"),0.000979)</f>
        <v>9.7900000000000005E-4</v>
      </c>
      <c r="AO327" s="45">
        <f ca="1">IFERROR(__xludf.DUMMYFUNCTION("+AO285"),0)</f>
        <v>0</v>
      </c>
      <c r="AP327" s="45">
        <f ca="1">IFERROR(__xludf.DUMMYFUNCTION("+AP285"),0)</f>
        <v>0</v>
      </c>
      <c r="AQ327" s="45">
        <f ca="1">IFERROR(__xludf.DUMMYFUNCTION("+AQ285"),0)</f>
        <v>0</v>
      </c>
      <c r="AR327" s="45">
        <f ca="1">IFERROR(__xludf.DUMMYFUNCTION("+AR285"),0)</f>
        <v>0</v>
      </c>
      <c r="AS327" s="45">
        <f ca="1">IFERROR(__xludf.DUMMYFUNCTION("+AS285"),0)</f>
        <v>0</v>
      </c>
      <c r="AT327" s="45">
        <f ca="1">IFERROR(__xludf.DUMMYFUNCTION("+AT285"),0)</f>
        <v>0</v>
      </c>
      <c r="AU327" s="45">
        <f ca="1">IFERROR(__xludf.DUMMYFUNCTION("+AU285"),0)</f>
        <v>0</v>
      </c>
      <c r="AV327" s="45">
        <f ca="1">IFERROR(__xludf.DUMMYFUNCTION("+AV285"),0)</f>
        <v>0</v>
      </c>
      <c r="AW327" s="45">
        <f ca="1">IFERROR(__xludf.DUMMYFUNCTION("+AW285"),0)</f>
        <v>0</v>
      </c>
      <c r="AX327" s="45">
        <f ca="1">IFERROR(__xludf.DUMMYFUNCTION("+AX285"),0)</f>
        <v>0</v>
      </c>
      <c r="AY327" s="45">
        <f ca="1">IFERROR(__xludf.DUMMYFUNCTION("+AY285"),0)</f>
        <v>0</v>
      </c>
      <c r="AZ327" s="45">
        <f ca="1">IFERROR(__xludf.DUMMYFUNCTION("+AZ285"),0)</f>
        <v>0</v>
      </c>
      <c r="BA327" s="45">
        <f ca="1">IFERROR(__xludf.DUMMYFUNCTION("+BA285"),0)</f>
        <v>0</v>
      </c>
      <c r="BB327" s="45">
        <f ca="1">IFERROR(__xludf.DUMMYFUNCTION("+BB285"),0)</f>
        <v>0</v>
      </c>
      <c r="BC327" s="45">
        <f ca="1">IFERROR(__xludf.DUMMYFUNCTION("+BC285"),0)</f>
        <v>0</v>
      </c>
      <c r="BD327" s="45">
        <f ca="1">IFERROR(__xludf.DUMMYFUNCTION("+BD285"),0)</f>
        <v>0</v>
      </c>
      <c r="BE327" s="45">
        <f ca="1">IFERROR(__xludf.DUMMYFUNCTION("+BE285"),0)</f>
        <v>0</v>
      </c>
      <c r="BF327" s="45">
        <f ca="1">IFERROR(__xludf.DUMMYFUNCTION("+BF285"),0)</f>
        <v>0</v>
      </c>
      <c r="BG327" s="45">
        <f ca="1">IFERROR(__xludf.DUMMYFUNCTION("+BG285"),0)</f>
        <v>0</v>
      </c>
      <c r="BH327" s="45">
        <f ca="1">IFERROR(__xludf.DUMMYFUNCTION("+BH285"),0)</f>
        <v>0</v>
      </c>
      <c r="BI327" s="45">
        <f ca="1">IFERROR(__xludf.DUMMYFUNCTION("+BI285"),0)</f>
        <v>0</v>
      </c>
      <c r="BJ327" s="45">
        <f ca="1">IFERROR(__xludf.DUMMYFUNCTION("+BJ285"),0)</f>
        <v>0</v>
      </c>
      <c r="BK327" s="45">
        <f ca="1">IFERROR(__xludf.DUMMYFUNCTION("+BK285"),0)</f>
        <v>0</v>
      </c>
      <c r="BL327" s="45">
        <f ca="1">IFERROR(__xludf.DUMMYFUNCTION("+BL285"),0)</f>
        <v>0</v>
      </c>
      <c r="BM327" s="45">
        <f ca="1">IFERROR(__xludf.DUMMYFUNCTION("+BM285"),0)</f>
        <v>0</v>
      </c>
      <c r="BN327" s="45">
        <f ca="1">IFERROR(__xludf.DUMMYFUNCTION("+BN285"),0)</f>
        <v>0</v>
      </c>
      <c r="BO327" s="45">
        <f ca="1">IFERROR(__xludf.DUMMYFUNCTION("+BO285"),0)</f>
        <v>0</v>
      </c>
      <c r="BP327" s="45">
        <f ca="1">IFERROR(__xludf.DUMMYFUNCTION("+BP285"),0)</f>
        <v>0</v>
      </c>
      <c r="BQ327" s="45">
        <f ca="1">IFERROR(__xludf.DUMMYFUNCTION("+BQ285"),0)</f>
        <v>0</v>
      </c>
      <c r="BR327" s="45">
        <f ca="1">IFERROR(__xludf.DUMMYFUNCTION("+BR285"),0)</f>
        <v>0</v>
      </c>
      <c r="BS327" s="45">
        <f ca="1">IFERROR(__xludf.DUMMYFUNCTION("+BS285"),0)</f>
        <v>0</v>
      </c>
      <c r="BT327" s="45">
        <f ca="1">IFERROR(__xludf.DUMMYFUNCTION("+BT285"),0)</f>
        <v>0</v>
      </c>
      <c r="BU327" s="45">
        <f ca="1">IFERROR(__xludf.DUMMYFUNCTION("+BU285"),0)</f>
        <v>0</v>
      </c>
      <c r="BV327" s="45">
        <f ca="1">IFERROR(__xludf.DUMMYFUNCTION("+BV285"),0.000461)</f>
        <v>4.6099999999999998E-4</v>
      </c>
      <c r="BW327" s="45">
        <f ca="1">IFERROR(__xludf.DUMMYFUNCTION("+BW285"),0)</f>
        <v>0</v>
      </c>
      <c r="BX327" s="45">
        <f ca="1">IFERROR(__xludf.DUMMYFUNCTION("+BX285"),0)</f>
        <v>0</v>
      </c>
      <c r="BY327" s="45">
        <f ca="1">IFERROR(__xludf.DUMMYFUNCTION("+BY285"),0)</f>
        <v>0</v>
      </c>
      <c r="BZ327" s="45">
        <f ca="1">IFERROR(__xludf.DUMMYFUNCTION("+BZ285"),0)</f>
        <v>0</v>
      </c>
      <c r="CA327" s="45">
        <f ca="1">IFERROR(__xludf.DUMMYFUNCTION("+CA285"),0)</f>
        <v>0</v>
      </c>
      <c r="CB327" s="45">
        <f ca="1">IFERROR(__xludf.DUMMYFUNCTION("+CB285"),0)</f>
        <v>0</v>
      </c>
      <c r="CC327" s="45">
        <f ca="1">IFERROR(__xludf.DUMMYFUNCTION("+CC285"),0)</f>
        <v>0</v>
      </c>
      <c r="CD327" s="45">
        <f ca="1">IFERROR(__xludf.DUMMYFUNCTION("+CD285"),0)</f>
        <v>0</v>
      </c>
      <c r="CE327" s="45">
        <f ca="1">IFERROR(__xludf.DUMMYFUNCTION("+CE285"),0)</f>
        <v>0</v>
      </c>
      <c r="CF327" s="45">
        <f ca="1">IFERROR(__xludf.DUMMYFUNCTION("+CF285"),0)</f>
        <v>0</v>
      </c>
      <c r="CG327" s="45">
        <f ca="1">IFERROR(__xludf.DUMMYFUNCTION("+CG285"),0)</f>
        <v>0</v>
      </c>
      <c r="CH327" s="45">
        <f ca="1">IFERROR(__xludf.DUMMYFUNCTION("+CH285"),0)</f>
        <v>0</v>
      </c>
      <c r="CI327" s="45">
        <f ca="1">IFERROR(__xludf.DUMMYFUNCTION("+CI285"),0)</f>
        <v>0</v>
      </c>
      <c r="CJ327" s="45">
        <f ca="1">IFERROR(__xludf.DUMMYFUNCTION("+CJ285"),0.001219)</f>
        <v>1.219E-3</v>
      </c>
      <c r="CK327" s="45">
        <f ca="1">IFERROR(__xludf.DUMMYFUNCTION("+CK285"),0)</f>
        <v>0</v>
      </c>
      <c r="CL327" s="45">
        <f ca="1">IFERROR(__xludf.DUMMYFUNCTION("+CL285"),0)</f>
        <v>0</v>
      </c>
      <c r="CM327" s="45">
        <f ca="1">IFERROR(__xludf.DUMMYFUNCTION("+CM285"),0)</f>
        <v>0</v>
      </c>
      <c r="CN327" s="45">
        <f ca="1">IFERROR(__xludf.DUMMYFUNCTION("+CN285"),0)</f>
        <v>0</v>
      </c>
      <c r="CO327" s="45">
        <f ca="1">IFERROR(__xludf.DUMMYFUNCTION("+CO285"),0)</f>
        <v>0</v>
      </c>
      <c r="CP327" s="45">
        <f ca="1">IFERROR(__xludf.DUMMYFUNCTION("+CP285"),0.000685)</f>
        <v>6.8499999999999995E-4</v>
      </c>
      <c r="CQ327" s="45">
        <f ca="1">IFERROR(__xludf.DUMMYFUNCTION("+CQ285"),0)</f>
        <v>0</v>
      </c>
      <c r="CR327" s="45">
        <f ca="1">IFERROR(__xludf.DUMMYFUNCTION("+CR285"),0)</f>
        <v>0</v>
      </c>
      <c r="CS327" s="45">
        <f ca="1">IFERROR(__xludf.DUMMYFUNCTION("+CS285"),0)</f>
        <v>0</v>
      </c>
      <c r="CT327" s="45">
        <f ca="1">IFERROR(__xludf.DUMMYFUNCTION("+CT285"),0)</f>
        <v>0</v>
      </c>
      <c r="CU327" s="45">
        <f ca="1">IFERROR(__xludf.DUMMYFUNCTION("+CU285"),0)</f>
        <v>0</v>
      </c>
      <c r="CV327" s="45">
        <f ca="1">IFERROR(__xludf.DUMMYFUNCTION("+CV285"),0)</f>
        <v>0</v>
      </c>
      <c r="CW327" s="45">
        <f ca="1">IFERROR(__xludf.DUMMYFUNCTION("+CW285"),0)</f>
        <v>0</v>
      </c>
      <c r="CX327" s="45">
        <f ca="1">IFERROR(__xludf.DUMMYFUNCTION("+CX285"),0)</f>
        <v>0</v>
      </c>
      <c r="CY327" s="45">
        <f ca="1">IFERROR(__xludf.DUMMYFUNCTION("+CY285"),0)</f>
        <v>0</v>
      </c>
      <c r="CZ327" s="45">
        <f ca="1">IFERROR(__xludf.DUMMYFUNCTION("+CZ285"),0)</f>
        <v>0</v>
      </c>
      <c r="DA327" s="45">
        <f ca="1">IFERROR(__xludf.DUMMYFUNCTION("+DA285"),0)</f>
        <v>0</v>
      </c>
      <c r="DB327" s="45">
        <f ca="1">IFERROR(__xludf.DUMMYFUNCTION("+DB285"),0)</f>
        <v>0</v>
      </c>
      <c r="DC327" s="45">
        <f ca="1">IFERROR(__xludf.DUMMYFUNCTION("+DC285"),0)</f>
        <v>0</v>
      </c>
      <c r="DD327" s="45">
        <f ca="1">IFERROR(__xludf.DUMMYFUNCTION("+DD285"),0)</f>
        <v>0</v>
      </c>
      <c r="DE327" s="45">
        <f ca="1">IFERROR(__xludf.DUMMYFUNCTION("+DE285"),0)</f>
        <v>0</v>
      </c>
      <c r="DF327" s="45">
        <f ca="1">IFERROR(__xludf.DUMMYFUNCTION("+DF285"),0)</f>
        <v>0</v>
      </c>
      <c r="DG327" s="45">
        <f ca="1">IFERROR(__xludf.DUMMYFUNCTION("+DG285"),0)</f>
        <v>0</v>
      </c>
      <c r="DH327" s="45">
        <f ca="1">IFERROR(__xludf.DUMMYFUNCTION("+DH285"),0)</f>
        <v>0</v>
      </c>
      <c r="DI327" s="45">
        <f ca="1">IFERROR(__xludf.DUMMYFUNCTION("+DI285"),0)</f>
        <v>0</v>
      </c>
      <c r="DJ327" s="45">
        <f ca="1">IFERROR(__xludf.DUMMYFUNCTION("+DJ285"),0)</f>
        <v>0</v>
      </c>
      <c r="DK327" s="45">
        <f ca="1">IFERROR(__xludf.DUMMYFUNCTION("+DK285"),0)</f>
        <v>0</v>
      </c>
      <c r="DL327" s="45">
        <f ca="1">IFERROR(__xludf.DUMMYFUNCTION("+DL285"),0)</f>
        <v>0</v>
      </c>
      <c r="DM327" s="45">
        <f ca="1">IFERROR(__xludf.DUMMYFUNCTION("+DM285"),0)</f>
        <v>0</v>
      </c>
      <c r="DN327" s="45">
        <f ca="1">IFERROR(__xludf.DUMMYFUNCTION("+DN285"),0)</f>
        <v>0</v>
      </c>
      <c r="DO327" s="45">
        <f ca="1">IFERROR(__xludf.DUMMYFUNCTION("+DO285"),0)</f>
        <v>0</v>
      </c>
      <c r="DP327" s="45">
        <f ca="1">IFERROR(__xludf.DUMMYFUNCTION("+DP285"),0)</f>
        <v>0</v>
      </c>
      <c r="DQ327" s="45">
        <f ca="1">IFERROR(__xludf.DUMMYFUNCTION("+DQ285"),0.000714999999999999)</f>
        <v>7.1499999999999895E-4</v>
      </c>
      <c r="DR327" s="45">
        <f ca="1">IFERROR(__xludf.DUMMYFUNCTION("+DR285"),0)</f>
        <v>0</v>
      </c>
      <c r="DS327" s="45">
        <f ca="1">IFERROR(__xludf.DUMMYFUNCTION("+DS285"),0)</f>
        <v>0</v>
      </c>
      <c r="DT327" s="45">
        <f ca="1">IFERROR(__xludf.DUMMYFUNCTION("+DT285"),0)</f>
        <v>0</v>
      </c>
      <c r="DU327" s="45">
        <f ca="1">IFERROR(__xludf.DUMMYFUNCTION("+DU285"),0)</f>
        <v>0</v>
      </c>
      <c r="DV327" s="45">
        <f ca="1">IFERROR(__xludf.DUMMYFUNCTION("+DV285"),0)</f>
        <v>0</v>
      </c>
      <c r="DW327" s="45">
        <f ca="1">IFERROR(__xludf.DUMMYFUNCTION("+DW285"),0)</f>
        <v>0</v>
      </c>
      <c r="DX327" s="45">
        <f ca="1">IFERROR(__xludf.DUMMYFUNCTION("+DX285"),0)</f>
        <v>0</v>
      </c>
      <c r="DY327" s="45">
        <f ca="1">IFERROR(__xludf.DUMMYFUNCTION("+DY285"),0)</f>
        <v>0</v>
      </c>
      <c r="DZ327" s="45">
        <f ca="1">IFERROR(__xludf.DUMMYFUNCTION("+DZ285"),0)</f>
        <v>0</v>
      </c>
      <c r="EA327" s="45">
        <f ca="1">IFERROR(__xludf.DUMMYFUNCTION("+EA285"),0.000808999999999999)</f>
        <v>8.0899999999999896E-4</v>
      </c>
      <c r="EB327" s="45">
        <f ca="1">IFERROR(__xludf.DUMMYFUNCTION("+EB285"),0)</f>
        <v>0</v>
      </c>
      <c r="EC327" s="45">
        <f ca="1">IFERROR(__xludf.DUMMYFUNCTION("+EC285"),0)</f>
        <v>0</v>
      </c>
      <c r="ED327" s="45">
        <f ca="1">IFERROR(__xludf.DUMMYFUNCTION("+ED285"),0.000137)</f>
        <v>1.37E-4</v>
      </c>
      <c r="EE327" s="45">
        <f ca="1">IFERROR(__xludf.DUMMYFUNCTION("+EE285"),0)</f>
        <v>0</v>
      </c>
      <c r="EF327" s="45">
        <f ca="1">IFERROR(__xludf.DUMMYFUNCTION("+EF285"),0)</f>
        <v>0</v>
      </c>
      <c r="EG327" s="45">
        <f ca="1">IFERROR(__xludf.DUMMYFUNCTION("+EG285"),0)</f>
        <v>0</v>
      </c>
      <c r="EH327" s="45">
        <f ca="1">IFERROR(__xludf.DUMMYFUNCTION("+EH285"),0)</f>
        <v>0</v>
      </c>
      <c r="EI327" s="45">
        <f ca="1">IFERROR(__xludf.DUMMYFUNCTION("+EI285"),0)</f>
        <v>0</v>
      </c>
      <c r="EJ327" s="45">
        <f ca="1">IFERROR(__xludf.DUMMYFUNCTION("+EJ285"),0)</f>
        <v>0</v>
      </c>
      <c r="EK327" s="45">
        <f ca="1">IFERROR(__xludf.DUMMYFUNCTION("+EK285"),0)</f>
        <v>0</v>
      </c>
      <c r="EL327" s="45">
        <f ca="1">IFERROR(__xludf.DUMMYFUNCTION("+EL285"),0)</f>
        <v>0</v>
      </c>
      <c r="EM327" s="45">
        <f ca="1">IFERROR(__xludf.DUMMYFUNCTION("+EM285"),0)</f>
        <v>0</v>
      </c>
      <c r="EN327" s="45">
        <f ca="1">IFERROR(__xludf.DUMMYFUNCTION("+EN285"),0)</f>
        <v>0</v>
      </c>
      <c r="EO327" s="45">
        <f ca="1">IFERROR(__xludf.DUMMYFUNCTION("+EO285"),0)</f>
        <v>0</v>
      </c>
      <c r="EP327" s="45">
        <f ca="1">IFERROR(__xludf.DUMMYFUNCTION("+EP285"),0)</f>
        <v>0</v>
      </c>
      <c r="EQ327" s="45">
        <f ca="1">IFERROR(__xludf.DUMMYFUNCTION("+EQ285"),0)</f>
        <v>0</v>
      </c>
      <c r="ER327" s="45">
        <f ca="1">IFERROR(__xludf.DUMMYFUNCTION("+ER285"),0)</f>
        <v>0</v>
      </c>
      <c r="ES327" s="45">
        <f ca="1">IFERROR(__xludf.DUMMYFUNCTION("+ES285"),0)</f>
        <v>0</v>
      </c>
      <c r="ET327" s="45">
        <f ca="1">IFERROR(__xludf.DUMMYFUNCTION("+ET285"),0)</f>
        <v>0</v>
      </c>
      <c r="EU327" s="45">
        <f ca="1">IFERROR(__xludf.DUMMYFUNCTION("+EU285"),0)</f>
        <v>0</v>
      </c>
      <c r="EV327" s="45">
        <f ca="1">IFERROR(__xludf.DUMMYFUNCTION("+EV285"),0)</f>
        <v>0</v>
      </c>
      <c r="EW327" s="45">
        <f ca="1">IFERROR(__xludf.DUMMYFUNCTION("+EW285"),0)</f>
        <v>0</v>
      </c>
      <c r="EX327" s="45">
        <f ca="1">IFERROR(__xludf.DUMMYFUNCTION("+EX285"),0)</f>
        <v>0</v>
      </c>
      <c r="EY327" s="45">
        <f ca="1">IFERROR(__xludf.DUMMYFUNCTION("+EY285"),0)</f>
        <v>0</v>
      </c>
      <c r="EZ327" s="45">
        <f ca="1">IFERROR(__xludf.DUMMYFUNCTION("+EZ285"),0)</f>
        <v>0</v>
      </c>
      <c r="FA327" s="45">
        <f ca="1">IFERROR(__xludf.DUMMYFUNCTION("+FA285"),0.000068)</f>
        <v>6.7999999999999999E-5</v>
      </c>
      <c r="FB327" s="45">
        <f ca="1">IFERROR(__xludf.DUMMYFUNCTION("+FB285"),0.000532)</f>
        <v>5.3200000000000003E-4</v>
      </c>
      <c r="FC327" s="45">
        <f ca="1">IFERROR(__xludf.DUMMYFUNCTION("+FC285"),0)</f>
        <v>0</v>
      </c>
      <c r="FD327" s="45">
        <f ca="1">IFERROR(__xludf.DUMMYFUNCTION("+FD285"),0)</f>
        <v>0</v>
      </c>
      <c r="FE327" s="45">
        <f ca="1">IFERROR(__xludf.DUMMYFUNCTION("+FE285"),0)</f>
        <v>0</v>
      </c>
      <c r="FF327" s="45">
        <f ca="1">IFERROR(__xludf.DUMMYFUNCTION("+FF285"),0)</f>
        <v>0</v>
      </c>
      <c r="FG327" s="45">
        <f ca="1">IFERROR(__xludf.DUMMYFUNCTION("+FG285"),0)</f>
        <v>0</v>
      </c>
      <c r="FH327" s="45">
        <f ca="1">IFERROR(__xludf.DUMMYFUNCTION("+FH285"),0)</f>
        <v>0</v>
      </c>
      <c r="FI327" s="45">
        <f ca="1">IFERROR(__xludf.DUMMYFUNCTION("+FI285"),0)</f>
        <v>0</v>
      </c>
      <c r="FJ327" s="45">
        <f ca="1">IFERROR(__xludf.DUMMYFUNCTION("+FJ285"),0.000132)</f>
        <v>1.3200000000000001E-4</v>
      </c>
      <c r="FK327" s="45">
        <f ca="1">IFERROR(__xludf.DUMMYFUNCTION("+FK285"),0)</f>
        <v>0</v>
      </c>
      <c r="FL327" s="45">
        <f ca="1">IFERROR(__xludf.DUMMYFUNCTION("+FL285"),0)</f>
        <v>0</v>
      </c>
      <c r="FM327" s="45">
        <f ca="1">IFERROR(__xludf.DUMMYFUNCTION("+FM285"),0)</f>
        <v>0</v>
      </c>
      <c r="FN327" s="45">
        <f ca="1">IFERROR(__xludf.DUMMYFUNCTION("+FN285"),0)</f>
        <v>0</v>
      </c>
      <c r="FO327" s="45">
        <f ca="1">IFERROR(__xludf.DUMMYFUNCTION("+FO285"),0.000188)</f>
        <v>1.8799999999999999E-4</v>
      </c>
      <c r="FP327" s="45">
        <f ca="1">IFERROR(__xludf.DUMMYFUNCTION("+FP285"),0)</f>
        <v>0</v>
      </c>
      <c r="FQ327" s="45">
        <f ca="1">IFERROR(__xludf.DUMMYFUNCTION("+FQ285"),0.000358)</f>
        <v>3.5799999999999997E-4</v>
      </c>
      <c r="FR327" s="45">
        <f ca="1">IFERROR(__xludf.DUMMYFUNCTION("+FR285"),0.000154)</f>
        <v>1.54E-4</v>
      </c>
      <c r="FS327" s="45">
        <f ca="1">IFERROR(__xludf.DUMMYFUNCTION("+FS285"),0)</f>
        <v>0</v>
      </c>
      <c r="FT327" s="45">
        <f ca="1">IFERROR(__xludf.DUMMYFUNCTION("+FT285"),0.00015)</f>
        <v>1.4999999999999999E-4</v>
      </c>
      <c r="FU327" s="45">
        <f ca="1">IFERROR(__xludf.DUMMYFUNCTION("+FU285"),0)</f>
        <v>0</v>
      </c>
      <c r="FV327" s="45">
        <f ca="1">IFERROR(__xludf.DUMMYFUNCTION("+FV285"),0)</f>
        <v>0</v>
      </c>
      <c r="FW327" s="45">
        <f ca="1">IFERROR(__xludf.DUMMYFUNCTION("+FW285"),0)</f>
        <v>0</v>
      </c>
      <c r="FX327" s="45">
        <f ca="1">IFERROR(__xludf.DUMMYFUNCTION("+FX285"),0)</f>
        <v>0</v>
      </c>
      <c r="FY327" s="45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</row>
    <row r="328" spans="1:193" ht="15.5" x14ac:dyDescent="0.35">
      <c r="A328" s="12" t="s">
        <v>1090</v>
      </c>
      <c r="B328" s="7" t="s">
        <v>1091</v>
      </c>
      <c r="C328" s="45">
        <f t="shared" ref="C328:FX328" si="173">ROUND((C78/C48),6)</f>
        <v>1.7200000000000001E-4</v>
      </c>
      <c r="D328" s="45">
        <f t="shared" si="173"/>
        <v>0</v>
      </c>
      <c r="E328" s="45">
        <f t="shared" si="173"/>
        <v>0</v>
      </c>
      <c r="F328" s="45">
        <f t="shared" si="173"/>
        <v>0</v>
      </c>
      <c r="G328" s="45">
        <f t="shared" si="173"/>
        <v>0</v>
      </c>
      <c r="H328" s="45">
        <f t="shared" si="173"/>
        <v>0</v>
      </c>
      <c r="I328" s="45">
        <f t="shared" si="173"/>
        <v>4.3899999999999999E-4</v>
      </c>
      <c r="J328" s="45">
        <f t="shared" si="173"/>
        <v>0</v>
      </c>
      <c r="K328" s="45">
        <f t="shared" si="173"/>
        <v>0</v>
      </c>
      <c r="L328" s="45">
        <f t="shared" si="173"/>
        <v>0</v>
      </c>
      <c r="M328" s="45">
        <f t="shared" si="173"/>
        <v>0</v>
      </c>
      <c r="N328" s="45">
        <f t="shared" si="173"/>
        <v>6.7299999999999999E-4</v>
      </c>
      <c r="O328" s="45">
        <f t="shared" si="173"/>
        <v>8.4699999999999999E-4</v>
      </c>
      <c r="P328" s="45">
        <f t="shared" si="173"/>
        <v>1.1400000000000001E-4</v>
      </c>
      <c r="Q328" s="45">
        <f t="shared" si="173"/>
        <v>0</v>
      </c>
      <c r="R328" s="45">
        <f t="shared" si="173"/>
        <v>0</v>
      </c>
      <c r="S328" s="45">
        <f t="shared" si="173"/>
        <v>0</v>
      </c>
      <c r="T328" s="45">
        <f t="shared" si="173"/>
        <v>0</v>
      </c>
      <c r="U328" s="45">
        <f t="shared" si="173"/>
        <v>0</v>
      </c>
      <c r="V328" s="45">
        <f t="shared" si="173"/>
        <v>0</v>
      </c>
      <c r="W328" s="45">
        <f t="shared" si="173"/>
        <v>0</v>
      </c>
      <c r="X328" s="45">
        <f t="shared" si="173"/>
        <v>2.4399999999999999E-4</v>
      </c>
      <c r="Y328" s="45">
        <f t="shared" si="173"/>
        <v>0</v>
      </c>
      <c r="Z328" s="45">
        <f t="shared" si="173"/>
        <v>4.5189999999999996E-3</v>
      </c>
      <c r="AA328" s="45">
        <f t="shared" si="173"/>
        <v>0</v>
      </c>
      <c r="AB328" s="45">
        <f t="shared" si="173"/>
        <v>0</v>
      </c>
      <c r="AC328" s="45">
        <f t="shared" si="173"/>
        <v>0</v>
      </c>
      <c r="AD328" s="45">
        <f t="shared" si="173"/>
        <v>0</v>
      </c>
      <c r="AE328" s="45">
        <f t="shared" si="173"/>
        <v>1.4289999999999999E-3</v>
      </c>
      <c r="AF328" s="45">
        <f t="shared" si="173"/>
        <v>0</v>
      </c>
      <c r="AG328" s="45">
        <f t="shared" si="173"/>
        <v>0</v>
      </c>
      <c r="AH328" s="45">
        <f t="shared" si="173"/>
        <v>3.9880000000000002E-3</v>
      </c>
      <c r="AI328" s="45">
        <f t="shared" si="173"/>
        <v>0</v>
      </c>
      <c r="AJ328" s="45">
        <f t="shared" si="173"/>
        <v>0</v>
      </c>
      <c r="AK328" s="45">
        <f t="shared" si="173"/>
        <v>0</v>
      </c>
      <c r="AL328" s="45">
        <f t="shared" si="173"/>
        <v>0</v>
      </c>
      <c r="AM328" s="45">
        <f t="shared" si="173"/>
        <v>0</v>
      </c>
      <c r="AN328" s="45">
        <f t="shared" si="173"/>
        <v>0</v>
      </c>
      <c r="AO328" s="45">
        <f t="shared" si="173"/>
        <v>0</v>
      </c>
      <c r="AP328" s="45">
        <f t="shared" si="173"/>
        <v>0</v>
      </c>
      <c r="AQ328" s="45">
        <f t="shared" si="173"/>
        <v>0</v>
      </c>
      <c r="AR328" s="45">
        <f t="shared" si="173"/>
        <v>0</v>
      </c>
      <c r="AS328" s="45">
        <f t="shared" si="173"/>
        <v>4.35E-4</v>
      </c>
      <c r="AT328" s="45">
        <f t="shared" si="173"/>
        <v>0</v>
      </c>
      <c r="AU328" s="45">
        <f t="shared" si="173"/>
        <v>0</v>
      </c>
      <c r="AV328" s="45">
        <f t="shared" si="173"/>
        <v>0</v>
      </c>
      <c r="AW328" s="45">
        <f t="shared" si="173"/>
        <v>0</v>
      </c>
      <c r="AX328" s="45">
        <f t="shared" si="173"/>
        <v>0</v>
      </c>
      <c r="AY328" s="45">
        <f t="shared" si="173"/>
        <v>0</v>
      </c>
      <c r="AZ328" s="45">
        <f t="shared" si="173"/>
        <v>0</v>
      </c>
      <c r="BA328" s="45">
        <f t="shared" si="173"/>
        <v>0</v>
      </c>
      <c r="BB328" s="45">
        <f t="shared" si="173"/>
        <v>0</v>
      </c>
      <c r="BC328" s="45">
        <f t="shared" si="173"/>
        <v>0</v>
      </c>
      <c r="BD328" s="45">
        <f t="shared" si="173"/>
        <v>0</v>
      </c>
      <c r="BE328" s="45">
        <f t="shared" si="173"/>
        <v>0</v>
      </c>
      <c r="BF328" s="45">
        <f t="shared" si="173"/>
        <v>0</v>
      </c>
      <c r="BG328" s="45">
        <f t="shared" si="173"/>
        <v>0</v>
      </c>
      <c r="BH328" s="45">
        <f t="shared" si="173"/>
        <v>0</v>
      </c>
      <c r="BI328" s="45">
        <f t="shared" si="173"/>
        <v>0</v>
      </c>
      <c r="BJ328" s="45">
        <f t="shared" si="173"/>
        <v>0</v>
      </c>
      <c r="BK328" s="45">
        <f t="shared" si="173"/>
        <v>0</v>
      </c>
      <c r="BL328" s="45">
        <f t="shared" si="173"/>
        <v>0</v>
      </c>
      <c r="BM328" s="45">
        <f t="shared" si="173"/>
        <v>9.2400000000000002E-4</v>
      </c>
      <c r="BN328" s="45">
        <f t="shared" si="173"/>
        <v>0</v>
      </c>
      <c r="BO328" s="45">
        <f t="shared" si="173"/>
        <v>0</v>
      </c>
      <c r="BP328" s="45">
        <f t="shared" si="173"/>
        <v>0</v>
      </c>
      <c r="BQ328" s="45">
        <f t="shared" si="173"/>
        <v>0</v>
      </c>
      <c r="BR328" s="45">
        <f t="shared" si="173"/>
        <v>0</v>
      </c>
      <c r="BS328" s="45">
        <f t="shared" si="173"/>
        <v>0</v>
      </c>
      <c r="BT328" s="45">
        <f t="shared" si="173"/>
        <v>0</v>
      </c>
      <c r="BU328" s="45">
        <f t="shared" si="173"/>
        <v>0</v>
      </c>
      <c r="BV328" s="45">
        <f t="shared" si="173"/>
        <v>5.2999999999999998E-4</v>
      </c>
      <c r="BW328" s="45">
        <f t="shared" si="173"/>
        <v>0</v>
      </c>
      <c r="BX328" s="45">
        <f t="shared" si="173"/>
        <v>0</v>
      </c>
      <c r="BY328" s="45">
        <f t="shared" si="173"/>
        <v>0</v>
      </c>
      <c r="BZ328" s="45">
        <f t="shared" si="173"/>
        <v>0</v>
      </c>
      <c r="CA328" s="45">
        <f t="shared" si="173"/>
        <v>0</v>
      </c>
      <c r="CB328" s="45">
        <f t="shared" si="173"/>
        <v>0</v>
      </c>
      <c r="CC328" s="45">
        <f t="shared" si="173"/>
        <v>0</v>
      </c>
      <c r="CD328" s="45">
        <f t="shared" si="173"/>
        <v>3.251E-3</v>
      </c>
      <c r="CE328" s="45">
        <f t="shared" si="173"/>
        <v>0</v>
      </c>
      <c r="CF328" s="45">
        <f t="shared" si="173"/>
        <v>4.3229999999999996E-3</v>
      </c>
      <c r="CG328" s="45">
        <f t="shared" si="173"/>
        <v>0</v>
      </c>
      <c r="CH328" s="45">
        <f t="shared" si="173"/>
        <v>0</v>
      </c>
      <c r="CI328" s="45">
        <f t="shared" si="173"/>
        <v>0</v>
      </c>
      <c r="CJ328" s="45">
        <f t="shared" si="173"/>
        <v>0</v>
      </c>
      <c r="CK328" s="45">
        <f t="shared" si="173"/>
        <v>1.5E-3</v>
      </c>
      <c r="CL328" s="45">
        <f t="shared" si="173"/>
        <v>1.26E-4</v>
      </c>
      <c r="CM328" s="45">
        <f t="shared" si="173"/>
        <v>0</v>
      </c>
      <c r="CN328" s="45">
        <f t="shared" si="173"/>
        <v>0</v>
      </c>
      <c r="CO328" s="45">
        <f t="shared" si="173"/>
        <v>0</v>
      </c>
      <c r="CP328" s="45">
        <f t="shared" si="173"/>
        <v>0</v>
      </c>
      <c r="CQ328" s="45">
        <f t="shared" si="173"/>
        <v>0</v>
      </c>
      <c r="CR328" s="45">
        <f t="shared" si="173"/>
        <v>4.7899999999999999E-4</v>
      </c>
      <c r="CS328" s="45">
        <f t="shared" si="173"/>
        <v>0</v>
      </c>
      <c r="CT328" s="45">
        <f t="shared" si="173"/>
        <v>4.4999999999999999E-4</v>
      </c>
      <c r="CU328" s="45">
        <f t="shared" si="173"/>
        <v>0</v>
      </c>
      <c r="CV328" s="45">
        <f t="shared" si="173"/>
        <v>1.1479999999999999E-3</v>
      </c>
      <c r="CW328" s="45">
        <f t="shared" si="173"/>
        <v>0</v>
      </c>
      <c r="CX328" s="45">
        <f t="shared" si="173"/>
        <v>0</v>
      </c>
      <c r="CY328" s="45">
        <f t="shared" si="173"/>
        <v>0</v>
      </c>
      <c r="CZ328" s="45">
        <f t="shared" si="173"/>
        <v>0</v>
      </c>
      <c r="DA328" s="45">
        <f t="shared" si="173"/>
        <v>3.8299999999999999E-4</v>
      </c>
      <c r="DB328" s="45">
        <f t="shared" si="173"/>
        <v>0</v>
      </c>
      <c r="DC328" s="45">
        <f t="shared" si="173"/>
        <v>5.9400000000000002E-4</v>
      </c>
      <c r="DD328" s="45">
        <f t="shared" si="173"/>
        <v>1.8E-5</v>
      </c>
      <c r="DE328" s="45">
        <f t="shared" si="173"/>
        <v>0</v>
      </c>
      <c r="DF328" s="45">
        <f t="shared" si="173"/>
        <v>0</v>
      </c>
      <c r="DG328" s="45">
        <f t="shared" si="173"/>
        <v>0</v>
      </c>
      <c r="DH328" s="45">
        <f t="shared" si="173"/>
        <v>6.8900000000000005E-4</v>
      </c>
      <c r="DI328" s="45">
        <f t="shared" si="173"/>
        <v>0</v>
      </c>
      <c r="DJ328" s="45">
        <f t="shared" si="173"/>
        <v>0</v>
      </c>
      <c r="DK328" s="45">
        <f t="shared" si="173"/>
        <v>0</v>
      </c>
      <c r="DL328" s="45">
        <f t="shared" si="173"/>
        <v>0</v>
      </c>
      <c r="DM328" s="45">
        <f t="shared" si="173"/>
        <v>0</v>
      </c>
      <c r="DN328" s="45">
        <f t="shared" si="173"/>
        <v>0</v>
      </c>
      <c r="DO328" s="45">
        <f t="shared" si="173"/>
        <v>0</v>
      </c>
      <c r="DP328" s="45">
        <f t="shared" si="173"/>
        <v>2.8299999999999999E-4</v>
      </c>
      <c r="DQ328" s="45">
        <f t="shared" si="173"/>
        <v>0</v>
      </c>
      <c r="DR328" s="45">
        <f t="shared" si="173"/>
        <v>0</v>
      </c>
      <c r="DS328" s="45">
        <f t="shared" si="173"/>
        <v>0</v>
      </c>
      <c r="DT328" s="45">
        <f t="shared" si="173"/>
        <v>0</v>
      </c>
      <c r="DU328" s="45">
        <f t="shared" si="173"/>
        <v>0</v>
      </c>
      <c r="DV328" s="45">
        <f t="shared" si="173"/>
        <v>0</v>
      </c>
      <c r="DW328" s="45">
        <f t="shared" si="173"/>
        <v>0</v>
      </c>
      <c r="DX328" s="45">
        <f t="shared" si="173"/>
        <v>0</v>
      </c>
      <c r="DY328" s="45">
        <f t="shared" si="173"/>
        <v>0</v>
      </c>
      <c r="DZ328" s="45">
        <f t="shared" si="173"/>
        <v>0</v>
      </c>
      <c r="EA328" s="45">
        <f t="shared" si="173"/>
        <v>8.3799999999999999E-4</v>
      </c>
      <c r="EB328" s="45">
        <f t="shared" si="173"/>
        <v>0</v>
      </c>
      <c r="EC328" s="45">
        <f t="shared" si="173"/>
        <v>0</v>
      </c>
      <c r="ED328" s="45">
        <f t="shared" si="173"/>
        <v>1.21E-4</v>
      </c>
      <c r="EE328" s="45">
        <f t="shared" si="173"/>
        <v>0</v>
      </c>
      <c r="EF328" s="45">
        <f t="shared" si="173"/>
        <v>0</v>
      </c>
      <c r="EG328" s="45">
        <f t="shared" si="173"/>
        <v>0</v>
      </c>
      <c r="EH328" s="45">
        <f t="shared" si="173"/>
        <v>0</v>
      </c>
      <c r="EI328" s="45">
        <f t="shared" si="173"/>
        <v>0</v>
      </c>
      <c r="EJ328" s="45">
        <f t="shared" si="173"/>
        <v>0</v>
      </c>
      <c r="EK328" s="45">
        <f t="shared" si="173"/>
        <v>0</v>
      </c>
      <c r="EL328" s="45">
        <f t="shared" si="173"/>
        <v>2.3219999999999998E-3</v>
      </c>
      <c r="EM328" s="45">
        <f t="shared" si="173"/>
        <v>0</v>
      </c>
      <c r="EN328" s="45">
        <f t="shared" si="173"/>
        <v>0</v>
      </c>
      <c r="EO328" s="45">
        <f t="shared" si="173"/>
        <v>0</v>
      </c>
      <c r="EP328" s="45">
        <f t="shared" si="173"/>
        <v>0</v>
      </c>
      <c r="EQ328" s="45">
        <f t="shared" si="173"/>
        <v>5.4500000000000002E-4</v>
      </c>
      <c r="ER328" s="45">
        <f t="shared" si="173"/>
        <v>0</v>
      </c>
      <c r="ES328" s="45">
        <f t="shared" si="173"/>
        <v>0</v>
      </c>
      <c r="ET328" s="45">
        <f t="shared" si="173"/>
        <v>0</v>
      </c>
      <c r="EU328" s="45">
        <f t="shared" si="173"/>
        <v>0</v>
      </c>
      <c r="EV328" s="45">
        <f t="shared" si="173"/>
        <v>2.41E-4</v>
      </c>
      <c r="EW328" s="45">
        <f t="shared" si="173"/>
        <v>0</v>
      </c>
      <c r="EX328" s="45">
        <f t="shared" si="173"/>
        <v>0</v>
      </c>
      <c r="EY328" s="45">
        <f t="shared" si="173"/>
        <v>0</v>
      </c>
      <c r="EZ328" s="45">
        <f t="shared" si="173"/>
        <v>2.4599999999999999E-3</v>
      </c>
      <c r="FA328" s="45">
        <f t="shared" si="173"/>
        <v>3.86E-4</v>
      </c>
      <c r="FB328" s="45">
        <f t="shared" si="173"/>
        <v>0</v>
      </c>
      <c r="FC328" s="45">
        <f t="shared" si="173"/>
        <v>0</v>
      </c>
      <c r="FD328" s="45">
        <f t="shared" si="173"/>
        <v>0</v>
      </c>
      <c r="FE328" s="45">
        <f t="shared" si="173"/>
        <v>2.32E-4</v>
      </c>
      <c r="FF328" s="45">
        <f t="shared" si="173"/>
        <v>0</v>
      </c>
      <c r="FG328" s="45">
        <f t="shared" si="173"/>
        <v>0</v>
      </c>
      <c r="FH328" s="45">
        <f t="shared" si="173"/>
        <v>2.036E-3</v>
      </c>
      <c r="FI328" s="45">
        <f t="shared" si="173"/>
        <v>0</v>
      </c>
      <c r="FJ328" s="45">
        <f t="shared" si="173"/>
        <v>0</v>
      </c>
      <c r="FK328" s="45">
        <f t="shared" si="173"/>
        <v>2.0999999999999999E-5</v>
      </c>
      <c r="FL328" s="45">
        <f t="shared" si="173"/>
        <v>0</v>
      </c>
      <c r="FM328" s="45">
        <f t="shared" si="173"/>
        <v>0</v>
      </c>
      <c r="FN328" s="45">
        <f t="shared" si="173"/>
        <v>0</v>
      </c>
      <c r="FO328" s="45">
        <f t="shared" si="173"/>
        <v>0</v>
      </c>
      <c r="FP328" s="45">
        <f t="shared" si="173"/>
        <v>0</v>
      </c>
      <c r="FQ328" s="45">
        <f t="shared" si="173"/>
        <v>0</v>
      </c>
      <c r="FR328" s="45">
        <f t="shared" si="173"/>
        <v>0</v>
      </c>
      <c r="FS328" s="45">
        <f t="shared" si="173"/>
        <v>0</v>
      </c>
      <c r="FT328" s="45">
        <f t="shared" si="173"/>
        <v>0</v>
      </c>
      <c r="FU328" s="45">
        <f t="shared" si="173"/>
        <v>0</v>
      </c>
      <c r="FV328" s="45">
        <f t="shared" si="173"/>
        <v>0</v>
      </c>
      <c r="FW328" s="45">
        <f t="shared" si="173"/>
        <v>0</v>
      </c>
      <c r="FX328" s="45">
        <f t="shared" si="173"/>
        <v>0</v>
      </c>
      <c r="FY328" s="45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</row>
    <row r="329" spans="1:193" ht="15.5" x14ac:dyDescent="0.35">
      <c r="A329" s="7"/>
      <c r="B329" s="7" t="s">
        <v>1092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</row>
    <row r="330" spans="1:193" ht="15.5" x14ac:dyDescent="0.35">
      <c r="A330" s="12" t="s">
        <v>1093</v>
      </c>
      <c r="B330" s="7" t="s">
        <v>1094</v>
      </c>
      <c r="C330" s="45">
        <f t="shared" ref="C330:FX330" si="174">ROUND((C79/C48),6)</f>
        <v>0</v>
      </c>
      <c r="D330" s="45">
        <f t="shared" si="174"/>
        <v>0</v>
      </c>
      <c r="E330" s="45">
        <f t="shared" si="174"/>
        <v>0</v>
      </c>
      <c r="F330" s="45">
        <f t="shared" si="174"/>
        <v>0</v>
      </c>
      <c r="G330" s="45">
        <f t="shared" si="174"/>
        <v>0</v>
      </c>
      <c r="H330" s="45">
        <f t="shared" si="174"/>
        <v>0</v>
      </c>
      <c r="I330" s="45">
        <f t="shared" si="174"/>
        <v>0</v>
      </c>
      <c r="J330" s="45">
        <f t="shared" si="174"/>
        <v>0</v>
      </c>
      <c r="K330" s="45">
        <f t="shared" si="174"/>
        <v>0</v>
      </c>
      <c r="L330" s="45">
        <f t="shared" si="174"/>
        <v>0</v>
      </c>
      <c r="M330" s="45">
        <f t="shared" si="174"/>
        <v>0</v>
      </c>
      <c r="N330" s="45">
        <f t="shared" si="174"/>
        <v>4.0000000000000003E-5</v>
      </c>
      <c r="O330" s="45">
        <f t="shared" si="174"/>
        <v>0</v>
      </c>
      <c r="P330" s="45">
        <f t="shared" si="174"/>
        <v>0</v>
      </c>
      <c r="Q330" s="45">
        <f t="shared" si="174"/>
        <v>0</v>
      </c>
      <c r="R330" s="45">
        <f t="shared" si="174"/>
        <v>0</v>
      </c>
      <c r="S330" s="45">
        <f t="shared" si="174"/>
        <v>0</v>
      </c>
      <c r="T330" s="45">
        <f t="shared" si="174"/>
        <v>0</v>
      </c>
      <c r="U330" s="45">
        <f t="shared" si="174"/>
        <v>0</v>
      </c>
      <c r="V330" s="45">
        <f t="shared" si="174"/>
        <v>0</v>
      </c>
      <c r="W330" s="45">
        <f t="shared" si="174"/>
        <v>0</v>
      </c>
      <c r="X330" s="45">
        <f t="shared" si="174"/>
        <v>0</v>
      </c>
      <c r="Y330" s="45">
        <f t="shared" si="174"/>
        <v>0</v>
      </c>
      <c r="Z330" s="45">
        <f t="shared" si="174"/>
        <v>0</v>
      </c>
      <c r="AA330" s="45">
        <f t="shared" si="174"/>
        <v>0</v>
      </c>
      <c r="AB330" s="45">
        <f t="shared" si="174"/>
        <v>0</v>
      </c>
      <c r="AC330" s="45">
        <f t="shared" si="174"/>
        <v>0</v>
      </c>
      <c r="AD330" s="45">
        <f t="shared" si="174"/>
        <v>0</v>
      </c>
      <c r="AE330" s="45">
        <f t="shared" si="174"/>
        <v>0</v>
      </c>
      <c r="AF330" s="45">
        <f t="shared" si="174"/>
        <v>0</v>
      </c>
      <c r="AG330" s="45">
        <f t="shared" si="174"/>
        <v>0</v>
      </c>
      <c r="AH330" s="45">
        <f t="shared" si="174"/>
        <v>0</v>
      </c>
      <c r="AI330" s="45">
        <f t="shared" si="174"/>
        <v>0</v>
      </c>
      <c r="AJ330" s="45">
        <f t="shared" si="174"/>
        <v>0</v>
      </c>
      <c r="AK330" s="45">
        <f t="shared" si="174"/>
        <v>0</v>
      </c>
      <c r="AL330" s="45">
        <f t="shared" si="174"/>
        <v>0</v>
      </c>
      <c r="AM330" s="45">
        <f t="shared" si="174"/>
        <v>0</v>
      </c>
      <c r="AN330" s="45">
        <f t="shared" si="174"/>
        <v>0</v>
      </c>
      <c r="AO330" s="45">
        <f t="shared" si="174"/>
        <v>0</v>
      </c>
      <c r="AP330" s="45">
        <f t="shared" si="174"/>
        <v>0</v>
      </c>
      <c r="AQ330" s="45">
        <f t="shared" si="174"/>
        <v>0</v>
      </c>
      <c r="AR330" s="45">
        <f t="shared" si="174"/>
        <v>0</v>
      </c>
      <c r="AS330" s="45">
        <f t="shared" si="174"/>
        <v>0</v>
      </c>
      <c r="AT330" s="45">
        <f t="shared" si="174"/>
        <v>0</v>
      </c>
      <c r="AU330" s="45">
        <f t="shared" si="174"/>
        <v>0</v>
      </c>
      <c r="AV330" s="45">
        <f t="shared" si="174"/>
        <v>0</v>
      </c>
      <c r="AW330" s="45">
        <f t="shared" si="174"/>
        <v>0</v>
      </c>
      <c r="AX330" s="45">
        <f t="shared" si="174"/>
        <v>0</v>
      </c>
      <c r="AY330" s="45">
        <f t="shared" si="174"/>
        <v>0</v>
      </c>
      <c r="AZ330" s="45">
        <f t="shared" si="174"/>
        <v>0</v>
      </c>
      <c r="BA330" s="45">
        <f t="shared" si="174"/>
        <v>0</v>
      </c>
      <c r="BB330" s="45">
        <f t="shared" si="174"/>
        <v>0</v>
      </c>
      <c r="BC330" s="45">
        <f t="shared" si="174"/>
        <v>0</v>
      </c>
      <c r="BD330" s="45">
        <f t="shared" si="174"/>
        <v>0</v>
      </c>
      <c r="BE330" s="45">
        <f t="shared" si="174"/>
        <v>0</v>
      </c>
      <c r="BF330" s="45">
        <f t="shared" si="174"/>
        <v>0</v>
      </c>
      <c r="BG330" s="45">
        <f t="shared" si="174"/>
        <v>0</v>
      </c>
      <c r="BH330" s="45">
        <f t="shared" si="174"/>
        <v>0</v>
      </c>
      <c r="BI330" s="45">
        <f t="shared" si="174"/>
        <v>0</v>
      </c>
      <c r="BJ330" s="45">
        <f t="shared" si="174"/>
        <v>0</v>
      </c>
      <c r="BK330" s="45">
        <f t="shared" si="174"/>
        <v>0</v>
      </c>
      <c r="BL330" s="45">
        <f t="shared" si="174"/>
        <v>0</v>
      </c>
      <c r="BM330" s="45">
        <f t="shared" si="174"/>
        <v>0</v>
      </c>
      <c r="BN330" s="45">
        <f t="shared" si="174"/>
        <v>0</v>
      </c>
      <c r="BO330" s="45">
        <f t="shared" si="174"/>
        <v>0</v>
      </c>
      <c r="BP330" s="45">
        <f t="shared" si="174"/>
        <v>0</v>
      </c>
      <c r="BQ330" s="45">
        <f t="shared" si="174"/>
        <v>0</v>
      </c>
      <c r="BR330" s="45">
        <f t="shared" si="174"/>
        <v>0</v>
      </c>
      <c r="BS330" s="45">
        <f t="shared" si="174"/>
        <v>0</v>
      </c>
      <c r="BT330" s="45">
        <f t="shared" si="174"/>
        <v>0</v>
      </c>
      <c r="BU330" s="45">
        <f t="shared" si="174"/>
        <v>0</v>
      </c>
      <c r="BV330" s="45">
        <f t="shared" si="174"/>
        <v>0</v>
      </c>
      <c r="BW330" s="45">
        <f t="shared" si="174"/>
        <v>0</v>
      </c>
      <c r="BX330" s="45">
        <f t="shared" si="174"/>
        <v>0</v>
      </c>
      <c r="BY330" s="45">
        <f t="shared" si="174"/>
        <v>0</v>
      </c>
      <c r="BZ330" s="45">
        <f t="shared" si="174"/>
        <v>0</v>
      </c>
      <c r="CA330" s="45">
        <f t="shared" si="174"/>
        <v>0</v>
      </c>
      <c r="CB330" s="45">
        <f t="shared" si="174"/>
        <v>0</v>
      </c>
      <c r="CC330" s="45">
        <f t="shared" si="174"/>
        <v>0</v>
      </c>
      <c r="CD330" s="45">
        <f t="shared" si="174"/>
        <v>0</v>
      </c>
      <c r="CE330" s="45">
        <f t="shared" si="174"/>
        <v>0</v>
      </c>
      <c r="CF330" s="45">
        <f t="shared" si="174"/>
        <v>0</v>
      </c>
      <c r="CG330" s="45">
        <f t="shared" si="174"/>
        <v>0</v>
      </c>
      <c r="CH330" s="45">
        <f t="shared" si="174"/>
        <v>0</v>
      </c>
      <c r="CI330" s="45">
        <f t="shared" si="174"/>
        <v>0</v>
      </c>
      <c r="CJ330" s="45">
        <f t="shared" si="174"/>
        <v>0</v>
      </c>
      <c r="CK330" s="45">
        <f t="shared" si="174"/>
        <v>0</v>
      </c>
      <c r="CL330" s="45">
        <f t="shared" si="174"/>
        <v>0</v>
      </c>
      <c r="CM330" s="45">
        <f t="shared" si="174"/>
        <v>0</v>
      </c>
      <c r="CN330" s="45">
        <f t="shared" si="174"/>
        <v>0</v>
      </c>
      <c r="CO330" s="45">
        <f t="shared" si="174"/>
        <v>0</v>
      </c>
      <c r="CP330" s="45">
        <f t="shared" si="174"/>
        <v>0</v>
      </c>
      <c r="CQ330" s="45">
        <f t="shared" si="174"/>
        <v>0</v>
      </c>
      <c r="CR330" s="45">
        <f t="shared" si="174"/>
        <v>0</v>
      </c>
      <c r="CS330" s="45">
        <f t="shared" si="174"/>
        <v>0</v>
      </c>
      <c r="CT330" s="45">
        <f t="shared" si="174"/>
        <v>0</v>
      </c>
      <c r="CU330" s="45">
        <f t="shared" si="174"/>
        <v>0</v>
      </c>
      <c r="CV330" s="45">
        <f t="shared" si="174"/>
        <v>0</v>
      </c>
      <c r="CW330" s="45">
        <f t="shared" si="174"/>
        <v>0</v>
      </c>
      <c r="CX330" s="45">
        <f t="shared" si="174"/>
        <v>0</v>
      </c>
      <c r="CY330" s="45">
        <f t="shared" si="174"/>
        <v>0</v>
      </c>
      <c r="CZ330" s="45">
        <f t="shared" si="174"/>
        <v>0</v>
      </c>
      <c r="DA330" s="45">
        <f t="shared" si="174"/>
        <v>0</v>
      </c>
      <c r="DB330" s="45">
        <f t="shared" si="174"/>
        <v>0</v>
      </c>
      <c r="DC330" s="45">
        <f t="shared" si="174"/>
        <v>0</v>
      </c>
      <c r="DD330" s="45">
        <f t="shared" si="174"/>
        <v>0</v>
      </c>
      <c r="DE330" s="45">
        <f t="shared" si="174"/>
        <v>0</v>
      </c>
      <c r="DF330" s="45">
        <f t="shared" si="174"/>
        <v>0</v>
      </c>
      <c r="DG330" s="45">
        <f t="shared" si="174"/>
        <v>0</v>
      </c>
      <c r="DH330" s="45">
        <f t="shared" si="174"/>
        <v>0</v>
      </c>
      <c r="DI330" s="45">
        <f t="shared" si="174"/>
        <v>0</v>
      </c>
      <c r="DJ330" s="45">
        <f t="shared" si="174"/>
        <v>0</v>
      </c>
      <c r="DK330" s="45">
        <f t="shared" si="174"/>
        <v>0</v>
      </c>
      <c r="DL330" s="45">
        <f t="shared" si="174"/>
        <v>0</v>
      </c>
      <c r="DM330" s="45">
        <f t="shared" si="174"/>
        <v>0</v>
      </c>
      <c r="DN330" s="45">
        <f t="shared" si="174"/>
        <v>0</v>
      </c>
      <c r="DO330" s="45">
        <f t="shared" si="174"/>
        <v>0</v>
      </c>
      <c r="DP330" s="45">
        <f t="shared" si="174"/>
        <v>0</v>
      </c>
      <c r="DQ330" s="45">
        <f t="shared" si="174"/>
        <v>0</v>
      </c>
      <c r="DR330" s="45">
        <f t="shared" si="174"/>
        <v>0</v>
      </c>
      <c r="DS330" s="45">
        <f t="shared" si="174"/>
        <v>0</v>
      </c>
      <c r="DT330" s="45">
        <f t="shared" si="174"/>
        <v>0</v>
      </c>
      <c r="DU330" s="45">
        <f t="shared" si="174"/>
        <v>0</v>
      </c>
      <c r="DV330" s="45">
        <f t="shared" si="174"/>
        <v>0</v>
      </c>
      <c r="DW330" s="45">
        <f t="shared" si="174"/>
        <v>0</v>
      </c>
      <c r="DX330" s="45">
        <f t="shared" si="174"/>
        <v>0</v>
      </c>
      <c r="DY330" s="45">
        <f t="shared" si="174"/>
        <v>0</v>
      </c>
      <c r="DZ330" s="45">
        <f t="shared" si="174"/>
        <v>0</v>
      </c>
      <c r="EA330" s="45">
        <f t="shared" si="174"/>
        <v>0</v>
      </c>
      <c r="EB330" s="45">
        <f t="shared" si="174"/>
        <v>0</v>
      </c>
      <c r="EC330" s="45">
        <f t="shared" si="174"/>
        <v>0</v>
      </c>
      <c r="ED330" s="45">
        <f t="shared" si="174"/>
        <v>0</v>
      </c>
      <c r="EE330" s="45">
        <f t="shared" si="174"/>
        <v>0</v>
      </c>
      <c r="EF330" s="45">
        <f t="shared" si="174"/>
        <v>0</v>
      </c>
      <c r="EG330" s="45">
        <f t="shared" si="174"/>
        <v>0</v>
      </c>
      <c r="EH330" s="45">
        <f t="shared" si="174"/>
        <v>0</v>
      </c>
      <c r="EI330" s="45">
        <f t="shared" si="174"/>
        <v>0</v>
      </c>
      <c r="EJ330" s="45">
        <f t="shared" si="174"/>
        <v>0</v>
      </c>
      <c r="EK330" s="45">
        <f t="shared" si="174"/>
        <v>0</v>
      </c>
      <c r="EL330" s="45">
        <f t="shared" si="174"/>
        <v>0</v>
      </c>
      <c r="EM330" s="45">
        <f t="shared" si="174"/>
        <v>0</v>
      </c>
      <c r="EN330" s="45">
        <f t="shared" si="174"/>
        <v>0</v>
      </c>
      <c r="EO330" s="45">
        <f t="shared" si="174"/>
        <v>0</v>
      </c>
      <c r="EP330" s="45">
        <f t="shared" si="174"/>
        <v>0</v>
      </c>
      <c r="EQ330" s="45">
        <f t="shared" si="174"/>
        <v>0</v>
      </c>
      <c r="ER330" s="45">
        <f t="shared" si="174"/>
        <v>0</v>
      </c>
      <c r="ES330" s="45">
        <f t="shared" si="174"/>
        <v>0</v>
      </c>
      <c r="ET330" s="45">
        <f t="shared" si="174"/>
        <v>0</v>
      </c>
      <c r="EU330" s="45">
        <f t="shared" si="174"/>
        <v>0</v>
      </c>
      <c r="EV330" s="45">
        <f t="shared" si="174"/>
        <v>0</v>
      </c>
      <c r="EW330" s="45">
        <f t="shared" si="174"/>
        <v>0</v>
      </c>
      <c r="EX330" s="45">
        <f t="shared" si="174"/>
        <v>0</v>
      </c>
      <c r="EY330" s="45">
        <f t="shared" si="174"/>
        <v>0</v>
      </c>
      <c r="EZ330" s="45">
        <f t="shared" si="174"/>
        <v>0</v>
      </c>
      <c r="FA330" s="45">
        <f t="shared" si="174"/>
        <v>0</v>
      </c>
      <c r="FB330" s="45">
        <f t="shared" si="174"/>
        <v>0</v>
      </c>
      <c r="FC330" s="45">
        <f t="shared" si="174"/>
        <v>0</v>
      </c>
      <c r="FD330" s="45">
        <f t="shared" si="174"/>
        <v>0</v>
      </c>
      <c r="FE330" s="45">
        <f t="shared" si="174"/>
        <v>0</v>
      </c>
      <c r="FF330" s="45">
        <f t="shared" si="174"/>
        <v>0</v>
      </c>
      <c r="FG330" s="45">
        <f t="shared" si="174"/>
        <v>0</v>
      </c>
      <c r="FH330" s="45">
        <f t="shared" si="174"/>
        <v>0</v>
      </c>
      <c r="FI330" s="45">
        <f t="shared" si="174"/>
        <v>0</v>
      </c>
      <c r="FJ330" s="45">
        <f t="shared" si="174"/>
        <v>0</v>
      </c>
      <c r="FK330" s="45">
        <f t="shared" si="174"/>
        <v>0</v>
      </c>
      <c r="FL330" s="45">
        <f t="shared" si="174"/>
        <v>0</v>
      </c>
      <c r="FM330" s="45">
        <f t="shared" si="174"/>
        <v>0</v>
      </c>
      <c r="FN330" s="45">
        <f t="shared" si="174"/>
        <v>0</v>
      </c>
      <c r="FO330" s="45">
        <f t="shared" si="174"/>
        <v>0</v>
      </c>
      <c r="FP330" s="45">
        <f t="shared" si="174"/>
        <v>0</v>
      </c>
      <c r="FQ330" s="45">
        <f t="shared" si="174"/>
        <v>0</v>
      </c>
      <c r="FR330" s="45">
        <f t="shared" si="174"/>
        <v>0</v>
      </c>
      <c r="FS330" s="45">
        <f t="shared" si="174"/>
        <v>0</v>
      </c>
      <c r="FT330" s="45">
        <f t="shared" si="174"/>
        <v>0</v>
      </c>
      <c r="FU330" s="45">
        <f t="shared" si="174"/>
        <v>0</v>
      </c>
      <c r="FV330" s="45">
        <f t="shared" si="174"/>
        <v>0</v>
      </c>
      <c r="FW330" s="45">
        <f t="shared" si="174"/>
        <v>0</v>
      </c>
      <c r="FX330" s="45">
        <f t="shared" si="174"/>
        <v>0</v>
      </c>
      <c r="FY330" s="45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</row>
    <row r="331" spans="1:193" ht="15.5" x14ac:dyDescent="0.35">
      <c r="A331" s="7"/>
      <c r="B331" s="7" t="s">
        <v>1095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</row>
    <row r="332" spans="1:193" ht="15.5" x14ac:dyDescent="0.35">
      <c r="A332" s="12" t="s">
        <v>1096</v>
      </c>
      <c r="B332" s="7" t="s">
        <v>1097</v>
      </c>
      <c r="C332" s="45">
        <f t="shared" ref="C332:FX332" si="175">ROUND((C80/C48),6)</f>
        <v>3.7550000000000001E-3</v>
      </c>
      <c r="D332" s="45">
        <f t="shared" si="175"/>
        <v>1.4082000000000001E-2</v>
      </c>
      <c r="E332" s="45">
        <f t="shared" si="175"/>
        <v>3.9950000000000003E-3</v>
      </c>
      <c r="F332" s="45">
        <f t="shared" si="175"/>
        <v>2.2699999999999999E-4</v>
      </c>
      <c r="G332" s="45">
        <f t="shared" si="175"/>
        <v>2.091E-3</v>
      </c>
      <c r="H332" s="45">
        <f t="shared" si="175"/>
        <v>2.0600000000000002E-3</v>
      </c>
      <c r="I332" s="45">
        <f t="shared" si="175"/>
        <v>6.6350000000000003E-3</v>
      </c>
      <c r="J332" s="45">
        <f t="shared" si="175"/>
        <v>0</v>
      </c>
      <c r="K332" s="45">
        <f t="shared" si="175"/>
        <v>0</v>
      </c>
      <c r="L332" s="45">
        <f t="shared" si="175"/>
        <v>5.2180000000000004E-3</v>
      </c>
      <c r="M332" s="45">
        <f t="shared" si="175"/>
        <v>3.0539999999999999E-3</v>
      </c>
      <c r="N332" s="45">
        <f t="shared" si="175"/>
        <v>8.1080000000000006E-3</v>
      </c>
      <c r="O332" s="45">
        <f t="shared" si="175"/>
        <v>9.698E-3</v>
      </c>
      <c r="P332" s="45">
        <f t="shared" si="175"/>
        <v>0</v>
      </c>
      <c r="Q332" s="45">
        <f t="shared" si="175"/>
        <v>6.4790000000000004E-3</v>
      </c>
      <c r="R332" s="45">
        <f t="shared" si="175"/>
        <v>0</v>
      </c>
      <c r="S332" s="45">
        <f t="shared" si="175"/>
        <v>0</v>
      </c>
      <c r="T332" s="45">
        <f t="shared" si="175"/>
        <v>0</v>
      </c>
      <c r="U332" s="45">
        <f t="shared" si="175"/>
        <v>3.2179999999999999E-3</v>
      </c>
      <c r="V332" s="45">
        <f t="shared" si="175"/>
        <v>0</v>
      </c>
      <c r="W332" s="45">
        <f t="shared" si="175"/>
        <v>0</v>
      </c>
      <c r="X332" s="45">
        <f t="shared" si="175"/>
        <v>7.8820000000000001E-3</v>
      </c>
      <c r="Y332" s="45">
        <f t="shared" si="175"/>
        <v>0</v>
      </c>
      <c r="Z332" s="45">
        <f t="shared" si="175"/>
        <v>0</v>
      </c>
      <c r="AA332" s="45">
        <f t="shared" si="175"/>
        <v>4.7530000000000003E-3</v>
      </c>
      <c r="AB332" s="45">
        <f t="shared" si="175"/>
        <v>7.1710000000000003E-3</v>
      </c>
      <c r="AC332" s="45">
        <f t="shared" si="175"/>
        <v>4.2700000000000004E-3</v>
      </c>
      <c r="AD332" s="45">
        <f t="shared" si="175"/>
        <v>4.8700000000000002E-3</v>
      </c>
      <c r="AE332" s="45">
        <f t="shared" si="175"/>
        <v>4.7710000000000001E-3</v>
      </c>
      <c r="AF332" s="45">
        <f t="shared" si="175"/>
        <v>2.2160000000000001E-3</v>
      </c>
      <c r="AG332" s="45">
        <f t="shared" si="175"/>
        <v>4.7920000000000003E-3</v>
      </c>
      <c r="AH332" s="45">
        <f t="shared" si="175"/>
        <v>0</v>
      </c>
      <c r="AI332" s="45">
        <f t="shared" si="175"/>
        <v>0</v>
      </c>
      <c r="AJ332" s="45">
        <f t="shared" si="175"/>
        <v>0</v>
      </c>
      <c r="AK332" s="45">
        <f t="shared" si="175"/>
        <v>0</v>
      </c>
      <c r="AL332" s="45">
        <f t="shared" si="175"/>
        <v>3.5500000000000002E-3</v>
      </c>
      <c r="AM332" s="45">
        <f t="shared" si="175"/>
        <v>0</v>
      </c>
      <c r="AN332" s="45">
        <f t="shared" si="175"/>
        <v>0</v>
      </c>
      <c r="AO332" s="45">
        <f t="shared" si="175"/>
        <v>0</v>
      </c>
      <c r="AP332" s="45">
        <f t="shared" si="175"/>
        <v>5.2050000000000004E-3</v>
      </c>
      <c r="AQ332" s="45">
        <f t="shared" si="175"/>
        <v>0</v>
      </c>
      <c r="AR332" s="45">
        <f t="shared" si="175"/>
        <v>6.8450000000000004E-3</v>
      </c>
      <c r="AS332" s="45">
        <f t="shared" si="175"/>
        <v>1.2210000000000001E-3</v>
      </c>
      <c r="AT332" s="45">
        <f t="shared" si="175"/>
        <v>0</v>
      </c>
      <c r="AU332" s="45">
        <f t="shared" si="175"/>
        <v>0</v>
      </c>
      <c r="AV332" s="45">
        <f t="shared" si="175"/>
        <v>0</v>
      </c>
      <c r="AW332" s="45">
        <f t="shared" si="175"/>
        <v>0</v>
      </c>
      <c r="AX332" s="45">
        <f t="shared" si="175"/>
        <v>0</v>
      </c>
      <c r="AY332" s="45">
        <f t="shared" si="175"/>
        <v>0</v>
      </c>
      <c r="AZ332" s="45">
        <f t="shared" si="175"/>
        <v>5.1580000000000003E-3</v>
      </c>
      <c r="BA332" s="45">
        <f t="shared" si="175"/>
        <v>4.0530000000000002E-3</v>
      </c>
      <c r="BB332" s="45">
        <f t="shared" si="175"/>
        <v>2.4269999999999999E-3</v>
      </c>
      <c r="BC332" s="45">
        <f t="shared" si="175"/>
        <v>1.5164E-2</v>
      </c>
      <c r="BD332" s="45">
        <f t="shared" si="175"/>
        <v>8.1700000000000002E-3</v>
      </c>
      <c r="BE332" s="45">
        <f t="shared" si="175"/>
        <v>9.0620000000000006E-3</v>
      </c>
      <c r="BF332" s="45">
        <f t="shared" si="175"/>
        <v>8.7889999999999999E-3</v>
      </c>
      <c r="BG332" s="45">
        <f t="shared" si="175"/>
        <v>0</v>
      </c>
      <c r="BH332" s="45">
        <f t="shared" si="175"/>
        <v>0</v>
      </c>
      <c r="BI332" s="45">
        <f t="shared" si="175"/>
        <v>0</v>
      </c>
      <c r="BJ332" s="45">
        <f t="shared" si="175"/>
        <v>3.8779999999999999E-3</v>
      </c>
      <c r="BK332" s="45">
        <f t="shared" si="175"/>
        <v>3.7439999999999999E-3</v>
      </c>
      <c r="BL332" s="45">
        <f t="shared" si="175"/>
        <v>0</v>
      </c>
      <c r="BM332" s="45">
        <f t="shared" si="175"/>
        <v>0</v>
      </c>
      <c r="BN332" s="45">
        <f t="shared" si="175"/>
        <v>0</v>
      </c>
      <c r="BO332" s="45">
        <f t="shared" si="175"/>
        <v>1.629E-3</v>
      </c>
      <c r="BP332" s="45">
        <f t="shared" si="175"/>
        <v>0</v>
      </c>
      <c r="BQ332" s="45">
        <f t="shared" si="175"/>
        <v>4.0870000000000004E-3</v>
      </c>
      <c r="BR332" s="45">
        <f t="shared" si="175"/>
        <v>3.5409999999999999E-3</v>
      </c>
      <c r="BS332" s="45">
        <f t="shared" si="175"/>
        <v>2.336E-3</v>
      </c>
      <c r="BT332" s="45">
        <f t="shared" si="175"/>
        <v>2.1120000000000002E-3</v>
      </c>
      <c r="BU332" s="45">
        <f t="shared" si="175"/>
        <v>6.2189999999999997E-3</v>
      </c>
      <c r="BV332" s="45">
        <f t="shared" si="175"/>
        <v>8.9899999999999995E-4</v>
      </c>
      <c r="BW332" s="45">
        <f t="shared" si="175"/>
        <v>3.209E-3</v>
      </c>
      <c r="BX332" s="45">
        <f t="shared" si="175"/>
        <v>0</v>
      </c>
      <c r="BY332" s="45">
        <f t="shared" si="175"/>
        <v>0</v>
      </c>
      <c r="BZ332" s="45">
        <f t="shared" si="175"/>
        <v>0</v>
      </c>
      <c r="CA332" s="45">
        <f t="shared" si="175"/>
        <v>0</v>
      </c>
      <c r="CB332" s="45">
        <f t="shared" si="175"/>
        <v>7.6709999999999999E-3</v>
      </c>
      <c r="CC332" s="45">
        <f t="shared" si="175"/>
        <v>0</v>
      </c>
      <c r="CD332" s="45">
        <f t="shared" si="175"/>
        <v>0</v>
      </c>
      <c r="CE332" s="45">
        <f t="shared" si="175"/>
        <v>0</v>
      </c>
      <c r="CF332" s="45">
        <f t="shared" si="175"/>
        <v>0</v>
      </c>
      <c r="CG332" s="45">
        <f t="shared" si="175"/>
        <v>4.5570000000000003E-3</v>
      </c>
      <c r="CH332" s="45">
        <f t="shared" si="175"/>
        <v>0</v>
      </c>
      <c r="CI332" s="45">
        <f t="shared" si="175"/>
        <v>2.1459999999999999E-3</v>
      </c>
      <c r="CJ332" s="45">
        <f t="shared" si="175"/>
        <v>1.511E-3</v>
      </c>
      <c r="CK332" s="45">
        <f t="shared" si="175"/>
        <v>3.2049999999999999E-3</v>
      </c>
      <c r="CL332" s="45">
        <f t="shared" si="175"/>
        <v>7.3819999999999997E-3</v>
      </c>
      <c r="CM332" s="45">
        <f t="shared" si="175"/>
        <v>3.7910000000000001E-3</v>
      </c>
      <c r="CN332" s="45">
        <f t="shared" si="175"/>
        <v>6.4999999999999997E-3</v>
      </c>
      <c r="CO332" s="45">
        <f t="shared" si="175"/>
        <v>3.8960000000000002E-3</v>
      </c>
      <c r="CP332" s="45">
        <f t="shared" si="175"/>
        <v>2.8170000000000001E-3</v>
      </c>
      <c r="CQ332" s="45">
        <f t="shared" si="175"/>
        <v>0</v>
      </c>
      <c r="CR332" s="45">
        <f t="shared" si="175"/>
        <v>2.1320000000000002E-3</v>
      </c>
      <c r="CS332" s="45">
        <f t="shared" si="175"/>
        <v>0</v>
      </c>
      <c r="CT332" s="45">
        <f t="shared" si="175"/>
        <v>0</v>
      </c>
      <c r="CU332" s="45">
        <f t="shared" si="175"/>
        <v>1.0333999999999999E-2</v>
      </c>
      <c r="CV332" s="45">
        <f t="shared" si="175"/>
        <v>6.9560000000000004E-3</v>
      </c>
      <c r="CW332" s="45">
        <f t="shared" si="175"/>
        <v>0</v>
      </c>
      <c r="CX332" s="45">
        <f t="shared" si="175"/>
        <v>0</v>
      </c>
      <c r="CY332" s="45">
        <f t="shared" si="175"/>
        <v>0</v>
      </c>
      <c r="CZ332" s="45">
        <f t="shared" si="175"/>
        <v>1.9449999999999999E-3</v>
      </c>
      <c r="DA332" s="45">
        <f t="shared" si="175"/>
        <v>0</v>
      </c>
      <c r="DB332" s="45">
        <f t="shared" si="175"/>
        <v>0</v>
      </c>
      <c r="DC332" s="45">
        <f t="shared" si="175"/>
        <v>7.2379999999999996E-3</v>
      </c>
      <c r="DD332" s="45">
        <f t="shared" si="175"/>
        <v>0</v>
      </c>
      <c r="DE332" s="45">
        <f t="shared" si="175"/>
        <v>2.026E-3</v>
      </c>
      <c r="DF332" s="45">
        <f t="shared" si="175"/>
        <v>5.4819999999999999E-3</v>
      </c>
      <c r="DG332" s="45">
        <f t="shared" si="175"/>
        <v>1.0629999999999999E-3</v>
      </c>
      <c r="DH332" s="45">
        <f t="shared" si="175"/>
        <v>4.7089999999999996E-3</v>
      </c>
      <c r="DI332" s="45">
        <f t="shared" si="175"/>
        <v>0</v>
      </c>
      <c r="DJ332" s="45">
        <f t="shared" si="175"/>
        <v>5.6769999999999998E-3</v>
      </c>
      <c r="DK332" s="45">
        <f t="shared" si="175"/>
        <v>5.1549999999999999E-3</v>
      </c>
      <c r="DL332" s="45">
        <f t="shared" si="175"/>
        <v>0</v>
      </c>
      <c r="DM332" s="45">
        <f t="shared" si="175"/>
        <v>8.9250000000000006E-3</v>
      </c>
      <c r="DN332" s="45">
        <f t="shared" si="175"/>
        <v>1.4170000000000001E-3</v>
      </c>
      <c r="DO332" s="45">
        <f t="shared" si="175"/>
        <v>1.4339999999999999E-3</v>
      </c>
      <c r="DP332" s="45">
        <f t="shared" si="175"/>
        <v>0</v>
      </c>
      <c r="DQ332" s="45">
        <f t="shared" si="175"/>
        <v>0</v>
      </c>
      <c r="DR332" s="45">
        <f t="shared" si="175"/>
        <v>0</v>
      </c>
      <c r="DS332" s="45">
        <f t="shared" si="175"/>
        <v>0</v>
      </c>
      <c r="DT332" s="45">
        <f t="shared" si="175"/>
        <v>0</v>
      </c>
      <c r="DU332" s="45">
        <f t="shared" si="175"/>
        <v>0</v>
      </c>
      <c r="DV332" s="45">
        <f t="shared" si="175"/>
        <v>0</v>
      </c>
      <c r="DW332" s="45">
        <f t="shared" si="175"/>
        <v>6.5300000000000004E-4</v>
      </c>
      <c r="DX332" s="45">
        <f t="shared" si="175"/>
        <v>1.3270000000000001E-3</v>
      </c>
      <c r="DY332" s="45">
        <f t="shared" si="175"/>
        <v>2.3180000000000002E-3</v>
      </c>
      <c r="DZ332" s="45">
        <f t="shared" si="175"/>
        <v>2.1299999999999999E-3</v>
      </c>
      <c r="EA332" s="45">
        <f t="shared" si="175"/>
        <v>3.1500000000000001E-4</v>
      </c>
      <c r="EB332" s="45">
        <f t="shared" si="175"/>
        <v>4.8640000000000003E-3</v>
      </c>
      <c r="EC332" s="45">
        <f t="shared" si="175"/>
        <v>0</v>
      </c>
      <c r="ED332" s="45">
        <f t="shared" si="175"/>
        <v>6.6799999999999997E-4</v>
      </c>
      <c r="EE332" s="45">
        <f t="shared" si="175"/>
        <v>0</v>
      </c>
      <c r="EF332" s="45">
        <f t="shared" si="175"/>
        <v>0</v>
      </c>
      <c r="EG332" s="45">
        <f t="shared" si="175"/>
        <v>0</v>
      </c>
      <c r="EH332" s="45">
        <f t="shared" si="175"/>
        <v>0</v>
      </c>
      <c r="EI332" s="45">
        <f t="shared" si="175"/>
        <v>0</v>
      </c>
      <c r="EJ332" s="45">
        <f t="shared" si="175"/>
        <v>0</v>
      </c>
      <c r="EK332" s="45">
        <f t="shared" si="175"/>
        <v>6.7100000000000005E-4</v>
      </c>
      <c r="EL332" s="45">
        <f t="shared" si="175"/>
        <v>0</v>
      </c>
      <c r="EM332" s="45">
        <f t="shared" si="175"/>
        <v>6.169E-3</v>
      </c>
      <c r="EN332" s="45">
        <f t="shared" si="175"/>
        <v>2.274E-3</v>
      </c>
      <c r="EO332" s="45">
        <f t="shared" si="175"/>
        <v>1.58E-3</v>
      </c>
      <c r="EP332" s="45">
        <f t="shared" si="175"/>
        <v>5.8259999999999996E-3</v>
      </c>
      <c r="EQ332" s="45">
        <f t="shared" si="175"/>
        <v>8.0599999999999997E-4</v>
      </c>
      <c r="ER332" s="45">
        <f t="shared" si="175"/>
        <v>6.1520000000000004E-3</v>
      </c>
      <c r="ES332" s="45">
        <f t="shared" si="175"/>
        <v>0</v>
      </c>
      <c r="ET332" s="45">
        <f t="shared" si="175"/>
        <v>2.9229999999999998E-3</v>
      </c>
      <c r="EU332" s="45">
        <f t="shared" si="175"/>
        <v>0</v>
      </c>
      <c r="EV332" s="45">
        <f t="shared" si="175"/>
        <v>0</v>
      </c>
      <c r="EW332" s="45">
        <f t="shared" si="175"/>
        <v>1.3780000000000001E-3</v>
      </c>
      <c r="EX332" s="45">
        <f t="shared" si="175"/>
        <v>6.8139999999999997E-3</v>
      </c>
      <c r="EY332" s="45">
        <f t="shared" si="175"/>
        <v>0</v>
      </c>
      <c r="EZ332" s="45">
        <f t="shared" si="175"/>
        <v>0</v>
      </c>
      <c r="FA332" s="45">
        <f t="shared" si="175"/>
        <v>1.225E-3</v>
      </c>
      <c r="FB332" s="45">
        <f t="shared" si="175"/>
        <v>1.189E-3</v>
      </c>
      <c r="FC332" s="45">
        <f t="shared" si="175"/>
        <v>2.3080000000000002E-3</v>
      </c>
      <c r="FD332" s="45">
        <f t="shared" si="175"/>
        <v>0</v>
      </c>
      <c r="FE332" s="45">
        <f t="shared" si="175"/>
        <v>7.404E-3</v>
      </c>
      <c r="FF332" s="45">
        <f t="shared" si="175"/>
        <v>0</v>
      </c>
      <c r="FG332" s="45">
        <f t="shared" si="175"/>
        <v>0</v>
      </c>
      <c r="FH332" s="45">
        <f t="shared" si="175"/>
        <v>4.1000000000000003E-3</v>
      </c>
      <c r="FI332" s="45">
        <f t="shared" si="175"/>
        <v>2.7360000000000002E-3</v>
      </c>
      <c r="FJ332" s="45">
        <f t="shared" si="175"/>
        <v>1.2080000000000001E-3</v>
      </c>
      <c r="FK332" s="45">
        <f t="shared" si="175"/>
        <v>2.078E-3</v>
      </c>
      <c r="FL332" s="45">
        <f t="shared" si="175"/>
        <v>1.1299999999999999E-3</v>
      </c>
      <c r="FM332" s="45">
        <f t="shared" si="175"/>
        <v>4.2299999999999998E-4</v>
      </c>
      <c r="FN332" s="45">
        <f t="shared" si="175"/>
        <v>0</v>
      </c>
      <c r="FO332" s="45">
        <f t="shared" si="175"/>
        <v>6.11E-4</v>
      </c>
      <c r="FP332" s="45">
        <f t="shared" si="175"/>
        <v>1.7340000000000001E-3</v>
      </c>
      <c r="FQ332" s="45">
        <f t="shared" si="175"/>
        <v>1.6659999999999999E-3</v>
      </c>
      <c r="FR332" s="45">
        <f t="shared" si="175"/>
        <v>8.7000000000000001E-4</v>
      </c>
      <c r="FS332" s="45">
        <f t="shared" si="175"/>
        <v>1.6899999999999999E-4</v>
      </c>
      <c r="FT332" s="45">
        <f t="shared" si="175"/>
        <v>2.8299999999999999E-4</v>
      </c>
      <c r="FU332" s="45">
        <f t="shared" si="175"/>
        <v>6.8999999999999999E-3</v>
      </c>
      <c r="FV332" s="45">
        <f t="shared" si="175"/>
        <v>2.771E-3</v>
      </c>
      <c r="FW332" s="45">
        <f t="shared" si="175"/>
        <v>0</v>
      </c>
      <c r="FX332" s="45">
        <f t="shared" si="175"/>
        <v>1.6601999999999999E-2</v>
      </c>
      <c r="FY332" s="45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</row>
    <row r="333" spans="1:193" ht="15.5" x14ac:dyDescent="0.35">
      <c r="A333" s="7"/>
      <c r="B333" s="7" t="s">
        <v>1098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</row>
    <row r="334" spans="1:193" ht="15.5" x14ac:dyDescent="0.35">
      <c r="A334" s="12" t="s">
        <v>1099</v>
      </c>
      <c r="B334" s="7" t="s">
        <v>1100</v>
      </c>
      <c r="C334" s="45">
        <f t="shared" ref="C334:FX334" ca="1" si="176">SUM(C326:C332)</f>
        <v>3.0927E-2</v>
      </c>
      <c r="D334" s="45">
        <f t="shared" ca="1" si="176"/>
        <v>4.1082E-2</v>
      </c>
      <c r="E334" s="45">
        <f t="shared" ca="1" si="176"/>
        <v>3.0995000000000002E-2</v>
      </c>
      <c r="F334" s="45">
        <f t="shared" ca="1" si="176"/>
        <v>2.7227000000000001E-2</v>
      </c>
      <c r="G334" s="45">
        <f t="shared" ca="1" si="176"/>
        <v>2.7355999999999998E-2</v>
      </c>
      <c r="H334" s="45">
        <f t="shared" ca="1" si="176"/>
        <v>2.9059999999999999E-2</v>
      </c>
      <c r="I334" s="45">
        <f t="shared" ca="1" si="176"/>
        <v>3.4074E-2</v>
      </c>
      <c r="J334" s="45">
        <f t="shared" ca="1" si="176"/>
        <v>2.7E-2</v>
      </c>
      <c r="K334" s="45">
        <f t="shared" ca="1" si="176"/>
        <v>2.7E-2</v>
      </c>
      <c r="L334" s="45">
        <f t="shared" ca="1" si="176"/>
        <v>3.2113000000000003E-2</v>
      </c>
      <c r="M334" s="45">
        <f t="shared" ca="1" si="176"/>
        <v>2.9000999999999902E-2</v>
      </c>
      <c r="N334" s="45">
        <f t="shared" ca="1" si="176"/>
        <v>2.7576999999999997E-2</v>
      </c>
      <c r="O334" s="45">
        <f t="shared" ca="1" si="176"/>
        <v>3.7545000000000002E-2</v>
      </c>
      <c r="P334" s="45">
        <f t="shared" ca="1" si="176"/>
        <v>2.7113999999999999E-2</v>
      </c>
      <c r="Q334" s="45">
        <f t="shared" ca="1" si="176"/>
        <v>3.3479000000000002E-2</v>
      </c>
      <c r="R334" s="45">
        <f t="shared" ca="1" si="176"/>
        <v>2.7E-2</v>
      </c>
      <c r="S334" s="45">
        <f t="shared" ca="1" si="176"/>
        <v>2.6013999999999999E-2</v>
      </c>
      <c r="T334" s="45">
        <f t="shared" ca="1" si="176"/>
        <v>2.4301E-2</v>
      </c>
      <c r="U334" s="45">
        <f t="shared" ca="1" si="176"/>
        <v>2.7018999999999998E-2</v>
      </c>
      <c r="V334" s="45">
        <f t="shared" ca="1" si="176"/>
        <v>2.7E-2</v>
      </c>
      <c r="W334" s="45">
        <f t="shared" ca="1" si="176"/>
        <v>2.7E-2</v>
      </c>
      <c r="X334" s="45">
        <f t="shared" ca="1" si="176"/>
        <v>2.3882E-2</v>
      </c>
      <c r="Y334" s="45">
        <f t="shared" ca="1" si="176"/>
        <v>2.4497999999999999E-2</v>
      </c>
      <c r="Z334" s="45">
        <f t="shared" ca="1" si="176"/>
        <v>2.8108999999999999E-2</v>
      </c>
      <c r="AA334" s="45">
        <f t="shared" ca="1" si="176"/>
        <v>3.1753000000000003E-2</v>
      </c>
      <c r="AB334" s="45">
        <f t="shared" ca="1" si="176"/>
        <v>3.4171E-2</v>
      </c>
      <c r="AC334" s="45">
        <f t="shared" ca="1" si="176"/>
        <v>2.5252E-2</v>
      </c>
      <c r="AD334" s="45">
        <f t="shared" ca="1" si="176"/>
        <v>2.4562999999999998E-2</v>
      </c>
      <c r="AE334" s="45">
        <f t="shared" ca="1" si="176"/>
        <v>1.9014E-2</v>
      </c>
      <c r="AF334" s="45">
        <f t="shared" ca="1" si="176"/>
        <v>1.389E-2</v>
      </c>
      <c r="AG334" s="45">
        <f t="shared" ca="1" si="176"/>
        <v>1.7277000000000001E-2</v>
      </c>
      <c r="AH334" s="45">
        <f t="shared" ca="1" si="176"/>
        <v>2.6111000000000002E-2</v>
      </c>
      <c r="AI334" s="45">
        <f t="shared" ca="1" si="176"/>
        <v>2.7E-2</v>
      </c>
      <c r="AJ334" s="45">
        <f t="shared" ca="1" si="176"/>
        <v>2.3788E-2</v>
      </c>
      <c r="AK334" s="45">
        <f t="shared" ca="1" si="176"/>
        <v>2.128E-2</v>
      </c>
      <c r="AL334" s="45">
        <f t="shared" ca="1" si="176"/>
        <v>3.0550000000000001E-2</v>
      </c>
      <c r="AM334" s="45">
        <f t="shared" ca="1" si="176"/>
        <v>2.1448999999999999E-2</v>
      </c>
      <c r="AN334" s="45">
        <f t="shared" ca="1" si="176"/>
        <v>2.5692E-2</v>
      </c>
      <c r="AO334" s="45">
        <f t="shared" ca="1" si="176"/>
        <v>2.7E-2</v>
      </c>
      <c r="AP334" s="45">
        <f t="shared" ca="1" si="176"/>
        <v>3.2204999999999998E-2</v>
      </c>
      <c r="AQ334" s="45">
        <f t="shared" ca="1" si="176"/>
        <v>1.8685E-2</v>
      </c>
      <c r="AR334" s="45">
        <f t="shared" ca="1" si="176"/>
        <v>3.3845E-2</v>
      </c>
      <c r="AS334" s="45">
        <f t="shared" ca="1" si="176"/>
        <v>1.3793999999999999E-2</v>
      </c>
      <c r="AT334" s="45">
        <f t="shared" ca="1" si="176"/>
        <v>2.7E-2</v>
      </c>
      <c r="AU334" s="45">
        <f t="shared" ca="1" si="176"/>
        <v>2.4187999999999901E-2</v>
      </c>
      <c r="AV334" s="45">
        <f t="shared" ca="1" si="176"/>
        <v>2.7E-2</v>
      </c>
      <c r="AW334" s="45">
        <f t="shared" ca="1" si="176"/>
        <v>2.4431000000000001E-2</v>
      </c>
      <c r="AX334" s="45">
        <f t="shared" ca="1" si="176"/>
        <v>2.1797999999999901E-2</v>
      </c>
      <c r="AY334" s="45">
        <f t="shared" ca="1" si="176"/>
        <v>2.7E-2</v>
      </c>
      <c r="AZ334" s="45">
        <f t="shared" ca="1" si="176"/>
        <v>2.0878000000000001E-2</v>
      </c>
      <c r="BA334" s="45">
        <f t="shared" ca="1" si="176"/>
        <v>3.0946999999999902E-2</v>
      </c>
      <c r="BB334" s="45">
        <f t="shared" ca="1" si="176"/>
        <v>2.7111E-2</v>
      </c>
      <c r="BC334" s="45">
        <f t="shared" ca="1" si="176"/>
        <v>3.5879000000000001E-2</v>
      </c>
      <c r="BD334" s="45">
        <f t="shared" ca="1" si="176"/>
        <v>3.517E-2</v>
      </c>
      <c r="BE334" s="45">
        <f t="shared" ca="1" si="176"/>
        <v>3.6061999999999997E-2</v>
      </c>
      <c r="BF334" s="45">
        <f t="shared" ca="1" si="176"/>
        <v>3.5789000000000001E-2</v>
      </c>
      <c r="BG334" s="45">
        <f t="shared" ca="1" si="176"/>
        <v>2.7E-2</v>
      </c>
      <c r="BH334" s="45">
        <f t="shared" ca="1" si="176"/>
        <v>2.6419000000000002E-2</v>
      </c>
      <c r="BI334" s="45">
        <f t="shared" ca="1" si="176"/>
        <v>1.3433E-2</v>
      </c>
      <c r="BJ334" s="45">
        <f t="shared" ca="1" si="176"/>
        <v>3.0877999999999999E-2</v>
      </c>
      <c r="BK334" s="45">
        <f t="shared" ca="1" si="176"/>
        <v>3.0744E-2</v>
      </c>
      <c r="BL334" s="45">
        <f t="shared" ca="1" si="176"/>
        <v>2.7E-2</v>
      </c>
      <c r="BM334" s="45">
        <f t="shared" ca="1" si="176"/>
        <v>2.6758000000000001E-2</v>
      </c>
      <c r="BN334" s="45">
        <f t="shared" ca="1" si="176"/>
        <v>2.7E-2</v>
      </c>
      <c r="BO334" s="45">
        <f t="shared" ca="1" si="176"/>
        <v>2.1831999999999997E-2</v>
      </c>
      <c r="BP334" s="45">
        <f t="shared" ca="1" si="176"/>
        <v>2.6702E-2</v>
      </c>
      <c r="BQ334" s="45">
        <f t="shared" ca="1" si="176"/>
        <v>3.0846000000000002E-2</v>
      </c>
      <c r="BR334" s="45">
        <f t="shared" ca="1" si="176"/>
        <v>1.3240999999999989E-2</v>
      </c>
      <c r="BS334" s="45">
        <f t="shared" ca="1" si="176"/>
        <v>6.7309999999999991E-3</v>
      </c>
      <c r="BT334" s="45">
        <f t="shared" ca="1" si="176"/>
        <v>8.763E-3</v>
      </c>
      <c r="BU334" s="45">
        <f t="shared" ca="1" si="176"/>
        <v>2.0029999999999999E-2</v>
      </c>
      <c r="BV334" s="45">
        <f t="shared" ca="1" si="176"/>
        <v>1.1342999999999999E-2</v>
      </c>
      <c r="BW334" s="45">
        <f t="shared" ca="1" si="176"/>
        <v>1.8945E-2</v>
      </c>
      <c r="BX334" s="45">
        <f t="shared" ca="1" si="176"/>
        <v>1.9067000000000001E-2</v>
      </c>
      <c r="BY334" s="45">
        <f t="shared" ca="1" si="176"/>
        <v>2.7E-2</v>
      </c>
      <c r="BZ334" s="45">
        <f t="shared" ca="1" si="176"/>
        <v>2.7E-2</v>
      </c>
      <c r="CA334" s="45">
        <f t="shared" ca="1" si="176"/>
        <v>2.3040999999999999E-2</v>
      </c>
      <c r="CB334" s="45">
        <f t="shared" ca="1" si="176"/>
        <v>3.4671E-2</v>
      </c>
      <c r="CC334" s="45">
        <f t="shared" ca="1" si="176"/>
        <v>2.7E-2</v>
      </c>
      <c r="CD334" s="45">
        <f t="shared" ca="1" si="176"/>
        <v>2.7771000000000001E-2</v>
      </c>
      <c r="CE334" s="45">
        <f t="shared" ca="1" si="176"/>
        <v>2.7E-2</v>
      </c>
      <c r="CF334" s="45">
        <f t="shared" ca="1" si="176"/>
        <v>2.8656999999999901E-2</v>
      </c>
      <c r="CG334" s="45">
        <f t="shared" ca="1" si="176"/>
        <v>3.1557000000000002E-2</v>
      </c>
      <c r="CH334" s="45">
        <f t="shared" ca="1" si="176"/>
        <v>2.7E-2</v>
      </c>
      <c r="CI334" s="45">
        <f t="shared" ca="1" si="176"/>
        <v>2.9145999999999998E-2</v>
      </c>
      <c r="CJ334" s="45">
        <f t="shared" ca="1" si="176"/>
        <v>2.8024E-2</v>
      </c>
      <c r="CK334" s="45">
        <f t="shared" ca="1" si="176"/>
        <v>1.6306000000000001E-2</v>
      </c>
      <c r="CL334" s="45">
        <f t="shared" ca="1" si="176"/>
        <v>2.0736999999999998E-2</v>
      </c>
      <c r="CM334" s="45">
        <f t="shared" ca="1" si="176"/>
        <v>1.1065E-2</v>
      </c>
      <c r="CN334" s="45">
        <f t="shared" ca="1" si="176"/>
        <v>3.3500000000000002E-2</v>
      </c>
      <c r="CO334" s="45">
        <f t="shared" ca="1" si="176"/>
        <v>3.0896E-2</v>
      </c>
      <c r="CP334" s="45">
        <f t="shared" ca="1" si="176"/>
        <v>2.0278000000000001E-2</v>
      </c>
      <c r="CQ334" s="45">
        <f t="shared" ca="1" si="176"/>
        <v>1.7426999999999901E-2</v>
      </c>
      <c r="CR334" s="45">
        <f t="shared" ca="1" si="176"/>
        <v>6.7800000000000004E-3</v>
      </c>
      <c r="CS334" s="45">
        <f t="shared" ca="1" si="176"/>
        <v>2.7E-2</v>
      </c>
      <c r="CT334" s="45">
        <f t="shared" ca="1" si="176"/>
        <v>1.3969999999999901E-2</v>
      </c>
      <c r="CU334" s="45">
        <f t="shared" ca="1" si="176"/>
        <v>3.4949999999999995E-2</v>
      </c>
      <c r="CV334" s="45">
        <f t="shared" ca="1" si="176"/>
        <v>2.4083E-2</v>
      </c>
      <c r="CW334" s="45">
        <f t="shared" ca="1" si="176"/>
        <v>1.7378999999999999E-2</v>
      </c>
      <c r="CX334" s="45">
        <f t="shared" ca="1" si="176"/>
        <v>2.6824000000000001E-2</v>
      </c>
      <c r="CY334" s="45">
        <f t="shared" ca="1" si="176"/>
        <v>2.7E-2</v>
      </c>
      <c r="CZ334" s="45">
        <f t="shared" ca="1" si="176"/>
        <v>2.8944999999999999E-2</v>
      </c>
      <c r="DA334" s="45">
        <f t="shared" ca="1" si="176"/>
        <v>2.7383000000000001E-2</v>
      </c>
      <c r="DB334" s="45">
        <f t="shared" ca="1" si="176"/>
        <v>2.7E-2</v>
      </c>
      <c r="DC334" s="45">
        <f t="shared" ca="1" si="176"/>
        <v>3.0249999999999999E-2</v>
      </c>
      <c r="DD334" s="45">
        <f t="shared" ca="1" si="176"/>
        <v>3.4479999999999997E-3</v>
      </c>
      <c r="DE334" s="45">
        <f t="shared" ca="1" si="176"/>
        <v>1.3920999999999999E-2</v>
      </c>
      <c r="DF334" s="45">
        <f t="shared" ca="1" si="176"/>
        <v>3.2481999999999997E-2</v>
      </c>
      <c r="DG334" s="45">
        <f t="shared" ca="1" si="176"/>
        <v>2.6516000000000001E-2</v>
      </c>
      <c r="DH334" s="45">
        <f t="shared" ca="1" si="176"/>
        <v>3.09139999999999E-2</v>
      </c>
      <c r="DI334" s="45">
        <f t="shared" ca="1" si="176"/>
        <v>2.3844999999999901E-2</v>
      </c>
      <c r="DJ334" s="45">
        <f t="shared" ca="1" si="176"/>
        <v>3.1559999999999998E-2</v>
      </c>
      <c r="DK334" s="45">
        <f t="shared" ca="1" si="176"/>
        <v>2.5812999999999999E-2</v>
      </c>
      <c r="DL334" s="45">
        <f t="shared" ca="1" si="176"/>
        <v>2.6966999999999901E-2</v>
      </c>
      <c r="DM334" s="45">
        <f t="shared" ca="1" si="176"/>
        <v>3.3824E-2</v>
      </c>
      <c r="DN334" s="45">
        <f t="shared" ca="1" si="176"/>
        <v>2.8417000000000001E-2</v>
      </c>
      <c r="DO334" s="45">
        <f t="shared" ca="1" si="176"/>
        <v>2.8434000000000001E-2</v>
      </c>
      <c r="DP334" s="45">
        <f t="shared" ca="1" si="176"/>
        <v>2.7282999999999998E-2</v>
      </c>
      <c r="DQ334" s="45">
        <f t="shared" ca="1" si="176"/>
        <v>2.2142000000000002E-2</v>
      </c>
      <c r="DR334" s="45">
        <f t="shared" ca="1" si="176"/>
        <v>2.7E-2</v>
      </c>
      <c r="DS334" s="45">
        <f t="shared" ca="1" si="176"/>
        <v>2.7E-2</v>
      </c>
      <c r="DT334" s="45">
        <f t="shared" ca="1" si="176"/>
        <v>2.6728999999999999E-2</v>
      </c>
      <c r="DU334" s="45">
        <f t="shared" ca="1" si="176"/>
        <v>2.7E-2</v>
      </c>
      <c r="DV334" s="45">
        <f t="shared" ca="1" si="176"/>
        <v>2.7E-2</v>
      </c>
      <c r="DW334" s="45">
        <f t="shared" ca="1" si="176"/>
        <v>2.7650000000000001E-2</v>
      </c>
      <c r="DX334" s="45">
        <f t="shared" ca="1" si="176"/>
        <v>2.5258000000000003E-2</v>
      </c>
      <c r="DY334" s="45">
        <f t="shared" ca="1" si="176"/>
        <v>2.0246E-2</v>
      </c>
      <c r="DZ334" s="45">
        <f t="shared" ca="1" si="176"/>
        <v>2.4791999999999901E-2</v>
      </c>
      <c r="EA334" s="45">
        <f t="shared" ca="1" si="176"/>
        <v>1.2087999999999998E-2</v>
      </c>
      <c r="EB334" s="45">
        <f t="shared" ca="1" si="176"/>
        <v>3.1864000000000003E-2</v>
      </c>
      <c r="EC334" s="45">
        <f t="shared" ca="1" si="176"/>
        <v>2.7E-2</v>
      </c>
      <c r="ED334" s="45">
        <f t="shared" ca="1" si="176"/>
        <v>4.8729999999999997E-3</v>
      </c>
      <c r="EE334" s="45">
        <f t="shared" ca="1" si="176"/>
        <v>2.7E-2</v>
      </c>
      <c r="EF334" s="45">
        <f t="shared" ca="1" si="176"/>
        <v>2.4594999999999999E-2</v>
      </c>
      <c r="EG334" s="45">
        <f t="shared" ca="1" si="176"/>
        <v>2.7E-2</v>
      </c>
      <c r="EH334" s="45">
        <f t="shared" ca="1" si="176"/>
        <v>2.7E-2</v>
      </c>
      <c r="EI334" s="45">
        <f t="shared" ca="1" si="176"/>
        <v>2.7E-2</v>
      </c>
      <c r="EJ334" s="45">
        <f t="shared" ca="1" si="176"/>
        <v>2.7E-2</v>
      </c>
      <c r="EK334" s="45">
        <f t="shared" ca="1" si="176"/>
        <v>6.4380000000000001E-3</v>
      </c>
      <c r="EL334" s="45">
        <f t="shared" ca="1" si="176"/>
        <v>8.4650000000000003E-3</v>
      </c>
      <c r="EM334" s="45">
        <f t="shared" ca="1" si="176"/>
        <v>2.7477000000000001E-2</v>
      </c>
      <c r="EN334" s="45">
        <f t="shared" ca="1" si="176"/>
        <v>2.9274000000000001E-2</v>
      </c>
      <c r="EO334" s="45">
        <f t="shared" ca="1" si="176"/>
        <v>2.8580000000000001E-2</v>
      </c>
      <c r="EP334" s="45">
        <f t="shared" ca="1" si="176"/>
        <v>3.1411999999999898E-2</v>
      </c>
      <c r="EQ334" s="45">
        <f t="shared" ca="1" si="176"/>
        <v>6.9440000000000005E-3</v>
      </c>
      <c r="ER334" s="45">
        <f t="shared" ca="1" si="176"/>
        <v>2.7435000000000001E-2</v>
      </c>
      <c r="ES334" s="45">
        <f t="shared" ca="1" si="176"/>
        <v>2.7E-2</v>
      </c>
      <c r="ET334" s="45">
        <f t="shared" ca="1" si="176"/>
        <v>2.9922999999999998E-2</v>
      </c>
      <c r="EU334" s="45">
        <f t="shared" ca="1" si="176"/>
        <v>2.7E-2</v>
      </c>
      <c r="EV334" s="45">
        <f t="shared" ca="1" si="176"/>
        <v>1.525E-2</v>
      </c>
      <c r="EW334" s="45">
        <f t="shared" ca="1" si="176"/>
        <v>8.6589999999999896E-3</v>
      </c>
      <c r="EX334" s="45">
        <f t="shared" ca="1" si="176"/>
        <v>1.5723999999999998E-2</v>
      </c>
      <c r="EY334" s="45">
        <f t="shared" ca="1" si="176"/>
        <v>2.7E-2</v>
      </c>
      <c r="EZ334" s="45">
        <f t="shared" ca="1" si="176"/>
        <v>2.946E-2</v>
      </c>
      <c r="FA334" s="45">
        <f t="shared" ca="1" si="176"/>
        <v>1.2277E-2</v>
      </c>
      <c r="FB334" s="45">
        <f t="shared" ca="1" si="176"/>
        <v>1.0534999999999999E-2</v>
      </c>
      <c r="FC334" s="45">
        <f t="shared" ca="1" si="176"/>
        <v>2.9308000000000001E-2</v>
      </c>
      <c r="FD334" s="45">
        <f t="shared" ca="1" si="176"/>
        <v>2.7E-2</v>
      </c>
      <c r="FE334" s="45">
        <f t="shared" ca="1" si="176"/>
        <v>2.6817000000000001E-2</v>
      </c>
      <c r="FF334" s="45">
        <f t="shared" ca="1" si="176"/>
        <v>2.7E-2</v>
      </c>
      <c r="FG334" s="45">
        <f t="shared" ca="1" si="176"/>
        <v>2.7E-2</v>
      </c>
      <c r="FH334" s="45">
        <f t="shared" ca="1" si="176"/>
        <v>3.0907999999999998E-2</v>
      </c>
      <c r="FI334" s="45">
        <f t="shared" ca="1" si="176"/>
        <v>1.2375000000000001E-2</v>
      </c>
      <c r="FJ334" s="45">
        <f t="shared" ca="1" si="176"/>
        <v>2.3415999999999999E-2</v>
      </c>
      <c r="FK334" s="45">
        <f t="shared" ca="1" si="176"/>
        <v>1.2944000000000001E-2</v>
      </c>
      <c r="FL334" s="45">
        <f t="shared" ca="1" si="176"/>
        <v>2.8129999999999999E-2</v>
      </c>
      <c r="FM334" s="45">
        <f t="shared" ca="1" si="176"/>
        <v>2.3837000000000001E-2</v>
      </c>
      <c r="FN334" s="45">
        <f t="shared" ca="1" si="176"/>
        <v>2.7E-2</v>
      </c>
      <c r="FO334" s="45">
        <f t="shared" ca="1" si="176"/>
        <v>4.7899999999999991E-3</v>
      </c>
      <c r="FP334" s="45">
        <f t="shared" ca="1" si="176"/>
        <v>1.3876999999999999E-2</v>
      </c>
      <c r="FQ334" s="45">
        <f t="shared" ca="1" si="176"/>
        <v>2.3546000000000001E-2</v>
      </c>
      <c r="FR334" s="45">
        <f t="shared" ca="1" si="176"/>
        <v>6.6509999999999998E-3</v>
      </c>
      <c r="FS334" s="45">
        <f t="shared" ca="1" si="176"/>
        <v>5.2369999999999995E-3</v>
      </c>
      <c r="FT334" s="45">
        <f t="shared" ca="1" si="176"/>
        <v>3.4379999999999997E-3</v>
      </c>
      <c r="FU334" s="45">
        <f t="shared" ca="1" si="176"/>
        <v>3.02449999999999E-2</v>
      </c>
      <c r="FV334" s="45">
        <f t="shared" ca="1" si="176"/>
        <v>2.2803E-2</v>
      </c>
      <c r="FW334" s="45">
        <f t="shared" ca="1" si="176"/>
        <v>2.6498000000000001E-2</v>
      </c>
      <c r="FX334" s="45">
        <f t="shared" ca="1" si="176"/>
        <v>4.1276999999999994E-2</v>
      </c>
      <c r="FY334" s="45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</row>
    <row r="335" spans="1:193" ht="15.5" x14ac:dyDescent="0.35">
      <c r="A335" s="7"/>
      <c r="B335" s="7" t="s">
        <v>1101</v>
      </c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</row>
    <row r="336" spans="1:193" ht="15.5" x14ac:dyDescent="0.3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</row>
    <row r="337" spans="1:193" ht="15.5" x14ac:dyDescent="0.35">
      <c r="A337" s="12" t="s">
        <v>1102</v>
      </c>
      <c r="B337" s="7" t="s">
        <v>1103</v>
      </c>
      <c r="C337" s="23">
        <f t="shared" ref="C337:FX337" ca="1" si="177">ROUND(IF(AND(C103&gt;459,C139&gt;C19),MIN(C224,(C199/459)*(C96)),C224),2)</f>
        <v>76263176.069999993</v>
      </c>
      <c r="D337" s="23">
        <f t="shared" ca="1" si="177"/>
        <v>435911433.39999998</v>
      </c>
      <c r="E337" s="23">
        <f t="shared" ca="1" si="177"/>
        <v>70074906.290000007</v>
      </c>
      <c r="F337" s="23">
        <f t="shared" ca="1" si="177"/>
        <v>255720591.53</v>
      </c>
      <c r="G337" s="23">
        <f t="shared" ca="1" si="177"/>
        <v>21577008.530000001</v>
      </c>
      <c r="H337" s="23">
        <f t="shared" ca="1" si="177"/>
        <v>13115815.15</v>
      </c>
      <c r="I337" s="23">
        <f t="shared" ca="1" si="177"/>
        <v>97190451.390000001</v>
      </c>
      <c r="J337" s="23">
        <f t="shared" ca="1" si="177"/>
        <v>23938740.010000002</v>
      </c>
      <c r="K337" s="23">
        <f t="shared" ca="1" si="177"/>
        <v>4187501.67</v>
      </c>
      <c r="L337" s="23">
        <f t="shared" ca="1" si="177"/>
        <v>25838316.68</v>
      </c>
      <c r="M337" s="23">
        <f t="shared" ca="1" si="177"/>
        <v>12672231.09</v>
      </c>
      <c r="N337" s="23">
        <f t="shared" ca="1" si="177"/>
        <v>585385840.03999996</v>
      </c>
      <c r="O337" s="23">
        <f t="shared" ca="1" si="177"/>
        <v>142638387.74000001</v>
      </c>
      <c r="P337" s="23">
        <f t="shared" ca="1" si="177"/>
        <v>5067080.96</v>
      </c>
      <c r="Q337" s="23">
        <f t="shared" ca="1" si="177"/>
        <v>485012987.30000001</v>
      </c>
      <c r="R337" s="23">
        <f t="shared" ca="1" si="177"/>
        <v>10290699.82</v>
      </c>
      <c r="S337" s="23">
        <f t="shared" ca="1" si="177"/>
        <v>18786883.260000002</v>
      </c>
      <c r="T337" s="23">
        <f t="shared" ca="1" si="177"/>
        <v>3218152.62</v>
      </c>
      <c r="U337" s="23">
        <f t="shared" ca="1" si="177"/>
        <v>1310288.68</v>
      </c>
      <c r="V337" s="23">
        <f t="shared" ca="1" si="177"/>
        <v>4192885.27</v>
      </c>
      <c r="W337" s="23">
        <f t="shared" ca="1" si="177"/>
        <v>1372973.76</v>
      </c>
      <c r="X337" s="23">
        <f t="shared" ca="1" si="177"/>
        <v>1162581.68</v>
      </c>
      <c r="Y337" s="23">
        <f t="shared" ca="1" si="177"/>
        <v>5772004.3799999999</v>
      </c>
      <c r="Z337" s="23">
        <f t="shared" ca="1" si="177"/>
        <v>3763052.34</v>
      </c>
      <c r="AA337" s="23">
        <f t="shared" ca="1" si="177"/>
        <v>346342612.81999999</v>
      </c>
      <c r="AB337" s="23">
        <f t="shared" ca="1" si="177"/>
        <v>308695466.5</v>
      </c>
      <c r="AC337" s="23">
        <f t="shared" ca="1" si="177"/>
        <v>10800027.880000001</v>
      </c>
      <c r="AD337" s="23">
        <f t="shared" ca="1" si="177"/>
        <v>16280132.66</v>
      </c>
      <c r="AE337" s="23">
        <f t="shared" ca="1" si="177"/>
        <v>2136512.41</v>
      </c>
      <c r="AF337" s="23">
        <f t="shared" ca="1" si="177"/>
        <v>3322558.02</v>
      </c>
      <c r="AG337" s="23">
        <f t="shared" ca="1" si="177"/>
        <v>7729319.6500000004</v>
      </c>
      <c r="AH337" s="23">
        <f t="shared" ca="1" si="177"/>
        <v>11289974.189999999</v>
      </c>
      <c r="AI337" s="23">
        <f t="shared" ca="1" si="177"/>
        <v>5289923.42</v>
      </c>
      <c r="AJ337" s="23">
        <f t="shared" ca="1" si="177"/>
        <v>3610904.49</v>
      </c>
      <c r="AK337" s="23">
        <f t="shared" ca="1" si="177"/>
        <v>3356942.92</v>
      </c>
      <c r="AL337" s="23">
        <f t="shared" ca="1" si="177"/>
        <v>4554133.47</v>
      </c>
      <c r="AM337" s="23">
        <f t="shared" ca="1" si="177"/>
        <v>5069335.8099999996</v>
      </c>
      <c r="AN337" s="23">
        <f t="shared" ca="1" si="177"/>
        <v>4628087.92</v>
      </c>
      <c r="AO337" s="23">
        <f t="shared" ca="1" si="177"/>
        <v>45751750.5</v>
      </c>
      <c r="AP337" s="23">
        <f t="shared" ca="1" si="177"/>
        <v>997021895.40999997</v>
      </c>
      <c r="AQ337" s="23">
        <f t="shared" ca="1" si="177"/>
        <v>4365971.78</v>
      </c>
      <c r="AR337" s="23">
        <f t="shared" ca="1" si="177"/>
        <v>678256104.21000004</v>
      </c>
      <c r="AS337" s="23">
        <f t="shared" ca="1" si="177"/>
        <v>78127618.739999995</v>
      </c>
      <c r="AT337" s="23">
        <f t="shared" ca="1" si="177"/>
        <v>27016105.550000001</v>
      </c>
      <c r="AU337" s="23">
        <f t="shared" ca="1" si="177"/>
        <v>4540294.0999999996</v>
      </c>
      <c r="AV337" s="23">
        <f t="shared" ca="1" si="177"/>
        <v>4969764.87</v>
      </c>
      <c r="AW337" s="23">
        <f t="shared" ca="1" si="177"/>
        <v>4355072.28</v>
      </c>
      <c r="AX337" s="23">
        <f t="shared" ca="1" si="177"/>
        <v>1948603.19</v>
      </c>
      <c r="AY337" s="23">
        <f t="shared" ca="1" si="177"/>
        <v>5819351.0499999998</v>
      </c>
      <c r="AZ337" s="23">
        <f t="shared" ca="1" si="177"/>
        <v>140630722.09999999</v>
      </c>
      <c r="BA337" s="23">
        <f t="shared" ca="1" si="177"/>
        <v>97800746.120000005</v>
      </c>
      <c r="BB337" s="23">
        <f t="shared" ca="1" si="177"/>
        <v>83589207.790000007</v>
      </c>
      <c r="BC337" s="23">
        <f t="shared" ca="1" si="177"/>
        <v>276027766.91000003</v>
      </c>
      <c r="BD337" s="23">
        <f t="shared" ca="1" si="177"/>
        <v>39744166.530000001</v>
      </c>
      <c r="BE337" s="23">
        <f t="shared" ca="1" si="177"/>
        <v>14208998.01</v>
      </c>
      <c r="BF337" s="23">
        <f t="shared" ca="1" si="177"/>
        <v>268731877.52999997</v>
      </c>
      <c r="BG337" s="23">
        <f t="shared" ca="1" si="177"/>
        <v>11476832.91</v>
      </c>
      <c r="BH337" s="23">
        <f t="shared" ca="1" si="177"/>
        <v>6965531.4299999997</v>
      </c>
      <c r="BI337" s="23">
        <f t="shared" ca="1" si="177"/>
        <v>4512168.3099999996</v>
      </c>
      <c r="BJ337" s="23">
        <f t="shared" ca="1" si="177"/>
        <v>69233089.260000005</v>
      </c>
      <c r="BK337" s="23">
        <f t="shared" ca="1" si="177"/>
        <v>251137489.12</v>
      </c>
      <c r="BL337" s="23">
        <f t="shared" ca="1" si="177"/>
        <v>1827433.86</v>
      </c>
      <c r="BM337" s="23">
        <f t="shared" ca="1" si="177"/>
        <v>5119514.99</v>
      </c>
      <c r="BN337" s="23">
        <f t="shared" ca="1" si="177"/>
        <v>34220424.119999997</v>
      </c>
      <c r="BO337" s="23">
        <f t="shared" ca="1" si="177"/>
        <v>14449489.970000001</v>
      </c>
      <c r="BP337" s="23">
        <f t="shared" ca="1" si="177"/>
        <v>3240996.86</v>
      </c>
      <c r="BQ337" s="23">
        <f t="shared" ca="1" si="177"/>
        <v>71052500.959999993</v>
      </c>
      <c r="BR337" s="23">
        <f t="shared" ca="1" si="177"/>
        <v>50375552.960000001</v>
      </c>
      <c r="BS337" s="23">
        <f t="shared" ca="1" si="177"/>
        <v>14496420.359999999</v>
      </c>
      <c r="BT337" s="23">
        <f t="shared" ca="1" si="177"/>
        <v>5626999.1100000003</v>
      </c>
      <c r="BU337" s="23">
        <f t="shared" ca="1" si="177"/>
        <v>5794972.3899999997</v>
      </c>
      <c r="BV337" s="23">
        <f t="shared" ca="1" si="177"/>
        <v>14506077.369999999</v>
      </c>
      <c r="BW337" s="23">
        <f t="shared" ca="1" si="177"/>
        <v>23211308.190000001</v>
      </c>
      <c r="BX337" s="23">
        <f t="shared" ca="1" si="177"/>
        <v>1647493.26</v>
      </c>
      <c r="BY337" s="23">
        <f t="shared" ca="1" si="177"/>
        <v>5987578.9100000001</v>
      </c>
      <c r="BZ337" s="23">
        <f t="shared" ca="1" si="177"/>
        <v>3917429.31</v>
      </c>
      <c r="CA337" s="23">
        <f t="shared" ca="1" si="177"/>
        <v>3037284.59</v>
      </c>
      <c r="CB337" s="23">
        <f t="shared" ca="1" si="177"/>
        <v>816417284.09000003</v>
      </c>
      <c r="CC337" s="23">
        <f t="shared" ca="1" si="177"/>
        <v>3491422.38</v>
      </c>
      <c r="CD337" s="23">
        <f t="shared" ca="1" si="177"/>
        <v>1110218.58</v>
      </c>
      <c r="CE337" s="23">
        <f t="shared" ca="1" si="177"/>
        <v>3065905.17</v>
      </c>
      <c r="CF337" s="23">
        <f t="shared" ca="1" si="177"/>
        <v>2291611.64</v>
      </c>
      <c r="CG337" s="23">
        <f t="shared" ca="1" si="177"/>
        <v>3557505.09</v>
      </c>
      <c r="CH337" s="23">
        <f t="shared" ca="1" si="177"/>
        <v>2145110.48</v>
      </c>
      <c r="CI337" s="23">
        <f t="shared" ca="1" si="177"/>
        <v>8217773.9500000002</v>
      </c>
      <c r="CJ337" s="23">
        <f t="shared" ca="1" si="177"/>
        <v>10912615.52</v>
      </c>
      <c r="CK337" s="23">
        <f t="shared" ca="1" si="177"/>
        <v>55943344.229999997</v>
      </c>
      <c r="CL337" s="23">
        <f t="shared" ca="1" si="177"/>
        <v>14914136.65</v>
      </c>
      <c r="CM337" s="23">
        <f t="shared" ca="1" si="177"/>
        <v>8972323.7200000007</v>
      </c>
      <c r="CN337" s="23">
        <f t="shared" ca="1" si="177"/>
        <v>332412767.38999999</v>
      </c>
      <c r="CO337" s="23">
        <f t="shared" ca="1" si="177"/>
        <v>155448068.97999999</v>
      </c>
      <c r="CP337" s="23">
        <f t="shared" ca="1" si="177"/>
        <v>11550724.439999999</v>
      </c>
      <c r="CQ337" s="23">
        <f t="shared" ca="1" si="177"/>
        <v>9946297.9100000001</v>
      </c>
      <c r="CR337" s="23">
        <f t="shared" ca="1" si="177"/>
        <v>3775953.62</v>
      </c>
      <c r="CS337" s="23">
        <f t="shared" ca="1" si="177"/>
        <v>4347880.5199999996</v>
      </c>
      <c r="CT337" s="23">
        <f t="shared" ca="1" si="177"/>
        <v>2468488.7799999998</v>
      </c>
      <c r="CU337" s="23">
        <f t="shared" ca="1" si="177"/>
        <v>1054398.8400000001</v>
      </c>
      <c r="CV337" s="23">
        <f t="shared" ca="1" si="177"/>
        <v>1076684.73</v>
      </c>
      <c r="CW337" s="23">
        <f t="shared" ca="1" si="177"/>
        <v>3689699.96</v>
      </c>
      <c r="CX337" s="23">
        <f t="shared" ca="1" si="177"/>
        <v>5900187.7300000004</v>
      </c>
      <c r="CY337" s="23">
        <f t="shared" ca="1" si="177"/>
        <v>1148005.03</v>
      </c>
      <c r="CZ337" s="23">
        <f t="shared" ca="1" si="177"/>
        <v>20646168.640000001</v>
      </c>
      <c r="DA337" s="23">
        <f t="shared" ca="1" si="177"/>
        <v>3639031.97</v>
      </c>
      <c r="DB337" s="23">
        <f t="shared" ca="1" si="177"/>
        <v>4720789.92</v>
      </c>
      <c r="DC337" s="23">
        <f t="shared" ca="1" si="177"/>
        <v>3560350.21</v>
      </c>
      <c r="DD337" s="23">
        <f t="shared" ca="1" si="177"/>
        <v>3469085.23</v>
      </c>
      <c r="DE337" s="23">
        <f t="shared" ca="1" si="177"/>
        <v>4476634.71</v>
      </c>
      <c r="DF337" s="23">
        <f t="shared" ca="1" si="177"/>
        <v>225271394.53999999</v>
      </c>
      <c r="DG337" s="23">
        <f t="shared" ca="1" si="177"/>
        <v>2134952.04</v>
      </c>
      <c r="DH337" s="23">
        <f t="shared" ca="1" si="177"/>
        <v>20221979.030000001</v>
      </c>
      <c r="DI337" s="23">
        <f t="shared" ca="1" si="177"/>
        <v>27504022.300000001</v>
      </c>
      <c r="DJ337" s="23">
        <f t="shared" ca="1" si="177"/>
        <v>7892051.21</v>
      </c>
      <c r="DK337" s="23">
        <f t="shared" ca="1" si="177"/>
        <v>6035705.8899999997</v>
      </c>
      <c r="DL337" s="23">
        <f t="shared" ca="1" si="177"/>
        <v>65431437.450000003</v>
      </c>
      <c r="DM337" s="23">
        <f t="shared" ca="1" si="177"/>
        <v>4326904.25</v>
      </c>
      <c r="DN337" s="23">
        <f t="shared" ca="1" si="177"/>
        <v>15768231.470000001</v>
      </c>
      <c r="DO337" s="23">
        <f t="shared" ca="1" si="177"/>
        <v>37570612.409999996</v>
      </c>
      <c r="DP337" s="23">
        <f t="shared" ca="1" si="177"/>
        <v>3781904.38</v>
      </c>
      <c r="DQ337" s="23">
        <f t="shared" ca="1" si="177"/>
        <v>10657583.630000001</v>
      </c>
      <c r="DR337" s="23">
        <f t="shared" ca="1" si="177"/>
        <v>15871958.43</v>
      </c>
      <c r="DS337" s="23">
        <f t="shared" ca="1" si="177"/>
        <v>7901913.6900000004</v>
      </c>
      <c r="DT337" s="23">
        <f t="shared" ca="1" si="177"/>
        <v>3599256.07</v>
      </c>
      <c r="DU337" s="23">
        <f t="shared" ca="1" si="177"/>
        <v>5116040.5199999996</v>
      </c>
      <c r="DV337" s="23">
        <f t="shared" ca="1" si="177"/>
        <v>3768634.46</v>
      </c>
      <c r="DW337" s="23">
        <f t="shared" ca="1" si="177"/>
        <v>4616290.17</v>
      </c>
      <c r="DX337" s="23">
        <f t="shared" ca="1" si="177"/>
        <v>3709954.94</v>
      </c>
      <c r="DY337" s="23">
        <f t="shared" ca="1" si="177"/>
        <v>4945264.0999999996</v>
      </c>
      <c r="DZ337" s="23">
        <f t="shared" ca="1" si="177"/>
        <v>8818545.25</v>
      </c>
      <c r="EA337" s="23">
        <f t="shared" ca="1" si="177"/>
        <v>6982403.9199999999</v>
      </c>
      <c r="EB337" s="23">
        <f t="shared" ca="1" si="177"/>
        <v>6723766.7800000003</v>
      </c>
      <c r="EC337" s="23">
        <f t="shared" ca="1" si="177"/>
        <v>4187574.12</v>
      </c>
      <c r="ED337" s="23">
        <f t="shared" ca="1" si="177"/>
        <v>23326926.289999999</v>
      </c>
      <c r="EE337" s="23">
        <f t="shared" ca="1" si="177"/>
        <v>3560957.58</v>
      </c>
      <c r="EF337" s="23">
        <f t="shared" ca="1" si="177"/>
        <v>16049088.380000001</v>
      </c>
      <c r="EG337" s="23">
        <f t="shared" ca="1" si="177"/>
        <v>4001469.14</v>
      </c>
      <c r="EH337" s="23">
        <f t="shared" ca="1" si="177"/>
        <v>4004598.43</v>
      </c>
      <c r="EI337" s="23">
        <f t="shared" ca="1" si="177"/>
        <v>162020905.30000001</v>
      </c>
      <c r="EJ337" s="23">
        <f t="shared" ca="1" si="177"/>
        <v>108717860.86</v>
      </c>
      <c r="EK337" s="23">
        <f t="shared" ca="1" si="177"/>
        <v>8037487.3099999996</v>
      </c>
      <c r="EL337" s="23">
        <f t="shared" ca="1" si="177"/>
        <v>5676876.8700000001</v>
      </c>
      <c r="EM337" s="23">
        <f t="shared" ca="1" si="177"/>
        <v>5297167.76</v>
      </c>
      <c r="EN337" s="23">
        <f t="shared" ca="1" si="177"/>
        <v>10917621.27</v>
      </c>
      <c r="EO337" s="23">
        <f t="shared" ca="1" si="177"/>
        <v>4573467.3</v>
      </c>
      <c r="EP337" s="23">
        <f t="shared" ca="1" si="177"/>
        <v>5979506.4299999997</v>
      </c>
      <c r="EQ337" s="23">
        <f t="shared" ca="1" si="177"/>
        <v>30090180.010000002</v>
      </c>
      <c r="ER337" s="23">
        <f t="shared" ca="1" si="177"/>
        <v>4951170.04</v>
      </c>
      <c r="ES337" s="23">
        <f t="shared" ca="1" si="177"/>
        <v>3249410.81</v>
      </c>
      <c r="ET337" s="23">
        <f t="shared" ca="1" si="177"/>
        <v>4248451.96</v>
      </c>
      <c r="EU337" s="23">
        <f t="shared" ca="1" si="177"/>
        <v>7593556.96</v>
      </c>
      <c r="EV337" s="23">
        <f t="shared" ca="1" si="177"/>
        <v>1779462.53</v>
      </c>
      <c r="EW337" s="23">
        <f t="shared" ca="1" si="177"/>
        <v>12843141.59</v>
      </c>
      <c r="EX337" s="23">
        <f t="shared" ca="1" si="177"/>
        <v>3678303.95</v>
      </c>
      <c r="EY337" s="23">
        <f t="shared" ca="1" si="177"/>
        <v>2711873.82</v>
      </c>
      <c r="EZ337" s="23">
        <f t="shared" ca="1" si="177"/>
        <v>2720167.82</v>
      </c>
      <c r="FA337" s="23">
        <f t="shared" ca="1" si="177"/>
        <v>40845272.560000002</v>
      </c>
      <c r="FB337" s="23">
        <f t="shared" ca="1" si="177"/>
        <v>4655084.18</v>
      </c>
      <c r="FC337" s="23">
        <f t="shared" ca="1" si="177"/>
        <v>20759250.59</v>
      </c>
      <c r="FD337" s="23">
        <f t="shared" ca="1" si="177"/>
        <v>5572360.2300000004</v>
      </c>
      <c r="FE337" s="23">
        <f t="shared" ca="1" si="177"/>
        <v>1840419.22</v>
      </c>
      <c r="FF337" s="23">
        <f t="shared" ca="1" si="177"/>
        <v>3588838.33</v>
      </c>
      <c r="FG337" s="23">
        <f t="shared" ca="1" si="177"/>
        <v>2625029.1</v>
      </c>
      <c r="FH337" s="23">
        <f t="shared" ca="1" si="177"/>
        <v>1618391.6</v>
      </c>
      <c r="FI337" s="23">
        <f t="shared" ca="1" si="177"/>
        <v>19975926.199999999</v>
      </c>
      <c r="FJ337" s="23">
        <f t="shared" ca="1" si="177"/>
        <v>22369633.59</v>
      </c>
      <c r="FK337" s="23">
        <f t="shared" ca="1" si="177"/>
        <v>28625952.199999999</v>
      </c>
      <c r="FL337" s="23">
        <f t="shared" ca="1" si="177"/>
        <v>90958044.909999996</v>
      </c>
      <c r="FM337" s="23">
        <f t="shared" ca="1" si="177"/>
        <v>42942042.579999998</v>
      </c>
      <c r="FN337" s="23">
        <f t="shared" ca="1" si="177"/>
        <v>257728068.56</v>
      </c>
      <c r="FO337" s="23">
        <f t="shared" ca="1" si="177"/>
        <v>13248604.119999999</v>
      </c>
      <c r="FP337" s="23">
        <f t="shared" ca="1" si="177"/>
        <v>27057363.780000001</v>
      </c>
      <c r="FQ337" s="23">
        <f t="shared" ca="1" si="177"/>
        <v>11510565.99</v>
      </c>
      <c r="FR337" s="23">
        <f t="shared" ca="1" si="177"/>
        <v>3295037.27</v>
      </c>
      <c r="FS337" s="23">
        <f t="shared" ca="1" si="177"/>
        <v>3289803.97</v>
      </c>
      <c r="FT337" s="23">
        <f t="shared" ca="1" si="177"/>
        <v>1389181.21</v>
      </c>
      <c r="FU337" s="23">
        <f t="shared" ca="1" si="177"/>
        <v>10125634.84</v>
      </c>
      <c r="FV337" s="23">
        <f t="shared" ca="1" si="177"/>
        <v>8708379.8800000008</v>
      </c>
      <c r="FW337" s="23">
        <f t="shared" ca="1" si="177"/>
        <v>3091216.36</v>
      </c>
      <c r="FX337" s="23">
        <f t="shared" ca="1" si="177"/>
        <v>1601192.38</v>
      </c>
      <c r="FY337" s="23"/>
      <c r="FZ337" s="7">
        <f ca="1">SUM(C337:FY337)</f>
        <v>9482972323.9499989</v>
      </c>
      <c r="GA337" s="114">
        <f ca="1">ROUND((FZ337/FZ96)*0.95,2)</f>
        <v>11028.65</v>
      </c>
      <c r="GB337" s="7"/>
      <c r="GC337" s="7"/>
      <c r="GD337" s="7"/>
      <c r="GE337" s="7"/>
      <c r="GF337" s="7"/>
      <c r="GG337" s="7"/>
      <c r="GH337" s="7"/>
      <c r="GI337" s="7"/>
      <c r="GJ337" s="7"/>
      <c r="GK337" s="7"/>
    </row>
    <row r="338" spans="1:193" ht="15.5" x14ac:dyDescent="0.35">
      <c r="A338" s="7"/>
      <c r="B338" s="7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7"/>
      <c r="GA338" s="114"/>
      <c r="GB338" s="7"/>
      <c r="GC338" s="7"/>
      <c r="GD338" s="7"/>
      <c r="GE338" s="7"/>
      <c r="GF338" s="7"/>
      <c r="GG338" s="7"/>
      <c r="GH338" s="7"/>
      <c r="GI338" s="7"/>
      <c r="GJ338" s="7"/>
      <c r="GK338" s="7"/>
    </row>
    <row r="339" spans="1:193" ht="15.5" x14ac:dyDescent="0.35">
      <c r="B339" s="7"/>
      <c r="GA339" s="95"/>
    </row>
    <row r="340" spans="1:193" ht="15.5" x14ac:dyDescent="0.35">
      <c r="B340" s="7"/>
    </row>
    <row r="341" spans="1:193" ht="15.5" x14ac:dyDescent="0.35">
      <c r="B341" s="7"/>
      <c r="BY341" s="99">
        <v>5574299.9699999997</v>
      </c>
    </row>
    <row r="342" spans="1:193" ht="12.5" x14ac:dyDescent="0.25">
      <c r="BY342" s="115">
        <f ca="1">BY341-BY337</f>
        <v>-413278.94000000041</v>
      </c>
    </row>
    <row r="343" spans="1:193" ht="15.5" x14ac:dyDescent="0.35">
      <c r="F343" s="95"/>
      <c r="G343" s="95"/>
    </row>
    <row r="344" spans="1:193" ht="15.5" x14ac:dyDescent="0.35">
      <c r="F344" s="95"/>
      <c r="G344" s="95"/>
    </row>
    <row r="345" spans="1:193" ht="15.5" x14ac:dyDescent="0.35">
      <c r="F345" s="95"/>
      <c r="G345" s="95"/>
    </row>
    <row r="346" spans="1:193" ht="15.5" x14ac:dyDescent="0.35">
      <c r="F346" s="95"/>
      <c r="G346" s="95"/>
    </row>
    <row r="347" spans="1:193" ht="15.5" x14ac:dyDescent="0.35">
      <c r="F347" s="95"/>
      <c r="G347" s="95"/>
    </row>
    <row r="348" spans="1:193" ht="15.5" x14ac:dyDescent="0.35">
      <c r="F348" s="95"/>
      <c r="G348" s="95"/>
    </row>
    <row r="349" spans="1:193" ht="15.5" x14ac:dyDescent="0.35">
      <c r="F349" s="95"/>
      <c r="G349" s="95"/>
    </row>
    <row r="350" spans="1:193" ht="15.5" x14ac:dyDescent="0.35">
      <c r="F350" s="95"/>
      <c r="G350" s="95"/>
    </row>
    <row r="351" spans="1:193" ht="15.5" x14ac:dyDescent="0.35">
      <c r="F351" s="95"/>
      <c r="G351" s="95"/>
    </row>
    <row r="352" spans="1:193" ht="15.5" x14ac:dyDescent="0.35">
      <c r="F352" s="95"/>
      <c r="G352" s="95"/>
    </row>
    <row r="353" spans="6:7" ht="15.5" x14ac:dyDescent="0.35">
      <c r="F353" s="95"/>
      <c r="G353" s="95"/>
    </row>
    <row r="354" spans="6:7" ht="15.5" x14ac:dyDescent="0.35">
      <c r="F354" s="95"/>
      <c r="G354" s="95"/>
    </row>
    <row r="355" spans="6:7" ht="15.5" x14ac:dyDescent="0.35">
      <c r="F355" s="95"/>
      <c r="G355" s="95"/>
    </row>
    <row r="356" spans="6:7" ht="15.5" x14ac:dyDescent="0.35">
      <c r="F356" s="95"/>
      <c r="G356" s="95"/>
    </row>
    <row r="357" spans="6:7" ht="15.5" x14ac:dyDescent="0.35">
      <c r="F357" s="95"/>
      <c r="G357" s="95"/>
    </row>
    <row r="358" spans="6:7" ht="15.5" x14ac:dyDescent="0.35">
      <c r="F358" s="95"/>
      <c r="G358" s="95"/>
    </row>
    <row r="359" spans="6:7" ht="15.5" x14ac:dyDescent="0.35">
      <c r="F359" s="95"/>
      <c r="G359" s="95"/>
    </row>
    <row r="360" spans="6:7" ht="15.5" x14ac:dyDescent="0.35">
      <c r="F360" s="95"/>
      <c r="G360" s="95"/>
    </row>
    <row r="361" spans="6:7" ht="15.5" x14ac:dyDescent="0.35">
      <c r="F361" s="95"/>
      <c r="G361" s="95"/>
    </row>
    <row r="362" spans="6:7" ht="15.5" x14ac:dyDescent="0.35">
      <c r="F362" s="95"/>
      <c r="G362" s="95"/>
    </row>
    <row r="363" spans="6:7" ht="15.5" x14ac:dyDescent="0.35">
      <c r="F363" s="95"/>
      <c r="G363" s="95"/>
    </row>
    <row r="364" spans="6:7" ht="15.5" x14ac:dyDescent="0.35">
      <c r="F364" s="95"/>
      <c r="G364" s="95"/>
    </row>
    <row r="365" spans="6:7" ht="15.5" x14ac:dyDescent="0.35">
      <c r="F365" s="95"/>
      <c r="G365" s="95"/>
    </row>
    <row r="366" spans="6:7" ht="15.5" x14ac:dyDescent="0.35">
      <c r="F366" s="95"/>
      <c r="G366" s="95"/>
    </row>
    <row r="367" spans="6:7" ht="15.5" x14ac:dyDescent="0.35">
      <c r="F367" s="95"/>
      <c r="G367" s="95"/>
    </row>
    <row r="368" spans="6:7" ht="15.5" x14ac:dyDescent="0.35">
      <c r="F368" s="95"/>
      <c r="G368" s="95"/>
    </row>
    <row r="369" spans="6:7" ht="15.5" x14ac:dyDescent="0.35">
      <c r="F369" s="95"/>
      <c r="G369" s="95"/>
    </row>
    <row r="370" spans="6:7" ht="15.5" x14ac:dyDescent="0.35">
      <c r="F370" s="95"/>
      <c r="G370" s="95"/>
    </row>
    <row r="371" spans="6:7" ht="15.5" x14ac:dyDescent="0.35">
      <c r="F371" s="95"/>
      <c r="G371" s="95"/>
    </row>
    <row r="372" spans="6:7" ht="15.5" x14ac:dyDescent="0.35">
      <c r="F372" s="95"/>
      <c r="G372" s="95"/>
    </row>
    <row r="373" spans="6:7" ht="15.5" x14ac:dyDescent="0.35">
      <c r="F373" s="95"/>
      <c r="G373" s="95"/>
    </row>
    <row r="374" spans="6:7" ht="15.5" x14ac:dyDescent="0.35">
      <c r="F374" s="95"/>
      <c r="G374" s="95"/>
    </row>
    <row r="375" spans="6:7" ht="15.5" x14ac:dyDescent="0.35">
      <c r="F375" s="95"/>
      <c r="G375" s="95"/>
    </row>
    <row r="376" spans="6:7" ht="15.5" x14ac:dyDescent="0.35">
      <c r="F376" s="95"/>
      <c r="G376" s="95"/>
    </row>
    <row r="377" spans="6:7" ht="15.5" x14ac:dyDescent="0.35">
      <c r="F377" s="95"/>
      <c r="G377" s="95"/>
    </row>
    <row r="378" spans="6:7" ht="15.5" x14ac:dyDescent="0.35">
      <c r="F378" s="95"/>
      <c r="G378" s="95"/>
    </row>
    <row r="379" spans="6:7" ht="15.5" x14ac:dyDescent="0.35">
      <c r="F379" s="95"/>
      <c r="G379" s="95"/>
    </row>
    <row r="380" spans="6:7" ht="15.5" x14ac:dyDescent="0.35">
      <c r="F380" s="95"/>
      <c r="G380" s="95"/>
    </row>
    <row r="381" spans="6:7" ht="15.5" x14ac:dyDescent="0.35">
      <c r="F381" s="95"/>
      <c r="G381" s="95"/>
    </row>
    <row r="382" spans="6:7" ht="15.5" x14ac:dyDescent="0.35">
      <c r="F382" s="95"/>
      <c r="G382" s="95"/>
    </row>
    <row r="383" spans="6:7" ht="15.5" x14ac:dyDescent="0.35">
      <c r="F383" s="95"/>
      <c r="G383" s="95"/>
    </row>
    <row r="384" spans="6:7" ht="15.5" x14ac:dyDescent="0.35">
      <c r="F384" s="95"/>
      <c r="G384" s="95"/>
    </row>
    <row r="385" spans="6:7" ht="15.5" x14ac:dyDescent="0.35">
      <c r="F385" s="95"/>
      <c r="G385" s="95"/>
    </row>
    <row r="386" spans="6:7" ht="15.5" x14ac:dyDescent="0.35">
      <c r="F386" s="95"/>
      <c r="G386" s="95"/>
    </row>
    <row r="387" spans="6:7" ht="15.5" x14ac:dyDescent="0.35">
      <c r="F387" s="95"/>
      <c r="G387" s="95"/>
    </row>
    <row r="388" spans="6:7" ht="15.5" x14ac:dyDescent="0.35">
      <c r="F388" s="95"/>
      <c r="G388" s="95"/>
    </row>
    <row r="389" spans="6:7" ht="15.5" x14ac:dyDescent="0.35">
      <c r="F389" s="95"/>
      <c r="G389" s="95"/>
    </row>
    <row r="390" spans="6:7" ht="15.5" x14ac:dyDescent="0.35">
      <c r="F390" s="95"/>
      <c r="G390" s="95"/>
    </row>
    <row r="391" spans="6:7" ht="15.5" x14ac:dyDescent="0.35">
      <c r="F391" s="95"/>
      <c r="G391" s="95"/>
    </row>
    <row r="392" spans="6:7" ht="15.5" x14ac:dyDescent="0.35">
      <c r="F392" s="95"/>
      <c r="G392" s="95"/>
    </row>
    <row r="393" spans="6:7" ht="15.5" x14ac:dyDescent="0.35">
      <c r="F393" s="95"/>
      <c r="G393" s="95"/>
    </row>
    <row r="394" spans="6:7" ht="15.5" x14ac:dyDescent="0.35">
      <c r="F394" s="95"/>
      <c r="G394" s="95"/>
    </row>
    <row r="395" spans="6:7" ht="15.5" x14ac:dyDescent="0.35">
      <c r="F395" s="95"/>
      <c r="G395" s="95"/>
    </row>
    <row r="396" spans="6:7" ht="15.5" x14ac:dyDescent="0.35">
      <c r="F396" s="95"/>
      <c r="G396" s="95"/>
    </row>
    <row r="397" spans="6:7" ht="15.5" x14ac:dyDescent="0.35">
      <c r="F397" s="95"/>
      <c r="G397" s="95"/>
    </row>
    <row r="398" spans="6:7" ht="15.5" x14ac:dyDescent="0.35">
      <c r="F398" s="95"/>
      <c r="G398" s="95"/>
    </row>
    <row r="399" spans="6:7" ht="15.5" x14ac:dyDescent="0.35">
      <c r="F399" s="95"/>
      <c r="G399" s="95"/>
    </row>
    <row r="400" spans="6:7" ht="15.5" x14ac:dyDescent="0.35">
      <c r="F400" s="95"/>
      <c r="G400" s="95"/>
    </row>
    <row r="401" spans="6:7" ht="15.5" x14ac:dyDescent="0.35">
      <c r="F401" s="95"/>
      <c r="G401" s="95"/>
    </row>
    <row r="402" spans="6:7" ht="15.5" x14ac:dyDescent="0.35">
      <c r="F402" s="95"/>
      <c r="G402" s="95"/>
    </row>
    <row r="403" spans="6:7" ht="15.5" x14ac:dyDescent="0.35">
      <c r="F403" s="95"/>
      <c r="G403" s="95"/>
    </row>
    <row r="404" spans="6:7" ht="15.5" x14ac:dyDescent="0.35">
      <c r="F404" s="95"/>
      <c r="G404" s="95"/>
    </row>
    <row r="405" spans="6:7" ht="15.5" x14ac:dyDescent="0.35">
      <c r="F405" s="95"/>
      <c r="G405" s="95"/>
    </row>
    <row r="406" spans="6:7" ht="15.5" x14ac:dyDescent="0.35">
      <c r="F406" s="95"/>
      <c r="G406" s="95"/>
    </row>
    <row r="407" spans="6:7" ht="15.5" x14ac:dyDescent="0.35">
      <c r="F407" s="95"/>
      <c r="G407" s="95"/>
    </row>
    <row r="408" spans="6:7" ht="15.5" x14ac:dyDescent="0.35">
      <c r="F408" s="95"/>
      <c r="G408" s="95"/>
    </row>
    <row r="409" spans="6:7" ht="15.5" x14ac:dyDescent="0.35">
      <c r="F409" s="95"/>
      <c r="G409" s="95"/>
    </row>
    <row r="410" spans="6:7" ht="15.5" x14ac:dyDescent="0.35">
      <c r="F410" s="95"/>
      <c r="G410" s="95"/>
    </row>
    <row r="411" spans="6:7" ht="15.5" x14ac:dyDescent="0.35">
      <c r="F411" s="95"/>
      <c r="G411" s="95"/>
    </row>
    <row r="412" spans="6:7" ht="15.5" x14ac:dyDescent="0.35">
      <c r="F412" s="95"/>
      <c r="G412" s="95"/>
    </row>
    <row r="413" spans="6:7" ht="15.5" x14ac:dyDescent="0.35">
      <c r="F413" s="95"/>
      <c r="G413" s="95"/>
    </row>
    <row r="414" spans="6:7" ht="15.5" x14ac:dyDescent="0.35">
      <c r="F414" s="95"/>
      <c r="G414" s="95"/>
    </row>
    <row r="415" spans="6:7" ht="15.5" x14ac:dyDescent="0.35">
      <c r="F415" s="95"/>
      <c r="G415" s="95"/>
    </row>
    <row r="416" spans="6:7" ht="15.5" x14ac:dyDescent="0.35">
      <c r="F416" s="95"/>
      <c r="G416" s="95"/>
    </row>
    <row r="417" spans="6:7" ht="15.5" x14ac:dyDescent="0.35">
      <c r="F417" s="95"/>
      <c r="G417" s="95"/>
    </row>
    <row r="418" spans="6:7" ht="15.5" x14ac:dyDescent="0.35">
      <c r="F418" s="95"/>
      <c r="G418" s="95"/>
    </row>
    <row r="419" spans="6:7" ht="15.5" x14ac:dyDescent="0.35">
      <c r="F419" s="95"/>
      <c r="G419" s="95"/>
    </row>
    <row r="420" spans="6:7" ht="15.5" x14ac:dyDescent="0.35">
      <c r="F420" s="95"/>
      <c r="G420" s="95"/>
    </row>
    <row r="421" spans="6:7" ht="15.5" x14ac:dyDescent="0.35">
      <c r="F421" s="95"/>
      <c r="G421" s="95"/>
    </row>
    <row r="422" spans="6:7" ht="15.5" x14ac:dyDescent="0.35">
      <c r="F422" s="95"/>
      <c r="G422" s="95"/>
    </row>
    <row r="423" spans="6:7" ht="15.5" x14ac:dyDescent="0.35">
      <c r="F423" s="95"/>
      <c r="G423" s="95"/>
    </row>
    <row r="424" spans="6:7" ht="15.5" x14ac:dyDescent="0.35">
      <c r="F424" s="95"/>
      <c r="G424" s="95"/>
    </row>
    <row r="425" spans="6:7" ht="15.5" x14ac:dyDescent="0.35">
      <c r="F425" s="95"/>
      <c r="G425" s="95"/>
    </row>
    <row r="426" spans="6:7" ht="15.5" x14ac:dyDescent="0.35">
      <c r="F426" s="95"/>
      <c r="G426" s="95"/>
    </row>
    <row r="427" spans="6:7" ht="15.5" x14ac:dyDescent="0.35">
      <c r="F427" s="95"/>
      <c r="G427" s="95"/>
    </row>
    <row r="428" spans="6:7" ht="15.5" x14ac:dyDescent="0.35">
      <c r="F428" s="95"/>
      <c r="G428" s="95"/>
    </row>
    <row r="429" spans="6:7" ht="15.5" x14ac:dyDescent="0.35">
      <c r="F429" s="95"/>
      <c r="G429" s="95"/>
    </row>
    <row r="430" spans="6:7" ht="15.5" x14ac:dyDescent="0.35">
      <c r="F430" s="95"/>
      <c r="G430" s="95"/>
    </row>
    <row r="431" spans="6:7" ht="15.5" x14ac:dyDescent="0.35">
      <c r="F431" s="95"/>
      <c r="G431" s="95"/>
    </row>
    <row r="432" spans="6:7" ht="15.5" x14ac:dyDescent="0.35">
      <c r="F432" s="95"/>
      <c r="G432" s="95"/>
    </row>
    <row r="433" spans="6:7" ht="15.5" x14ac:dyDescent="0.35">
      <c r="F433" s="95"/>
      <c r="G433" s="95"/>
    </row>
    <row r="434" spans="6:7" ht="15.5" x14ac:dyDescent="0.35">
      <c r="F434" s="95"/>
      <c r="G434" s="95"/>
    </row>
    <row r="435" spans="6:7" ht="15.5" x14ac:dyDescent="0.35">
      <c r="F435" s="95"/>
      <c r="G435" s="95"/>
    </row>
    <row r="436" spans="6:7" ht="15.5" x14ac:dyDescent="0.35">
      <c r="F436" s="95"/>
      <c r="G436" s="95"/>
    </row>
    <row r="437" spans="6:7" ht="15.5" x14ac:dyDescent="0.35">
      <c r="F437" s="95"/>
      <c r="G437" s="95"/>
    </row>
    <row r="438" spans="6:7" ht="15.5" x14ac:dyDescent="0.35">
      <c r="F438" s="95"/>
      <c r="G438" s="95"/>
    </row>
    <row r="439" spans="6:7" ht="15.5" x14ac:dyDescent="0.35">
      <c r="F439" s="95"/>
      <c r="G439" s="95"/>
    </row>
    <row r="440" spans="6:7" ht="15.5" x14ac:dyDescent="0.35">
      <c r="F440" s="95"/>
      <c r="G440" s="95"/>
    </row>
    <row r="441" spans="6:7" ht="15.5" x14ac:dyDescent="0.35">
      <c r="F441" s="95"/>
      <c r="G441" s="95"/>
    </row>
  </sheetData>
  <sheetProtection algorithmName="SHA-512" hashValue="4dzcTK09ze263izmZkZtFwxYt/YCI/8LlnY2LZOROiNKvolbTQE0EaOcGmaJyC+7p94igo6jLOZDjIAc5sZH7A==" saltValue="BhciArDmnHcTjelCOUjlGQ==" spinCount="100000" sheet="1" objects="1" scenarios="1"/>
  <conditionalFormatting sqref="C169">
    <cfRule type="expression" dxfId="18" priority="1">
      <formula>C166&lt;17</formula>
    </cfRule>
  </conditionalFormatting>
  <conditionalFormatting sqref="C17:FX18 C135:FX136 FY137">
    <cfRule type="cellIs" dxfId="17" priority="2" operator="lessThanOrEqual">
      <formula>16</formula>
    </cfRule>
  </conditionalFormatting>
  <conditionalFormatting sqref="C132:FX133">
    <cfRule type="cellIs" dxfId="16" priority="3" operator="lessThanOrEqual">
      <formula>16</formula>
    </cfRule>
  </conditionalFormatting>
  <conditionalFormatting sqref="C158:FX158">
    <cfRule type="expression" dxfId="15" priority="4">
      <formula>D137&lt;17</formula>
    </cfRule>
  </conditionalFormatting>
  <conditionalFormatting sqref="C162:FX162">
    <cfRule type="expression" dxfId="14" priority="5">
      <formula>D137&lt;17</formula>
    </cfRule>
  </conditionalFormatting>
  <conditionalFormatting sqref="C166:FX166">
    <cfRule type="cellIs" dxfId="13" priority="6" operator="lessThanOrEqual">
      <formula>16</formula>
    </cfRule>
  </conditionalFormatting>
  <hyperlinks>
    <hyperlink ref="A185" r:id="rId1" xr:uid="{00000000-0004-0000-0200-000000000000}"/>
  </hyperlinks>
  <pageMargins left="0.7" right="0.7" top="0.75" bottom="0.75" header="0" footer="0"/>
  <pageSetup fitToHeight="0" orientation="portrait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3E5A1"/>
    <pageSetUpPr fitToPage="1"/>
  </sheetPr>
  <dimension ref="A1:Z100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6328125" defaultRowHeight="15.75" customHeight="1" x14ac:dyDescent="0.25"/>
  <cols>
    <col min="1" max="1" width="16.6328125" customWidth="1"/>
    <col min="2" max="2" width="78.08984375" customWidth="1"/>
    <col min="3" max="3" width="21.90625" customWidth="1"/>
    <col min="4" max="4" width="21.26953125" customWidth="1"/>
    <col min="5" max="5" width="10.08984375" customWidth="1"/>
    <col min="6" max="6" width="9.26953125" customWidth="1"/>
    <col min="7" max="7" width="61.08984375" customWidth="1"/>
    <col min="8" max="8" width="17.36328125" customWidth="1"/>
    <col min="9" max="9" width="16.7265625" customWidth="1"/>
    <col min="10" max="26" width="10.6328125" customWidth="1"/>
  </cols>
  <sheetData>
    <row r="1" spans="1:26" ht="13.5" customHeight="1" x14ac:dyDescent="0.3">
      <c r="A1" s="8" t="s">
        <v>20</v>
      </c>
      <c r="B1" s="116">
        <f>'New Formula with HB25-1320'!B1</f>
        <v>2.3E-2</v>
      </c>
      <c r="C1" s="117" t="s">
        <v>1104</v>
      </c>
      <c r="D1" s="118" t="s">
        <v>1105</v>
      </c>
      <c r="E1" s="118" t="s">
        <v>1106</v>
      </c>
      <c r="F1" s="89"/>
      <c r="G1" s="8" t="s">
        <v>1107</v>
      </c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3.5" customHeight="1" x14ac:dyDescent="0.3">
      <c r="A2" s="8" t="s">
        <v>21</v>
      </c>
      <c r="B2" s="119">
        <f>'New Formula with HB25-1320'!B2</f>
        <v>8691.7999999999993</v>
      </c>
      <c r="C2" s="120" t="s">
        <v>1108</v>
      </c>
      <c r="D2" s="121" t="s">
        <v>1109</v>
      </c>
      <c r="E2" s="121" t="s">
        <v>1110</v>
      </c>
      <c r="F2" s="89"/>
      <c r="G2" s="8" t="s">
        <v>1111</v>
      </c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3.5" customHeight="1" x14ac:dyDescent="0.35">
      <c r="A3" s="8" t="s">
        <v>22</v>
      </c>
      <c r="B3" s="119">
        <f>'New Formula with HB25-1320'!B3</f>
        <v>10480</v>
      </c>
      <c r="C3" s="122" t="s">
        <v>1112</v>
      </c>
      <c r="D3" s="122" t="s">
        <v>1112</v>
      </c>
      <c r="E3" s="122" t="s">
        <v>1113</v>
      </c>
      <c r="F3" s="89"/>
      <c r="G3" s="8" t="s">
        <v>1114</v>
      </c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3.5" customHeight="1" x14ac:dyDescent="0.3">
      <c r="A4" s="8" t="s">
        <v>201</v>
      </c>
      <c r="B4" s="116">
        <f>'New Formula with HB25-1320'!B4</f>
        <v>0.23</v>
      </c>
      <c r="C4" s="123" t="s">
        <v>195</v>
      </c>
      <c r="D4" s="124" t="str">
        <f t="shared" ref="D4:D6" si="0">C4</f>
        <v>3148</v>
      </c>
      <c r="E4" s="89"/>
      <c r="F4" s="89"/>
      <c r="G4" s="89"/>
      <c r="H4" s="125"/>
      <c r="I4" s="125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3.5" customHeight="1" x14ac:dyDescent="0.3">
      <c r="A5" s="89"/>
      <c r="B5" s="89"/>
      <c r="C5" s="126" t="e">
        <f t="array" aca="1" ref="C5" ca="1">_xludf.XLOOKUP(C4,'New Formula with HB25-1320'!C3:FX3,'New Formula with HB25-1320'!C4:FX4,0)</f>
        <v>#NAME?</v>
      </c>
      <c r="D5" s="126" t="e">
        <f t="shared" ca="1" si="0"/>
        <v>#NAME?</v>
      </c>
      <c r="E5" s="89" t="e">
        <f ca="1">D11/C11</f>
        <v>#NAME?</v>
      </c>
      <c r="F5" s="89"/>
      <c r="G5" s="89"/>
      <c r="H5" s="125" t="s">
        <v>1115</v>
      </c>
      <c r="I5" s="125" t="s">
        <v>1116</v>
      </c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3.5" customHeight="1" x14ac:dyDescent="0.3">
      <c r="A6" s="127" t="s">
        <v>445</v>
      </c>
      <c r="B6" s="128">
        <v>0.15</v>
      </c>
      <c r="C6" s="129" t="e">
        <f t="array" aca="1" ref="C6" ca="1">_xludf.XLOOKUP(C4,'New Formula with HB25-1320'!C3:FX3,'New Formula with HB25-1320'!C5:FX5,0)</f>
        <v>#NAME?</v>
      </c>
      <c r="D6" s="126" t="e">
        <f t="shared" ca="1" si="0"/>
        <v>#NAME?</v>
      </c>
      <c r="E6" s="89"/>
      <c r="F6" s="8" t="e">
        <f ca="1">"DISTRICT: "&amp;C6</f>
        <v>#NAME?</v>
      </c>
      <c r="G6" s="89"/>
      <c r="H6" s="130" t="s">
        <v>1117</v>
      </c>
      <c r="I6" s="130" t="s">
        <v>1118</v>
      </c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3.5" customHeight="1" x14ac:dyDescent="0.3">
      <c r="A7" s="127"/>
      <c r="B7" s="131"/>
      <c r="C7" s="129"/>
      <c r="D7" s="129"/>
      <c r="E7" s="89"/>
      <c r="F7" s="132"/>
      <c r="G7" s="8"/>
      <c r="H7" s="125"/>
      <c r="I7" s="125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3.5" customHeight="1" x14ac:dyDescent="0.3">
      <c r="A8" s="126" t="s">
        <v>447</v>
      </c>
      <c r="B8" s="89" t="s">
        <v>448</v>
      </c>
      <c r="C8" s="133" t="e">
        <f t="array" aca="1" ref="C8" ca="1">_xludf.XLOOKUP($C$4,'New Formula with HB25-1320'!$C$3:$FX$3,'New Formula with HB25-1320'!C8:FX8,0)</f>
        <v>#NAME?</v>
      </c>
      <c r="D8" s="133" t="e">
        <f t="shared" ref="D8:D10" ca="1" si="1">C8</f>
        <v>#NAME?</v>
      </c>
      <c r="E8" s="89"/>
      <c r="F8" s="134" t="s">
        <v>538</v>
      </c>
      <c r="G8" s="89" t="s">
        <v>1119</v>
      </c>
      <c r="H8" s="135" t="e">
        <f t="shared" ref="H8:H24" ca="1" si="2">_xludf.XLOOKUP(F8,A8:A184,C8:C184,0)</f>
        <v>#NAME?</v>
      </c>
      <c r="I8" s="135" t="e">
        <f t="shared" ref="I8:I24" ca="1" si="3">_xludf.XLOOKUP(F8,A8:A184,D8:D184,0)</f>
        <v>#NAME?</v>
      </c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3.5" customHeight="1" x14ac:dyDescent="0.3">
      <c r="A9" s="126" t="s">
        <v>449</v>
      </c>
      <c r="B9" s="89" t="s">
        <v>450</v>
      </c>
      <c r="C9" s="133" t="e">
        <f t="array" aca="1" ref="C9" ca="1">_xludf.XLOOKUP($C$4,'New Formula with HB25-1320'!$C$3:$FX$3,'New Formula with HB25-1320'!C9:FX9,0)</f>
        <v>#NAME?</v>
      </c>
      <c r="D9" s="133" t="e">
        <f t="shared" ca="1" si="1"/>
        <v>#NAME?</v>
      </c>
      <c r="E9" s="89"/>
      <c r="F9" s="134" t="s">
        <v>540</v>
      </c>
      <c r="G9" s="89" t="s">
        <v>1120</v>
      </c>
      <c r="H9" s="135" t="e">
        <f t="shared" ca="1" si="2"/>
        <v>#NAME?</v>
      </c>
      <c r="I9" s="135" t="e">
        <f t="shared" ca="1" si="3"/>
        <v>#NAME?</v>
      </c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3.5" customHeight="1" x14ac:dyDescent="0.3">
      <c r="A10" s="126" t="s">
        <v>451</v>
      </c>
      <c r="B10" s="89" t="s">
        <v>452</v>
      </c>
      <c r="C10" s="133" t="e">
        <f t="array" aca="1" ref="C10" ca="1">_xludf.XLOOKUP($C$4,'New Formula with HB25-1320'!$C$3:$FX$3,'New Formula with HB25-1320'!C10:FX10,0)</f>
        <v>#NAME?</v>
      </c>
      <c r="D10" s="133" t="e">
        <f t="shared" ca="1" si="1"/>
        <v>#NAME?</v>
      </c>
      <c r="E10" s="89"/>
      <c r="F10" s="134" t="s">
        <v>542</v>
      </c>
      <c r="G10" s="89" t="s">
        <v>1121</v>
      </c>
      <c r="H10" s="135" t="e">
        <f t="shared" ca="1" si="2"/>
        <v>#NAME?</v>
      </c>
      <c r="I10" s="135" t="e">
        <f t="shared" ca="1" si="3"/>
        <v>#NAME?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3.5" customHeight="1" x14ac:dyDescent="0.3">
      <c r="A11" s="126" t="s">
        <v>453</v>
      </c>
      <c r="B11" s="89" t="s">
        <v>454</v>
      </c>
      <c r="C11" s="133" t="e">
        <f t="array" aca="1" ref="C11" ca="1">_xludf.XLOOKUP($C$4,'New Formula with HB25-1320'!$C$3:$FX$3,'New Formula with HB25-1320'!C11:FX11,0)</f>
        <v>#NAME?</v>
      </c>
      <c r="D11" s="133" t="e">
        <f ca="1">D8+D9</f>
        <v>#NAME?</v>
      </c>
      <c r="E11" s="89"/>
      <c r="F11" s="134" t="s">
        <v>544</v>
      </c>
      <c r="G11" s="89" t="s">
        <v>1122</v>
      </c>
      <c r="H11" s="135" t="e">
        <f t="shared" ca="1" si="2"/>
        <v>#NAME?</v>
      </c>
      <c r="I11" s="135" t="e">
        <f t="shared" ca="1" si="3"/>
        <v>#NAME?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3.5" customHeight="1" x14ac:dyDescent="0.3">
      <c r="A12" s="126" t="s">
        <v>455</v>
      </c>
      <c r="B12" s="89" t="s">
        <v>456</v>
      </c>
      <c r="C12" s="133" t="e">
        <f t="array" aca="1" ref="C12" ca="1">_xludf.XLOOKUP($C$4,'New Formula with HB25-1320'!$C$3:$FX$3,'New Formula with HB25-1320'!C12:FX12,0)</f>
        <v>#NAME?</v>
      </c>
      <c r="D12" s="133" t="e">
        <f t="shared" ref="D12:D15" ca="1" si="4">C12</f>
        <v>#NAME?</v>
      </c>
      <c r="E12" s="89"/>
      <c r="F12" s="136" t="s">
        <v>546</v>
      </c>
      <c r="G12" s="8" t="s">
        <v>1123</v>
      </c>
      <c r="H12" s="137" t="e">
        <f t="shared" ca="1" si="2"/>
        <v>#NAME?</v>
      </c>
      <c r="I12" s="137" t="e">
        <f t="shared" ca="1" si="3"/>
        <v>#NAME?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3.5" customHeight="1" x14ac:dyDescent="0.3">
      <c r="A13" s="126" t="s">
        <v>457</v>
      </c>
      <c r="B13" s="89" t="s">
        <v>458</v>
      </c>
      <c r="C13" s="133" t="e">
        <f t="array" aca="1" ref="C13" ca="1">_xludf.XLOOKUP($C$4,'New Formula with HB25-1320'!$C$3:$FX$3,'New Formula with HB25-1320'!C13:FX13,0)</f>
        <v>#NAME?</v>
      </c>
      <c r="D13" s="133" t="e">
        <f t="shared" ca="1" si="4"/>
        <v>#NAME?</v>
      </c>
      <c r="E13" s="89"/>
      <c r="F13" s="134" t="s">
        <v>549</v>
      </c>
      <c r="G13" s="89" t="s">
        <v>550</v>
      </c>
      <c r="H13" s="135" t="e">
        <f t="shared" ca="1" si="2"/>
        <v>#NAME?</v>
      </c>
      <c r="I13" s="135" t="e">
        <f t="shared" ca="1" si="3"/>
        <v>#NAME?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3.5" customHeight="1" x14ac:dyDescent="0.3">
      <c r="A14" s="126" t="s">
        <v>459</v>
      </c>
      <c r="B14" s="89" t="s">
        <v>460</v>
      </c>
      <c r="C14" s="133" t="e">
        <f t="array" aca="1" ref="C14" ca="1">_xludf.XLOOKUP($C$4,'New Formula with HB25-1320'!$C$3:$FX$3,'New Formula with HB25-1320'!C14:FX14,0)</f>
        <v>#NAME?</v>
      </c>
      <c r="D14" s="133" t="e">
        <f t="shared" ca="1" si="4"/>
        <v>#NAME?</v>
      </c>
      <c r="E14" s="89"/>
      <c r="F14" s="134" t="s">
        <v>551</v>
      </c>
      <c r="G14" s="89" t="s">
        <v>1124</v>
      </c>
      <c r="H14" s="135" t="e">
        <f t="shared" ca="1" si="2"/>
        <v>#NAME?</v>
      </c>
      <c r="I14" s="135" t="e">
        <f t="shared" ca="1" si="3"/>
        <v>#NAME?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3.5" customHeight="1" x14ac:dyDescent="0.3">
      <c r="A15" s="126" t="s">
        <v>461</v>
      </c>
      <c r="B15" s="89" t="s">
        <v>462</v>
      </c>
      <c r="C15" s="133" t="e">
        <f t="array" aca="1" ref="C15" ca="1">_xludf.XLOOKUP($C$4,'New Formula with HB25-1320'!$C$3:$FX$3,'New Formula with HB25-1320'!C15:FX15,0)</f>
        <v>#NAME?</v>
      </c>
      <c r="D15" s="133" t="e">
        <f t="shared" ca="1" si="4"/>
        <v>#NAME?</v>
      </c>
      <c r="E15" s="89"/>
      <c r="F15" s="136" t="s">
        <v>555</v>
      </c>
      <c r="G15" s="8" t="s">
        <v>1125</v>
      </c>
      <c r="H15" s="137" t="e">
        <f t="shared" ca="1" si="2"/>
        <v>#NAME?</v>
      </c>
      <c r="I15" s="137" t="e">
        <f t="shared" ca="1" si="3"/>
        <v>#NAME?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3.5" customHeight="1" x14ac:dyDescent="0.3">
      <c r="A16" s="126" t="s">
        <v>463</v>
      </c>
      <c r="B16" s="89" t="s">
        <v>464</v>
      </c>
      <c r="C16" s="133" t="e">
        <f t="array" aca="1" ref="C16" ca="1">_xludf.XLOOKUP($C$4,'New Formula with HB25-1320'!$C$3:$FX$3,'New Formula with HB25-1320'!C16:FX16,0)</f>
        <v>#NAME?</v>
      </c>
      <c r="D16" s="133" t="e">
        <f ca="1">ROUND(D11-D12-D13-D15,1)</f>
        <v>#NAME?</v>
      </c>
      <c r="E16" s="89"/>
      <c r="F16" s="134" t="s">
        <v>557</v>
      </c>
      <c r="G16" s="89" t="s">
        <v>749</v>
      </c>
      <c r="H16" s="137" t="e">
        <f t="shared" ca="1" si="2"/>
        <v>#NAME?</v>
      </c>
      <c r="I16" s="137" t="e">
        <f t="shared" ca="1" si="3"/>
        <v>#NAME?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3.5" customHeight="1" x14ac:dyDescent="0.3">
      <c r="A17" s="126" t="s">
        <v>465</v>
      </c>
      <c r="B17" s="135" t="s">
        <v>466</v>
      </c>
      <c r="C17" s="133" t="e">
        <f t="array" aca="1" ref="C17" ca="1">_xludf.XLOOKUP($C$4,'New Formula with HB25-1320'!$C$3:$FX$3,'New Formula with HB25-1320'!C17:FX17,0)</f>
        <v>#NAME?</v>
      </c>
      <c r="D17" s="133" t="e">
        <f ca="1">C17*E5</f>
        <v>#NAME?</v>
      </c>
      <c r="E17" s="138"/>
      <c r="F17" s="134" t="s">
        <v>559</v>
      </c>
      <c r="G17" s="89" t="s">
        <v>1126</v>
      </c>
      <c r="H17" s="137" t="e">
        <f t="shared" ca="1" si="2"/>
        <v>#NAME?</v>
      </c>
      <c r="I17" s="137" t="e">
        <f t="shared" ca="1" si="3"/>
        <v>#NAME?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3.5" customHeight="1" x14ac:dyDescent="0.3">
      <c r="A18" s="126" t="s">
        <v>467</v>
      </c>
      <c r="B18" s="135" t="s">
        <v>468</v>
      </c>
      <c r="C18" s="133" t="e">
        <f t="array" aca="1" ref="C18" ca="1">_xludf.XLOOKUP($C$4,'New Formula with HB25-1320'!$C$3:$FX$3,'New Formula with HB25-1320'!C18:FX18,0)</f>
        <v>#NAME?</v>
      </c>
      <c r="D18" s="133" t="e">
        <f ca="1">C18*E5</f>
        <v>#NAME?</v>
      </c>
      <c r="E18" s="138"/>
      <c r="F18" s="134" t="s">
        <v>561</v>
      </c>
      <c r="G18" s="89" t="s">
        <v>1127</v>
      </c>
      <c r="H18" s="135" t="e">
        <f t="shared" ca="1" si="2"/>
        <v>#NAME?</v>
      </c>
      <c r="I18" s="135" t="e">
        <f t="shared" ca="1" si="3"/>
        <v>#NAME?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3.5" customHeight="1" x14ac:dyDescent="0.3">
      <c r="A19" s="126" t="s">
        <v>469</v>
      </c>
      <c r="B19" s="89" t="s">
        <v>470</v>
      </c>
      <c r="C19" s="139" t="e">
        <f t="array" aca="1" ref="C19" ca="1">_xludf.XLOOKUP($C$4,'New Formula with HB25-1320'!$C$3:$FX$3,'New Formula with HB25-1320'!C19:FX19,0)</f>
        <v>#NAME?</v>
      </c>
      <c r="D19" s="139" t="e">
        <f ca="1">C19</f>
        <v>#NAME?</v>
      </c>
      <c r="E19" s="89"/>
      <c r="F19" s="134" t="s">
        <v>563</v>
      </c>
      <c r="G19" s="89" t="s">
        <v>564</v>
      </c>
      <c r="H19" s="137" t="e">
        <f t="shared" ca="1" si="2"/>
        <v>#NAME?</v>
      </c>
      <c r="I19" s="137" t="e">
        <f t="shared" ca="1" si="3"/>
        <v>#NAME?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3.5" customHeight="1" x14ac:dyDescent="0.3">
      <c r="A20" s="126" t="s">
        <v>471</v>
      </c>
      <c r="B20" s="135" t="s">
        <v>472</v>
      </c>
      <c r="C20" s="133" t="e">
        <f t="array" aca="1" ref="C20" ca="1">_xludf.XLOOKUP($C$4,'New Formula with HB25-1320'!$C$3:$FX$3,'New Formula with HB25-1320'!C20:FX20,0)</f>
        <v>#NAME?</v>
      </c>
      <c r="D20" s="133" t="e">
        <f ca="1">C20*E5</f>
        <v>#NAME?</v>
      </c>
      <c r="E20" s="89"/>
      <c r="F20" s="134" t="s">
        <v>557</v>
      </c>
      <c r="G20" s="89" t="s">
        <v>1128</v>
      </c>
      <c r="H20" s="135" t="e">
        <f t="shared" ca="1" si="2"/>
        <v>#NAME?</v>
      </c>
      <c r="I20" s="135" t="e">
        <f t="shared" ca="1" si="3"/>
        <v>#NAME?</v>
      </c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3.5" customHeight="1" x14ac:dyDescent="0.3">
      <c r="A21" s="126" t="s">
        <v>473</v>
      </c>
      <c r="B21" s="135" t="s">
        <v>474</v>
      </c>
      <c r="C21" s="133" t="e">
        <f t="array" aca="1" ref="C21" ca="1">_xludf.XLOOKUP($C$4,'New Formula with HB25-1320'!$C$3:$FX$3,'New Formula with HB25-1320'!C21:FX21,0)</f>
        <v>#NAME?</v>
      </c>
      <c r="D21" s="133" t="e">
        <f ca="1">C21*E5</f>
        <v>#NAME?</v>
      </c>
      <c r="E21" s="89"/>
      <c r="F21" s="134" t="s">
        <v>565</v>
      </c>
      <c r="G21" s="89" t="s">
        <v>1129</v>
      </c>
      <c r="H21" s="135" t="e">
        <f t="shared" ca="1" si="2"/>
        <v>#NAME?</v>
      </c>
      <c r="I21" s="135" t="e">
        <f t="shared" ca="1" si="3"/>
        <v>#NAME?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3.5" customHeight="1" x14ac:dyDescent="0.3">
      <c r="A22" s="126" t="s">
        <v>475</v>
      </c>
      <c r="B22" s="89" t="s">
        <v>476</v>
      </c>
      <c r="C22" s="133" t="e">
        <f t="array" aca="1" ref="C22" ca="1">_xludf.XLOOKUP($C$4,'New Formula with HB25-1320'!$C$3:$FX$3,'New Formula with HB25-1320'!C22:FX22,0)</f>
        <v>#NAME?</v>
      </c>
      <c r="D22" s="133" t="e">
        <f t="shared" ref="D22:D27" ca="1" si="5">C22</f>
        <v>#NAME?</v>
      </c>
      <c r="E22" s="89"/>
      <c r="F22" s="136" t="s">
        <v>2</v>
      </c>
      <c r="G22" s="8" t="s">
        <v>1130</v>
      </c>
      <c r="H22" s="137" t="e">
        <f t="shared" ca="1" si="2"/>
        <v>#NAME?</v>
      </c>
      <c r="I22" s="137" t="e">
        <f t="shared" ca="1" si="3"/>
        <v>#NAME?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3.5" customHeight="1" x14ac:dyDescent="0.3">
      <c r="A23" s="126" t="s">
        <v>477</v>
      </c>
      <c r="B23" s="89" t="s">
        <v>478</v>
      </c>
      <c r="C23" s="133" t="e">
        <f t="array" aca="1" ref="C23" ca="1">_xludf.XLOOKUP($C$4,'New Formula with HB25-1320'!$C$3:$FX$3,'New Formula with HB25-1320'!C23:FX23,0)</f>
        <v>#NAME?</v>
      </c>
      <c r="D23" s="133" t="e">
        <f t="shared" ca="1" si="5"/>
        <v>#NAME?</v>
      </c>
      <c r="E23" s="89"/>
      <c r="F23" s="136" t="s">
        <v>570</v>
      </c>
      <c r="G23" s="8" t="s">
        <v>1131</v>
      </c>
      <c r="H23" s="137" t="e">
        <f t="shared" ca="1" si="2"/>
        <v>#NAME?</v>
      </c>
      <c r="I23" s="137" t="e">
        <f t="shared" ca="1" si="3"/>
        <v>#NAME?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3.5" customHeight="1" x14ac:dyDescent="0.3">
      <c r="A24" s="126" t="s">
        <v>479</v>
      </c>
      <c r="B24" s="140" t="s">
        <v>480</v>
      </c>
      <c r="C24" s="133" t="e">
        <f t="array" aca="1" ref="C24" ca="1">_xludf.XLOOKUP($C$4,'New Formula with HB25-1320'!$C$3:$FX$3,'New Formula with HB25-1320'!C24:FX24,0)</f>
        <v>#NAME?</v>
      </c>
      <c r="D24" s="133" t="e">
        <f t="shared" ca="1" si="5"/>
        <v>#NAME?</v>
      </c>
      <c r="E24" s="89"/>
      <c r="F24" s="141" t="s">
        <v>572</v>
      </c>
      <c r="G24" s="141" t="s">
        <v>1132</v>
      </c>
      <c r="H24" s="142" t="e">
        <f t="shared" ca="1" si="2"/>
        <v>#NAME?</v>
      </c>
      <c r="I24" s="142" t="e">
        <f t="shared" ca="1" si="3"/>
        <v>#NAME?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3.5" customHeight="1" x14ac:dyDescent="0.3">
      <c r="A25" s="126" t="s">
        <v>481</v>
      </c>
      <c r="B25" s="140" t="s">
        <v>482</v>
      </c>
      <c r="C25" s="133" t="e">
        <f t="array" aca="1" ref="C25" ca="1">_xludf.XLOOKUP($C$4,'New Formula with HB25-1320'!$C$3:$FX$3,'New Formula with HB25-1320'!C25:FX25,0)</f>
        <v>#NAME?</v>
      </c>
      <c r="D25" s="133" t="e">
        <f t="shared" ca="1" si="5"/>
        <v>#NAME?</v>
      </c>
      <c r="E25" s="89"/>
      <c r="F25" s="8"/>
      <c r="G25" s="8"/>
      <c r="H25" s="143"/>
      <c r="I25" s="143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3.5" customHeight="1" x14ac:dyDescent="0.3">
      <c r="A26" s="126" t="s">
        <v>483</v>
      </c>
      <c r="B26" s="140" t="s">
        <v>484</v>
      </c>
      <c r="C26" s="133" t="e">
        <f t="array" aca="1" ref="C26" ca="1">_xludf.XLOOKUP($C$4,'New Formula with HB25-1320'!$C$3:$FX$3,'New Formula with HB25-1320'!C26:FX26,0)</f>
        <v>#NAME?</v>
      </c>
      <c r="D26" s="133" t="e">
        <f t="shared" ca="1" si="5"/>
        <v>#NAME?</v>
      </c>
      <c r="E26" s="89"/>
      <c r="F26" s="89" t="s">
        <v>575</v>
      </c>
      <c r="G26" s="89" t="s">
        <v>576</v>
      </c>
      <c r="H26" s="144" t="e">
        <f t="shared" ref="H26:H28" ca="1" si="6">_xludf.XLOOKUP(F26,A26:A202,C26:C202,0)</f>
        <v>#NAME?</v>
      </c>
      <c r="I26" s="144" t="e">
        <f t="shared" ref="I26:I28" ca="1" si="7">_xludf.XLOOKUP(F26,A26:A202,D26:D202,0)</f>
        <v>#NAME?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3.5" customHeight="1" x14ac:dyDescent="0.3">
      <c r="A27" s="126" t="s">
        <v>485</v>
      </c>
      <c r="B27" s="89" t="s">
        <v>486</v>
      </c>
      <c r="C27" s="133" t="e">
        <f t="array" aca="1" ref="C27" ca="1">_xludf.XLOOKUP($C$4,'New Formula with HB25-1320'!$C$3:$FX$3,'New Formula with HB25-1320'!C27:FX27,0)</f>
        <v>#NAME?</v>
      </c>
      <c r="D27" s="133" t="e">
        <f t="shared" ca="1" si="5"/>
        <v>#NAME?</v>
      </c>
      <c r="E27" s="89"/>
      <c r="F27" s="89" t="s">
        <v>577</v>
      </c>
      <c r="G27" s="89" t="s">
        <v>1133</v>
      </c>
      <c r="H27" s="144" t="e">
        <f t="shared" ca="1" si="6"/>
        <v>#NAME?</v>
      </c>
      <c r="I27" s="144" t="e">
        <f t="shared" ca="1" si="7"/>
        <v>#NAME?</v>
      </c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3.5" customHeight="1" x14ac:dyDescent="0.3">
      <c r="A28" s="126" t="s">
        <v>487</v>
      </c>
      <c r="B28" s="89" t="s">
        <v>488</v>
      </c>
      <c r="C28" s="133" t="e">
        <f t="array" aca="1" ref="C28" ca="1">_xludf.XLOOKUP($C$4,'New Formula with HB25-1320'!$C$3:$FX$3,'New Formula with HB25-1320'!C28:FX28,0)</f>
        <v>#NAME?</v>
      </c>
      <c r="D28" s="133" t="e">
        <f ca="1">C28*E5</f>
        <v>#NAME?</v>
      </c>
      <c r="E28" s="89"/>
      <c r="F28" s="141" t="s">
        <v>579</v>
      </c>
      <c r="G28" s="141" t="s">
        <v>580</v>
      </c>
      <c r="H28" s="145" t="e">
        <f t="shared" ca="1" si="6"/>
        <v>#NAME?</v>
      </c>
      <c r="I28" s="145" t="e">
        <f t="shared" ca="1" si="7"/>
        <v>#NAME?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3.5" customHeight="1" x14ac:dyDescent="0.3">
      <c r="A29" s="126" t="s">
        <v>489</v>
      </c>
      <c r="B29" s="89" t="s">
        <v>490</v>
      </c>
      <c r="C29" s="133" t="e">
        <f t="array" aca="1" ref="C29" ca="1">_xludf.XLOOKUP($C$4,'New Formula with HB25-1320'!$C$3:$FX$3,'New Formula with HB25-1320'!C29:FX29,0)</f>
        <v>#NAME?</v>
      </c>
      <c r="D29" s="133" t="e">
        <f t="shared" ref="D29:D36" ca="1" si="8">C29</f>
        <v>#NAME?</v>
      </c>
      <c r="E29" s="89"/>
      <c r="F29" s="8"/>
      <c r="G29" s="8"/>
      <c r="H29" s="143"/>
      <c r="I29" s="143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3.5" customHeight="1" x14ac:dyDescent="0.3">
      <c r="A30" s="126" t="s">
        <v>491</v>
      </c>
      <c r="B30" s="89" t="s">
        <v>492</v>
      </c>
      <c r="C30" s="133" t="e">
        <f t="array" aca="1" ref="C30" ca="1">_xludf.XLOOKUP($C$4,'New Formula with HB25-1320'!$C$3:$FX$3,'New Formula with HB25-1320'!C30:FX30,0)</f>
        <v>#NAME?</v>
      </c>
      <c r="D30" s="133" t="e">
        <f t="shared" ca="1" si="8"/>
        <v>#NAME?</v>
      </c>
      <c r="E30" s="89"/>
      <c r="F30" s="89" t="s">
        <v>592</v>
      </c>
      <c r="G30" s="89" t="s">
        <v>593</v>
      </c>
      <c r="H30" s="135" t="e">
        <f t="shared" ref="H30:H34" ca="1" si="9">_xludf.XLOOKUP(F30,A30:A206,C30:C206,0)</f>
        <v>#NAME?</v>
      </c>
      <c r="I30" s="135" t="e">
        <f t="shared" ref="I30:I34" ca="1" si="10">_xludf.XLOOKUP(F30,A30:A206,D30:D206,0)</f>
        <v>#NAME?</v>
      </c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3.5" customHeight="1" x14ac:dyDescent="0.3">
      <c r="A31" s="126" t="s">
        <v>493</v>
      </c>
      <c r="B31" s="89" t="s">
        <v>494</v>
      </c>
      <c r="C31" s="133" t="e">
        <f t="array" aca="1" ref="C31" ca="1">_xludf.XLOOKUP($C$4,'New Formula with HB25-1320'!$C$3:$FX$3,'New Formula with HB25-1320'!C31:FX31,0)</f>
        <v>#NAME?</v>
      </c>
      <c r="D31" s="133" t="e">
        <f t="shared" ca="1" si="8"/>
        <v>#NAME?</v>
      </c>
      <c r="E31" s="89"/>
      <c r="F31" s="89" t="s">
        <v>594</v>
      </c>
      <c r="G31" s="89" t="s">
        <v>595</v>
      </c>
      <c r="H31" s="144" t="e">
        <f t="shared" ca="1" si="9"/>
        <v>#NAME?</v>
      </c>
      <c r="I31" s="144" t="e">
        <f t="shared" ca="1" si="10"/>
        <v>#NAME?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3.5" customHeight="1" x14ac:dyDescent="0.3">
      <c r="A32" s="126" t="s">
        <v>495</v>
      </c>
      <c r="B32" s="89" t="s">
        <v>496</v>
      </c>
      <c r="C32" s="133" t="e">
        <f t="array" aca="1" ref="C32" ca="1">_xludf.XLOOKUP($C$4,'New Formula with HB25-1320'!$C$3:$FX$3,'New Formula with HB25-1320'!C32:FX32,0)</f>
        <v>#NAME?</v>
      </c>
      <c r="D32" s="133" t="e">
        <f t="shared" ca="1" si="8"/>
        <v>#NAME?</v>
      </c>
      <c r="E32" s="89"/>
      <c r="F32" s="89" t="s">
        <v>4</v>
      </c>
      <c r="G32" s="89" t="s">
        <v>596</v>
      </c>
      <c r="H32" s="146" t="e">
        <f t="shared" ca="1" si="9"/>
        <v>#NAME?</v>
      </c>
      <c r="I32" s="146" t="e">
        <f t="shared" ca="1" si="10"/>
        <v>#NAME?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3.5" customHeight="1" x14ac:dyDescent="0.3">
      <c r="A33" s="126" t="s">
        <v>497</v>
      </c>
      <c r="B33" s="89" t="s">
        <v>498</v>
      </c>
      <c r="C33" s="133" t="e">
        <f t="array" aca="1" ref="C33" ca="1">_xludf.XLOOKUP($C$4,'New Formula with HB25-1320'!$C$3:$FX$3,'New Formula with HB25-1320'!C33:FX33,0)</f>
        <v>#NAME?</v>
      </c>
      <c r="D33" s="133" t="e">
        <f t="shared" ca="1" si="8"/>
        <v>#NAME?</v>
      </c>
      <c r="E33" s="89"/>
      <c r="F33" s="89" t="s">
        <v>597</v>
      </c>
      <c r="G33" s="89" t="s">
        <v>1134</v>
      </c>
      <c r="H33" s="144" t="e">
        <f t="shared" ca="1" si="9"/>
        <v>#NAME?</v>
      </c>
      <c r="I33" s="144" t="e">
        <f t="shared" ca="1" si="10"/>
        <v>#NAME?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3.5" customHeight="1" x14ac:dyDescent="0.3">
      <c r="A34" s="126" t="s">
        <v>499</v>
      </c>
      <c r="B34" s="89" t="s">
        <v>500</v>
      </c>
      <c r="C34" s="133" t="e">
        <f t="array" aca="1" ref="C34" ca="1">_xludf.XLOOKUP($C$4,'New Formula with HB25-1320'!$C$3:$FX$3,'New Formula with HB25-1320'!C34:FX34,0)</f>
        <v>#NAME?</v>
      </c>
      <c r="D34" s="133" t="e">
        <f t="shared" ca="1" si="8"/>
        <v>#NAME?</v>
      </c>
      <c r="E34" s="89"/>
      <c r="F34" s="141" t="s">
        <v>599</v>
      </c>
      <c r="G34" s="141" t="s">
        <v>1135</v>
      </c>
      <c r="H34" s="145" t="e">
        <f t="shared" ca="1" si="9"/>
        <v>#NAME?</v>
      </c>
      <c r="I34" s="145" t="e">
        <f t="shared" ca="1" si="10"/>
        <v>#NAME?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3.5" customHeight="1" x14ac:dyDescent="0.3">
      <c r="A35" s="126" t="s">
        <v>501</v>
      </c>
      <c r="B35" s="89" t="s">
        <v>502</v>
      </c>
      <c r="C35" s="133" t="e">
        <f t="array" aca="1" ref="C35" ca="1">_xludf.XLOOKUP($C$4,'New Formula with HB25-1320'!$C$3:$FX$3,'New Formula with HB25-1320'!C35:FX35,0)</f>
        <v>#NAME?</v>
      </c>
      <c r="D35" s="133" t="e">
        <f t="shared" ca="1" si="8"/>
        <v>#NAME?</v>
      </c>
      <c r="E35" s="89"/>
      <c r="F35" s="89"/>
      <c r="G35" s="8"/>
      <c r="H35" s="135"/>
      <c r="I35" s="135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3.5" customHeight="1" x14ac:dyDescent="0.3">
      <c r="A36" s="126" t="s">
        <v>503</v>
      </c>
      <c r="B36" s="89" t="s">
        <v>504</v>
      </c>
      <c r="C36" s="133" t="e">
        <f t="array" aca="1" ref="C36" ca="1">_xludf.XLOOKUP($C$4,'New Formula with HB25-1320'!$C$3:$FX$3,'New Formula with HB25-1320'!C36:FX36,0)</f>
        <v>#NAME?</v>
      </c>
      <c r="D36" s="133" t="e">
        <f t="shared" ca="1" si="8"/>
        <v>#NAME?</v>
      </c>
      <c r="E36" s="89"/>
      <c r="F36" s="89" t="s">
        <v>6</v>
      </c>
      <c r="G36" s="89" t="s">
        <v>602</v>
      </c>
      <c r="H36" s="135" t="e">
        <f t="shared" ref="H36:H38" ca="1" si="11">_xludf.XLOOKUP(F36,A36:A212,C36:C212,0)</f>
        <v>#NAME?</v>
      </c>
      <c r="I36" s="135" t="e">
        <f t="shared" ref="I36:I38" ca="1" si="12">_xludf.XLOOKUP(F36,A36:A212,D36:D212,0)</f>
        <v>#NAME?</v>
      </c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3.5" customHeight="1" x14ac:dyDescent="0.3">
      <c r="A37" s="126"/>
      <c r="B37" s="89"/>
      <c r="C37" s="133"/>
      <c r="D37" s="133"/>
      <c r="E37" s="89"/>
      <c r="F37" s="89" t="s">
        <v>603</v>
      </c>
      <c r="G37" s="89" t="s">
        <v>604</v>
      </c>
      <c r="H37" s="135" t="e">
        <f t="shared" ca="1" si="11"/>
        <v>#NAME?</v>
      </c>
      <c r="I37" s="135" t="e">
        <f t="shared" ca="1" si="12"/>
        <v>#NAME?</v>
      </c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3.5" customHeight="1" x14ac:dyDescent="0.3">
      <c r="A38" s="126"/>
      <c r="B38" s="89"/>
      <c r="C38" s="133"/>
      <c r="D38" s="133"/>
      <c r="E38" s="89"/>
      <c r="F38" s="141" t="s">
        <v>605</v>
      </c>
      <c r="G38" s="141" t="s">
        <v>606</v>
      </c>
      <c r="H38" s="145" t="e">
        <f t="shared" ca="1" si="11"/>
        <v>#NAME?</v>
      </c>
      <c r="I38" s="145" t="e">
        <f t="shared" ca="1" si="12"/>
        <v>#NAME?</v>
      </c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3.5" customHeight="1" x14ac:dyDescent="0.3">
      <c r="A39" s="89"/>
      <c r="B39" s="8" t="s">
        <v>505</v>
      </c>
      <c r="C39" s="133"/>
      <c r="D39" s="133"/>
      <c r="E39" s="89"/>
      <c r="F39" s="8"/>
      <c r="G39" s="8"/>
      <c r="H39" s="137"/>
      <c r="I39" s="137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3.5" customHeight="1" x14ac:dyDescent="0.3">
      <c r="A40" s="147" t="s">
        <v>503</v>
      </c>
      <c r="B40" s="148" t="s">
        <v>1136</v>
      </c>
      <c r="C40" s="133" t="e">
        <f t="array" aca="1" ref="C40" ca="1">_xludf.XLOOKUP($C$4,'New Formula with HB25-1320'!$C$3:$FX$3,'New Formula with HB25-1320'!C40:FX40,0)</f>
        <v>#NAME?</v>
      </c>
      <c r="D40" s="133" t="e">
        <f t="shared" ref="D40:D43" ca="1" si="13">C40</f>
        <v>#NAME?</v>
      </c>
      <c r="E40" s="89"/>
      <c r="F40" s="89" t="s">
        <v>621</v>
      </c>
      <c r="G40" s="89" t="s">
        <v>622</v>
      </c>
      <c r="H40" s="135" t="e">
        <f t="shared" ref="H40:H42" ca="1" si="14">_xludf.XLOOKUP(F40,A40:A216,C40:C216,0)</f>
        <v>#NAME?</v>
      </c>
      <c r="I40" s="135" t="e">
        <f t="shared" ref="I40:I42" ca="1" si="15">_xludf.XLOOKUP(F40,A40:A216,D40:D216,0)</f>
        <v>#NAME?</v>
      </c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3.5" customHeight="1" x14ac:dyDescent="0.3">
      <c r="A41" s="147" t="s">
        <v>507</v>
      </c>
      <c r="B41" s="89" t="s">
        <v>508</v>
      </c>
      <c r="C41" s="133" t="e">
        <f t="array" aca="1" ref="C41" ca="1">_xludf.XLOOKUP($C$4,'New Formula with HB25-1320'!$C$3:$FX$3,'New Formula with HB25-1320'!C41:FX41,0)</f>
        <v>#NAME?</v>
      </c>
      <c r="D41" s="133" t="e">
        <f t="shared" ca="1" si="13"/>
        <v>#NAME?</v>
      </c>
      <c r="E41" s="89"/>
      <c r="F41" s="89" t="s">
        <v>623</v>
      </c>
      <c r="G41" s="89" t="s">
        <v>624</v>
      </c>
      <c r="H41" s="135" t="e">
        <f t="shared" ca="1" si="14"/>
        <v>#NAME?</v>
      </c>
      <c r="I41" s="135" t="e">
        <f t="shared" ca="1" si="15"/>
        <v>#NAME?</v>
      </c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3.5" customHeight="1" x14ac:dyDescent="0.3">
      <c r="A42" s="147" t="s">
        <v>509</v>
      </c>
      <c r="B42" s="149" t="s">
        <v>510</v>
      </c>
      <c r="C42" s="133" t="e">
        <f t="array" aca="1" ref="C42" ca="1">_xludf.XLOOKUP($C$4,'New Formula with HB25-1320'!$C$3:$FX$3,'New Formula with HB25-1320'!C42:FX42,0)</f>
        <v>#NAME?</v>
      </c>
      <c r="D42" s="133" t="e">
        <f t="shared" ca="1" si="13"/>
        <v>#NAME?</v>
      </c>
      <c r="E42" s="89"/>
      <c r="F42" s="141" t="s">
        <v>625</v>
      </c>
      <c r="G42" s="141" t="s">
        <v>626</v>
      </c>
      <c r="H42" s="145" t="e">
        <f t="shared" ca="1" si="14"/>
        <v>#NAME?</v>
      </c>
      <c r="I42" s="145" t="e">
        <f t="shared" ca="1" si="15"/>
        <v>#NAME?</v>
      </c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3.5" customHeight="1" x14ac:dyDescent="0.3">
      <c r="A43" s="147" t="s">
        <v>511</v>
      </c>
      <c r="B43" s="89" t="s">
        <v>512</v>
      </c>
      <c r="C43" s="133" t="e">
        <f t="array" aca="1" ref="C43" ca="1">_xludf.XLOOKUP($C$4,'New Formula with HB25-1320'!$C$3:$FX$3,'New Formula with HB25-1320'!C43:FX43,0)</f>
        <v>#NAME?</v>
      </c>
      <c r="D43" s="133" t="e">
        <f t="shared" ca="1" si="13"/>
        <v>#NAME?</v>
      </c>
      <c r="E43" s="89"/>
      <c r="F43" s="8"/>
      <c r="G43" s="8"/>
      <c r="H43" s="137"/>
      <c r="I43" s="137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3.5" customHeight="1" x14ac:dyDescent="0.3">
      <c r="A44" s="126"/>
      <c r="B44" s="89"/>
      <c r="C44" s="133"/>
      <c r="D44" s="133"/>
      <c r="E44" s="89"/>
      <c r="F44" s="89" t="s">
        <v>628</v>
      </c>
      <c r="G44" s="89" t="s">
        <v>629</v>
      </c>
      <c r="H44" s="135" t="e">
        <f t="shared" ref="H44:H46" ca="1" si="16">_xludf.XLOOKUP(F44,A44:A220,C44:C220,0)</f>
        <v>#NAME?</v>
      </c>
      <c r="I44" s="135" t="e">
        <f t="shared" ref="I44:I46" ca="1" si="17">_xludf.XLOOKUP(F44,A44:A220,D44:D220,0)</f>
        <v>#NAME?</v>
      </c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3.5" customHeight="1" x14ac:dyDescent="0.3">
      <c r="A45" s="89"/>
      <c r="B45" s="8" t="s">
        <v>513</v>
      </c>
      <c r="C45" s="133"/>
      <c r="D45" s="133"/>
      <c r="E45" s="89"/>
      <c r="F45" s="89" t="s">
        <v>630</v>
      </c>
      <c r="G45" s="89" t="s">
        <v>631</v>
      </c>
      <c r="H45" s="135" t="e">
        <f t="shared" ca="1" si="16"/>
        <v>#NAME?</v>
      </c>
      <c r="I45" s="135" t="e">
        <f t="shared" ca="1" si="17"/>
        <v>#NAME?</v>
      </c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3.5" customHeight="1" x14ac:dyDescent="0.3">
      <c r="A46" s="126" t="s">
        <v>514</v>
      </c>
      <c r="B46" s="89" t="s">
        <v>515</v>
      </c>
      <c r="C46" s="133" t="e">
        <f t="array" aca="1" ref="C46" ca="1">_xludf.XLOOKUP($C$4,'New Formula with HB25-1320'!$C$3:$FX$3,'New Formula with HB25-1320'!C46:FX46,0)</f>
        <v>#NAME?</v>
      </c>
      <c r="D46" s="133" t="e">
        <f t="shared" ref="D46:D50" ca="1" si="18">C46</f>
        <v>#NAME?</v>
      </c>
      <c r="E46" s="89"/>
      <c r="F46" s="141" t="s">
        <v>632</v>
      </c>
      <c r="G46" s="141" t="s">
        <v>633</v>
      </c>
      <c r="H46" s="145" t="e">
        <f t="shared" ca="1" si="16"/>
        <v>#NAME?</v>
      </c>
      <c r="I46" s="145" t="e">
        <f t="shared" ca="1" si="17"/>
        <v>#NAME?</v>
      </c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3.5" customHeight="1" x14ac:dyDescent="0.3">
      <c r="A47" s="126" t="s">
        <v>516</v>
      </c>
      <c r="B47" s="89" t="s">
        <v>517</v>
      </c>
      <c r="C47" s="133" t="e">
        <f t="array" aca="1" ref="C47" ca="1">_xludf.XLOOKUP($C$4,'New Formula with HB25-1320'!$C$3:$FX$3,'New Formula with HB25-1320'!C47:FX47,0)</f>
        <v>#NAME?</v>
      </c>
      <c r="D47" s="133" t="e">
        <f t="shared" ca="1" si="18"/>
        <v>#NAME?</v>
      </c>
      <c r="E47" s="89"/>
      <c r="F47" s="8"/>
      <c r="G47" s="8"/>
      <c r="H47" s="137"/>
      <c r="I47" s="137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3.5" customHeight="1" x14ac:dyDescent="0.3">
      <c r="A48" s="126" t="s">
        <v>518</v>
      </c>
      <c r="B48" s="89" t="s">
        <v>519</v>
      </c>
      <c r="C48" s="133" t="e">
        <f t="array" aca="1" ref="C48" ca="1">_xludf.XLOOKUP($C$4,'New Formula with HB25-1320'!$C$3:$FX$3,'New Formula with HB25-1320'!C48:FX48,0)</f>
        <v>#NAME?</v>
      </c>
      <c r="D48" s="133" t="e">
        <f t="shared" ca="1" si="18"/>
        <v>#NAME?</v>
      </c>
      <c r="E48" s="89"/>
      <c r="F48" s="89" t="s">
        <v>635</v>
      </c>
      <c r="G48" s="89" t="s">
        <v>1137</v>
      </c>
      <c r="H48" s="135" t="e">
        <f t="shared" ref="H48:H51" ca="1" si="19">_xludf.XLOOKUP(F48,A48:A224,C48:C224,0)</f>
        <v>#NAME?</v>
      </c>
      <c r="I48" s="135" t="e">
        <f t="shared" ref="I48:I51" ca="1" si="20">_xludf.XLOOKUP(F48,A48:A224,D48:D224,0)</f>
        <v>#NAME?</v>
      </c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3.5" customHeight="1" x14ac:dyDescent="0.3">
      <c r="A49" s="150"/>
      <c r="B49" s="151" t="s">
        <v>520</v>
      </c>
      <c r="C49" s="133" t="e">
        <f t="array" aca="1" ref="C49" ca="1">_xludf.XLOOKUP($C$4,'New Formula with HB25-1320'!$C$3:$FX$3,'New Formula with HB25-1320'!C49:FX49,0)</f>
        <v>#NAME?</v>
      </c>
      <c r="D49" s="133" t="e">
        <f t="shared" ca="1" si="18"/>
        <v>#NAME?</v>
      </c>
      <c r="E49" s="89"/>
      <c r="F49" s="89" t="s">
        <v>636</v>
      </c>
      <c r="G49" s="89" t="s">
        <v>637</v>
      </c>
      <c r="H49" s="135" t="e">
        <f t="shared" ca="1" si="19"/>
        <v>#NAME?</v>
      </c>
      <c r="I49" s="135" t="e">
        <f t="shared" ca="1" si="20"/>
        <v>#NAME?</v>
      </c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3.5" customHeight="1" x14ac:dyDescent="0.3">
      <c r="A50" s="150"/>
      <c r="B50" s="151" t="s">
        <v>521</v>
      </c>
      <c r="C50" s="133" t="e">
        <f t="array" aca="1" ref="C50" ca="1">_xludf.XLOOKUP($C$4,'New Formula with HB25-1320'!$C$3:$FX$3,'New Formula with HB25-1320'!C50:FX50,0)</f>
        <v>#NAME?</v>
      </c>
      <c r="D50" s="133" t="e">
        <f t="shared" ca="1" si="18"/>
        <v>#NAME?</v>
      </c>
      <c r="E50" s="89"/>
      <c r="F50" s="89" t="s">
        <v>638</v>
      </c>
      <c r="G50" s="89" t="s">
        <v>639</v>
      </c>
      <c r="H50" s="135" t="e">
        <f t="shared" ca="1" si="19"/>
        <v>#NAME?</v>
      </c>
      <c r="I50" s="135" t="e">
        <f t="shared" ca="1" si="20"/>
        <v>#NAME?</v>
      </c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3.5" customHeight="1" x14ac:dyDescent="0.3">
      <c r="A51" s="126"/>
      <c r="B51" s="89"/>
      <c r="C51" s="89"/>
      <c r="D51" s="89"/>
      <c r="E51" s="89"/>
      <c r="F51" s="141" t="s">
        <v>640</v>
      </c>
      <c r="G51" s="141" t="s">
        <v>1138</v>
      </c>
      <c r="H51" s="145" t="e">
        <f t="shared" ca="1" si="19"/>
        <v>#NAME?</v>
      </c>
      <c r="I51" s="145" t="e">
        <f t="shared" ca="1" si="20"/>
        <v>#NAME?</v>
      </c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3.5" customHeight="1" x14ac:dyDescent="0.3">
      <c r="A52" s="89"/>
      <c r="B52" s="8" t="s">
        <v>522</v>
      </c>
      <c r="C52" s="89"/>
      <c r="D52" s="89"/>
      <c r="E52" s="89"/>
      <c r="F52" s="89"/>
      <c r="G52" s="89"/>
      <c r="H52" s="135"/>
      <c r="I52" s="135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3.5" customHeight="1" x14ac:dyDescent="0.3">
      <c r="A53" s="126" t="s">
        <v>523</v>
      </c>
      <c r="B53" s="89" t="s">
        <v>524</v>
      </c>
      <c r="C53" s="89" t="e">
        <f t="array" aca="1" ref="C53" ca="1">_xludf.XLOOKUP($C$4,'New Formula with HB25-1320'!$C$3:$FX$3,'New Formula with HB25-1320'!C53:FX53,0)</f>
        <v>#NAME?</v>
      </c>
      <c r="D53" s="89" t="e">
        <f t="shared" ref="D53:D59" ca="1" si="21">C53</f>
        <v>#NAME?</v>
      </c>
      <c r="E53" s="89"/>
      <c r="F53" s="89" t="s">
        <v>643</v>
      </c>
      <c r="G53" s="89" t="s">
        <v>1137</v>
      </c>
      <c r="H53" s="135" t="e">
        <f t="shared" ref="H53:H56" ca="1" si="22">_xludf.XLOOKUP(F53,A53:A229,C53:C229,0)</f>
        <v>#NAME?</v>
      </c>
      <c r="I53" s="135" t="e">
        <f t="shared" ref="I53:I56" ca="1" si="23">_xludf.XLOOKUP(F53,A53:A229,D53:D229,0)</f>
        <v>#NAME?</v>
      </c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3.5" customHeight="1" x14ac:dyDescent="0.3">
      <c r="A54" s="126" t="s">
        <v>525</v>
      </c>
      <c r="B54" s="89" t="s">
        <v>526</v>
      </c>
      <c r="C54" s="89" t="e">
        <f t="array" aca="1" ref="C54" ca="1">_xludf.XLOOKUP($C$4,'New Formula with HB25-1320'!$C$3:$FX$3,'New Formula with HB25-1320'!C54:FX54,0)</f>
        <v>#NAME?</v>
      </c>
      <c r="D54" s="152" t="e">
        <f t="shared" ca="1" si="21"/>
        <v>#NAME?</v>
      </c>
      <c r="E54" s="89"/>
      <c r="F54" s="89" t="s">
        <v>644</v>
      </c>
      <c r="G54" s="89" t="s">
        <v>645</v>
      </c>
      <c r="H54" s="135" t="e">
        <f t="shared" ca="1" si="22"/>
        <v>#NAME?</v>
      </c>
      <c r="I54" s="135" t="e">
        <f t="shared" ca="1" si="23"/>
        <v>#NAME?</v>
      </c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3.5" customHeight="1" x14ac:dyDescent="0.3">
      <c r="A55" s="126" t="s">
        <v>527</v>
      </c>
      <c r="B55" s="89" t="s">
        <v>528</v>
      </c>
      <c r="C55" s="89" t="e">
        <f t="array" aca="1" ref="C55" ca="1">_xludf.XLOOKUP($C$4,'New Formula with HB25-1320'!$C$3:$FX$3,'New Formula with HB25-1320'!C55:FX55,0)</f>
        <v>#NAME?</v>
      </c>
      <c r="D55" s="89" t="e">
        <f t="shared" ca="1" si="21"/>
        <v>#NAME?</v>
      </c>
      <c r="E55" s="89"/>
      <c r="F55" s="89" t="s">
        <v>658</v>
      </c>
      <c r="G55" s="89" t="s">
        <v>1139</v>
      </c>
      <c r="H55" s="135" t="e">
        <f t="shared" ca="1" si="22"/>
        <v>#NAME?</v>
      </c>
      <c r="I55" s="135" t="e">
        <f t="shared" ca="1" si="23"/>
        <v>#NAME?</v>
      </c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3.5" customHeight="1" x14ac:dyDescent="0.3">
      <c r="A56" s="126" t="s">
        <v>529</v>
      </c>
      <c r="B56" s="89" t="s">
        <v>530</v>
      </c>
      <c r="C56" s="89" t="e">
        <f t="array" aca="1" ref="C56" ca="1">_xludf.XLOOKUP($C$4,'New Formula with HB25-1320'!$C$3:$FX$3,'New Formula with HB25-1320'!C56:FX56,0)</f>
        <v>#NAME?</v>
      </c>
      <c r="D56" s="89" t="e">
        <f t="shared" ca="1" si="21"/>
        <v>#NAME?</v>
      </c>
      <c r="E56" s="89"/>
      <c r="F56" s="141" t="s">
        <v>660</v>
      </c>
      <c r="G56" s="141" t="s">
        <v>1140</v>
      </c>
      <c r="H56" s="145" t="e">
        <f t="shared" ca="1" si="22"/>
        <v>#NAME?</v>
      </c>
      <c r="I56" s="145" t="e">
        <f t="shared" ca="1" si="23"/>
        <v>#NAME?</v>
      </c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3.5" customHeight="1" x14ac:dyDescent="0.3">
      <c r="A57" s="126" t="s">
        <v>531</v>
      </c>
      <c r="B57" s="89" t="s">
        <v>532</v>
      </c>
      <c r="C57" s="89" t="e">
        <f t="array" aca="1" ref="C57" ca="1">_xludf.XLOOKUP($C$4,'New Formula with HB25-1320'!$C$3:$FX$3,'New Formula with HB25-1320'!C57:FX57,0)</f>
        <v>#NAME?</v>
      </c>
      <c r="D57" s="89" t="e">
        <f t="shared" ca="1" si="21"/>
        <v>#NAME?</v>
      </c>
      <c r="E57" s="89"/>
      <c r="F57" s="89"/>
      <c r="G57" s="89"/>
      <c r="H57" s="135"/>
      <c r="I57" s="135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3.5" customHeight="1" x14ac:dyDescent="0.3">
      <c r="A58" s="126" t="s">
        <v>533</v>
      </c>
      <c r="B58" s="89" t="s">
        <v>534</v>
      </c>
      <c r="C58" s="89" t="e">
        <f t="array" aca="1" ref="C58" ca="1">_xludf.XLOOKUP($C$4,'New Formula with HB25-1320'!$C$3:$FX$3,'New Formula with HB25-1320'!C58:FX58,0)</f>
        <v>#NAME?</v>
      </c>
      <c r="D58" s="89" t="e">
        <f t="shared" ca="1" si="21"/>
        <v>#NAME?</v>
      </c>
      <c r="E58" s="89"/>
      <c r="F58" s="89" t="s">
        <v>663</v>
      </c>
      <c r="G58" s="89" t="s">
        <v>578</v>
      </c>
      <c r="H58" s="135" t="e">
        <f t="shared" ref="H58:H61" ca="1" si="24">_xludf.XLOOKUP(F58,A58:A234,C58:C234,0)</f>
        <v>#NAME?</v>
      </c>
      <c r="I58" s="135" t="e">
        <f t="shared" ref="I58:I61" ca="1" si="25">_xludf.XLOOKUP(F58,A58:A234,D58:D234,0)</f>
        <v>#NAME?</v>
      </c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3.5" customHeight="1" x14ac:dyDescent="0.3">
      <c r="A59" s="126" t="s">
        <v>535</v>
      </c>
      <c r="B59" s="89" t="s">
        <v>536</v>
      </c>
      <c r="C59" s="89" t="e">
        <f ca="1">SUM(C53:C58)</f>
        <v>#NAME?</v>
      </c>
      <c r="D59" s="89" t="e">
        <f t="shared" ca="1" si="21"/>
        <v>#NAME?</v>
      </c>
      <c r="E59" s="89"/>
      <c r="F59" s="89" t="s">
        <v>665</v>
      </c>
      <c r="G59" s="89" t="s">
        <v>666</v>
      </c>
      <c r="H59" s="135" t="e">
        <f t="shared" ca="1" si="24"/>
        <v>#NAME?</v>
      </c>
      <c r="I59" s="135" t="e">
        <f t="shared" ca="1" si="25"/>
        <v>#NAME?</v>
      </c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3.5" customHeight="1" x14ac:dyDescent="0.3">
      <c r="A60" s="89"/>
      <c r="B60" s="89"/>
      <c r="C60" s="89"/>
      <c r="D60" s="89"/>
      <c r="E60" s="89"/>
      <c r="F60" s="89" t="s">
        <v>667</v>
      </c>
      <c r="G60" s="89" t="s">
        <v>668</v>
      </c>
      <c r="H60" s="135" t="e">
        <f t="shared" ca="1" si="24"/>
        <v>#NAME?</v>
      </c>
      <c r="I60" s="135" t="e">
        <f t="shared" ca="1" si="25"/>
        <v>#NAME?</v>
      </c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3.5" customHeight="1" x14ac:dyDescent="0.3">
      <c r="A61" s="153">
        <v>0.08</v>
      </c>
      <c r="B61" s="89"/>
      <c r="C61" s="89"/>
      <c r="D61" s="89"/>
      <c r="E61" s="89"/>
      <c r="F61" s="141" t="s">
        <v>669</v>
      </c>
      <c r="G61" s="141" t="s">
        <v>1141</v>
      </c>
      <c r="H61" s="145" t="e">
        <f t="shared" ca="1" si="24"/>
        <v>#NAME?</v>
      </c>
      <c r="I61" s="145" t="e">
        <f t="shared" ca="1" si="25"/>
        <v>#NAME?</v>
      </c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3.5" customHeight="1" x14ac:dyDescent="0.3">
      <c r="A62" s="89"/>
      <c r="B62" s="8" t="s">
        <v>537</v>
      </c>
      <c r="C62" s="89"/>
      <c r="D62" s="89"/>
      <c r="E62" s="89"/>
      <c r="F62" s="89"/>
      <c r="G62" s="89"/>
      <c r="H62" s="135"/>
      <c r="I62" s="135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3.5" customHeight="1" x14ac:dyDescent="0.3">
      <c r="A63" s="126" t="s">
        <v>538</v>
      </c>
      <c r="B63" s="89" t="s">
        <v>539</v>
      </c>
      <c r="C63" s="135" t="e">
        <f t="shared" ref="C63:D63" ca="1" si="26">C16</f>
        <v>#NAME?</v>
      </c>
      <c r="D63" s="135" t="e">
        <f t="shared" ca="1" si="26"/>
        <v>#NAME?</v>
      </c>
      <c r="E63" s="89"/>
      <c r="F63" s="89" t="s">
        <v>672</v>
      </c>
      <c r="G63" s="89" t="s">
        <v>673</v>
      </c>
      <c r="H63" s="135" t="e">
        <f t="shared" ref="H63:H68" ca="1" si="27">_xludf.XLOOKUP(F63,A63:A239,C63:C239,0)</f>
        <v>#NAME?</v>
      </c>
      <c r="I63" s="135" t="e">
        <f t="shared" ref="I63:I68" ca="1" si="28">_xludf.XLOOKUP(F63,A63:A239,D63:D239,0)</f>
        <v>#NAME?</v>
      </c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3.5" customHeight="1" x14ac:dyDescent="0.3">
      <c r="A64" s="126" t="s">
        <v>540</v>
      </c>
      <c r="B64" s="89" t="s">
        <v>541</v>
      </c>
      <c r="C64" s="135" t="e">
        <f t="shared" ref="C64:D64" ca="1" si="29">C24</f>
        <v>#NAME?</v>
      </c>
      <c r="D64" s="135" t="e">
        <f t="shared" ca="1" si="29"/>
        <v>#NAME?</v>
      </c>
      <c r="E64" s="89"/>
      <c r="F64" s="89" t="s">
        <v>675</v>
      </c>
      <c r="G64" s="89" t="s">
        <v>676</v>
      </c>
      <c r="H64" s="135" t="e">
        <f t="shared" ca="1" si="27"/>
        <v>#NAME?</v>
      </c>
      <c r="I64" s="135" t="e">
        <f t="shared" ca="1" si="28"/>
        <v>#NAME?</v>
      </c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3.5" customHeight="1" x14ac:dyDescent="0.3">
      <c r="A65" s="126" t="s">
        <v>542</v>
      </c>
      <c r="B65" s="89" t="s">
        <v>543</v>
      </c>
      <c r="C65" s="135" t="e">
        <f t="shared" ref="C65:D65" ca="1" si="30">C25</f>
        <v>#NAME?</v>
      </c>
      <c r="D65" s="135" t="e">
        <f t="shared" ca="1" si="30"/>
        <v>#NAME?</v>
      </c>
      <c r="E65" s="89"/>
      <c r="F65" s="89" t="s">
        <v>677</v>
      </c>
      <c r="G65" s="89" t="s">
        <v>1142</v>
      </c>
      <c r="H65" s="135" t="e">
        <f t="shared" ca="1" si="27"/>
        <v>#NAME?</v>
      </c>
      <c r="I65" s="135" t="e">
        <f t="shared" ca="1" si="28"/>
        <v>#NAME?</v>
      </c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3.5" customHeight="1" x14ac:dyDescent="0.3">
      <c r="A66" s="126" t="s">
        <v>544</v>
      </c>
      <c r="B66" s="89" t="s">
        <v>545</v>
      </c>
      <c r="C66" s="135" t="e">
        <f t="shared" ref="C66:D66" ca="1" si="31">C26</f>
        <v>#NAME?</v>
      </c>
      <c r="D66" s="135" t="e">
        <f t="shared" ca="1" si="31"/>
        <v>#NAME?</v>
      </c>
      <c r="E66" s="89"/>
      <c r="F66" s="89" t="s">
        <v>8</v>
      </c>
      <c r="G66" s="89" t="s">
        <v>1143</v>
      </c>
      <c r="H66" s="135" t="e">
        <f t="shared" ca="1" si="27"/>
        <v>#NAME?</v>
      </c>
      <c r="I66" s="135" t="e">
        <f t="shared" ca="1" si="28"/>
        <v>#NAME?</v>
      </c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3.5" customHeight="1" x14ac:dyDescent="0.3">
      <c r="A67" s="126" t="s">
        <v>546</v>
      </c>
      <c r="B67" s="89" t="s">
        <v>547</v>
      </c>
      <c r="C67" s="135" t="e">
        <f t="shared" ref="C67:D67" ca="1" si="32">ROUND(MAX(C63,ROUND(AVERAGE(C63:C64),1),ROUND(AVERAGE(C63:C65),1),ROUND(AVERAGE(C63:C66),1)),1)</f>
        <v>#NAME?</v>
      </c>
      <c r="D67" s="135" t="e">
        <f t="shared" ca="1" si="32"/>
        <v>#NAME?</v>
      </c>
      <c r="E67" s="89"/>
      <c r="F67" s="89" t="s">
        <v>680</v>
      </c>
      <c r="G67" s="89" t="s">
        <v>1144</v>
      </c>
      <c r="H67" s="135" t="e">
        <f t="shared" ca="1" si="27"/>
        <v>#NAME?</v>
      </c>
      <c r="I67" s="135" t="e">
        <f t="shared" ca="1" si="28"/>
        <v>#NAME?</v>
      </c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3.5" customHeight="1" x14ac:dyDescent="0.3">
      <c r="A68" s="89"/>
      <c r="B68" s="89" t="s">
        <v>548</v>
      </c>
      <c r="C68" s="89"/>
      <c r="D68" s="89"/>
      <c r="E68" s="89"/>
      <c r="F68" s="141" t="s">
        <v>682</v>
      </c>
      <c r="G68" s="141" t="s">
        <v>1145</v>
      </c>
      <c r="H68" s="145" t="e">
        <f t="shared" ca="1" si="27"/>
        <v>#NAME?</v>
      </c>
      <c r="I68" s="145" t="e">
        <f t="shared" ca="1" si="28"/>
        <v>#NAME?</v>
      </c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3.5" customHeight="1" x14ac:dyDescent="0.3">
      <c r="A69" s="126" t="s">
        <v>549</v>
      </c>
      <c r="B69" s="89" t="s">
        <v>550</v>
      </c>
      <c r="C69" s="154" t="e">
        <f t="shared" ref="C69:D69" ca="1" si="33">ROUND(C10*2*$A$61,2)</f>
        <v>#NAME?</v>
      </c>
      <c r="D69" s="154" t="e">
        <f t="shared" ca="1" si="33"/>
        <v>#NAME?</v>
      </c>
      <c r="E69" s="89"/>
      <c r="F69" s="89" t="s">
        <v>684</v>
      </c>
      <c r="G69" s="89"/>
      <c r="H69" s="135"/>
      <c r="I69" s="135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3.5" customHeight="1" x14ac:dyDescent="0.3">
      <c r="A70" s="126" t="s">
        <v>551</v>
      </c>
      <c r="B70" s="89" t="s">
        <v>552</v>
      </c>
      <c r="C70" s="155" t="e">
        <f t="shared" ref="C70:D70" ca="1" si="34">C30+C36</f>
        <v>#NAME?</v>
      </c>
      <c r="D70" s="155" t="e">
        <f t="shared" ca="1" si="34"/>
        <v>#NAME?</v>
      </c>
      <c r="E70" s="89"/>
      <c r="F70" s="89" t="s">
        <v>686</v>
      </c>
      <c r="G70" s="89" t="s">
        <v>687</v>
      </c>
      <c r="H70" s="135" t="e">
        <f t="shared" ref="H70:H72" ca="1" si="35">_xludf.XLOOKUP(F70,A69:A245,C69:C245,0)</f>
        <v>#NAME?</v>
      </c>
      <c r="I70" s="135" t="e">
        <f t="shared" ref="I70:I72" ca="1" si="36">_xludf.XLOOKUP(F70,A69:A245,D69:D245,0)</f>
        <v>#NAME?</v>
      </c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3.5" customHeight="1" x14ac:dyDescent="0.3">
      <c r="A71" s="126" t="s">
        <v>553</v>
      </c>
      <c r="B71" s="89" t="s">
        <v>554</v>
      </c>
      <c r="C71" s="155" t="e">
        <f t="shared" ref="C71:D71" ca="1" si="37">ROUND(C32*2*$A$61,2)</f>
        <v>#NAME?</v>
      </c>
      <c r="D71" s="155" t="e">
        <f t="shared" ca="1" si="37"/>
        <v>#NAME?</v>
      </c>
      <c r="E71" s="89"/>
      <c r="F71" s="89" t="s">
        <v>688</v>
      </c>
      <c r="G71" s="89" t="s">
        <v>689</v>
      </c>
      <c r="H71" s="135" t="e">
        <f t="shared" ca="1" si="35"/>
        <v>#NAME?</v>
      </c>
      <c r="I71" s="135" t="e">
        <f t="shared" ca="1" si="36"/>
        <v>#NAME?</v>
      </c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3.5" customHeight="1" x14ac:dyDescent="0.3">
      <c r="A72" s="126" t="s">
        <v>555</v>
      </c>
      <c r="B72" s="89" t="s">
        <v>556</v>
      </c>
      <c r="C72" s="156" t="e">
        <f t="shared" ref="C72:D72" ca="1" si="38">ROUND(IF(AND(SUM(C67:C71)&lt;60,C12=0),60,SUM(C67:C71)),1)</f>
        <v>#NAME?</v>
      </c>
      <c r="D72" s="156" t="e">
        <f t="shared" ca="1" si="38"/>
        <v>#NAME?</v>
      </c>
      <c r="E72" s="89"/>
      <c r="F72" s="157" t="s">
        <v>690</v>
      </c>
      <c r="G72" s="141" t="s">
        <v>691</v>
      </c>
      <c r="H72" s="158" t="e">
        <f t="shared" ca="1" si="35"/>
        <v>#NAME?</v>
      </c>
      <c r="I72" s="158" t="e">
        <f t="shared" ca="1" si="36"/>
        <v>#NAME?</v>
      </c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3.5" customHeight="1" x14ac:dyDescent="0.3">
      <c r="A73" s="126" t="s">
        <v>557</v>
      </c>
      <c r="B73" s="89" t="s">
        <v>558</v>
      </c>
      <c r="C73" s="155" t="e">
        <f t="shared" ref="C73:D73" ca="1" si="39">C13</f>
        <v>#NAME?</v>
      </c>
      <c r="D73" s="155" t="e">
        <f t="shared" ca="1" si="39"/>
        <v>#NAME?</v>
      </c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3.5" customHeight="1" x14ac:dyDescent="0.3">
      <c r="A74" s="126" t="s">
        <v>559</v>
      </c>
      <c r="B74" s="89" t="s">
        <v>560</v>
      </c>
      <c r="C74" s="155" t="e">
        <f t="shared" ref="C74:D74" ca="1" si="40">C34</f>
        <v>#NAME?</v>
      </c>
      <c r="D74" s="155" t="e">
        <f t="shared" ca="1" si="40"/>
        <v>#NAME?</v>
      </c>
      <c r="E74" s="89"/>
      <c r="F74" s="141" t="s">
        <v>703</v>
      </c>
      <c r="G74" s="141" t="s">
        <v>1146</v>
      </c>
      <c r="H74" s="145" t="e">
        <f t="array" aca="1" ref="H74" ca="1">_xludf.XLOOKUP(F74,A73:A249,C73:C249,0)</f>
        <v>#NAME?</v>
      </c>
      <c r="I74" s="145" t="e">
        <f t="array" aca="1" ref="I74" ca="1">_xludf.XLOOKUP(F74,A73:A249,D73:D249,0)</f>
        <v>#NAME?</v>
      </c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3.5" customHeight="1" x14ac:dyDescent="0.3">
      <c r="A75" s="126" t="s">
        <v>561</v>
      </c>
      <c r="B75" s="89" t="s">
        <v>562</v>
      </c>
      <c r="C75" s="155" t="e">
        <f t="shared" ref="C75:D75" ca="1" si="41">C15</f>
        <v>#NAME?</v>
      </c>
      <c r="D75" s="155" t="e">
        <f t="shared" ca="1" si="41"/>
        <v>#NAME?</v>
      </c>
      <c r="E75" s="89"/>
      <c r="F75" s="89"/>
      <c r="G75" s="89"/>
      <c r="H75" s="135"/>
      <c r="I75" s="135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3.5" customHeight="1" x14ac:dyDescent="0.3">
      <c r="A76" s="126" t="s">
        <v>563</v>
      </c>
      <c r="B76" s="89" t="s">
        <v>564</v>
      </c>
      <c r="C76" s="155" t="e">
        <f t="shared" ref="C76:D76" ca="1" si="42">C35</f>
        <v>#NAME?</v>
      </c>
      <c r="D76" s="155" t="e">
        <f t="shared" ca="1" si="42"/>
        <v>#NAME?</v>
      </c>
      <c r="E76" s="89"/>
      <c r="F76" s="89" t="s">
        <v>705</v>
      </c>
      <c r="G76" s="89" t="s">
        <v>706</v>
      </c>
      <c r="H76" s="135" t="e">
        <f t="shared" ref="H76:H78" ca="1" si="43">_xludf.XLOOKUP(F76,A75:A251,C75:C251,0)</f>
        <v>#NAME?</v>
      </c>
      <c r="I76" s="135" t="e">
        <f t="shared" ref="I76:I78" ca="1" si="44">_xludf.XLOOKUP(F76,A75:A251,D75:D251,0)</f>
        <v>#NAME?</v>
      </c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3.5" customHeight="1" x14ac:dyDescent="0.3">
      <c r="A77" s="126" t="s">
        <v>565</v>
      </c>
      <c r="B77" s="89" t="s">
        <v>566</v>
      </c>
      <c r="C77" s="159" t="e">
        <f t="shared" ref="C77:D77" ca="1" si="45">C12</f>
        <v>#NAME?</v>
      </c>
      <c r="D77" s="159" t="e">
        <f t="shared" ca="1" si="45"/>
        <v>#NAME?</v>
      </c>
      <c r="E77" s="89"/>
      <c r="F77" s="89" t="s">
        <v>707</v>
      </c>
      <c r="G77" s="89" t="s">
        <v>1147</v>
      </c>
      <c r="H77" s="135" t="e">
        <f t="shared" ca="1" si="43"/>
        <v>#NAME?</v>
      </c>
      <c r="I77" s="135" t="e">
        <f t="shared" ca="1" si="44"/>
        <v>#NAME?</v>
      </c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3.5" customHeight="1" x14ac:dyDescent="0.3">
      <c r="A78" s="126" t="s">
        <v>567</v>
      </c>
      <c r="B78" s="89" t="s">
        <v>568</v>
      </c>
      <c r="C78" s="159" t="e">
        <f t="shared" ref="C78:D78" ca="1" si="46">C33</f>
        <v>#NAME?</v>
      </c>
      <c r="D78" s="159" t="e">
        <f t="shared" ca="1" si="46"/>
        <v>#NAME?</v>
      </c>
      <c r="E78" s="89"/>
      <c r="F78" s="141" t="s">
        <v>709</v>
      </c>
      <c r="G78" s="141" t="s">
        <v>710</v>
      </c>
      <c r="H78" s="145" t="e">
        <f t="shared" ca="1" si="43"/>
        <v>#NAME?</v>
      </c>
      <c r="I78" s="145" t="e">
        <f t="shared" ca="1" si="44"/>
        <v>#NAME?</v>
      </c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3.5" customHeight="1" x14ac:dyDescent="0.3">
      <c r="A79" s="126" t="s">
        <v>2</v>
      </c>
      <c r="B79" s="89" t="s">
        <v>569</v>
      </c>
      <c r="C79" s="156" t="e">
        <f t="shared" ref="C79:D79" ca="1" si="47">ROUND(SUM(C72:C78),1)</f>
        <v>#NAME?</v>
      </c>
      <c r="D79" s="156" t="e">
        <f t="shared" ca="1" si="47"/>
        <v>#NAME?</v>
      </c>
      <c r="E79" s="89"/>
      <c r="F79" s="89"/>
      <c r="G79" s="89"/>
      <c r="H79" s="135"/>
      <c r="I79" s="135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3.5" customHeight="1" x14ac:dyDescent="0.3">
      <c r="A80" s="160" t="s">
        <v>570</v>
      </c>
      <c r="B80" s="8" t="s">
        <v>571</v>
      </c>
      <c r="C80" s="155" t="e">
        <f t="shared" ref="C80:D80" ca="1" si="48">C79-C81</f>
        <v>#NAME?</v>
      </c>
      <c r="D80" s="155" t="e">
        <f t="shared" ca="1" si="48"/>
        <v>#NAME?</v>
      </c>
      <c r="E80" s="89"/>
      <c r="F80" s="89" t="s">
        <v>711</v>
      </c>
      <c r="G80" s="89" t="s">
        <v>712</v>
      </c>
      <c r="H80" s="135" t="e">
        <f t="shared" ref="H80:H82" ca="1" si="49">_xludf.XLOOKUP(F80,A79:A255,C79:C255,0)</f>
        <v>#NAME?</v>
      </c>
      <c r="I80" s="135" t="e">
        <f t="shared" ref="I80:I82" ca="1" si="50">_xludf.XLOOKUP(F80,A79:A255,D79:D255,0)</f>
        <v>#NAME?</v>
      </c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3.5" customHeight="1" x14ac:dyDescent="0.3">
      <c r="A81" s="160" t="s">
        <v>572</v>
      </c>
      <c r="B81" s="8" t="s">
        <v>573</v>
      </c>
      <c r="C81" s="135" t="e">
        <f t="shared" ref="C81:D81" ca="1" si="51">C70+C71+C78+C74+C76</f>
        <v>#NAME?</v>
      </c>
      <c r="D81" s="135" t="e">
        <f t="shared" ca="1" si="51"/>
        <v>#NAME?</v>
      </c>
      <c r="E81" s="89"/>
      <c r="F81" s="89" t="s">
        <v>713</v>
      </c>
      <c r="G81" s="89" t="s">
        <v>1066</v>
      </c>
      <c r="H81" s="135" t="e">
        <f t="shared" ca="1" si="49"/>
        <v>#NAME?</v>
      </c>
      <c r="I81" s="135" t="e">
        <f t="shared" ca="1" si="50"/>
        <v>#NAME?</v>
      </c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3.5" customHeight="1" x14ac:dyDescent="0.3">
      <c r="A82" s="126"/>
      <c r="B82" s="8"/>
      <c r="C82" s="135"/>
      <c r="D82" s="135"/>
      <c r="E82" s="89"/>
      <c r="F82" s="141" t="s">
        <v>715</v>
      </c>
      <c r="G82" s="141" t="s">
        <v>716</v>
      </c>
      <c r="H82" s="145" t="e">
        <f t="shared" ca="1" si="49"/>
        <v>#NAME?</v>
      </c>
      <c r="I82" s="145" t="e">
        <f t="shared" ca="1" si="50"/>
        <v>#NAME?</v>
      </c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3.5" customHeight="1" x14ac:dyDescent="0.3">
      <c r="A83" s="126"/>
      <c r="B83" s="8" t="s">
        <v>574</v>
      </c>
      <c r="C83" s="135"/>
      <c r="D83" s="135"/>
      <c r="E83" s="89"/>
      <c r="F83" s="89"/>
      <c r="G83" s="89"/>
      <c r="H83" s="135"/>
      <c r="I83" s="135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3.5" customHeight="1" x14ac:dyDescent="0.3">
      <c r="A84" s="126" t="s">
        <v>575</v>
      </c>
      <c r="B84" s="89" t="s">
        <v>576</v>
      </c>
      <c r="C84" s="152">
        <f t="shared" ref="C84:D84" si="52">$B$2</f>
        <v>8691.7999999999993</v>
      </c>
      <c r="D84" s="152">
        <f t="shared" si="52"/>
        <v>8691.7999999999993</v>
      </c>
      <c r="E84" s="89"/>
      <c r="F84" s="89" t="s">
        <v>720</v>
      </c>
      <c r="G84" s="89" t="s">
        <v>721</v>
      </c>
      <c r="H84" s="161" t="e">
        <f t="shared" ref="H84:H85" ca="1" si="53">_xludf.XLOOKUP(F84,A83:A259,C83:C259,0)</f>
        <v>#NAME?</v>
      </c>
      <c r="I84" s="161" t="e">
        <f t="shared" ref="I84:I85" ca="1" si="54">_xludf.XLOOKUP(F84,A83:A259,D83:D259,0)</f>
        <v>#NAME?</v>
      </c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3.5" customHeight="1" x14ac:dyDescent="0.3">
      <c r="A85" s="126" t="s">
        <v>577</v>
      </c>
      <c r="B85" s="89" t="s">
        <v>578</v>
      </c>
      <c r="C85" s="135" t="e">
        <f t="shared" ref="C85:D85" ca="1" si="55">C72</f>
        <v>#NAME?</v>
      </c>
      <c r="D85" s="135" t="e">
        <f t="shared" ca="1" si="55"/>
        <v>#NAME?</v>
      </c>
      <c r="E85" s="89"/>
      <c r="F85" s="89" t="s">
        <v>722</v>
      </c>
      <c r="G85" s="89" t="s">
        <v>723</v>
      </c>
      <c r="H85" s="161" t="e">
        <f t="shared" ca="1" si="53"/>
        <v>#NAME?</v>
      </c>
      <c r="I85" s="161" t="e">
        <f t="shared" ca="1" si="54"/>
        <v>#NAME?</v>
      </c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3.5" customHeight="1" x14ac:dyDescent="0.3">
      <c r="A86" s="160" t="s">
        <v>579</v>
      </c>
      <c r="B86" s="8" t="s">
        <v>580</v>
      </c>
      <c r="C86" s="162" t="e">
        <f t="shared" ref="C86:D86" ca="1" si="56">C84*C85</f>
        <v>#NAME?</v>
      </c>
      <c r="D86" s="162" t="e">
        <f t="shared" ca="1" si="56"/>
        <v>#NAME?</v>
      </c>
      <c r="E86" s="89"/>
      <c r="F86" s="89"/>
      <c r="G86" s="89"/>
      <c r="H86" s="161"/>
      <c r="I86" s="161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3.5" customHeight="1" x14ac:dyDescent="0.3">
      <c r="A87" s="126"/>
      <c r="B87" s="8"/>
      <c r="C87" s="135"/>
      <c r="D87" s="135"/>
      <c r="E87" s="89"/>
      <c r="F87" s="89" t="s">
        <v>724</v>
      </c>
      <c r="G87" s="89" t="s">
        <v>725</v>
      </c>
      <c r="H87" s="161" t="e">
        <f t="array" aca="1" ref="H87" ca="1">_xludf.XLOOKUP(F87,A86:A262,C86:C262,0)</f>
        <v>#NAME?</v>
      </c>
      <c r="I87" s="161" t="e">
        <f t="array" aca="1" ref="I87" ca="1">_xludf.XLOOKUP(F87,A86:A262,D86:D262,0)</f>
        <v>#NAME?</v>
      </c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3.5" customHeight="1" x14ac:dyDescent="0.3">
      <c r="A88" s="89"/>
      <c r="B88" s="8" t="s">
        <v>581</v>
      </c>
      <c r="C88" s="163"/>
      <c r="D88" s="163"/>
      <c r="E88" s="89"/>
      <c r="F88" s="89"/>
      <c r="G88" s="89"/>
      <c r="H88" s="161"/>
      <c r="I88" s="161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3.5" customHeight="1" x14ac:dyDescent="0.3">
      <c r="A89" s="126" t="s">
        <v>582</v>
      </c>
      <c r="B89" s="89" t="s">
        <v>583</v>
      </c>
      <c r="C89" s="135" t="e">
        <f t="shared" ref="C89:D89" ca="1" si="57">C17</f>
        <v>#NAME?</v>
      </c>
      <c r="D89" s="135" t="e">
        <f t="shared" ca="1" si="57"/>
        <v>#NAME?</v>
      </c>
      <c r="E89" s="89"/>
      <c r="F89" s="89" t="s">
        <v>726</v>
      </c>
      <c r="G89" s="89" t="s">
        <v>1148</v>
      </c>
      <c r="H89" s="161" t="e">
        <f t="shared" ref="H89:H93" ca="1" si="58">_xludf.XLOOKUP(F89,A88:A264,C88:C264,0)</f>
        <v>#NAME?</v>
      </c>
      <c r="I89" s="161" t="e">
        <f t="shared" ref="I89:I93" ca="1" si="59">_xludf.XLOOKUP(F89,A88:A264,D88:D264,0)</f>
        <v>#NAME?</v>
      </c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3.5" customHeight="1" x14ac:dyDescent="0.3">
      <c r="A90" s="126" t="s">
        <v>584</v>
      </c>
      <c r="B90" s="89" t="s">
        <v>585</v>
      </c>
      <c r="C90" s="135" t="e">
        <f t="shared" ref="C90:D90" ca="1" si="60">C20</f>
        <v>#NAME?</v>
      </c>
      <c r="D90" s="135" t="e">
        <f t="shared" ca="1" si="60"/>
        <v>#NAME?</v>
      </c>
      <c r="E90" s="89"/>
      <c r="F90" s="89" t="s">
        <v>728</v>
      </c>
      <c r="G90" s="89" t="s">
        <v>729</v>
      </c>
      <c r="H90" s="161" t="e">
        <f t="shared" ca="1" si="58"/>
        <v>#NAME?</v>
      </c>
      <c r="I90" s="161" t="e">
        <f t="shared" ca="1" si="59"/>
        <v>#NAME?</v>
      </c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3.5" customHeight="1" x14ac:dyDescent="0.3">
      <c r="A91" s="126" t="s">
        <v>586</v>
      </c>
      <c r="B91" s="89" t="s">
        <v>587</v>
      </c>
      <c r="C91" s="164" t="e">
        <f t="shared" ref="C91:D91" ca="1" si="61">ROUND(C89/C90,4)</f>
        <v>#NAME?</v>
      </c>
      <c r="D91" s="164" t="e">
        <f t="shared" ca="1" si="61"/>
        <v>#NAME?</v>
      </c>
      <c r="E91" s="89"/>
      <c r="F91" s="89" t="s">
        <v>730</v>
      </c>
      <c r="G91" s="89" t="s">
        <v>1149</v>
      </c>
      <c r="H91" s="161" t="e">
        <f t="shared" ca="1" si="58"/>
        <v>#NAME?</v>
      </c>
      <c r="I91" s="161" t="e">
        <f t="shared" ca="1" si="59"/>
        <v>#NAME?</v>
      </c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3.5" customHeight="1" x14ac:dyDescent="0.3">
      <c r="A92" s="126" t="s">
        <v>588</v>
      </c>
      <c r="B92" s="89" t="s">
        <v>589</v>
      </c>
      <c r="C92" s="135" t="e">
        <f t="shared" ref="C92:D92" ca="1" si="62">ROUND((C91*C21),1)</f>
        <v>#NAME?</v>
      </c>
      <c r="D92" s="135" t="e">
        <f t="shared" ca="1" si="62"/>
        <v>#NAME?</v>
      </c>
      <c r="E92" s="89"/>
      <c r="F92" s="8" t="s">
        <v>732</v>
      </c>
      <c r="G92" s="8" t="s">
        <v>733</v>
      </c>
      <c r="H92" s="162" t="e">
        <f t="shared" ca="1" si="58"/>
        <v>#NAME?</v>
      </c>
      <c r="I92" s="162" t="e">
        <f t="shared" ca="1" si="59"/>
        <v>#NAME?</v>
      </c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3.5" customHeight="1" x14ac:dyDescent="0.3">
      <c r="A93" s="126" t="s">
        <v>590</v>
      </c>
      <c r="B93" s="89" t="s">
        <v>591</v>
      </c>
      <c r="C93" s="135" t="e">
        <f t="shared" ref="C93:D93" ca="1" si="63">C18</f>
        <v>#NAME?</v>
      </c>
      <c r="D93" s="135" t="e">
        <f t="shared" ca="1" si="63"/>
        <v>#NAME?</v>
      </c>
      <c r="E93" s="89"/>
      <c r="F93" s="165" t="s">
        <v>1150</v>
      </c>
      <c r="G93" s="89" t="s">
        <v>1151</v>
      </c>
      <c r="H93" s="161" t="e">
        <f t="shared" ca="1" si="58"/>
        <v>#NAME?</v>
      </c>
      <c r="I93" s="161" t="e">
        <f t="shared" ca="1" si="59"/>
        <v>#NAME?</v>
      </c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3.5" customHeight="1" x14ac:dyDescent="0.3">
      <c r="A94" s="126" t="s">
        <v>592</v>
      </c>
      <c r="B94" s="159" t="s">
        <v>593</v>
      </c>
      <c r="C94" s="135" t="e">
        <f t="shared" ref="C94:D94" ca="1" si="64">MAX(C92,C93)</f>
        <v>#NAME?</v>
      </c>
      <c r="D94" s="135" t="e">
        <f t="shared" ca="1" si="64"/>
        <v>#NAME?</v>
      </c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3.5" customHeight="1" x14ac:dyDescent="0.3">
      <c r="A95" s="126" t="s">
        <v>594</v>
      </c>
      <c r="B95" s="89" t="s">
        <v>595</v>
      </c>
      <c r="C95" s="152">
        <f t="shared" ref="C95:D95" si="65">C84*0.25</f>
        <v>2172.9499999999998</v>
      </c>
      <c r="D95" s="152">
        <f t="shared" si="65"/>
        <v>2172.9499999999998</v>
      </c>
      <c r="E95" s="89"/>
      <c r="F95" s="89" t="s">
        <v>1152</v>
      </c>
      <c r="G95" s="89" t="s">
        <v>1153</v>
      </c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3.5" customHeight="1" x14ac:dyDescent="0.3">
      <c r="A96" s="126" t="s">
        <v>4</v>
      </c>
      <c r="B96" s="89" t="s">
        <v>596</v>
      </c>
      <c r="C96" s="146" t="e">
        <f t="shared" ref="C96:D96" ca="1" si="66">C94/C21</f>
        <v>#NAME?</v>
      </c>
      <c r="D96" s="146" t="e">
        <f t="shared" ca="1" si="66"/>
        <v>#NAME?</v>
      </c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3.5" customHeight="1" x14ac:dyDescent="0.3">
      <c r="A97" s="126" t="s">
        <v>597</v>
      </c>
      <c r="B97" s="89" t="s">
        <v>598</v>
      </c>
      <c r="C97" s="152" t="e">
        <f t="shared" ref="C97:D97" ca="1" si="67">IF(AND(C96&gt;0.7,C79&lt;7000),C94*0.07*C84,0)</f>
        <v>#NAME?</v>
      </c>
      <c r="D97" s="152" t="e">
        <f t="shared" ca="1" si="67"/>
        <v>#NAME?</v>
      </c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3.5" customHeight="1" x14ac:dyDescent="0.3">
      <c r="A98" s="160" t="s">
        <v>599</v>
      </c>
      <c r="B98" s="8" t="s">
        <v>1135</v>
      </c>
      <c r="C98" s="162" t="e">
        <f t="shared" ref="C98:D98" ca="1" si="68">(C94*C95)+C97</f>
        <v>#NAME?</v>
      </c>
      <c r="D98" s="162" t="e">
        <f t="shared" ca="1" si="68"/>
        <v>#NAME?</v>
      </c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3.5" customHeight="1" x14ac:dyDescent="0.3">
      <c r="A99" s="126"/>
      <c r="B99" s="8"/>
      <c r="C99" s="152"/>
      <c r="D99" s="152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3.5" customHeight="1" x14ac:dyDescent="0.3">
      <c r="A100" s="126"/>
      <c r="B100" s="8" t="s">
        <v>601</v>
      </c>
      <c r="C100" s="125"/>
      <c r="D100" s="125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3.5" customHeight="1" x14ac:dyDescent="0.3">
      <c r="A101" s="126" t="s">
        <v>6</v>
      </c>
      <c r="B101" s="89" t="s">
        <v>602</v>
      </c>
      <c r="C101" s="135" t="e">
        <f t="shared" ref="C101:D101" ca="1" si="69">C28</f>
        <v>#NAME?</v>
      </c>
      <c r="D101" s="135" t="e">
        <f t="shared" ca="1" si="69"/>
        <v>#NAME?</v>
      </c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3.5" customHeight="1" x14ac:dyDescent="0.3">
      <c r="A102" s="126" t="s">
        <v>603</v>
      </c>
      <c r="B102" s="89" t="s">
        <v>604</v>
      </c>
      <c r="C102" s="125">
        <f t="shared" ref="C102:D102" si="70">C84*0.25</f>
        <v>2172.9499999999998</v>
      </c>
      <c r="D102" s="125">
        <f t="shared" si="70"/>
        <v>2172.9499999999998</v>
      </c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3.5" customHeight="1" x14ac:dyDescent="0.3">
      <c r="A103" s="160" t="s">
        <v>605</v>
      </c>
      <c r="B103" s="8" t="s">
        <v>606</v>
      </c>
      <c r="C103" s="162" t="e">
        <f t="shared" ref="C103:D103" ca="1" si="71">C101*C102</f>
        <v>#NAME?</v>
      </c>
      <c r="D103" s="162" t="e">
        <f t="shared" ca="1" si="71"/>
        <v>#NAME?</v>
      </c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3.5" customHeight="1" x14ac:dyDescent="0.3">
      <c r="A104" s="126"/>
      <c r="B104" s="8"/>
      <c r="C104" s="135"/>
      <c r="D104" s="135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3.5" customHeight="1" x14ac:dyDescent="0.3">
      <c r="A105" s="126"/>
      <c r="B105" s="8" t="s">
        <v>607</v>
      </c>
      <c r="C105" s="135"/>
      <c r="D105" s="135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3.5" customHeight="1" x14ac:dyDescent="0.3">
      <c r="A106" s="126" t="s">
        <v>608</v>
      </c>
      <c r="B106" s="89" t="s">
        <v>609</v>
      </c>
      <c r="C106" s="135" t="e">
        <f t="shared" ref="C106:D106" ca="1" si="72">C13+C14+C34</f>
        <v>#NAME?</v>
      </c>
      <c r="D106" s="135" t="e">
        <f t="shared" ca="1" si="72"/>
        <v>#NAME?</v>
      </c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3.5" customHeight="1" x14ac:dyDescent="0.3">
      <c r="A107" s="126" t="s">
        <v>610</v>
      </c>
      <c r="B107" s="89" t="s">
        <v>611</v>
      </c>
      <c r="C107" s="135">
        <f t="shared" ref="C107:D107" si="73">$B$3</f>
        <v>10480</v>
      </c>
      <c r="D107" s="135">
        <f t="shared" si="73"/>
        <v>10480</v>
      </c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3.5" customHeight="1" x14ac:dyDescent="0.3">
      <c r="A108" s="126" t="s">
        <v>612</v>
      </c>
      <c r="B108" s="89" t="s">
        <v>613</v>
      </c>
      <c r="C108" s="135" t="e">
        <f t="shared" ref="C108:D108" ca="1" si="74">C106*C107</f>
        <v>#NAME?</v>
      </c>
      <c r="D108" s="135" t="e">
        <f t="shared" ca="1" si="74"/>
        <v>#NAME?</v>
      </c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3.5" customHeight="1" x14ac:dyDescent="0.3">
      <c r="A109" s="126" t="s">
        <v>614</v>
      </c>
      <c r="B109" s="89" t="s">
        <v>615</v>
      </c>
      <c r="C109" s="135" t="e">
        <f t="shared" ref="C109:D109" ca="1" si="75">C15+C35</f>
        <v>#NAME?</v>
      </c>
      <c r="D109" s="135" t="e">
        <f t="shared" ca="1" si="75"/>
        <v>#NAME?</v>
      </c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3.5" customHeight="1" x14ac:dyDescent="0.3">
      <c r="A110" s="126" t="s">
        <v>616</v>
      </c>
      <c r="B110" s="89" t="s">
        <v>1154</v>
      </c>
      <c r="C110" s="135" t="e">
        <f t="shared" ref="C110:D110" ca="1" si="76">C109*7104</f>
        <v>#NAME?</v>
      </c>
      <c r="D110" s="135" t="e">
        <f t="shared" ca="1" si="76"/>
        <v>#NAME?</v>
      </c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3.5" customHeight="1" x14ac:dyDescent="0.3">
      <c r="A111" s="160" t="s">
        <v>618</v>
      </c>
      <c r="B111" s="8" t="s">
        <v>619</v>
      </c>
      <c r="C111" s="162" t="e">
        <f t="shared" ref="C111:D111" ca="1" si="77">(C106*C107)+C110</f>
        <v>#NAME?</v>
      </c>
      <c r="D111" s="162" t="e">
        <f t="shared" ca="1" si="77"/>
        <v>#NAME?</v>
      </c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3.5" customHeight="1" x14ac:dyDescent="0.3">
      <c r="A112" s="126"/>
      <c r="B112" s="89"/>
      <c r="C112" s="135"/>
      <c r="D112" s="135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3.5" customHeight="1" x14ac:dyDescent="0.3">
      <c r="A113" s="126"/>
      <c r="B113" s="8" t="s">
        <v>620</v>
      </c>
      <c r="C113" s="135"/>
      <c r="D113" s="135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3.5" customHeight="1" x14ac:dyDescent="0.3">
      <c r="A114" s="126" t="s">
        <v>621</v>
      </c>
      <c r="B114" s="89" t="s">
        <v>622</v>
      </c>
      <c r="C114" s="135" t="e">
        <f t="shared" ref="C114:D114" ca="1" si="78">C12+C33</f>
        <v>#NAME?</v>
      </c>
      <c r="D114" s="135" t="e">
        <f t="shared" ca="1" si="78"/>
        <v>#NAME?</v>
      </c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3.5" customHeight="1" x14ac:dyDescent="0.3">
      <c r="A115" s="126" t="s">
        <v>623</v>
      </c>
      <c r="B115" s="89" t="s">
        <v>624</v>
      </c>
      <c r="C115" s="135">
        <f t="shared" ref="C115:D115" si="79">$B$3</f>
        <v>10480</v>
      </c>
      <c r="D115" s="135">
        <f t="shared" si="79"/>
        <v>10480</v>
      </c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3.5" customHeight="1" x14ac:dyDescent="0.3">
      <c r="A116" s="160" t="s">
        <v>625</v>
      </c>
      <c r="B116" s="8" t="s">
        <v>626</v>
      </c>
      <c r="C116" s="162" t="e">
        <f t="shared" ref="C116:D116" ca="1" si="80">C114*C115</f>
        <v>#NAME?</v>
      </c>
      <c r="D116" s="162" t="e">
        <f t="shared" ca="1" si="80"/>
        <v>#NAME?</v>
      </c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3.5" customHeight="1" x14ac:dyDescent="0.3">
      <c r="A117" s="126"/>
      <c r="B117" s="89"/>
      <c r="C117" s="135"/>
      <c r="D117" s="135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3.5" customHeight="1" x14ac:dyDescent="0.3">
      <c r="A118" s="126"/>
      <c r="B118" s="8" t="s">
        <v>627</v>
      </c>
      <c r="C118" s="135"/>
      <c r="D118" s="135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3.5" customHeight="1" x14ac:dyDescent="0.3">
      <c r="A119" s="126" t="s">
        <v>628</v>
      </c>
      <c r="B119" s="89" t="s">
        <v>629</v>
      </c>
      <c r="C119" s="135" t="e">
        <f t="shared" ref="C119:D119" ca="1" si="81">C29</f>
        <v>#NAME?</v>
      </c>
      <c r="D119" s="135" t="e">
        <f t="shared" ca="1" si="81"/>
        <v>#NAME?</v>
      </c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3.5" customHeight="1" x14ac:dyDescent="0.3">
      <c r="A120" s="126" t="s">
        <v>630</v>
      </c>
      <c r="B120" s="89" t="s">
        <v>631</v>
      </c>
      <c r="C120" s="152">
        <f t="shared" ref="C120:D120" si="82">C84*0.25</f>
        <v>2172.9499999999998</v>
      </c>
      <c r="D120" s="152">
        <f t="shared" si="82"/>
        <v>2172.9499999999998</v>
      </c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3.5" customHeight="1" x14ac:dyDescent="0.3">
      <c r="A121" s="160" t="s">
        <v>632</v>
      </c>
      <c r="B121" s="8" t="s">
        <v>633</v>
      </c>
      <c r="C121" s="162" t="e">
        <f t="shared" ref="C121:D121" ca="1" si="83">C119*C120</f>
        <v>#NAME?</v>
      </c>
      <c r="D121" s="162" t="e">
        <f t="shared" ca="1" si="83"/>
        <v>#NAME?</v>
      </c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3.5" customHeight="1" x14ac:dyDescent="0.3">
      <c r="A122" s="126"/>
      <c r="B122" s="89"/>
      <c r="C122" s="135"/>
      <c r="D122" s="135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3.5" customHeight="1" x14ac:dyDescent="0.3">
      <c r="A123" s="126"/>
      <c r="B123" s="8" t="s">
        <v>634</v>
      </c>
      <c r="C123" s="135"/>
      <c r="D123" s="135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3.5" customHeight="1" x14ac:dyDescent="0.3">
      <c r="A124" s="126" t="s">
        <v>635</v>
      </c>
      <c r="B124" s="89" t="s">
        <v>578</v>
      </c>
      <c r="C124" s="135" t="e">
        <f t="shared" ref="C124:D124" ca="1" si="84">C72</f>
        <v>#NAME?</v>
      </c>
      <c r="D124" s="135" t="e">
        <f t="shared" ca="1" si="84"/>
        <v>#NAME?</v>
      </c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3.5" customHeight="1" x14ac:dyDescent="0.3">
      <c r="A125" s="126" t="s">
        <v>636</v>
      </c>
      <c r="B125" s="89" t="s">
        <v>637</v>
      </c>
      <c r="C125" s="166" t="e">
        <f t="array" aca="1" ref="C125" ca="1">_xludf.XLOOKUP($C$4,'New Formula with HB25-1320'!$C$3:$FX$3,'New Formula with HB25-1320'!C125:FX125,0)</f>
        <v>#NAME?</v>
      </c>
      <c r="D125" s="166" t="e">
        <f t="array" aca="1" ref="D125" ca="1">_xludf.XLOOKUP($C$4,'New Formula with HB25-1320'!$C$3:$FX$3,'New Formula with HB25-1320'!C125:FX125,0)</f>
        <v>#NAME?</v>
      </c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3.5" customHeight="1" x14ac:dyDescent="0.3">
      <c r="A126" s="126" t="s">
        <v>638</v>
      </c>
      <c r="B126" s="89" t="s">
        <v>639</v>
      </c>
      <c r="C126" s="166" t="e">
        <f t="shared" ref="C126:D126" ca="1" si="85">MIN(C125-1,$B$4)</f>
        <v>#NAME?</v>
      </c>
      <c r="D126" s="166" t="e">
        <f t="shared" ca="1" si="85"/>
        <v>#NAME?</v>
      </c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3.5" customHeight="1" x14ac:dyDescent="0.3">
      <c r="A127" s="160" t="s">
        <v>640</v>
      </c>
      <c r="B127" s="8" t="s">
        <v>641</v>
      </c>
      <c r="C127" s="162" t="e">
        <f t="shared" ref="C127:D127" ca="1" si="86">(C124*C84*C126)</f>
        <v>#NAME?</v>
      </c>
      <c r="D127" s="162" t="e">
        <f t="shared" ca="1" si="86"/>
        <v>#NAME?</v>
      </c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3.5" customHeight="1" x14ac:dyDescent="0.3">
      <c r="A128" s="126"/>
      <c r="B128" s="89"/>
      <c r="C128" s="135"/>
      <c r="D128" s="135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3.5" customHeight="1" x14ac:dyDescent="0.3">
      <c r="A129" s="126"/>
      <c r="B129" s="8" t="s">
        <v>642</v>
      </c>
      <c r="C129" s="135"/>
      <c r="D129" s="135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3.5" customHeight="1" x14ac:dyDescent="0.3">
      <c r="A130" s="126" t="s">
        <v>643</v>
      </c>
      <c r="B130" s="89" t="s">
        <v>578</v>
      </c>
      <c r="C130" s="89" t="e">
        <f t="shared" ref="C130:D130" ca="1" si="87">C72</f>
        <v>#NAME?</v>
      </c>
      <c r="D130" s="89" t="e">
        <f t="shared" ca="1" si="87"/>
        <v>#NAME?</v>
      </c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3.5" customHeight="1" x14ac:dyDescent="0.3">
      <c r="A131" s="126" t="s">
        <v>644</v>
      </c>
      <c r="B131" s="89" t="s">
        <v>645</v>
      </c>
      <c r="C131" s="167" t="e">
        <f t="array" aca="1" ref="C131" ca="1">_xludf.XLOOKUP($C$4,'New Formula with HB25-1320'!$C$3:$FX$3,'New Formula with HB25-1320'!C131:FX131,0)</f>
        <v>#NAME?</v>
      </c>
      <c r="D131" s="167" t="e">
        <f ca="1">C131</f>
        <v>#NAME?</v>
      </c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3.5" customHeight="1" x14ac:dyDescent="0.3">
      <c r="A132" s="126" t="s">
        <v>658</v>
      </c>
      <c r="B132" s="89" t="s">
        <v>659</v>
      </c>
      <c r="C132" s="168" t="e">
        <f t="shared" ref="C132:D132" ca="1" si="88">IF(C131="Town: Remote",0.1,IF(C131="Town: Fringe",0.025,IF(C131="Town: Distant",0.05,IF(C131="Rural: Fringe",0.15,IF(C131="Rural: Distant",0.2,IF(C131="Rural: Remote",0.25,0))))))</f>
        <v>#NAME?</v>
      </c>
      <c r="D132" s="168" t="e">
        <f t="shared" ca="1" si="88"/>
        <v>#NAME?</v>
      </c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3.5" customHeight="1" x14ac:dyDescent="0.3">
      <c r="A133" s="160" t="s">
        <v>660</v>
      </c>
      <c r="B133" s="8" t="s">
        <v>661</v>
      </c>
      <c r="C133" s="162" t="e">
        <f t="shared" ref="C133:D133" ca="1" si="89">IF(OR(C131="Rural: Remote",C131="Town: Remote"),(C130*C84*C132)+100000,(C130*C84*C132))</f>
        <v>#NAME?</v>
      </c>
      <c r="D133" s="162" t="e">
        <f t="shared" ca="1" si="89"/>
        <v>#NAME?</v>
      </c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3.5" customHeight="1" x14ac:dyDescent="0.3">
      <c r="A134" s="126"/>
      <c r="B134" s="8"/>
      <c r="C134" s="135"/>
      <c r="D134" s="135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3.5" customHeight="1" x14ac:dyDescent="0.3">
      <c r="A135" s="126"/>
      <c r="B135" s="8" t="s">
        <v>662</v>
      </c>
      <c r="C135" s="135"/>
      <c r="D135" s="135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3.5" customHeight="1" x14ac:dyDescent="0.3">
      <c r="A136" s="126" t="s">
        <v>663</v>
      </c>
      <c r="B136" s="89" t="s">
        <v>578</v>
      </c>
      <c r="C136" s="89" t="e">
        <f t="shared" ref="C136:D136" ca="1" si="90">C79-C77-C78</f>
        <v>#NAME?</v>
      </c>
      <c r="D136" s="89" t="e">
        <f t="shared" ca="1" si="90"/>
        <v>#NAME?</v>
      </c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3.5" customHeight="1" x14ac:dyDescent="0.3">
      <c r="A137" s="126" t="s">
        <v>665</v>
      </c>
      <c r="B137" s="89" t="s">
        <v>666</v>
      </c>
      <c r="C137" s="169" t="e">
        <f t="shared" ref="C137:D137" ca="1" si="91">ROUND(IF(C136&lt;276,((276-C136)*0.00376159)+1.5457,IF(C136&lt;459,((459-C136)*0.00167869)+1.2385,IF(C136&lt;1027,((1027-C136)*0.00020599)+1.1215,IF(C136&lt;2293,((2293-C136)*0.00005387)+1.0533,IF(C136&lt;3500,((3500-C136)*0.00001367)+1.0368,IF(C136&lt;5000,((5000-C136)*0.00000473)+1.0297,IF(C136&gt;=5000,1.0297))))))),4)</f>
        <v>#NAME?</v>
      </c>
      <c r="D137" s="169" t="e">
        <f t="shared" ca="1" si="91"/>
        <v>#NAME?</v>
      </c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3.5" customHeight="1" x14ac:dyDescent="0.3">
      <c r="A138" s="126" t="s">
        <v>667</v>
      </c>
      <c r="B138" s="89" t="s">
        <v>668</v>
      </c>
      <c r="C138" s="169" t="e">
        <f t="shared" ref="C138:D138" ca="1" si="92">IF(C136&lt;6500,C137-1,0)</f>
        <v>#NAME?</v>
      </c>
      <c r="D138" s="169" t="e">
        <f t="shared" ca="1" si="92"/>
        <v>#NAME?</v>
      </c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3.5" customHeight="1" x14ac:dyDescent="0.3">
      <c r="A139" s="160" t="s">
        <v>669</v>
      </c>
      <c r="B139" s="8" t="s">
        <v>1141</v>
      </c>
      <c r="C139" s="162" t="e">
        <f t="shared" ref="C139:D139" ca="1" si="93">C72*C84*C138</f>
        <v>#NAME?</v>
      </c>
      <c r="D139" s="162" t="e">
        <f t="shared" ca="1" si="93"/>
        <v>#NAME?</v>
      </c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3.5" customHeight="1" x14ac:dyDescent="0.3">
      <c r="A140" s="126"/>
      <c r="B140" s="8"/>
      <c r="C140" s="162"/>
      <c r="D140" s="162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3.5" customHeight="1" x14ac:dyDescent="0.3">
      <c r="A141" s="170"/>
      <c r="B141" s="8" t="s">
        <v>671</v>
      </c>
      <c r="C141" s="135"/>
      <c r="D141" s="135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3.5" customHeight="1" x14ac:dyDescent="0.3">
      <c r="A142" s="126" t="s">
        <v>672</v>
      </c>
      <c r="B142" s="89" t="s">
        <v>673</v>
      </c>
      <c r="C142" s="152" t="e">
        <f t="shared" ref="C142:D142" ca="1" si="94">ROUND(C86+C98+C103+C111+C116+C121+C127+C133+C139,2)</f>
        <v>#NAME?</v>
      </c>
      <c r="D142" s="152" t="e">
        <f t="shared" ca="1" si="94"/>
        <v>#NAME?</v>
      </c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3.5" customHeight="1" x14ac:dyDescent="0.3">
      <c r="A143" s="126" t="s">
        <v>675</v>
      </c>
      <c r="B143" s="89" t="s">
        <v>676</v>
      </c>
      <c r="C143" s="152" t="e">
        <f t="array" aca="1" ref="C143" ca="1">_xludf.XLOOKUP(C4,'New Formula with HB25-1320'!C3:FX3,'New Formula with HB25-1320'!C143:FX143,0)</f>
        <v>#NAME?</v>
      </c>
      <c r="D143" s="152" t="e">
        <f ca="1">C143</f>
        <v>#NAME?</v>
      </c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3.5" customHeight="1" x14ac:dyDescent="0.3">
      <c r="A144" s="126" t="s">
        <v>677</v>
      </c>
      <c r="B144" s="89" t="s">
        <v>1142</v>
      </c>
      <c r="C144" s="152" t="e">
        <f t="array" aca="1" ref="C144" ca="1">_xludf.XLOOKUP(C4,FY26SFA1994!C5:FX5,FY26SFA1994!C259:FX259,0)</f>
        <v>#NAME?</v>
      </c>
      <c r="D144" s="152" t="e">
        <f t="array" aca="1" ref="D144" ca="1">_xludf.XLOOKUP(D4,OldFormDistCalc!C5:FX5,OldFormDistCalc!C259:FX259,0)</f>
        <v>#NAME?</v>
      </c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3.5" customHeight="1" x14ac:dyDescent="0.3">
      <c r="A145" s="126" t="s">
        <v>8</v>
      </c>
      <c r="B145" s="89" t="s">
        <v>1143</v>
      </c>
      <c r="C145" s="152" t="e">
        <f ca="1">IF(C142-C144&lt;0,0,C142-C144)</f>
        <v>#NAME?</v>
      </c>
      <c r="D145" s="152" t="e">
        <f t="array" aca="1" ref="D145" ca="1">IF(D142-_xludf.XLOOKUP(D4,OldFormDistCalc!C5:FX5,OldFormDistCalc!C259:FX259,0)&lt;0,0,D142-_xludf.XLOOKUP(D4,OldFormDistCalc!C5:FX5,OldFormDistCalc!C259:FX259,0))</f>
        <v>#NAME?</v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3.5" customHeight="1" x14ac:dyDescent="0.3">
      <c r="A146" s="126" t="s">
        <v>680</v>
      </c>
      <c r="B146" s="89" t="s">
        <v>1144</v>
      </c>
      <c r="C146" s="171" t="e">
        <f ca="1">IF(C144&gt;C142,C144,C144+(C145*$B$6))</f>
        <v>#NAME?</v>
      </c>
      <c r="D146" s="171" t="e">
        <f t="array" aca="1" ref="D146" ca="1">IF(_xludf.XLOOKUP(D4,OldFormDistCalc!C5:FX5,OldFormDistCalc!C259:FX259,0)&gt;D142,_xludf.XLOOKUP(D4,OldFormDistCalc!C5:FX5,OldFormDistCalc!C259:FX259,0),_xludf.XLOOKUP(D4,OldFormDistCalc!C5:FX5,OldFormDistCalc!C259:FX259,0)+(D145*$B$6))</f>
        <v>#NAME?</v>
      </c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3.5" customHeight="1" x14ac:dyDescent="0.3">
      <c r="A147" s="160" t="s">
        <v>682</v>
      </c>
      <c r="B147" s="8" t="s">
        <v>1145</v>
      </c>
      <c r="C147" s="171" t="e">
        <f t="shared" ref="C147:D147" ca="1" si="95">MAX(C143,C146)</f>
        <v>#NAME?</v>
      </c>
      <c r="D147" s="171" t="e">
        <f t="shared" ca="1" si="95"/>
        <v>#NAME?</v>
      </c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3.5" customHeight="1" x14ac:dyDescent="0.3">
      <c r="A148" s="160"/>
      <c r="B148" s="8"/>
      <c r="C148" s="171"/>
      <c r="D148" s="171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3.5" customHeight="1" x14ac:dyDescent="0.3">
      <c r="A149" s="126" t="s">
        <v>684</v>
      </c>
      <c r="B149" s="8" t="s">
        <v>685</v>
      </c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3.5" customHeight="1" x14ac:dyDescent="0.3">
      <c r="A150" s="126" t="s">
        <v>686</v>
      </c>
      <c r="B150" s="89" t="s">
        <v>687</v>
      </c>
      <c r="C150" s="172" t="e">
        <f t="shared" ref="C150:D150" ca="1" si="96">C42</f>
        <v>#NAME?</v>
      </c>
      <c r="D150" s="172" t="e">
        <f t="shared" ca="1" si="96"/>
        <v>#NAME?</v>
      </c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3.5" customHeight="1" x14ac:dyDescent="0.3">
      <c r="A151" s="126" t="s">
        <v>688</v>
      </c>
      <c r="B151" s="89" t="s">
        <v>689</v>
      </c>
      <c r="C151" s="172" t="e">
        <f t="shared" ref="C151:D151" ca="1" si="97">ROUND(((C147-C40)/C41)*1000,3)</f>
        <v>#NAME?</v>
      </c>
      <c r="D151" s="172" t="e">
        <f t="shared" ca="1" si="97"/>
        <v>#NAME?</v>
      </c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3.5" customHeight="1" x14ac:dyDescent="0.3">
      <c r="A152" s="160" t="s">
        <v>690</v>
      </c>
      <c r="B152" s="8" t="s">
        <v>691</v>
      </c>
      <c r="C152" s="173" t="e">
        <f t="shared" ref="C152:D152" ca="1" si="98">MIN(C150,C151)</f>
        <v>#NAME?</v>
      </c>
      <c r="D152" s="173" t="e">
        <f t="shared" ca="1" si="98"/>
        <v>#NAME?</v>
      </c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3.5" customHeight="1" x14ac:dyDescent="0.3">
      <c r="A153" s="126" t="s">
        <v>692</v>
      </c>
      <c r="B153" s="89" t="s">
        <v>693</v>
      </c>
      <c r="C153" s="172" t="e">
        <f t="shared" ref="C153:D153" ca="1" si="99">C150-C152-C158</f>
        <v>#NAME?</v>
      </c>
      <c r="D153" s="172" t="e">
        <f t="shared" ca="1" si="99"/>
        <v>#NAME?</v>
      </c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3.5" customHeight="1" x14ac:dyDescent="0.3">
      <c r="A154" s="126"/>
      <c r="B154" s="89"/>
      <c r="C154" s="174"/>
      <c r="D154" s="174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3.5" customHeight="1" x14ac:dyDescent="0.3">
      <c r="A155" s="126" t="s">
        <v>684</v>
      </c>
      <c r="B155" s="8" t="s">
        <v>694</v>
      </c>
      <c r="C155" s="172"/>
      <c r="D155" s="172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3.5" customHeight="1" x14ac:dyDescent="0.3">
      <c r="A156" s="126" t="s">
        <v>695</v>
      </c>
      <c r="B156" s="89" t="s">
        <v>696</v>
      </c>
      <c r="C156" s="89" t="e">
        <f t="shared" ref="C156:D156" ca="1" si="100">ROUND(C59,2)</f>
        <v>#NAME?</v>
      </c>
      <c r="D156" s="89" t="e">
        <f t="shared" ca="1" si="100"/>
        <v>#NAME?</v>
      </c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3.5" customHeight="1" x14ac:dyDescent="0.3">
      <c r="A157" s="126" t="s">
        <v>697</v>
      </c>
      <c r="B157" s="89" t="s">
        <v>698</v>
      </c>
      <c r="C157" s="172" t="e">
        <f t="shared" ref="C157:D157" ca="1" si="101">ROUND(C156/C41,6)*1000</f>
        <v>#NAME?</v>
      </c>
      <c r="D157" s="172" t="e">
        <f t="shared" ca="1" si="101"/>
        <v>#NAME?</v>
      </c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3.5" customHeight="1" x14ac:dyDescent="0.3">
      <c r="A158" s="160" t="s">
        <v>699</v>
      </c>
      <c r="B158" s="8" t="s">
        <v>700</v>
      </c>
      <c r="C158" s="173" t="e">
        <f t="shared" ref="C158:D158" ca="1" si="102">IF(ROUND(MIN(C157,(C150-C152)),6)&lt;0,0,(ROUND(MIN(C157,(C150-C152)),6)))</f>
        <v>#NAME?</v>
      </c>
      <c r="D158" s="173" t="e">
        <f t="shared" ca="1" si="102"/>
        <v>#NAME?</v>
      </c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3.5" customHeight="1" x14ac:dyDescent="0.3">
      <c r="A159" s="89"/>
      <c r="B159" s="89" t="s">
        <v>701</v>
      </c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3.5" customHeight="1" x14ac:dyDescent="0.3">
      <c r="A160" s="126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3.5" customHeight="1" x14ac:dyDescent="0.3">
      <c r="A161" s="126" t="s">
        <v>684</v>
      </c>
      <c r="B161" s="8" t="s">
        <v>702</v>
      </c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3.5" customHeight="1" x14ac:dyDescent="0.3">
      <c r="A162" s="126" t="s">
        <v>703</v>
      </c>
      <c r="B162" s="89" t="s">
        <v>1146</v>
      </c>
      <c r="C162" s="89" t="e">
        <f t="shared" ref="C162:D162" ca="1" si="103">C147</f>
        <v>#NAME?</v>
      </c>
      <c r="D162" s="89" t="e">
        <f t="shared" ca="1" si="103"/>
        <v>#NAME?</v>
      </c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3.5" customHeight="1" x14ac:dyDescent="0.3">
      <c r="A163" s="126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3.5" customHeight="1" x14ac:dyDescent="0.3">
      <c r="A164" s="126" t="s">
        <v>705</v>
      </c>
      <c r="B164" s="89" t="s">
        <v>706</v>
      </c>
      <c r="C164" s="89" t="e">
        <f t="shared" ref="C164:D164" ca="1" si="104">((C152*C41)/1000)-C171</f>
        <v>#NAME?</v>
      </c>
      <c r="D164" s="89" t="e">
        <f t="shared" ca="1" si="104"/>
        <v>#NAME?</v>
      </c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3.5" customHeight="1" x14ac:dyDescent="0.3">
      <c r="A165" s="126" t="s">
        <v>707</v>
      </c>
      <c r="B165" s="148" t="s">
        <v>1155</v>
      </c>
      <c r="C165" s="89" t="e">
        <f t="shared" ref="C165:D165" ca="1" si="105">C40</f>
        <v>#NAME?</v>
      </c>
      <c r="D165" s="89" t="e">
        <f t="shared" ca="1" si="105"/>
        <v>#NAME?</v>
      </c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3.5" customHeight="1" x14ac:dyDescent="0.3">
      <c r="A166" s="160" t="s">
        <v>709</v>
      </c>
      <c r="B166" s="8" t="s">
        <v>710</v>
      </c>
      <c r="C166" s="8" t="e">
        <f t="shared" ref="C166:D166" ca="1" si="106">C164+C165</f>
        <v>#NAME?</v>
      </c>
      <c r="D166" s="8" t="e">
        <f t="shared" ca="1" si="106"/>
        <v>#NAME?</v>
      </c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3.5" customHeight="1" x14ac:dyDescent="0.3">
      <c r="A167" s="160"/>
      <c r="B167" s="8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3.5" customHeight="1" x14ac:dyDescent="0.3">
      <c r="A168" s="160" t="s">
        <v>711</v>
      </c>
      <c r="B168" s="8" t="s">
        <v>712</v>
      </c>
      <c r="C168" s="8" t="e">
        <f t="shared" ref="C168:D168" ca="1" si="107">IF(C162-C164-C165&lt;0,0,C162-C164-C165)</f>
        <v>#NAME?</v>
      </c>
      <c r="D168" s="8" t="e">
        <f t="shared" ca="1" si="107"/>
        <v>#NAME?</v>
      </c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3.5" customHeight="1" x14ac:dyDescent="0.3">
      <c r="A169" s="126" t="s">
        <v>713</v>
      </c>
      <c r="B169" s="89" t="s">
        <v>714</v>
      </c>
      <c r="C169" s="89" t="e">
        <f t="shared" ref="C169:D169" ca="1" si="108">ROUND(C158*C41,2)/1000</f>
        <v>#NAME?</v>
      </c>
      <c r="D169" s="89" t="e">
        <f t="shared" ca="1" si="108"/>
        <v>#NAME?</v>
      </c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3.5" customHeight="1" x14ac:dyDescent="0.3">
      <c r="A170" s="160" t="s">
        <v>715</v>
      </c>
      <c r="B170" s="8" t="s">
        <v>716</v>
      </c>
      <c r="C170" s="8" t="e">
        <f t="shared" ref="C170:D170" ca="1" si="109">ROUND(C162/C79,2)</f>
        <v>#NAME?</v>
      </c>
      <c r="D170" s="8" t="e">
        <f t="shared" ca="1" si="109"/>
        <v>#NAME?</v>
      </c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3.5" customHeight="1" x14ac:dyDescent="0.3">
      <c r="A171" s="89"/>
      <c r="B171" s="89" t="s">
        <v>718</v>
      </c>
      <c r="C171" s="125" t="e">
        <f t="array" aca="1" ref="C171" ca="1">_xludf.XLOOKUP($C$4,'New Formula with HB25-1320'!$C$3:$FX$3,'New Formula with HB25-1320'!C171:FX171,0)</f>
        <v>#NAME?</v>
      </c>
      <c r="D171" s="125" t="e">
        <f t="array" aca="1" ref="D171" ca="1">_xludf.XLOOKUP($C$4,'New Formula with HB25-1320'!$C$3:$FX$3,'New Formula with HB25-1320'!C171:FX171,0)</f>
        <v>#NAME?</v>
      </c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3.5" customHeight="1" x14ac:dyDescent="0.3">
      <c r="A172" s="126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3.5" customHeight="1" x14ac:dyDescent="0.3">
      <c r="A173" s="89"/>
      <c r="B173" s="8" t="s">
        <v>719</v>
      </c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3.5" customHeight="1" x14ac:dyDescent="0.3">
      <c r="A174" s="126" t="s">
        <v>720</v>
      </c>
      <c r="B174" s="89" t="s">
        <v>721</v>
      </c>
      <c r="C174" s="154" t="e">
        <f t="shared" ref="C174:D174" ca="1" si="110">ROUND(((C162-C169)-((C106+C114)*C175))/C72,2)</f>
        <v>#NAME?</v>
      </c>
      <c r="D174" s="154" t="e">
        <f t="shared" ca="1" si="110"/>
        <v>#NAME?</v>
      </c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3.5" customHeight="1" x14ac:dyDescent="0.3">
      <c r="A175" s="126" t="s">
        <v>722</v>
      </c>
      <c r="B175" s="89" t="s">
        <v>723</v>
      </c>
      <c r="C175" s="154">
        <f t="shared" ref="C175:D175" si="111">$B$3</f>
        <v>10480</v>
      </c>
      <c r="D175" s="154">
        <f t="shared" si="111"/>
        <v>10480</v>
      </c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3.5" customHeight="1" x14ac:dyDescent="0.3">
      <c r="A176" s="126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3.5" customHeight="1" x14ac:dyDescent="0.3">
      <c r="A177" s="126" t="s">
        <v>724</v>
      </c>
      <c r="B177" s="89" t="s">
        <v>725</v>
      </c>
      <c r="C177" s="89">
        <f ca="1">IFERROR(__xludf.DUMMYFUNCTION("((C174*(C70+C71)+(C175*(C74+C76+C78)))*-1)"),0)</f>
        <v>0</v>
      </c>
      <c r="D177" s="89">
        <f ca="1">IFERROR(__xludf.DUMMYFUNCTION("((D174*(D70+D71)+(D175*(D74+D76+D78)))*-1)"),0)</f>
        <v>0</v>
      </c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3.5" customHeight="1" x14ac:dyDescent="0.3">
      <c r="A178" s="126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3.5" customHeight="1" x14ac:dyDescent="0.3">
      <c r="A179" s="126" t="s">
        <v>726</v>
      </c>
      <c r="B179" s="89" t="s">
        <v>727</v>
      </c>
      <c r="C179" s="89" t="e">
        <f t="shared" ref="C179:D179" ca="1" si="112">C162+C177</f>
        <v>#NAME?</v>
      </c>
      <c r="D179" s="89" t="e">
        <f t="shared" ca="1" si="112"/>
        <v>#NAME?</v>
      </c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3.5" customHeight="1" x14ac:dyDescent="0.3">
      <c r="A180" s="126" t="s">
        <v>728</v>
      </c>
      <c r="B180" s="89" t="s">
        <v>729</v>
      </c>
      <c r="C180" s="89" t="e">
        <f t="shared" ref="C180:D180" ca="1" si="113">C164</f>
        <v>#NAME?</v>
      </c>
      <c r="D180" s="89" t="e">
        <f t="shared" ca="1" si="113"/>
        <v>#NAME?</v>
      </c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3.5" customHeight="1" x14ac:dyDescent="0.3">
      <c r="A181" s="126" t="s">
        <v>730</v>
      </c>
      <c r="B181" s="89" t="s">
        <v>1156</v>
      </c>
      <c r="C181" s="89" t="e">
        <f t="shared" ref="C181:D181" ca="1" si="114">C165</f>
        <v>#NAME?</v>
      </c>
      <c r="D181" s="89" t="e">
        <f t="shared" ca="1" si="114"/>
        <v>#NAME?</v>
      </c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3.5" customHeight="1" x14ac:dyDescent="0.3">
      <c r="A182" s="160" t="s">
        <v>732</v>
      </c>
      <c r="B182" s="8" t="s">
        <v>733</v>
      </c>
      <c r="C182" s="8" t="e">
        <f t="shared" ref="C182:D182" ca="1" si="115">C179-C180-C181</f>
        <v>#NAME?</v>
      </c>
      <c r="D182" s="8" t="e">
        <f t="shared" ca="1" si="115"/>
        <v>#NAME?</v>
      </c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3.5" customHeight="1" x14ac:dyDescent="0.3">
      <c r="A183" s="89"/>
      <c r="B183" s="89" t="s">
        <v>734</v>
      </c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3.5" customHeight="1" x14ac:dyDescent="0.3">
      <c r="A184" s="175" t="s">
        <v>1150</v>
      </c>
      <c r="B184" s="89" t="s">
        <v>735</v>
      </c>
      <c r="C184" s="89" t="e">
        <f t="shared" ref="C184:D184" ca="1" si="116">C169</f>
        <v>#NAME?</v>
      </c>
      <c r="D184" s="89" t="e">
        <f t="shared" ca="1" si="116"/>
        <v>#NAME?</v>
      </c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3.5" customHeight="1" x14ac:dyDescent="0.3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3.5" customHeight="1" x14ac:dyDescent="0.3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3.5" customHeight="1" x14ac:dyDescent="0.3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3.5" customHeight="1" x14ac:dyDescent="0.3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3.5" customHeight="1" x14ac:dyDescent="0.3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3.5" customHeight="1" x14ac:dyDescent="0.3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3.5" customHeight="1" x14ac:dyDescent="0.3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3.5" customHeight="1" x14ac:dyDescent="0.3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3.5" customHeight="1" x14ac:dyDescent="0.3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3.5" customHeight="1" x14ac:dyDescent="0.3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3.5" customHeight="1" x14ac:dyDescent="0.3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3.5" customHeight="1" x14ac:dyDescent="0.3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3.5" customHeight="1" x14ac:dyDescent="0.3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3.5" customHeight="1" x14ac:dyDescent="0.3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3.5" customHeight="1" x14ac:dyDescent="0.3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3.5" customHeight="1" x14ac:dyDescent="0.3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3.5" customHeight="1" x14ac:dyDescent="0.3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3.5" customHeight="1" x14ac:dyDescent="0.3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3.5" customHeight="1" x14ac:dyDescent="0.3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3.5" customHeight="1" x14ac:dyDescent="0.3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3.5" customHeight="1" x14ac:dyDescent="0.3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3.5" customHeight="1" x14ac:dyDescent="0.3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3.5" customHeight="1" x14ac:dyDescent="0.3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3.5" customHeight="1" x14ac:dyDescent="0.3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3.5" customHeight="1" x14ac:dyDescent="0.3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3.5" customHeight="1" x14ac:dyDescent="0.3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3.5" customHeight="1" x14ac:dyDescent="0.3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3.5" customHeight="1" x14ac:dyDescent="0.3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3.5" customHeight="1" x14ac:dyDescent="0.3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3.5" customHeight="1" x14ac:dyDescent="0.3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3.5" customHeight="1" x14ac:dyDescent="0.3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3.5" customHeight="1" x14ac:dyDescent="0.3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3.5" customHeight="1" x14ac:dyDescent="0.3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3.5" customHeight="1" x14ac:dyDescent="0.3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3.5" customHeight="1" x14ac:dyDescent="0.3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3.5" customHeight="1" x14ac:dyDescent="0.3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3.5" customHeight="1" x14ac:dyDescent="0.3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3.5" customHeight="1" x14ac:dyDescent="0.3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3.5" customHeight="1" x14ac:dyDescent="0.3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3.5" customHeight="1" x14ac:dyDescent="0.3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3.5" customHeight="1" x14ac:dyDescent="0.3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3.5" customHeight="1" x14ac:dyDescent="0.3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3.5" customHeight="1" x14ac:dyDescent="0.3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3.5" customHeight="1" x14ac:dyDescent="0.3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3.5" customHeight="1" x14ac:dyDescent="0.3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3.5" customHeight="1" x14ac:dyDescent="0.3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3.5" customHeight="1" x14ac:dyDescent="0.3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3.5" customHeight="1" x14ac:dyDescent="0.3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3.5" customHeight="1" x14ac:dyDescent="0.3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3.5" customHeight="1" x14ac:dyDescent="0.3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3.5" customHeight="1" x14ac:dyDescent="0.3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3.5" customHeight="1" x14ac:dyDescent="0.3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3.5" customHeight="1" x14ac:dyDescent="0.3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3.5" customHeight="1" x14ac:dyDescent="0.3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3.5" customHeight="1" x14ac:dyDescent="0.3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3.5" customHeight="1" x14ac:dyDescent="0.3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3.5" customHeight="1" x14ac:dyDescent="0.3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3.5" customHeight="1" x14ac:dyDescent="0.3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3.5" customHeight="1" x14ac:dyDescent="0.3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3.5" customHeight="1" x14ac:dyDescent="0.3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3.5" customHeight="1" x14ac:dyDescent="0.3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3.5" customHeight="1" x14ac:dyDescent="0.3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3.5" customHeight="1" x14ac:dyDescent="0.3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3.5" customHeight="1" x14ac:dyDescent="0.3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3.5" customHeight="1" x14ac:dyDescent="0.3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3.5" customHeight="1" x14ac:dyDescent="0.3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3.5" customHeight="1" x14ac:dyDescent="0.3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3.5" customHeight="1" x14ac:dyDescent="0.3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3.5" customHeight="1" x14ac:dyDescent="0.3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3.5" customHeight="1" x14ac:dyDescent="0.3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3.5" customHeight="1" x14ac:dyDescent="0.3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3.5" customHeight="1" x14ac:dyDescent="0.3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3.5" customHeight="1" x14ac:dyDescent="0.3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3.5" customHeight="1" x14ac:dyDescent="0.3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3.5" customHeight="1" x14ac:dyDescent="0.3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3.5" customHeight="1" x14ac:dyDescent="0.3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3.5" customHeight="1" x14ac:dyDescent="0.3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3.5" customHeight="1" x14ac:dyDescent="0.3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3.5" customHeight="1" x14ac:dyDescent="0.3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3.5" customHeight="1" x14ac:dyDescent="0.3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3.5" customHeight="1" x14ac:dyDescent="0.3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3.5" customHeight="1" x14ac:dyDescent="0.3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3.5" customHeight="1" x14ac:dyDescent="0.3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3.5" customHeight="1" x14ac:dyDescent="0.3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3.5" customHeight="1" x14ac:dyDescent="0.3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3.5" customHeight="1" x14ac:dyDescent="0.3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3.5" customHeight="1" x14ac:dyDescent="0.3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3.5" customHeight="1" x14ac:dyDescent="0.3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3.5" customHeight="1" x14ac:dyDescent="0.3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3.5" customHeight="1" x14ac:dyDescent="0.3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3.5" customHeight="1" x14ac:dyDescent="0.3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3.5" customHeight="1" x14ac:dyDescent="0.3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3.5" customHeight="1" x14ac:dyDescent="0.3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3.5" customHeight="1" x14ac:dyDescent="0.3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3.5" customHeight="1" x14ac:dyDescent="0.3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3.5" customHeight="1" x14ac:dyDescent="0.3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3.5" customHeight="1" x14ac:dyDescent="0.3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3.5" customHeight="1" x14ac:dyDescent="0.3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3.5" customHeight="1" x14ac:dyDescent="0.3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3.5" customHeight="1" x14ac:dyDescent="0.3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3.5" customHeight="1" x14ac:dyDescent="0.3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3.5" customHeight="1" x14ac:dyDescent="0.3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3.5" customHeight="1" x14ac:dyDescent="0.3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3.5" customHeight="1" x14ac:dyDescent="0.3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3.5" customHeight="1" x14ac:dyDescent="0.3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3.5" customHeight="1" x14ac:dyDescent="0.3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3.5" customHeight="1" x14ac:dyDescent="0.3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3.5" customHeight="1" x14ac:dyDescent="0.3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3.5" customHeight="1" x14ac:dyDescent="0.3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3.5" customHeight="1" x14ac:dyDescent="0.3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3.5" customHeight="1" x14ac:dyDescent="0.3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3.5" customHeight="1" x14ac:dyDescent="0.3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3.5" customHeight="1" x14ac:dyDescent="0.3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3.5" customHeight="1" x14ac:dyDescent="0.3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3.5" customHeight="1" x14ac:dyDescent="0.3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3.5" customHeight="1" x14ac:dyDescent="0.3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3.5" customHeight="1" x14ac:dyDescent="0.3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3.5" customHeight="1" x14ac:dyDescent="0.3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3.5" customHeight="1" x14ac:dyDescent="0.3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3.5" customHeight="1" x14ac:dyDescent="0.3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3.5" customHeight="1" x14ac:dyDescent="0.3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3.5" customHeight="1" x14ac:dyDescent="0.3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3.5" customHeight="1" x14ac:dyDescent="0.3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3.5" customHeight="1" x14ac:dyDescent="0.3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3.5" customHeight="1" x14ac:dyDescent="0.3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3.5" customHeight="1" x14ac:dyDescent="0.3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3.5" customHeight="1" x14ac:dyDescent="0.3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3.5" customHeight="1" x14ac:dyDescent="0.3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3.5" customHeight="1" x14ac:dyDescent="0.3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3.5" customHeight="1" x14ac:dyDescent="0.3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3.5" customHeight="1" x14ac:dyDescent="0.3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3.5" customHeight="1" x14ac:dyDescent="0.3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3.5" customHeight="1" x14ac:dyDescent="0.3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3.5" customHeight="1" x14ac:dyDescent="0.3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3.5" customHeight="1" x14ac:dyDescent="0.3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3.5" customHeight="1" x14ac:dyDescent="0.3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3.5" customHeight="1" x14ac:dyDescent="0.3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3.5" customHeight="1" x14ac:dyDescent="0.3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3.5" customHeight="1" x14ac:dyDescent="0.3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3.5" customHeight="1" x14ac:dyDescent="0.3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3.5" customHeight="1" x14ac:dyDescent="0.3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3.5" customHeight="1" x14ac:dyDescent="0.3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3.5" customHeight="1" x14ac:dyDescent="0.3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3.5" customHeight="1" x14ac:dyDescent="0.3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3.5" customHeight="1" x14ac:dyDescent="0.3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3.5" customHeight="1" x14ac:dyDescent="0.3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3.5" customHeight="1" x14ac:dyDescent="0.3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3.5" customHeight="1" x14ac:dyDescent="0.3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3.5" customHeight="1" x14ac:dyDescent="0.3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3.5" customHeight="1" x14ac:dyDescent="0.3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3.5" customHeight="1" x14ac:dyDescent="0.3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3.5" customHeight="1" x14ac:dyDescent="0.3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3.5" customHeight="1" x14ac:dyDescent="0.3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3.5" customHeight="1" x14ac:dyDescent="0.3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3.5" customHeight="1" x14ac:dyDescent="0.3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3.5" customHeight="1" x14ac:dyDescent="0.3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3.5" customHeight="1" x14ac:dyDescent="0.3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3.5" customHeight="1" x14ac:dyDescent="0.3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3.5" customHeight="1" x14ac:dyDescent="0.3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3.5" customHeight="1" x14ac:dyDescent="0.3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3.5" customHeight="1" x14ac:dyDescent="0.3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3.5" customHeight="1" x14ac:dyDescent="0.3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3.5" customHeight="1" x14ac:dyDescent="0.3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3.5" customHeight="1" x14ac:dyDescent="0.3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3.5" customHeight="1" x14ac:dyDescent="0.3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3.5" customHeight="1" x14ac:dyDescent="0.3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3.5" customHeight="1" x14ac:dyDescent="0.3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3.5" customHeight="1" x14ac:dyDescent="0.3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3.5" customHeight="1" x14ac:dyDescent="0.3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3.5" customHeight="1" x14ac:dyDescent="0.3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3.5" customHeight="1" x14ac:dyDescent="0.3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3.5" customHeight="1" x14ac:dyDescent="0.3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3.5" customHeight="1" x14ac:dyDescent="0.3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3.5" customHeight="1" x14ac:dyDescent="0.3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3.5" customHeight="1" x14ac:dyDescent="0.3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3.5" customHeight="1" x14ac:dyDescent="0.3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3.5" customHeight="1" x14ac:dyDescent="0.3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3.5" customHeight="1" x14ac:dyDescent="0.3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3.5" customHeight="1" x14ac:dyDescent="0.3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3.5" customHeight="1" x14ac:dyDescent="0.3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3.5" customHeight="1" x14ac:dyDescent="0.3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3.5" customHeight="1" x14ac:dyDescent="0.3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3.5" customHeight="1" x14ac:dyDescent="0.3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3.5" customHeight="1" x14ac:dyDescent="0.3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3.5" customHeight="1" x14ac:dyDescent="0.3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3.5" customHeight="1" x14ac:dyDescent="0.3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3.5" customHeight="1" x14ac:dyDescent="0.3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3.5" customHeight="1" x14ac:dyDescent="0.3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3.5" customHeight="1" x14ac:dyDescent="0.3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3.5" customHeight="1" x14ac:dyDescent="0.3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3.5" customHeight="1" x14ac:dyDescent="0.3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3.5" customHeight="1" x14ac:dyDescent="0.3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3.5" customHeight="1" x14ac:dyDescent="0.3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3.5" customHeight="1" x14ac:dyDescent="0.3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3.5" customHeight="1" x14ac:dyDescent="0.3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3.5" customHeight="1" x14ac:dyDescent="0.3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3.5" customHeight="1" x14ac:dyDescent="0.3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3.5" customHeight="1" x14ac:dyDescent="0.3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3.5" customHeight="1" x14ac:dyDescent="0.3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3.5" customHeight="1" x14ac:dyDescent="0.3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3.5" customHeight="1" x14ac:dyDescent="0.3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3.5" customHeight="1" x14ac:dyDescent="0.3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3.5" customHeight="1" x14ac:dyDescent="0.3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3.5" customHeight="1" x14ac:dyDescent="0.3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3.5" customHeight="1" x14ac:dyDescent="0.3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3.5" customHeight="1" x14ac:dyDescent="0.3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3.5" customHeight="1" x14ac:dyDescent="0.3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3.5" customHeight="1" x14ac:dyDescent="0.3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3.5" customHeight="1" x14ac:dyDescent="0.3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3.5" customHeight="1" x14ac:dyDescent="0.3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3.5" customHeight="1" x14ac:dyDescent="0.3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3.5" customHeight="1" x14ac:dyDescent="0.3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3.5" customHeight="1" x14ac:dyDescent="0.3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3.5" customHeight="1" x14ac:dyDescent="0.3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3.5" customHeight="1" x14ac:dyDescent="0.3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3.5" customHeight="1" x14ac:dyDescent="0.3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3.5" customHeight="1" x14ac:dyDescent="0.3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3.5" customHeight="1" x14ac:dyDescent="0.3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3.5" customHeight="1" x14ac:dyDescent="0.3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3.5" customHeight="1" x14ac:dyDescent="0.3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3.5" customHeight="1" x14ac:dyDescent="0.3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3.5" customHeight="1" x14ac:dyDescent="0.3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3.5" customHeight="1" x14ac:dyDescent="0.3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3.5" customHeight="1" x14ac:dyDescent="0.3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3.5" customHeight="1" x14ac:dyDescent="0.3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3.5" customHeight="1" x14ac:dyDescent="0.3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3.5" customHeight="1" x14ac:dyDescent="0.3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3.5" customHeight="1" x14ac:dyDescent="0.3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3.5" customHeight="1" x14ac:dyDescent="0.3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3.5" customHeight="1" x14ac:dyDescent="0.3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3.5" customHeight="1" x14ac:dyDescent="0.3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3.5" customHeight="1" x14ac:dyDescent="0.3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3.5" customHeight="1" x14ac:dyDescent="0.3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3.5" customHeight="1" x14ac:dyDescent="0.3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3.5" customHeight="1" x14ac:dyDescent="0.3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3.5" customHeight="1" x14ac:dyDescent="0.3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3.5" customHeight="1" x14ac:dyDescent="0.3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3.5" customHeight="1" x14ac:dyDescent="0.3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3.5" customHeight="1" x14ac:dyDescent="0.3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3.5" customHeight="1" x14ac:dyDescent="0.3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3.5" customHeight="1" x14ac:dyDescent="0.3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3.5" customHeight="1" x14ac:dyDescent="0.3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3.5" customHeight="1" x14ac:dyDescent="0.3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3.5" customHeight="1" x14ac:dyDescent="0.3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3.5" customHeight="1" x14ac:dyDescent="0.3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3.5" customHeight="1" x14ac:dyDescent="0.3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3.5" customHeight="1" x14ac:dyDescent="0.3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3.5" customHeight="1" x14ac:dyDescent="0.3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3.5" customHeight="1" x14ac:dyDescent="0.3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3.5" customHeight="1" x14ac:dyDescent="0.3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3.5" customHeight="1" x14ac:dyDescent="0.3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3.5" customHeight="1" x14ac:dyDescent="0.3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3.5" customHeight="1" x14ac:dyDescent="0.3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3.5" customHeight="1" x14ac:dyDescent="0.3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3.5" customHeight="1" x14ac:dyDescent="0.3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3.5" customHeight="1" x14ac:dyDescent="0.3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3.5" customHeight="1" x14ac:dyDescent="0.3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3.5" customHeight="1" x14ac:dyDescent="0.3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3.5" customHeight="1" x14ac:dyDescent="0.3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3.5" customHeight="1" x14ac:dyDescent="0.3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3.5" customHeight="1" x14ac:dyDescent="0.3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3.5" customHeight="1" x14ac:dyDescent="0.3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3.5" customHeight="1" x14ac:dyDescent="0.3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3.5" customHeight="1" x14ac:dyDescent="0.3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3.5" customHeight="1" x14ac:dyDescent="0.3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3.5" customHeight="1" x14ac:dyDescent="0.3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3.5" customHeight="1" x14ac:dyDescent="0.3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3.5" customHeight="1" x14ac:dyDescent="0.3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3.5" customHeight="1" x14ac:dyDescent="0.3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3.5" customHeight="1" x14ac:dyDescent="0.3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3.5" customHeight="1" x14ac:dyDescent="0.3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3.5" customHeight="1" x14ac:dyDescent="0.3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3.5" customHeight="1" x14ac:dyDescent="0.3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3.5" customHeight="1" x14ac:dyDescent="0.3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3.5" customHeight="1" x14ac:dyDescent="0.3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3.5" customHeight="1" x14ac:dyDescent="0.3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3.5" customHeight="1" x14ac:dyDescent="0.3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3.5" customHeight="1" x14ac:dyDescent="0.3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3.5" customHeight="1" x14ac:dyDescent="0.3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3.5" customHeight="1" x14ac:dyDescent="0.3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3.5" customHeight="1" x14ac:dyDescent="0.3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3.5" customHeight="1" x14ac:dyDescent="0.3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3.5" customHeight="1" x14ac:dyDescent="0.3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3.5" customHeight="1" x14ac:dyDescent="0.3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3.5" customHeight="1" x14ac:dyDescent="0.3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3.5" customHeight="1" x14ac:dyDescent="0.3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3.5" customHeight="1" x14ac:dyDescent="0.3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3.5" customHeight="1" x14ac:dyDescent="0.3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3.5" customHeight="1" x14ac:dyDescent="0.3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3.5" customHeight="1" x14ac:dyDescent="0.3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3.5" customHeight="1" x14ac:dyDescent="0.3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3.5" customHeight="1" x14ac:dyDescent="0.3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3.5" customHeight="1" x14ac:dyDescent="0.3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3.5" customHeight="1" x14ac:dyDescent="0.3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3.5" customHeight="1" x14ac:dyDescent="0.3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3.5" customHeight="1" x14ac:dyDescent="0.3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3.5" customHeight="1" x14ac:dyDescent="0.3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3.5" customHeight="1" x14ac:dyDescent="0.3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3.5" customHeight="1" x14ac:dyDescent="0.3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3.5" customHeight="1" x14ac:dyDescent="0.3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3.5" customHeight="1" x14ac:dyDescent="0.3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3.5" customHeight="1" x14ac:dyDescent="0.3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3.5" customHeight="1" x14ac:dyDescent="0.3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3.5" customHeight="1" x14ac:dyDescent="0.3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3.5" customHeight="1" x14ac:dyDescent="0.3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3.5" customHeight="1" x14ac:dyDescent="0.3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3.5" customHeight="1" x14ac:dyDescent="0.3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3.5" customHeight="1" x14ac:dyDescent="0.3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3.5" customHeight="1" x14ac:dyDescent="0.3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3.5" customHeight="1" x14ac:dyDescent="0.3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3.5" customHeight="1" x14ac:dyDescent="0.3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3.5" customHeight="1" x14ac:dyDescent="0.3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3.5" customHeight="1" x14ac:dyDescent="0.3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3.5" customHeight="1" x14ac:dyDescent="0.3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3.5" customHeight="1" x14ac:dyDescent="0.3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3.5" customHeight="1" x14ac:dyDescent="0.3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3.5" customHeight="1" x14ac:dyDescent="0.3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3.5" customHeight="1" x14ac:dyDescent="0.3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3.5" customHeight="1" x14ac:dyDescent="0.3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3.5" customHeight="1" x14ac:dyDescent="0.3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3.5" customHeight="1" x14ac:dyDescent="0.3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3.5" customHeight="1" x14ac:dyDescent="0.3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3.5" customHeight="1" x14ac:dyDescent="0.3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3.5" customHeight="1" x14ac:dyDescent="0.3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3.5" customHeight="1" x14ac:dyDescent="0.3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3.5" customHeight="1" x14ac:dyDescent="0.3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3.5" customHeight="1" x14ac:dyDescent="0.3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3.5" customHeight="1" x14ac:dyDescent="0.3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3.5" customHeight="1" x14ac:dyDescent="0.3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3.5" customHeight="1" x14ac:dyDescent="0.3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3.5" customHeight="1" x14ac:dyDescent="0.3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3.5" customHeight="1" x14ac:dyDescent="0.3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3.5" customHeight="1" x14ac:dyDescent="0.3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3.5" customHeight="1" x14ac:dyDescent="0.3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3.5" customHeight="1" x14ac:dyDescent="0.3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3.5" customHeight="1" x14ac:dyDescent="0.3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3.5" customHeight="1" x14ac:dyDescent="0.3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3.5" customHeight="1" x14ac:dyDescent="0.3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3.5" customHeight="1" x14ac:dyDescent="0.3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3.5" customHeight="1" x14ac:dyDescent="0.3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3.5" customHeight="1" x14ac:dyDescent="0.3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3.5" customHeight="1" x14ac:dyDescent="0.3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3.5" customHeight="1" x14ac:dyDescent="0.3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3.5" customHeight="1" x14ac:dyDescent="0.3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3.5" customHeight="1" x14ac:dyDescent="0.3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3.5" customHeight="1" x14ac:dyDescent="0.3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3.5" customHeight="1" x14ac:dyDescent="0.3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3.5" customHeight="1" x14ac:dyDescent="0.3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3.5" customHeight="1" x14ac:dyDescent="0.3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3.5" customHeight="1" x14ac:dyDescent="0.3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3.5" customHeight="1" x14ac:dyDescent="0.3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3.5" customHeight="1" x14ac:dyDescent="0.3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3.5" customHeight="1" x14ac:dyDescent="0.3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3.5" customHeight="1" x14ac:dyDescent="0.3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3.5" customHeight="1" x14ac:dyDescent="0.3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3.5" customHeight="1" x14ac:dyDescent="0.3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3.5" customHeight="1" x14ac:dyDescent="0.3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3.5" customHeight="1" x14ac:dyDescent="0.3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3.5" customHeight="1" x14ac:dyDescent="0.3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3.5" customHeight="1" x14ac:dyDescent="0.3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3.5" customHeight="1" x14ac:dyDescent="0.3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3.5" customHeight="1" x14ac:dyDescent="0.3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3.5" customHeight="1" x14ac:dyDescent="0.3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3.5" customHeight="1" x14ac:dyDescent="0.3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3.5" customHeight="1" x14ac:dyDescent="0.3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3.5" customHeight="1" x14ac:dyDescent="0.3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3.5" customHeight="1" x14ac:dyDescent="0.3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3.5" customHeight="1" x14ac:dyDescent="0.3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3.5" customHeight="1" x14ac:dyDescent="0.3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3.5" customHeight="1" x14ac:dyDescent="0.3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3.5" customHeight="1" x14ac:dyDescent="0.3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3.5" customHeight="1" x14ac:dyDescent="0.3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3.5" customHeight="1" x14ac:dyDescent="0.3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3.5" customHeight="1" x14ac:dyDescent="0.3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3.5" customHeight="1" x14ac:dyDescent="0.3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3.5" customHeight="1" x14ac:dyDescent="0.3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3.5" customHeight="1" x14ac:dyDescent="0.3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3.5" customHeight="1" x14ac:dyDescent="0.3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3.5" customHeight="1" x14ac:dyDescent="0.3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3.5" customHeight="1" x14ac:dyDescent="0.3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3.5" customHeight="1" x14ac:dyDescent="0.3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3.5" customHeight="1" x14ac:dyDescent="0.3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3.5" customHeight="1" x14ac:dyDescent="0.3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3.5" customHeight="1" x14ac:dyDescent="0.3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3.5" customHeight="1" x14ac:dyDescent="0.3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3.5" customHeight="1" x14ac:dyDescent="0.3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3.5" customHeight="1" x14ac:dyDescent="0.3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3.5" customHeight="1" x14ac:dyDescent="0.3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3.5" customHeight="1" x14ac:dyDescent="0.3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3.5" customHeight="1" x14ac:dyDescent="0.3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3.5" customHeight="1" x14ac:dyDescent="0.3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3.5" customHeight="1" x14ac:dyDescent="0.3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3.5" customHeight="1" x14ac:dyDescent="0.3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3.5" customHeight="1" x14ac:dyDescent="0.3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3.5" customHeight="1" x14ac:dyDescent="0.3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3.5" customHeight="1" x14ac:dyDescent="0.3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3.5" customHeight="1" x14ac:dyDescent="0.3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3.5" customHeight="1" x14ac:dyDescent="0.3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3.5" customHeight="1" x14ac:dyDescent="0.3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3.5" customHeight="1" x14ac:dyDescent="0.3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3.5" customHeight="1" x14ac:dyDescent="0.3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3.5" customHeight="1" x14ac:dyDescent="0.3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3.5" customHeight="1" x14ac:dyDescent="0.3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3.5" customHeight="1" x14ac:dyDescent="0.3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3.5" customHeight="1" x14ac:dyDescent="0.3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3.5" customHeight="1" x14ac:dyDescent="0.3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3.5" customHeight="1" x14ac:dyDescent="0.3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3.5" customHeight="1" x14ac:dyDescent="0.3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3.5" customHeight="1" x14ac:dyDescent="0.3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3.5" customHeight="1" x14ac:dyDescent="0.3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3.5" customHeight="1" x14ac:dyDescent="0.3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3.5" customHeight="1" x14ac:dyDescent="0.3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3.5" customHeight="1" x14ac:dyDescent="0.3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3.5" customHeight="1" x14ac:dyDescent="0.3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3.5" customHeight="1" x14ac:dyDescent="0.3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3.5" customHeight="1" x14ac:dyDescent="0.3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3.5" customHeight="1" x14ac:dyDescent="0.3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3.5" customHeight="1" x14ac:dyDescent="0.3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3.5" customHeight="1" x14ac:dyDescent="0.3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3.5" customHeight="1" x14ac:dyDescent="0.3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3.5" customHeight="1" x14ac:dyDescent="0.3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3.5" customHeight="1" x14ac:dyDescent="0.3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3.5" customHeight="1" x14ac:dyDescent="0.3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3.5" customHeight="1" x14ac:dyDescent="0.3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3.5" customHeight="1" x14ac:dyDescent="0.3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3.5" customHeight="1" x14ac:dyDescent="0.3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3.5" customHeight="1" x14ac:dyDescent="0.3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3.5" customHeight="1" x14ac:dyDescent="0.3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3.5" customHeight="1" x14ac:dyDescent="0.3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3.5" customHeight="1" x14ac:dyDescent="0.3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3.5" customHeight="1" x14ac:dyDescent="0.3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3.5" customHeight="1" x14ac:dyDescent="0.3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3.5" customHeight="1" x14ac:dyDescent="0.3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3.5" customHeight="1" x14ac:dyDescent="0.3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3.5" customHeight="1" x14ac:dyDescent="0.3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3.5" customHeight="1" x14ac:dyDescent="0.3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3.5" customHeight="1" x14ac:dyDescent="0.3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3.5" customHeight="1" x14ac:dyDescent="0.3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3.5" customHeight="1" x14ac:dyDescent="0.3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3.5" customHeight="1" x14ac:dyDescent="0.3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3.5" customHeight="1" x14ac:dyDescent="0.3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3.5" customHeight="1" x14ac:dyDescent="0.3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3.5" customHeight="1" x14ac:dyDescent="0.3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3.5" customHeight="1" x14ac:dyDescent="0.3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3.5" customHeight="1" x14ac:dyDescent="0.3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3.5" customHeight="1" x14ac:dyDescent="0.3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3.5" customHeight="1" x14ac:dyDescent="0.3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3.5" customHeight="1" x14ac:dyDescent="0.3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3.5" customHeight="1" x14ac:dyDescent="0.3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3.5" customHeight="1" x14ac:dyDescent="0.3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3.5" customHeight="1" x14ac:dyDescent="0.3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3.5" customHeight="1" x14ac:dyDescent="0.3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3.5" customHeight="1" x14ac:dyDescent="0.3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3.5" customHeight="1" x14ac:dyDescent="0.3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3.5" customHeight="1" x14ac:dyDescent="0.3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3.5" customHeight="1" x14ac:dyDescent="0.3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3.5" customHeight="1" x14ac:dyDescent="0.3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3.5" customHeight="1" x14ac:dyDescent="0.3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3.5" customHeight="1" x14ac:dyDescent="0.3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3.5" customHeight="1" x14ac:dyDescent="0.3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3.5" customHeight="1" x14ac:dyDescent="0.3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3.5" customHeight="1" x14ac:dyDescent="0.3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3.5" customHeight="1" x14ac:dyDescent="0.3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3.5" customHeight="1" x14ac:dyDescent="0.3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3.5" customHeight="1" x14ac:dyDescent="0.3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3.5" customHeight="1" x14ac:dyDescent="0.3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3.5" customHeight="1" x14ac:dyDescent="0.3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3.5" customHeight="1" x14ac:dyDescent="0.3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3.5" customHeight="1" x14ac:dyDescent="0.3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3.5" customHeight="1" x14ac:dyDescent="0.3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3.5" customHeight="1" x14ac:dyDescent="0.3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3.5" customHeight="1" x14ac:dyDescent="0.3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3.5" customHeight="1" x14ac:dyDescent="0.3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3.5" customHeight="1" x14ac:dyDescent="0.3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3.5" customHeight="1" x14ac:dyDescent="0.3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3.5" customHeight="1" x14ac:dyDescent="0.3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3.5" customHeight="1" x14ac:dyDescent="0.3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3.5" customHeight="1" x14ac:dyDescent="0.3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3.5" customHeight="1" x14ac:dyDescent="0.3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3.5" customHeight="1" x14ac:dyDescent="0.3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3.5" customHeight="1" x14ac:dyDescent="0.3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3.5" customHeight="1" x14ac:dyDescent="0.3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3.5" customHeight="1" x14ac:dyDescent="0.3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3.5" customHeight="1" x14ac:dyDescent="0.3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3.5" customHeight="1" x14ac:dyDescent="0.3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3.5" customHeight="1" x14ac:dyDescent="0.3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3.5" customHeight="1" x14ac:dyDescent="0.3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3.5" customHeight="1" x14ac:dyDescent="0.3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3.5" customHeight="1" x14ac:dyDescent="0.3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3.5" customHeight="1" x14ac:dyDescent="0.3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3.5" customHeight="1" x14ac:dyDescent="0.3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3.5" customHeight="1" x14ac:dyDescent="0.3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3.5" customHeight="1" x14ac:dyDescent="0.3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3.5" customHeight="1" x14ac:dyDescent="0.3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3.5" customHeight="1" x14ac:dyDescent="0.3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3.5" customHeight="1" x14ac:dyDescent="0.3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3.5" customHeight="1" x14ac:dyDescent="0.3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3.5" customHeight="1" x14ac:dyDescent="0.3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3.5" customHeight="1" x14ac:dyDescent="0.3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3.5" customHeight="1" x14ac:dyDescent="0.3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3.5" customHeight="1" x14ac:dyDescent="0.3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3.5" customHeight="1" x14ac:dyDescent="0.3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3.5" customHeight="1" x14ac:dyDescent="0.3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3.5" customHeight="1" x14ac:dyDescent="0.3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3.5" customHeight="1" x14ac:dyDescent="0.3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3.5" customHeight="1" x14ac:dyDescent="0.3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3.5" customHeight="1" x14ac:dyDescent="0.3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3.5" customHeight="1" x14ac:dyDescent="0.3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3.5" customHeight="1" x14ac:dyDescent="0.3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3.5" customHeight="1" x14ac:dyDescent="0.3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3.5" customHeight="1" x14ac:dyDescent="0.3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3.5" customHeight="1" x14ac:dyDescent="0.3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3.5" customHeight="1" x14ac:dyDescent="0.3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3.5" customHeight="1" x14ac:dyDescent="0.3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3.5" customHeight="1" x14ac:dyDescent="0.3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3.5" customHeight="1" x14ac:dyDescent="0.3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3.5" customHeight="1" x14ac:dyDescent="0.3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3.5" customHeight="1" x14ac:dyDescent="0.3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3.5" customHeight="1" x14ac:dyDescent="0.3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3.5" customHeight="1" x14ac:dyDescent="0.3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3.5" customHeight="1" x14ac:dyDescent="0.3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3.5" customHeight="1" x14ac:dyDescent="0.3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3.5" customHeight="1" x14ac:dyDescent="0.3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3.5" customHeight="1" x14ac:dyDescent="0.3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3.5" customHeight="1" x14ac:dyDescent="0.3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3.5" customHeight="1" x14ac:dyDescent="0.3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3.5" customHeight="1" x14ac:dyDescent="0.3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3.5" customHeight="1" x14ac:dyDescent="0.3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3.5" customHeight="1" x14ac:dyDescent="0.3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3.5" customHeight="1" x14ac:dyDescent="0.3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3.5" customHeight="1" x14ac:dyDescent="0.3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3.5" customHeight="1" x14ac:dyDescent="0.3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3.5" customHeight="1" x14ac:dyDescent="0.3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3.5" customHeight="1" x14ac:dyDescent="0.3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3.5" customHeight="1" x14ac:dyDescent="0.3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3.5" customHeight="1" x14ac:dyDescent="0.3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3.5" customHeight="1" x14ac:dyDescent="0.3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3.5" customHeight="1" x14ac:dyDescent="0.3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3.5" customHeight="1" x14ac:dyDescent="0.3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3.5" customHeight="1" x14ac:dyDescent="0.3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3.5" customHeight="1" x14ac:dyDescent="0.3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3.5" customHeight="1" x14ac:dyDescent="0.3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3.5" customHeight="1" x14ac:dyDescent="0.3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3.5" customHeight="1" x14ac:dyDescent="0.3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3.5" customHeight="1" x14ac:dyDescent="0.3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3.5" customHeight="1" x14ac:dyDescent="0.3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3.5" customHeight="1" x14ac:dyDescent="0.3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3.5" customHeight="1" x14ac:dyDescent="0.3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3.5" customHeight="1" x14ac:dyDescent="0.3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3.5" customHeight="1" x14ac:dyDescent="0.3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3.5" customHeight="1" x14ac:dyDescent="0.3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3.5" customHeight="1" x14ac:dyDescent="0.3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3.5" customHeight="1" x14ac:dyDescent="0.3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3.5" customHeight="1" x14ac:dyDescent="0.3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3.5" customHeight="1" x14ac:dyDescent="0.3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3.5" customHeight="1" x14ac:dyDescent="0.3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3.5" customHeight="1" x14ac:dyDescent="0.3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3.5" customHeight="1" x14ac:dyDescent="0.3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3.5" customHeight="1" x14ac:dyDescent="0.3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3.5" customHeight="1" x14ac:dyDescent="0.3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3.5" customHeight="1" x14ac:dyDescent="0.3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3.5" customHeight="1" x14ac:dyDescent="0.3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3.5" customHeight="1" x14ac:dyDescent="0.3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3.5" customHeight="1" x14ac:dyDescent="0.3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3.5" customHeight="1" x14ac:dyDescent="0.3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3.5" customHeight="1" x14ac:dyDescent="0.3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3.5" customHeight="1" x14ac:dyDescent="0.3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3.5" customHeight="1" x14ac:dyDescent="0.3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3.5" customHeight="1" x14ac:dyDescent="0.3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3.5" customHeight="1" x14ac:dyDescent="0.3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3.5" customHeight="1" x14ac:dyDescent="0.3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3.5" customHeight="1" x14ac:dyDescent="0.3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3.5" customHeight="1" x14ac:dyDescent="0.3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3.5" customHeight="1" x14ac:dyDescent="0.3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3.5" customHeight="1" x14ac:dyDescent="0.3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3.5" customHeight="1" x14ac:dyDescent="0.3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3.5" customHeight="1" x14ac:dyDescent="0.3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3.5" customHeight="1" x14ac:dyDescent="0.3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3.5" customHeight="1" x14ac:dyDescent="0.3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3.5" customHeight="1" x14ac:dyDescent="0.3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3.5" customHeight="1" x14ac:dyDescent="0.3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3.5" customHeight="1" x14ac:dyDescent="0.3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3.5" customHeight="1" x14ac:dyDescent="0.3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3.5" customHeight="1" x14ac:dyDescent="0.3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3.5" customHeight="1" x14ac:dyDescent="0.3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3.5" customHeight="1" x14ac:dyDescent="0.3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3.5" customHeight="1" x14ac:dyDescent="0.3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3.5" customHeight="1" x14ac:dyDescent="0.3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3.5" customHeight="1" x14ac:dyDescent="0.3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3.5" customHeight="1" x14ac:dyDescent="0.3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3.5" customHeight="1" x14ac:dyDescent="0.3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3.5" customHeight="1" x14ac:dyDescent="0.3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3.5" customHeight="1" x14ac:dyDescent="0.3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3.5" customHeight="1" x14ac:dyDescent="0.3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3.5" customHeight="1" x14ac:dyDescent="0.3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3.5" customHeight="1" x14ac:dyDescent="0.3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3.5" customHeight="1" x14ac:dyDescent="0.3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3.5" customHeight="1" x14ac:dyDescent="0.3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3.5" customHeight="1" x14ac:dyDescent="0.3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3.5" customHeight="1" x14ac:dyDescent="0.3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3.5" customHeight="1" x14ac:dyDescent="0.3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3.5" customHeight="1" x14ac:dyDescent="0.3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3.5" customHeight="1" x14ac:dyDescent="0.3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3.5" customHeight="1" x14ac:dyDescent="0.3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3.5" customHeight="1" x14ac:dyDescent="0.3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3.5" customHeight="1" x14ac:dyDescent="0.3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3.5" customHeight="1" x14ac:dyDescent="0.3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3.5" customHeight="1" x14ac:dyDescent="0.3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3.5" customHeight="1" x14ac:dyDescent="0.3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3.5" customHeight="1" x14ac:dyDescent="0.3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3.5" customHeight="1" x14ac:dyDescent="0.3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3.5" customHeight="1" x14ac:dyDescent="0.3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3.5" customHeight="1" x14ac:dyDescent="0.3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3.5" customHeight="1" x14ac:dyDescent="0.3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3.5" customHeight="1" x14ac:dyDescent="0.3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3.5" customHeight="1" x14ac:dyDescent="0.3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3.5" customHeight="1" x14ac:dyDescent="0.3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3.5" customHeight="1" x14ac:dyDescent="0.3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3.5" customHeight="1" x14ac:dyDescent="0.3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3.5" customHeight="1" x14ac:dyDescent="0.3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3.5" customHeight="1" x14ac:dyDescent="0.3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3.5" customHeight="1" x14ac:dyDescent="0.3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3.5" customHeight="1" x14ac:dyDescent="0.3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3.5" customHeight="1" x14ac:dyDescent="0.3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3.5" customHeight="1" x14ac:dyDescent="0.3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3.5" customHeight="1" x14ac:dyDescent="0.3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3.5" customHeight="1" x14ac:dyDescent="0.3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3.5" customHeight="1" x14ac:dyDescent="0.3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3.5" customHeight="1" x14ac:dyDescent="0.3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3.5" customHeight="1" x14ac:dyDescent="0.3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3.5" customHeight="1" x14ac:dyDescent="0.3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3.5" customHeight="1" x14ac:dyDescent="0.3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3.5" customHeight="1" x14ac:dyDescent="0.3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3.5" customHeight="1" x14ac:dyDescent="0.3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3.5" customHeight="1" x14ac:dyDescent="0.3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3.5" customHeight="1" x14ac:dyDescent="0.3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3.5" customHeight="1" x14ac:dyDescent="0.3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3.5" customHeight="1" x14ac:dyDescent="0.3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3.5" customHeight="1" x14ac:dyDescent="0.3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3.5" customHeight="1" x14ac:dyDescent="0.3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3.5" customHeight="1" x14ac:dyDescent="0.3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3.5" customHeight="1" x14ac:dyDescent="0.3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3.5" customHeight="1" x14ac:dyDescent="0.3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3.5" customHeight="1" x14ac:dyDescent="0.3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3.5" customHeight="1" x14ac:dyDescent="0.3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3.5" customHeight="1" x14ac:dyDescent="0.3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3.5" customHeight="1" x14ac:dyDescent="0.3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3.5" customHeight="1" x14ac:dyDescent="0.3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3.5" customHeight="1" x14ac:dyDescent="0.3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3.5" customHeight="1" x14ac:dyDescent="0.3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3.5" customHeight="1" x14ac:dyDescent="0.3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3.5" customHeight="1" x14ac:dyDescent="0.3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3.5" customHeight="1" x14ac:dyDescent="0.3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3.5" customHeight="1" x14ac:dyDescent="0.3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3.5" customHeight="1" x14ac:dyDescent="0.3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3.5" customHeight="1" x14ac:dyDescent="0.3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3.5" customHeight="1" x14ac:dyDescent="0.3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3.5" customHeight="1" x14ac:dyDescent="0.3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3.5" customHeight="1" x14ac:dyDescent="0.3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3.5" customHeight="1" x14ac:dyDescent="0.3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3.5" customHeight="1" x14ac:dyDescent="0.3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3.5" customHeight="1" x14ac:dyDescent="0.3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3.5" customHeight="1" x14ac:dyDescent="0.3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3.5" customHeight="1" x14ac:dyDescent="0.3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3.5" customHeight="1" x14ac:dyDescent="0.3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3.5" customHeight="1" x14ac:dyDescent="0.3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3.5" customHeight="1" x14ac:dyDescent="0.3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3.5" customHeight="1" x14ac:dyDescent="0.3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3.5" customHeight="1" x14ac:dyDescent="0.3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3.5" customHeight="1" x14ac:dyDescent="0.3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3.5" customHeight="1" x14ac:dyDescent="0.3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3.5" customHeight="1" x14ac:dyDescent="0.3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3.5" customHeight="1" x14ac:dyDescent="0.3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3.5" customHeight="1" x14ac:dyDescent="0.3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3.5" customHeight="1" x14ac:dyDescent="0.3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3.5" customHeight="1" x14ac:dyDescent="0.3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3.5" customHeight="1" x14ac:dyDescent="0.3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3.5" customHeight="1" x14ac:dyDescent="0.3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3.5" customHeight="1" x14ac:dyDescent="0.3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3.5" customHeight="1" x14ac:dyDescent="0.3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3.5" customHeight="1" x14ac:dyDescent="0.3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3.5" customHeight="1" x14ac:dyDescent="0.3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3.5" customHeight="1" x14ac:dyDescent="0.3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3.5" customHeight="1" x14ac:dyDescent="0.3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3.5" customHeight="1" x14ac:dyDescent="0.3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3.5" customHeight="1" x14ac:dyDescent="0.3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3.5" customHeight="1" x14ac:dyDescent="0.3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3.5" customHeight="1" x14ac:dyDescent="0.3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3.5" customHeight="1" x14ac:dyDescent="0.3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3.5" customHeight="1" x14ac:dyDescent="0.3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3.5" customHeight="1" x14ac:dyDescent="0.3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3.5" customHeight="1" x14ac:dyDescent="0.3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3.5" customHeight="1" x14ac:dyDescent="0.3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3.5" customHeight="1" x14ac:dyDescent="0.3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3.5" customHeight="1" x14ac:dyDescent="0.3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3.5" customHeight="1" x14ac:dyDescent="0.3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3.5" customHeight="1" x14ac:dyDescent="0.3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3.5" customHeight="1" x14ac:dyDescent="0.3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3.5" customHeight="1" x14ac:dyDescent="0.3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3.5" customHeight="1" x14ac:dyDescent="0.3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3.5" customHeight="1" x14ac:dyDescent="0.3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3.5" customHeight="1" x14ac:dyDescent="0.3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3.5" customHeight="1" x14ac:dyDescent="0.3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3.5" customHeight="1" x14ac:dyDescent="0.3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3.5" customHeight="1" x14ac:dyDescent="0.3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3.5" customHeight="1" x14ac:dyDescent="0.3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3.5" customHeight="1" x14ac:dyDescent="0.3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3.5" customHeight="1" x14ac:dyDescent="0.3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3.5" customHeight="1" x14ac:dyDescent="0.3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3.5" customHeight="1" x14ac:dyDescent="0.3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3.5" customHeight="1" x14ac:dyDescent="0.3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3.5" customHeight="1" x14ac:dyDescent="0.3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3.5" customHeight="1" x14ac:dyDescent="0.3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3.5" customHeight="1" x14ac:dyDescent="0.3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3.5" customHeight="1" x14ac:dyDescent="0.3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3.5" customHeight="1" x14ac:dyDescent="0.3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3.5" customHeight="1" x14ac:dyDescent="0.3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3.5" customHeight="1" x14ac:dyDescent="0.3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3.5" customHeight="1" x14ac:dyDescent="0.3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3.5" customHeight="1" x14ac:dyDescent="0.3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3.5" customHeight="1" x14ac:dyDescent="0.3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3.5" customHeight="1" x14ac:dyDescent="0.3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3.5" customHeight="1" x14ac:dyDescent="0.3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3.5" customHeight="1" x14ac:dyDescent="0.3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3.5" customHeight="1" x14ac:dyDescent="0.3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3.5" customHeight="1" x14ac:dyDescent="0.3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3.5" customHeight="1" x14ac:dyDescent="0.3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3.5" customHeight="1" x14ac:dyDescent="0.3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3.5" customHeight="1" x14ac:dyDescent="0.3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3.5" customHeight="1" x14ac:dyDescent="0.3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3.5" customHeight="1" x14ac:dyDescent="0.3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3.5" customHeight="1" x14ac:dyDescent="0.3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3.5" customHeight="1" x14ac:dyDescent="0.3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3.5" customHeight="1" x14ac:dyDescent="0.3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3.5" customHeight="1" x14ac:dyDescent="0.3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3.5" customHeight="1" x14ac:dyDescent="0.3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3.5" customHeight="1" x14ac:dyDescent="0.3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3.5" customHeight="1" x14ac:dyDescent="0.3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3.5" customHeight="1" x14ac:dyDescent="0.3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3.5" customHeight="1" x14ac:dyDescent="0.3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3.5" customHeight="1" x14ac:dyDescent="0.3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3.5" customHeight="1" x14ac:dyDescent="0.3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3.5" customHeight="1" x14ac:dyDescent="0.3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3.5" customHeight="1" x14ac:dyDescent="0.3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3.5" customHeight="1" x14ac:dyDescent="0.3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3.5" customHeight="1" x14ac:dyDescent="0.3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3.5" customHeight="1" x14ac:dyDescent="0.3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3.5" customHeight="1" x14ac:dyDescent="0.3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3.5" customHeight="1" x14ac:dyDescent="0.3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3.5" customHeight="1" x14ac:dyDescent="0.3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3.5" customHeight="1" x14ac:dyDescent="0.3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3.5" customHeight="1" x14ac:dyDescent="0.3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3.5" customHeight="1" x14ac:dyDescent="0.3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3.5" customHeight="1" x14ac:dyDescent="0.3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3.5" customHeight="1" x14ac:dyDescent="0.3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3.5" customHeight="1" x14ac:dyDescent="0.3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3.5" customHeight="1" x14ac:dyDescent="0.3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3.5" customHeight="1" x14ac:dyDescent="0.3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3.5" customHeight="1" x14ac:dyDescent="0.3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3.5" customHeight="1" x14ac:dyDescent="0.3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3.5" customHeight="1" x14ac:dyDescent="0.3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3.5" customHeight="1" x14ac:dyDescent="0.3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3.5" customHeight="1" x14ac:dyDescent="0.3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3.5" customHeight="1" x14ac:dyDescent="0.3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3.5" customHeight="1" x14ac:dyDescent="0.3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3.5" customHeight="1" x14ac:dyDescent="0.3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3.5" customHeight="1" x14ac:dyDescent="0.3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3.5" customHeight="1" x14ac:dyDescent="0.3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3.5" customHeight="1" x14ac:dyDescent="0.3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3.5" customHeight="1" x14ac:dyDescent="0.3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3.5" customHeight="1" x14ac:dyDescent="0.3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3.5" customHeight="1" x14ac:dyDescent="0.3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3.5" customHeight="1" x14ac:dyDescent="0.3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3.5" customHeight="1" x14ac:dyDescent="0.3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3.5" customHeight="1" x14ac:dyDescent="0.3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3.5" customHeight="1" x14ac:dyDescent="0.3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3.5" customHeight="1" x14ac:dyDescent="0.3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3.5" customHeight="1" x14ac:dyDescent="0.3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3.5" customHeight="1" x14ac:dyDescent="0.3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3.5" customHeight="1" x14ac:dyDescent="0.3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3.5" customHeight="1" x14ac:dyDescent="0.3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3.5" customHeight="1" x14ac:dyDescent="0.3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3.5" customHeight="1" x14ac:dyDescent="0.3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3.5" customHeight="1" x14ac:dyDescent="0.3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3.5" customHeight="1" x14ac:dyDescent="0.3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3.5" customHeight="1" x14ac:dyDescent="0.3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3.5" customHeight="1" x14ac:dyDescent="0.3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3.5" customHeight="1" x14ac:dyDescent="0.3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3.5" customHeight="1" x14ac:dyDescent="0.3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3.5" customHeight="1" x14ac:dyDescent="0.3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3.5" customHeight="1" x14ac:dyDescent="0.3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3.5" customHeight="1" x14ac:dyDescent="0.3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3.5" customHeight="1" x14ac:dyDescent="0.3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3.5" customHeight="1" x14ac:dyDescent="0.3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3.5" customHeight="1" x14ac:dyDescent="0.3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3.5" customHeight="1" x14ac:dyDescent="0.3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3.5" customHeight="1" x14ac:dyDescent="0.3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3.5" customHeight="1" x14ac:dyDescent="0.3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3.5" customHeight="1" x14ac:dyDescent="0.3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3.5" customHeight="1" x14ac:dyDescent="0.3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3.5" customHeight="1" x14ac:dyDescent="0.3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3.5" customHeight="1" x14ac:dyDescent="0.3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3.5" customHeight="1" x14ac:dyDescent="0.3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3.5" customHeight="1" x14ac:dyDescent="0.3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3.5" customHeight="1" x14ac:dyDescent="0.3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3.5" customHeight="1" x14ac:dyDescent="0.3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3.5" customHeight="1" x14ac:dyDescent="0.3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3.5" customHeight="1" x14ac:dyDescent="0.3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3.5" customHeight="1" x14ac:dyDescent="0.3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3.5" customHeight="1" x14ac:dyDescent="0.3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3.5" customHeight="1" x14ac:dyDescent="0.3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3.5" customHeight="1" x14ac:dyDescent="0.3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3.5" customHeight="1" x14ac:dyDescent="0.3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3.5" customHeight="1" x14ac:dyDescent="0.3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3.5" customHeight="1" x14ac:dyDescent="0.3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3.5" customHeight="1" x14ac:dyDescent="0.3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conditionalFormatting sqref="C89:D90">
    <cfRule type="cellIs" dxfId="12" priority="1" operator="lessThanOrEqual">
      <formula>16</formula>
    </cfRule>
  </conditionalFormatting>
  <conditionalFormatting sqref="C93:D94">
    <cfRule type="cellIs" dxfId="11" priority="2" operator="lessThanOrEqual">
      <formula>16</formula>
    </cfRule>
  </conditionalFormatting>
  <conditionalFormatting sqref="C98:D98">
    <cfRule type="expression" dxfId="10" priority="3">
      <formula>C94&lt;17</formula>
    </cfRule>
  </conditionalFormatting>
  <conditionalFormatting sqref="C101:D101">
    <cfRule type="cellIs" dxfId="9" priority="4" operator="lessThanOrEqual">
      <formula>16</formula>
    </cfRule>
  </conditionalFormatting>
  <conditionalFormatting sqref="C103:D103">
    <cfRule type="expression" dxfId="8" priority="5">
      <formula>(C103/C102)&lt;17</formula>
    </cfRule>
  </conditionalFormatting>
  <conditionalFormatting sqref="C119:D119">
    <cfRule type="cellIs" dxfId="7" priority="6" operator="lessThanOrEqual">
      <formula>16</formula>
    </cfRule>
  </conditionalFormatting>
  <conditionalFormatting sqref="C121:D121">
    <cfRule type="expression" dxfId="6" priority="7">
      <formula>C119&lt;17</formula>
    </cfRule>
  </conditionalFormatting>
  <pageMargins left="0.7" right="0.7" top="0.47" bottom="0.35" header="0" footer="0"/>
  <pageSetup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3E5A1"/>
    <pageSetUpPr fitToPage="1"/>
  </sheetPr>
  <dimension ref="A1:GY44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6328125" defaultRowHeight="15.75" customHeight="1" x14ac:dyDescent="0.25"/>
  <cols>
    <col min="1" max="1" width="17.6328125" customWidth="1"/>
    <col min="2" max="2" width="96.90625" customWidth="1"/>
    <col min="3" max="3" width="21.26953125" customWidth="1"/>
    <col min="4" max="181" width="24.7265625" customWidth="1"/>
    <col min="182" max="185" width="27.26953125" customWidth="1"/>
    <col min="186" max="186" width="27.6328125" customWidth="1"/>
    <col min="187" max="207" width="24.7265625" customWidth="1"/>
  </cols>
  <sheetData>
    <row r="1" spans="1:207" ht="15" customHeight="1" x14ac:dyDescent="0.35">
      <c r="A1" s="8" t="s">
        <v>736</v>
      </c>
      <c r="B1" s="88">
        <f>'New Formula with HB25-1320'!B1</f>
        <v>2.3E-2</v>
      </c>
      <c r="C1" s="8" t="s">
        <v>737</v>
      </c>
      <c r="D1" s="48">
        <f>ROUND(470.75*(1+B1),2)</f>
        <v>481.58</v>
      </c>
      <c r="E1" s="10"/>
      <c r="F1" s="10"/>
      <c r="G1" s="10"/>
      <c r="H1" s="10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 t="s">
        <v>738</v>
      </c>
      <c r="GA1" s="12"/>
      <c r="GB1" s="12"/>
      <c r="GC1" s="12"/>
      <c r="GD1" s="7"/>
      <c r="GE1" s="7" t="s">
        <v>739</v>
      </c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</row>
    <row r="2" spans="1:207" ht="15" customHeight="1" x14ac:dyDescent="0.35">
      <c r="A2" s="8" t="s">
        <v>740</v>
      </c>
      <c r="B2" s="48">
        <v>8496.3799999999992</v>
      </c>
      <c r="C2" s="8" t="s">
        <v>741</v>
      </c>
      <c r="D2" s="48">
        <f>ROUND(177.8*(1+B1),2)</f>
        <v>181.89</v>
      </c>
      <c r="E2" s="10"/>
      <c r="F2" s="10"/>
      <c r="G2" s="10"/>
      <c r="H2" s="10"/>
      <c r="I2" s="11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</row>
    <row r="3" spans="1:207" ht="15" customHeight="1" x14ac:dyDescent="0.35">
      <c r="A3" s="8" t="s">
        <v>742</v>
      </c>
      <c r="B3" s="48">
        <v>10244</v>
      </c>
      <c r="C3" s="90"/>
      <c r="D3" s="10"/>
      <c r="E3" s="10"/>
      <c r="F3" s="10"/>
      <c r="G3" s="10"/>
      <c r="H3" s="10"/>
      <c r="I3" s="1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</row>
    <row r="4" spans="1:207" ht="15" customHeight="1" x14ac:dyDescent="0.35">
      <c r="A4" s="8" t="s">
        <v>743</v>
      </c>
      <c r="B4" s="7">
        <f>ROUND(B2*(1+B1),2)</f>
        <v>8691.7999999999993</v>
      </c>
      <c r="C4" s="10"/>
      <c r="D4" s="10"/>
      <c r="E4" s="10"/>
      <c r="F4" s="10"/>
      <c r="G4" s="10"/>
      <c r="H4" s="10"/>
      <c r="I4" s="1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</row>
    <row r="5" spans="1:207" ht="15" customHeight="1" x14ac:dyDescent="0.35">
      <c r="A5" s="8" t="s">
        <v>744</v>
      </c>
      <c r="B5" s="7">
        <f>ROUND(B3*(1+B1),0)</f>
        <v>10480</v>
      </c>
      <c r="C5" s="13" t="s">
        <v>23</v>
      </c>
      <c r="D5" s="13" t="s">
        <v>24</v>
      </c>
      <c r="E5" s="13" t="s">
        <v>25</v>
      </c>
      <c r="F5" s="13" t="s">
        <v>26</v>
      </c>
      <c r="G5" s="13" t="s">
        <v>27</v>
      </c>
      <c r="H5" s="13" t="s">
        <v>28</v>
      </c>
      <c r="I5" s="12" t="s">
        <v>29</v>
      </c>
      <c r="J5" s="12" t="s">
        <v>30</v>
      </c>
      <c r="K5" s="12" t="s">
        <v>31</v>
      </c>
      <c r="L5" s="12" t="s">
        <v>32</v>
      </c>
      <c r="M5" s="12" t="s">
        <v>33</v>
      </c>
      <c r="N5" s="12" t="s">
        <v>34</v>
      </c>
      <c r="O5" s="12" t="s">
        <v>35</v>
      </c>
      <c r="P5" s="12" t="s">
        <v>36</v>
      </c>
      <c r="Q5" s="12" t="s">
        <v>37</v>
      </c>
      <c r="R5" s="12" t="s">
        <v>38</v>
      </c>
      <c r="S5" s="12" t="s">
        <v>39</v>
      </c>
      <c r="T5" s="12" t="s">
        <v>40</v>
      </c>
      <c r="U5" s="12" t="s">
        <v>41</v>
      </c>
      <c r="V5" s="12" t="s">
        <v>42</v>
      </c>
      <c r="W5" s="12" t="s">
        <v>43</v>
      </c>
      <c r="X5" s="12" t="s">
        <v>44</v>
      </c>
      <c r="Y5" s="12" t="s">
        <v>45</v>
      </c>
      <c r="Z5" s="12" t="s">
        <v>46</v>
      </c>
      <c r="AA5" s="12" t="s">
        <v>47</v>
      </c>
      <c r="AB5" s="12" t="s">
        <v>48</v>
      </c>
      <c r="AC5" s="12" t="s">
        <v>49</v>
      </c>
      <c r="AD5" s="12" t="s">
        <v>50</v>
      </c>
      <c r="AE5" s="12" t="s">
        <v>51</v>
      </c>
      <c r="AF5" s="12" t="s">
        <v>52</v>
      </c>
      <c r="AG5" s="12" t="s">
        <v>53</v>
      </c>
      <c r="AH5" s="12" t="s">
        <v>54</v>
      </c>
      <c r="AI5" s="12" t="s">
        <v>55</v>
      </c>
      <c r="AJ5" s="12" t="s">
        <v>56</v>
      </c>
      <c r="AK5" s="12" t="s">
        <v>57</v>
      </c>
      <c r="AL5" s="12" t="s">
        <v>58</v>
      </c>
      <c r="AM5" s="12" t="s">
        <v>59</v>
      </c>
      <c r="AN5" s="12" t="s">
        <v>60</v>
      </c>
      <c r="AO5" s="12" t="s">
        <v>61</v>
      </c>
      <c r="AP5" s="12" t="s">
        <v>1</v>
      </c>
      <c r="AQ5" s="12" t="s">
        <v>62</v>
      </c>
      <c r="AR5" s="12" t="s">
        <v>63</v>
      </c>
      <c r="AS5" s="12" t="s">
        <v>64</v>
      </c>
      <c r="AT5" s="12" t="s">
        <v>65</v>
      </c>
      <c r="AU5" s="12" t="s">
        <v>66</v>
      </c>
      <c r="AV5" s="12" t="s">
        <v>67</v>
      </c>
      <c r="AW5" s="12" t="s">
        <v>68</v>
      </c>
      <c r="AX5" s="12" t="s">
        <v>69</v>
      </c>
      <c r="AY5" s="12" t="s">
        <v>70</v>
      </c>
      <c r="AZ5" s="12" t="s">
        <v>71</v>
      </c>
      <c r="BA5" s="12" t="s">
        <v>72</v>
      </c>
      <c r="BB5" s="12" t="s">
        <v>73</v>
      </c>
      <c r="BC5" s="12" t="s">
        <v>74</v>
      </c>
      <c r="BD5" s="12" t="s">
        <v>75</v>
      </c>
      <c r="BE5" s="12" t="s">
        <v>76</v>
      </c>
      <c r="BF5" s="12" t="s">
        <v>77</v>
      </c>
      <c r="BG5" s="12" t="s">
        <v>78</v>
      </c>
      <c r="BH5" s="12" t="s">
        <v>79</v>
      </c>
      <c r="BI5" s="12" t="s">
        <v>80</v>
      </c>
      <c r="BJ5" s="12" t="s">
        <v>81</v>
      </c>
      <c r="BK5" s="12" t="s">
        <v>82</v>
      </c>
      <c r="BL5" s="12" t="s">
        <v>83</v>
      </c>
      <c r="BM5" s="12" t="s">
        <v>84</v>
      </c>
      <c r="BN5" s="12" t="s">
        <v>85</v>
      </c>
      <c r="BO5" s="12" t="s">
        <v>86</v>
      </c>
      <c r="BP5" s="12" t="s">
        <v>87</v>
      </c>
      <c r="BQ5" s="12" t="s">
        <v>88</v>
      </c>
      <c r="BR5" s="12" t="s">
        <v>89</v>
      </c>
      <c r="BS5" s="12" t="s">
        <v>90</v>
      </c>
      <c r="BT5" s="12" t="s">
        <v>91</v>
      </c>
      <c r="BU5" s="12" t="s">
        <v>92</v>
      </c>
      <c r="BV5" s="12" t="s">
        <v>93</v>
      </c>
      <c r="BW5" s="12" t="s">
        <v>94</v>
      </c>
      <c r="BX5" s="12" t="s">
        <v>95</v>
      </c>
      <c r="BY5" s="12" t="s">
        <v>96</v>
      </c>
      <c r="BZ5" s="12" t="s">
        <v>97</v>
      </c>
      <c r="CA5" s="12" t="s">
        <v>98</v>
      </c>
      <c r="CB5" s="12" t="s">
        <v>99</v>
      </c>
      <c r="CC5" s="12" t="s">
        <v>100</v>
      </c>
      <c r="CD5" s="12" t="s">
        <v>101</v>
      </c>
      <c r="CE5" s="12" t="s">
        <v>102</v>
      </c>
      <c r="CF5" s="12" t="s">
        <v>103</v>
      </c>
      <c r="CG5" s="12" t="s">
        <v>104</v>
      </c>
      <c r="CH5" s="12" t="s">
        <v>105</v>
      </c>
      <c r="CI5" s="12" t="s">
        <v>106</v>
      </c>
      <c r="CJ5" s="12" t="s">
        <v>107</v>
      </c>
      <c r="CK5" s="12" t="s">
        <v>108</v>
      </c>
      <c r="CL5" s="12" t="s">
        <v>109</v>
      </c>
      <c r="CM5" s="12" t="s">
        <v>110</v>
      </c>
      <c r="CN5" s="12" t="s">
        <v>111</v>
      </c>
      <c r="CO5" s="12" t="s">
        <v>112</v>
      </c>
      <c r="CP5" s="12" t="s">
        <v>113</v>
      </c>
      <c r="CQ5" s="12" t="s">
        <v>114</v>
      </c>
      <c r="CR5" s="12" t="s">
        <v>115</v>
      </c>
      <c r="CS5" s="12" t="s">
        <v>116</v>
      </c>
      <c r="CT5" s="12" t="s">
        <v>117</v>
      </c>
      <c r="CU5" s="12" t="s">
        <v>118</v>
      </c>
      <c r="CV5" s="12" t="s">
        <v>119</v>
      </c>
      <c r="CW5" s="12" t="s">
        <v>120</v>
      </c>
      <c r="CX5" s="12" t="s">
        <v>121</v>
      </c>
      <c r="CY5" s="12" t="s">
        <v>122</v>
      </c>
      <c r="CZ5" s="12" t="s">
        <v>123</v>
      </c>
      <c r="DA5" s="12" t="s">
        <v>124</v>
      </c>
      <c r="DB5" s="12" t="s">
        <v>125</v>
      </c>
      <c r="DC5" s="12" t="s">
        <v>126</v>
      </c>
      <c r="DD5" s="12" t="s">
        <v>127</v>
      </c>
      <c r="DE5" s="12" t="s">
        <v>128</v>
      </c>
      <c r="DF5" s="12" t="s">
        <v>129</v>
      </c>
      <c r="DG5" s="12" t="s">
        <v>130</v>
      </c>
      <c r="DH5" s="12" t="s">
        <v>131</v>
      </c>
      <c r="DI5" s="12" t="s">
        <v>132</v>
      </c>
      <c r="DJ5" s="12" t="s">
        <v>133</v>
      </c>
      <c r="DK5" s="12" t="s">
        <v>134</v>
      </c>
      <c r="DL5" s="12" t="s">
        <v>135</v>
      </c>
      <c r="DM5" s="12" t="s">
        <v>136</v>
      </c>
      <c r="DN5" s="12" t="s">
        <v>137</v>
      </c>
      <c r="DO5" s="12" t="s">
        <v>138</v>
      </c>
      <c r="DP5" s="12" t="s">
        <v>139</v>
      </c>
      <c r="DQ5" s="12" t="s">
        <v>140</v>
      </c>
      <c r="DR5" s="12" t="s">
        <v>141</v>
      </c>
      <c r="DS5" s="12" t="s">
        <v>142</v>
      </c>
      <c r="DT5" s="12" t="s">
        <v>143</v>
      </c>
      <c r="DU5" s="12" t="s">
        <v>144</v>
      </c>
      <c r="DV5" s="12" t="s">
        <v>145</v>
      </c>
      <c r="DW5" s="12" t="s">
        <v>146</v>
      </c>
      <c r="DX5" s="12" t="s">
        <v>147</v>
      </c>
      <c r="DY5" s="12" t="s">
        <v>148</v>
      </c>
      <c r="DZ5" s="12" t="s">
        <v>149</v>
      </c>
      <c r="EA5" s="12" t="s">
        <v>150</v>
      </c>
      <c r="EB5" s="12" t="s">
        <v>151</v>
      </c>
      <c r="EC5" s="12" t="s">
        <v>152</v>
      </c>
      <c r="ED5" s="12" t="s">
        <v>153</v>
      </c>
      <c r="EE5" s="12" t="s">
        <v>154</v>
      </c>
      <c r="EF5" s="12" t="s">
        <v>155</v>
      </c>
      <c r="EG5" s="12" t="s">
        <v>156</v>
      </c>
      <c r="EH5" s="12" t="s">
        <v>157</v>
      </c>
      <c r="EI5" s="12" t="s">
        <v>158</v>
      </c>
      <c r="EJ5" s="12" t="s">
        <v>159</v>
      </c>
      <c r="EK5" s="12" t="s">
        <v>160</v>
      </c>
      <c r="EL5" s="12" t="s">
        <v>161</v>
      </c>
      <c r="EM5" s="12" t="s">
        <v>162</v>
      </c>
      <c r="EN5" s="12" t="s">
        <v>163</v>
      </c>
      <c r="EO5" s="12" t="s">
        <v>164</v>
      </c>
      <c r="EP5" s="12" t="s">
        <v>165</v>
      </c>
      <c r="EQ5" s="12" t="s">
        <v>166</v>
      </c>
      <c r="ER5" s="12" t="s">
        <v>167</v>
      </c>
      <c r="ES5" s="12" t="s">
        <v>168</v>
      </c>
      <c r="ET5" s="12" t="s">
        <v>169</v>
      </c>
      <c r="EU5" s="12" t="s">
        <v>170</v>
      </c>
      <c r="EV5" s="12" t="s">
        <v>171</v>
      </c>
      <c r="EW5" s="12" t="s">
        <v>172</v>
      </c>
      <c r="EX5" s="12" t="s">
        <v>173</v>
      </c>
      <c r="EY5" s="12" t="s">
        <v>174</v>
      </c>
      <c r="EZ5" s="12" t="s">
        <v>175</v>
      </c>
      <c r="FA5" s="12" t="s">
        <v>176</v>
      </c>
      <c r="FB5" s="12" t="s">
        <v>177</v>
      </c>
      <c r="FC5" s="12" t="s">
        <v>178</v>
      </c>
      <c r="FD5" s="12" t="s">
        <v>179</v>
      </c>
      <c r="FE5" s="12" t="s">
        <v>180</v>
      </c>
      <c r="FF5" s="12" t="s">
        <v>181</v>
      </c>
      <c r="FG5" s="12" t="s">
        <v>182</v>
      </c>
      <c r="FH5" s="12" t="s">
        <v>183</v>
      </c>
      <c r="FI5" s="12" t="s">
        <v>184</v>
      </c>
      <c r="FJ5" s="12" t="s">
        <v>185</v>
      </c>
      <c r="FK5" s="12" t="s">
        <v>186</v>
      </c>
      <c r="FL5" s="12" t="s">
        <v>187</v>
      </c>
      <c r="FM5" s="12" t="s">
        <v>188</v>
      </c>
      <c r="FN5" s="12" t="s">
        <v>189</v>
      </c>
      <c r="FO5" s="12" t="s">
        <v>190</v>
      </c>
      <c r="FP5" s="12" t="s">
        <v>191</v>
      </c>
      <c r="FQ5" s="12" t="s">
        <v>192</v>
      </c>
      <c r="FR5" s="12" t="s">
        <v>193</v>
      </c>
      <c r="FS5" s="12" t="s">
        <v>194</v>
      </c>
      <c r="FT5" s="12" t="s">
        <v>195</v>
      </c>
      <c r="FU5" s="12" t="s">
        <v>196</v>
      </c>
      <c r="FV5" s="12" t="s">
        <v>197</v>
      </c>
      <c r="FW5" s="12" t="s">
        <v>198</v>
      </c>
      <c r="FX5" s="12" t="s">
        <v>199</v>
      </c>
      <c r="FY5" s="12" t="s">
        <v>200</v>
      </c>
      <c r="FZ5" s="12"/>
      <c r="GA5" s="12"/>
      <c r="GB5" s="12"/>
      <c r="GC5" s="12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</row>
    <row r="6" spans="1:207" ht="15" customHeight="1" x14ac:dyDescent="0.35">
      <c r="A6" s="8"/>
      <c r="B6" s="7"/>
      <c r="C6" s="12" t="s">
        <v>202</v>
      </c>
      <c r="D6" s="12" t="s">
        <v>202</v>
      </c>
      <c r="E6" s="12" t="s">
        <v>202</v>
      </c>
      <c r="F6" s="12" t="s">
        <v>202</v>
      </c>
      <c r="G6" s="12" t="s">
        <v>202</v>
      </c>
      <c r="H6" s="12" t="s">
        <v>202</v>
      </c>
      <c r="I6" s="12" t="s">
        <v>202</v>
      </c>
      <c r="J6" s="12" t="s">
        <v>203</v>
      </c>
      <c r="K6" s="12" t="s">
        <v>203</v>
      </c>
      <c r="L6" s="12" t="s">
        <v>204</v>
      </c>
      <c r="M6" s="12" t="s">
        <v>204</v>
      </c>
      <c r="N6" s="12" t="s">
        <v>204</v>
      </c>
      <c r="O6" s="12" t="s">
        <v>204</v>
      </c>
      <c r="P6" s="12" t="s">
        <v>204</v>
      </c>
      <c r="Q6" s="12" t="s">
        <v>204</v>
      </c>
      <c r="R6" s="12" t="s">
        <v>204</v>
      </c>
      <c r="S6" s="12" t="s">
        <v>205</v>
      </c>
      <c r="T6" s="12" t="s">
        <v>206</v>
      </c>
      <c r="U6" s="12" t="s">
        <v>206</v>
      </c>
      <c r="V6" s="12" t="s">
        <v>206</v>
      </c>
      <c r="W6" s="12" t="s">
        <v>206</v>
      </c>
      <c r="X6" s="12" t="s">
        <v>206</v>
      </c>
      <c r="Y6" s="12" t="s">
        <v>207</v>
      </c>
      <c r="Z6" s="12" t="s">
        <v>207</v>
      </c>
      <c r="AA6" s="12" t="s">
        <v>208</v>
      </c>
      <c r="AB6" s="12" t="s">
        <v>208</v>
      </c>
      <c r="AC6" s="12" t="s">
        <v>209</v>
      </c>
      <c r="AD6" s="12" t="s">
        <v>209</v>
      </c>
      <c r="AE6" s="12" t="s">
        <v>210</v>
      </c>
      <c r="AF6" s="12" t="s">
        <v>210</v>
      </c>
      <c r="AG6" s="12" t="s">
        <v>211</v>
      </c>
      <c r="AH6" s="12" t="s">
        <v>212</v>
      </c>
      <c r="AI6" s="12" t="s">
        <v>212</v>
      </c>
      <c r="AJ6" s="12" t="s">
        <v>212</v>
      </c>
      <c r="AK6" s="12" t="s">
        <v>213</v>
      </c>
      <c r="AL6" s="12" t="s">
        <v>213</v>
      </c>
      <c r="AM6" s="12" t="s">
        <v>214</v>
      </c>
      <c r="AN6" s="12" t="s">
        <v>215</v>
      </c>
      <c r="AO6" s="12" t="s">
        <v>216</v>
      </c>
      <c r="AP6" s="12" t="s">
        <v>217</v>
      </c>
      <c r="AQ6" s="12" t="s">
        <v>218</v>
      </c>
      <c r="AR6" s="12" t="s">
        <v>219</v>
      </c>
      <c r="AS6" s="12" t="s">
        <v>220</v>
      </c>
      <c r="AT6" s="12" t="s">
        <v>221</v>
      </c>
      <c r="AU6" s="12" t="s">
        <v>221</v>
      </c>
      <c r="AV6" s="12" t="s">
        <v>221</v>
      </c>
      <c r="AW6" s="12" t="s">
        <v>221</v>
      </c>
      <c r="AX6" s="12" t="s">
        <v>221</v>
      </c>
      <c r="AY6" s="12" t="s">
        <v>222</v>
      </c>
      <c r="AZ6" s="12" t="s">
        <v>222</v>
      </c>
      <c r="BA6" s="12" t="s">
        <v>222</v>
      </c>
      <c r="BB6" s="12" t="s">
        <v>222</v>
      </c>
      <c r="BC6" s="12" t="s">
        <v>222</v>
      </c>
      <c r="BD6" s="12" t="s">
        <v>222</v>
      </c>
      <c r="BE6" s="12" t="s">
        <v>222</v>
      </c>
      <c r="BF6" s="12" t="s">
        <v>222</v>
      </c>
      <c r="BG6" s="12" t="s">
        <v>222</v>
      </c>
      <c r="BH6" s="12" t="s">
        <v>222</v>
      </c>
      <c r="BI6" s="12" t="s">
        <v>222</v>
      </c>
      <c r="BJ6" s="12" t="s">
        <v>222</v>
      </c>
      <c r="BK6" s="12" t="s">
        <v>222</v>
      </c>
      <c r="BL6" s="12" t="s">
        <v>222</v>
      </c>
      <c r="BM6" s="12" t="s">
        <v>222</v>
      </c>
      <c r="BN6" s="12" t="s">
        <v>223</v>
      </c>
      <c r="BO6" s="12" t="s">
        <v>223</v>
      </c>
      <c r="BP6" s="12" t="s">
        <v>223</v>
      </c>
      <c r="BQ6" s="12" t="s">
        <v>224</v>
      </c>
      <c r="BR6" s="12" t="s">
        <v>224</v>
      </c>
      <c r="BS6" s="12" t="s">
        <v>224</v>
      </c>
      <c r="BT6" s="12" t="s">
        <v>225</v>
      </c>
      <c r="BU6" s="12" t="s">
        <v>226</v>
      </c>
      <c r="BV6" s="12" t="s">
        <v>226</v>
      </c>
      <c r="BW6" s="12" t="s">
        <v>227</v>
      </c>
      <c r="BX6" s="12" t="s">
        <v>228</v>
      </c>
      <c r="BY6" s="12" t="s">
        <v>229</v>
      </c>
      <c r="BZ6" s="12" t="s">
        <v>229</v>
      </c>
      <c r="CA6" s="12" t="s">
        <v>230</v>
      </c>
      <c r="CB6" s="12" t="s">
        <v>231</v>
      </c>
      <c r="CC6" s="12" t="s">
        <v>232</v>
      </c>
      <c r="CD6" s="12" t="s">
        <v>232</v>
      </c>
      <c r="CE6" s="12" t="s">
        <v>233</v>
      </c>
      <c r="CF6" s="12" t="s">
        <v>233</v>
      </c>
      <c r="CG6" s="12" t="s">
        <v>233</v>
      </c>
      <c r="CH6" s="12" t="s">
        <v>233</v>
      </c>
      <c r="CI6" s="12" t="s">
        <v>233</v>
      </c>
      <c r="CJ6" s="12" t="s">
        <v>234</v>
      </c>
      <c r="CK6" s="12" t="s">
        <v>235</v>
      </c>
      <c r="CL6" s="12" t="s">
        <v>235</v>
      </c>
      <c r="CM6" s="12" t="s">
        <v>235</v>
      </c>
      <c r="CN6" s="12" t="s">
        <v>236</v>
      </c>
      <c r="CO6" s="12" t="s">
        <v>236</v>
      </c>
      <c r="CP6" s="12" t="s">
        <v>236</v>
      </c>
      <c r="CQ6" s="12" t="s">
        <v>237</v>
      </c>
      <c r="CR6" s="12" t="s">
        <v>237</v>
      </c>
      <c r="CS6" s="12" t="s">
        <v>237</v>
      </c>
      <c r="CT6" s="12" t="s">
        <v>237</v>
      </c>
      <c r="CU6" s="12" t="s">
        <v>237</v>
      </c>
      <c r="CV6" s="12" t="s">
        <v>237</v>
      </c>
      <c r="CW6" s="12" t="s">
        <v>238</v>
      </c>
      <c r="CX6" s="12" t="s">
        <v>238</v>
      </c>
      <c r="CY6" s="12" t="s">
        <v>238</v>
      </c>
      <c r="CZ6" s="12" t="s">
        <v>239</v>
      </c>
      <c r="DA6" s="12" t="s">
        <v>239</v>
      </c>
      <c r="DB6" s="12" t="s">
        <v>239</v>
      </c>
      <c r="DC6" s="12" t="s">
        <v>239</v>
      </c>
      <c r="DD6" s="12" t="s">
        <v>240</v>
      </c>
      <c r="DE6" s="12" t="s">
        <v>240</v>
      </c>
      <c r="DF6" s="12" t="s">
        <v>240</v>
      </c>
      <c r="DG6" s="12" t="s">
        <v>241</v>
      </c>
      <c r="DH6" s="12" t="s">
        <v>242</v>
      </c>
      <c r="DI6" s="12" t="s">
        <v>243</v>
      </c>
      <c r="DJ6" s="12" t="s">
        <v>243</v>
      </c>
      <c r="DK6" s="12" t="s">
        <v>243</v>
      </c>
      <c r="DL6" s="12" t="s">
        <v>244</v>
      </c>
      <c r="DM6" s="12" t="s">
        <v>244</v>
      </c>
      <c r="DN6" s="12" t="s">
        <v>245</v>
      </c>
      <c r="DO6" s="12" t="s">
        <v>245</v>
      </c>
      <c r="DP6" s="12" t="s">
        <v>245</v>
      </c>
      <c r="DQ6" s="12" t="s">
        <v>245</v>
      </c>
      <c r="DR6" s="12" t="s">
        <v>246</v>
      </c>
      <c r="DS6" s="12" t="s">
        <v>246</v>
      </c>
      <c r="DT6" s="12" t="s">
        <v>246</v>
      </c>
      <c r="DU6" s="12" t="s">
        <v>246</v>
      </c>
      <c r="DV6" s="12" t="s">
        <v>246</v>
      </c>
      <c r="DW6" s="12" t="s">
        <v>246</v>
      </c>
      <c r="DX6" s="12" t="s">
        <v>247</v>
      </c>
      <c r="DY6" s="12" t="s">
        <v>247</v>
      </c>
      <c r="DZ6" s="12" t="s">
        <v>248</v>
      </c>
      <c r="EA6" s="12" t="s">
        <v>248</v>
      </c>
      <c r="EB6" s="12" t="s">
        <v>249</v>
      </c>
      <c r="EC6" s="12" t="s">
        <v>249</v>
      </c>
      <c r="ED6" s="12" t="s">
        <v>250</v>
      </c>
      <c r="EE6" s="12" t="s">
        <v>251</v>
      </c>
      <c r="EF6" s="12" t="s">
        <v>251</v>
      </c>
      <c r="EG6" s="12" t="s">
        <v>251</v>
      </c>
      <c r="EH6" s="12" t="s">
        <v>251</v>
      </c>
      <c r="EI6" s="12" t="s">
        <v>252</v>
      </c>
      <c r="EJ6" s="12" t="s">
        <v>252</v>
      </c>
      <c r="EK6" s="12" t="s">
        <v>253</v>
      </c>
      <c r="EL6" s="12" t="s">
        <v>253</v>
      </c>
      <c r="EM6" s="12" t="s">
        <v>254</v>
      </c>
      <c r="EN6" s="12" t="s">
        <v>254</v>
      </c>
      <c r="EO6" s="12" t="s">
        <v>254</v>
      </c>
      <c r="EP6" s="12" t="s">
        <v>255</v>
      </c>
      <c r="EQ6" s="12" t="s">
        <v>255</v>
      </c>
      <c r="ER6" s="12" t="s">
        <v>255</v>
      </c>
      <c r="ES6" s="12" t="s">
        <v>256</v>
      </c>
      <c r="ET6" s="12" t="s">
        <v>256</v>
      </c>
      <c r="EU6" s="12" t="s">
        <v>256</v>
      </c>
      <c r="EV6" s="12" t="s">
        <v>257</v>
      </c>
      <c r="EW6" s="12" t="s">
        <v>258</v>
      </c>
      <c r="EX6" s="12" t="s">
        <v>258</v>
      </c>
      <c r="EY6" s="12" t="s">
        <v>259</v>
      </c>
      <c r="EZ6" s="12" t="s">
        <v>259</v>
      </c>
      <c r="FA6" s="12" t="s">
        <v>260</v>
      </c>
      <c r="FB6" s="12" t="s">
        <v>261</v>
      </c>
      <c r="FC6" s="12" t="s">
        <v>261</v>
      </c>
      <c r="FD6" s="12" t="s">
        <v>262</v>
      </c>
      <c r="FE6" s="12" t="s">
        <v>262</v>
      </c>
      <c r="FF6" s="12" t="s">
        <v>262</v>
      </c>
      <c r="FG6" s="12" t="s">
        <v>262</v>
      </c>
      <c r="FH6" s="12" t="s">
        <v>262</v>
      </c>
      <c r="FI6" s="12" t="s">
        <v>263</v>
      </c>
      <c r="FJ6" s="12" t="s">
        <v>263</v>
      </c>
      <c r="FK6" s="12" t="s">
        <v>263</v>
      </c>
      <c r="FL6" s="12" t="s">
        <v>263</v>
      </c>
      <c r="FM6" s="12" t="s">
        <v>263</v>
      </c>
      <c r="FN6" s="12" t="s">
        <v>263</v>
      </c>
      <c r="FO6" s="12" t="s">
        <v>263</v>
      </c>
      <c r="FP6" s="12" t="s">
        <v>263</v>
      </c>
      <c r="FQ6" s="12" t="s">
        <v>263</v>
      </c>
      <c r="FR6" s="12" t="s">
        <v>263</v>
      </c>
      <c r="FS6" s="12" t="s">
        <v>263</v>
      </c>
      <c r="FT6" s="12" t="s">
        <v>263</v>
      </c>
      <c r="FU6" s="12" t="s">
        <v>264</v>
      </c>
      <c r="FV6" s="12" t="s">
        <v>264</v>
      </c>
      <c r="FW6" s="12" t="s">
        <v>264</v>
      </c>
      <c r="FX6" s="12" t="s">
        <v>264</v>
      </c>
      <c r="FY6" s="12"/>
      <c r="FZ6" s="12"/>
      <c r="GA6" s="12"/>
      <c r="GB6" s="12"/>
      <c r="GC6" s="12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</row>
    <row r="7" spans="1:207" ht="15" customHeight="1" x14ac:dyDescent="0.35">
      <c r="A7" s="15"/>
      <c r="B7" s="15"/>
      <c r="C7" s="16" t="s">
        <v>265</v>
      </c>
      <c r="D7" s="16" t="s">
        <v>266</v>
      </c>
      <c r="E7" s="16" t="s">
        <v>267</v>
      </c>
      <c r="F7" s="17" t="s">
        <v>268</v>
      </c>
      <c r="G7" s="16" t="s">
        <v>269</v>
      </c>
      <c r="H7" s="16" t="s">
        <v>270</v>
      </c>
      <c r="I7" s="16" t="s">
        <v>271</v>
      </c>
      <c r="J7" s="16" t="s">
        <v>272</v>
      </c>
      <c r="K7" s="16" t="s">
        <v>273</v>
      </c>
      <c r="L7" s="16" t="s">
        <v>274</v>
      </c>
      <c r="M7" s="16" t="s">
        <v>275</v>
      </c>
      <c r="N7" s="16" t="s">
        <v>276</v>
      </c>
      <c r="O7" s="16" t="s">
        <v>277</v>
      </c>
      <c r="P7" s="16" t="s">
        <v>278</v>
      </c>
      <c r="Q7" s="16" t="s">
        <v>279</v>
      </c>
      <c r="R7" s="16" t="s">
        <v>280</v>
      </c>
      <c r="S7" s="16" t="s">
        <v>281</v>
      </c>
      <c r="T7" s="16" t="s">
        <v>282</v>
      </c>
      <c r="U7" s="16" t="s">
        <v>283</v>
      </c>
      <c r="V7" s="16" t="s">
        <v>284</v>
      </c>
      <c r="W7" s="16" t="s">
        <v>285</v>
      </c>
      <c r="X7" s="16" t="s">
        <v>286</v>
      </c>
      <c r="Y7" s="16" t="s">
        <v>287</v>
      </c>
      <c r="Z7" s="16" t="s">
        <v>288</v>
      </c>
      <c r="AA7" s="16" t="s">
        <v>289</v>
      </c>
      <c r="AB7" s="16" t="s">
        <v>290</v>
      </c>
      <c r="AC7" s="16" t="s">
        <v>291</v>
      </c>
      <c r="AD7" s="16" t="s">
        <v>292</v>
      </c>
      <c r="AE7" s="16" t="s">
        <v>293</v>
      </c>
      <c r="AF7" s="16" t="s">
        <v>294</v>
      </c>
      <c r="AG7" s="16" t="s">
        <v>295</v>
      </c>
      <c r="AH7" s="16" t="s">
        <v>296</v>
      </c>
      <c r="AI7" s="16" t="s">
        <v>297</v>
      </c>
      <c r="AJ7" s="16" t="s">
        <v>298</v>
      </c>
      <c r="AK7" s="16" t="s">
        <v>299</v>
      </c>
      <c r="AL7" s="16" t="s">
        <v>300</v>
      </c>
      <c r="AM7" s="16" t="s">
        <v>301</v>
      </c>
      <c r="AN7" s="16" t="s">
        <v>302</v>
      </c>
      <c r="AO7" s="16" t="s">
        <v>303</v>
      </c>
      <c r="AP7" s="16" t="s">
        <v>304</v>
      </c>
      <c r="AQ7" s="16" t="s">
        <v>305</v>
      </c>
      <c r="AR7" s="16" t="s">
        <v>306</v>
      </c>
      <c r="AS7" s="16" t="s">
        <v>307</v>
      </c>
      <c r="AT7" s="16" t="s">
        <v>308</v>
      </c>
      <c r="AU7" s="16" t="s">
        <v>309</v>
      </c>
      <c r="AV7" s="16" t="s">
        <v>310</v>
      </c>
      <c r="AW7" s="16" t="s">
        <v>311</v>
      </c>
      <c r="AX7" s="16" t="s">
        <v>312</v>
      </c>
      <c r="AY7" s="16" t="s">
        <v>313</v>
      </c>
      <c r="AZ7" s="16" t="s">
        <v>314</v>
      </c>
      <c r="BA7" s="16" t="s">
        <v>315</v>
      </c>
      <c r="BB7" s="16" t="s">
        <v>316</v>
      </c>
      <c r="BC7" s="16" t="s">
        <v>317</v>
      </c>
      <c r="BD7" s="16" t="s">
        <v>318</v>
      </c>
      <c r="BE7" s="16" t="s">
        <v>319</v>
      </c>
      <c r="BF7" s="16" t="s">
        <v>320</v>
      </c>
      <c r="BG7" s="16" t="s">
        <v>321</v>
      </c>
      <c r="BH7" s="16" t="s">
        <v>322</v>
      </c>
      <c r="BI7" s="16" t="s">
        <v>323</v>
      </c>
      <c r="BJ7" s="16" t="s">
        <v>324</v>
      </c>
      <c r="BK7" s="16" t="s">
        <v>325</v>
      </c>
      <c r="BL7" s="16" t="s">
        <v>326</v>
      </c>
      <c r="BM7" s="16" t="s">
        <v>327</v>
      </c>
      <c r="BN7" s="16" t="s">
        <v>328</v>
      </c>
      <c r="BO7" s="16" t="s">
        <v>329</v>
      </c>
      <c r="BP7" s="16" t="s">
        <v>330</v>
      </c>
      <c r="BQ7" s="16" t="s">
        <v>331</v>
      </c>
      <c r="BR7" s="16" t="s">
        <v>332</v>
      </c>
      <c r="BS7" s="16" t="s">
        <v>333</v>
      </c>
      <c r="BT7" s="16" t="s">
        <v>334</v>
      </c>
      <c r="BU7" s="16" t="s">
        <v>335</v>
      </c>
      <c r="BV7" s="16" t="s">
        <v>336</v>
      </c>
      <c r="BW7" s="16" t="s">
        <v>337</v>
      </c>
      <c r="BX7" s="16" t="s">
        <v>338</v>
      </c>
      <c r="BY7" s="16" t="s">
        <v>339</v>
      </c>
      <c r="BZ7" s="16" t="s">
        <v>340</v>
      </c>
      <c r="CA7" s="16" t="s">
        <v>341</v>
      </c>
      <c r="CB7" s="16" t="s">
        <v>342</v>
      </c>
      <c r="CC7" s="16" t="s">
        <v>343</v>
      </c>
      <c r="CD7" s="16" t="s">
        <v>344</v>
      </c>
      <c r="CE7" s="16" t="s">
        <v>345</v>
      </c>
      <c r="CF7" s="16" t="s">
        <v>346</v>
      </c>
      <c r="CG7" s="16" t="s">
        <v>347</v>
      </c>
      <c r="CH7" s="16" t="s">
        <v>348</v>
      </c>
      <c r="CI7" s="16" t="s">
        <v>349</v>
      </c>
      <c r="CJ7" s="16" t="s">
        <v>350</v>
      </c>
      <c r="CK7" s="16" t="s">
        <v>351</v>
      </c>
      <c r="CL7" s="16" t="s">
        <v>352</v>
      </c>
      <c r="CM7" s="16" t="s">
        <v>353</v>
      </c>
      <c r="CN7" s="16" t="s">
        <v>354</v>
      </c>
      <c r="CO7" s="16" t="s">
        <v>355</v>
      </c>
      <c r="CP7" s="16" t="s">
        <v>356</v>
      </c>
      <c r="CQ7" s="16" t="s">
        <v>357</v>
      </c>
      <c r="CR7" s="16" t="s">
        <v>358</v>
      </c>
      <c r="CS7" s="16" t="s">
        <v>359</v>
      </c>
      <c r="CT7" s="16" t="s">
        <v>360</v>
      </c>
      <c r="CU7" s="16" t="s">
        <v>361</v>
      </c>
      <c r="CV7" s="16" t="s">
        <v>362</v>
      </c>
      <c r="CW7" s="16" t="s">
        <v>363</v>
      </c>
      <c r="CX7" s="16" t="s">
        <v>364</v>
      </c>
      <c r="CY7" s="16" t="s">
        <v>365</v>
      </c>
      <c r="CZ7" s="16" t="s">
        <v>366</v>
      </c>
      <c r="DA7" s="16" t="s">
        <v>367</v>
      </c>
      <c r="DB7" s="16" t="s">
        <v>368</v>
      </c>
      <c r="DC7" s="16" t="s">
        <v>369</v>
      </c>
      <c r="DD7" s="16" t="s">
        <v>370</v>
      </c>
      <c r="DE7" s="16" t="s">
        <v>371</v>
      </c>
      <c r="DF7" s="16" t="s">
        <v>372</v>
      </c>
      <c r="DG7" s="16" t="s">
        <v>373</v>
      </c>
      <c r="DH7" s="16" t="s">
        <v>374</v>
      </c>
      <c r="DI7" s="16" t="s">
        <v>375</v>
      </c>
      <c r="DJ7" s="16" t="s">
        <v>376</v>
      </c>
      <c r="DK7" s="16" t="s">
        <v>377</v>
      </c>
      <c r="DL7" s="16" t="s">
        <v>378</v>
      </c>
      <c r="DM7" s="16" t="s">
        <v>379</v>
      </c>
      <c r="DN7" s="16" t="s">
        <v>380</v>
      </c>
      <c r="DO7" s="16" t="s">
        <v>381</v>
      </c>
      <c r="DP7" s="16" t="s">
        <v>382</v>
      </c>
      <c r="DQ7" s="16" t="s">
        <v>383</v>
      </c>
      <c r="DR7" s="16" t="s">
        <v>384</v>
      </c>
      <c r="DS7" s="16" t="s">
        <v>385</v>
      </c>
      <c r="DT7" s="16" t="s">
        <v>386</v>
      </c>
      <c r="DU7" s="16" t="s">
        <v>387</v>
      </c>
      <c r="DV7" s="16" t="s">
        <v>388</v>
      </c>
      <c r="DW7" s="16" t="s">
        <v>389</v>
      </c>
      <c r="DX7" s="16" t="s">
        <v>390</v>
      </c>
      <c r="DY7" s="16" t="s">
        <v>391</v>
      </c>
      <c r="DZ7" s="16" t="s">
        <v>392</v>
      </c>
      <c r="EA7" s="16" t="s">
        <v>393</v>
      </c>
      <c r="EB7" s="16" t="s">
        <v>394</v>
      </c>
      <c r="EC7" s="16" t="s">
        <v>395</v>
      </c>
      <c r="ED7" s="16" t="s">
        <v>396</v>
      </c>
      <c r="EE7" s="16" t="s">
        <v>397</v>
      </c>
      <c r="EF7" s="16" t="s">
        <v>398</v>
      </c>
      <c r="EG7" s="16" t="s">
        <v>399</v>
      </c>
      <c r="EH7" s="16" t="s">
        <v>400</v>
      </c>
      <c r="EI7" s="16" t="s">
        <v>401</v>
      </c>
      <c r="EJ7" s="16" t="s">
        <v>402</v>
      </c>
      <c r="EK7" s="16" t="s">
        <v>403</v>
      </c>
      <c r="EL7" s="16" t="s">
        <v>404</v>
      </c>
      <c r="EM7" s="16" t="s">
        <v>405</v>
      </c>
      <c r="EN7" s="16" t="s">
        <v>406</v>
      </c>
      <c r="EO7" s="16" t="s">
        <v>407</v>
      </c>
      <c r="EP7" s="16" t="s">
        <v>408</v>
      </c>
      <c r="EQ7" s="16" t="s">
        <v>409</v>
      </c>
      <c r="ER7" s="16" t="s">
        <v>410</v>
      </c>
      <c r="ES7" s="16" t="s">
        <v>411</v>
      </c>
      <c r="ET7" s="16" t="s">
        <v>412</v>
      </c>
      <c r="EU7" s="16" t="s">
        <v>413</v>
      </c>
      <c r="EV7" s="16" t="s">
        <v>414</v>
      </c>
      <c r="EW7" s="16" t="s">
        <v>415</v>
      </c>
      <c r="EX7" s="16" t="s">
        <v>416</v>
      </c>
      <c r="EY7" s="16" t="s">
        <v>417</v>
      </c>
      <c r="EZ7" s="16" t="s">
        <v>418</v>
      </c>
      <c r="FA7" s="16" t="s">
        <v>419</v>
      </c>
      <c r="FB7" s="16" t="s">
        <v>420</v>
      </c>
      <c r="FC7" s="16" t="s">
        <v>421</v>
      </c>
      <c r="FD7" s="16" t="s">
        <v>422</v>
      </c>
      <c r="FE7" s="16" t="s">
        <v>423</v>
      </c>
      <c r="FF7" s="16" t="s">
        <v>424</v>
      </c>
      <c r="FG7" s="16" t="s">
        <v>425</v>
      </c>
      <c r="FH7" s="16" t="s">
        <v>426</v>
      </c>
      <c r="FI7" s="16" t="s">
        <v>427</v>
      </c>
      <c r="FJ7" s="16" t="s">
        <v>428</v>
      </c>
      <c r="FK7" s="16" t="s">
        <v>429</v>
      </c>
      <c r="FL7" s="16" t="s">
        <v>430</v>
      </c>
      <c r="FM7" s="16" t="s">
        <v>431</v>
      </c>
      <c r="FN7" s="16" t="s">
        <v>432</v>
      </c>
      <c r="FO7" s="16" t="s">
        <v>433</v>
      </c>
      <c r="FP7" s="16" t="s">
        <v>434</v>
      </c>
      <c r="FQ7" s="16" t="s">
        <v>435</v>
      </c>
      <c r="FR7" s="16" t="s">
        <v>436</v>
      </c>
      <c r="FS7" s="16" t="s">
        <v>437</v>
      </c>
      <c r="FT7" s="16" t="s">
        <v>438</v>
      </c>
      <c r="FU7" s="16" t="s">
        <v>439</v>
      </c>
      <c r="FV7" s="16" t="s">
        <v>440</v>
      </c>
      <c r="FW7" s="16" t="s">
        <v>441</v>
      </c>
      <c r="FX7" s="16" t="s">
        <v>442</v>
      </c>
      <c r="FY7" s="16" t="s">
        <v>443</v>
      </c>
      <c r="FZ7" s="16" t="s">
        <v>444</v>
      </c>
      <c r="GA7" s="16"/>
      <c r="GB7" s="16"/>
      <c r="GC7" s="16"/>
      <c r="GD7" s="15"/>
      <c r="GE7" s="15"/>
      <c r="GF7" s="15"/>
      <c r="GG7" s="15"/>
      <c r="GH7" s="15"/>
      <c r="GI7" s="15"/>
      <c r="GJ7" s="15"/>
      <c r="GK7" s="15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</row>
    <row r="8" spans="1:207" ht="15" customHeight="1" x14ac:dyDescent="0.35">
      <c r="A8" s="12" t="s">
        <v>447</v>
      </c>
      <c r="B8" s="7" t="s">
        <v>448</v>
      </c>
      <c r="C8" s="22">
        <f>IF(C5=DistCalc!$C$4,DistCalc!$D8,'New Formula with HB25-1320'!C8)</f>
        <v>6052.5</v>
      </c>
      <c r="D8" s="22">
        <f>IF(D5=DistCalc!$C$4,DistCalc!$D8,'New Formula with HB25-1320'!D8)</f>
        <v>30633.5</v>
      </c>
      <c r="E8" s="22">
        <f>IF(E5=DistCalc!$C$4,DistCalc!$D8,'New Formula with HB25-1320'!E8)</f>
        <v>4402.5</v>
      </c>
      <c r="F8" s="22">
        <f>IF(F5=DistCalc!$C$4,DistCalc!$D8,'New Formula with HB25-1320'!F8)</f>
        <v>21926.5</v>
      </c>
      <c r="G8" s="22">
        <f>IF(G5=DistCalc!$C$4,DistCalc!$D8,'New Formula with HB25-1320'!G8)</f>
        <v>1683</v>
      </c>
      <c r="H8" s="22">
        <f>IF(H5=DistCalc!$C$4,DistCalc!$D8,'New Formula with HB25-1320'!H8)</f>
        <v>996</v>
      </c>
      <c r="I8" s="22">
        <f>IF(I5=DistCalc!$C$4,DistCalc!$D8,'New Formula with HB25-1320'!I8)</f>
        <v>6581</v>
      </c>
      <c r="J8" s="22">
        <f>IF(J5=DistCalc!$C$4,DistCalc!$D8,'New Formula with HB25-1320'!J8)</f>
        <v>1852.5</v>
      </c>
      <c r="K8" s="22">
        <f>IF(K5=DistCalc!$C$4,DistCalc!$D8,'New Formula with HB25-1320'!K8)</f>
        <v>238.5</v>
      </c>
      <c r="L8" s="22">
        <f>IF(L5=DistCalc!$C$4,DistCalc!$D8,'New Formula with HB25-1320'!L8)</f>
        <v>1915</v>
      </c>
      <c r="M8" s="22">
        <f>IF(M5=DistCalc!$C$4,DistCalc!$D8,'New Formula with HB25-1320'!M8)</f>
        <v>801</v>
      </c>
      <c r="N8" s="22">
        <f>IF(N5=DistCalc!$C$4,DistCalc!$D8,'New Formula with HB25-1320'!N8)</f>
        <v>46607.5</v>
      </c>
      <c r="O8" s="22">
        <f>IF(O5=DistCalc!$C$4,DistCalc!$D8,'New Formula with HB25-1320'!O8)</f>
        <v>11609.5</v>
      </c>
      <c r="P8" s="22">
        <f>IF(P5=DistCalc!$C$4,DistCalc!$D8,'New Formula with HB25-1320'!P8)</f>
        <v>285</v>
      </c>
      <c r="Q8" s="22">
        <f>IF(Q5=DistCalc!$C$4,DistCalc!$D8,'New Formula with HB25-1320'!Q8)</f>
        <v>34654</v>
      </c>
      <c r="R8" s="22">
        <f>IF(R5=DistCalc!$C$4,DistCalc!$D8,'New Formula with HB25-1320'!R8)</f>
        <v>6940</v>
      </c>
      <c r="S8" s="22">
        <f>IF(S5=DistCalc!$C$4,DistCalc!$D8,'New Formula with HB25-1320'!S8)</f>
        <v>1459</v>
      </c>
      <c r="T8" s="22">
        <f>IF(T5=DistCalc!$C$4,DistCalc!$D8,'New Formula with HB25-1320'!T8)</f>
        <v>149</v>
      </c>
      <c r="U8" s="22">
        <f>IF(U5=DistCalc!$C$4,DistCalc!$D8,'New Formula with HB25-1320'!U8)</f>
        <v>48</v>
      </c>
      <c r="V8" s="22">
        <f>IF(V5=DistCalc!$C$4,DistCalc!$D8,'New Formula with HB25-1320'!V8)</f>
        <v>232</v>
      </c>
      <c r="W8" s="22">
        <f>IF(W5=DistCalc!$C$4,DistCalc!$D8,'New Formula with HB25-1320'!W8)</f>
        <v>45</v>
      </c>
      <c r="X8" s="22">
        <f>IF(X5=DistCalc!$C$4,DistCalc!$D8,'New Formula with HB25-1320'!X8)</f>
        <v>33</v>
      </c>
      <c r="Y8" s="22">
        <f>IF(Y5=DistCalc!$C$4,DistCalc!$D8,'New Formula with HB25-1320'!Y8)</f>
        <v>844.5</v>
      </c>
      <c r="Z8" s="22">
        <f>IF(Z5=DistCalc!$C$4,DistCalc!$D8,'New Formula with HB25-1320'!Z8)</f>
        <v>212</v>
      </c>
      <c r="AA8" s="22">
        <f>IF(AA5=DistCalc!$C$4,DistCalc!$D8,'New Formula with HB25-1320'!AA8)</f>
        <v>28572</v>
      </c>
      <c r="AB8" s="22">
        <f>IF(AB5=DistCalc!$C$4,DistCalc!$D8,'New Formula with HB25-1320'!AB8)</f>
        <v>25199.5</v>
      </c>
      <c r="AC8" s="22">
        <f>IF(AC5=DistCalc!$C$4,DistCalc!$D8,'New Formula with HB25-1320'!AC8)</f>
        <v>785.5</v>
      </c>
      <c r="AD8" s="22">
        <f>IF(AD5=DistCalc!$C$4,DistCalc!$D8,'New Formula with HB25-1320'!AD8)</f>
        <v>1203.5</v>
      </c>
      <c r="AE8" s="22">
        <f>IF(AE5=DistCalc!$C$4,DistCalc!$D8,'New Formula with HB25-1320'!AE8)</f>
        <v>91</v>
      </c>
      <c r="AF8" s="22">
        <f>IF(AF5=DistCalc!$C$4,DistCalc!$D8,'New Formula with HB25-1320'!AF8)</f>
        <v>157</v>
      </c>
      <c r="AG8" s="22">
        <f>IF(AG5=DistCalc!$C$4,DistCalc!$D8,'New Formula with HB25-1320'!AG8)</f>
        <v>537</v>
      </c>
      <c r="AH8" s="22">
        <f>IF(AH5=DistCalc!$C$4,DistCalc!$D8,'New Formula with HB25-1320'!AH8)</f>
        <v>850.5</v>
      </c>
      <c r="AI8" s="22">
        <f>IF(AI5=DistCalc!$C$4,DistCalc!$D8,'New Formula with HB25-1320'!AI8)</f>
        <v>363</v>
      </c>
      <c r="AJ8" s="22">
        <f>IF(AJ5=DistCalc!$C$4,DistCalc!$D8,'New Formula with HB25-1320'!AJ8)</f>
        <v>169.5</v>
      </c>
      <c r="AK8" s="22">
        <f>IF(AK5=DistCalc!$C$4,DistCalc!$D8,'New Formula with HB25-1320'!AK8)</f>
        <v>149</v>
      </c>
      <c r="AL8" s="22">
        <f>IF(AL5=DistCalc!$C$4,DistCalc!$D8,'New Formula with HB25-1320'!AL8)</f>
        <v>270.5</v>
      </c>
      <c r="AM8" s="22">
        <f>IF(AM5=DistCalc!$C$4,DistCalc!$D8,'New Formula with HB25-1320'!AM8)</f>
        <v>290</v>
      </c>
      <c r="AN8" s="22">
        <f>IF(AN5=DistCalc!$C$4,DistCalc!$D8,'New Formula with HB25-1320'!AN8)</f>
        <v>248</v>
      </c>
      <c r="AO8" s="22">
        <f>IF(AO5=DistCalc!$C$4,DistCalc!$D8,'New Formula with HB25-1320'!AO8)</f>
        <v>3797.5</v>
      </c>
      <c r="AP8" s="22">
        <f>IF(AP5=DistCalc!$C$4,DistCalc!$D8,'New Formula with HB25-1320'!AP8)</f>
        <v>77839</v>
      </c>
      <c r="AQ8" s="22">
        <f>IF(AQ5=DistCalc!$C$4,DistCalc!$D8,'New Formula with HB25-1320'!AQ8)</f>
        <v>232</v>
      </c>
      <c r="AR8" s="22">
        <f>IF(AR5=DistCalc!$C$4,DistCalc!$D8,'New Formula with HB25-1320'!AR8)</f>
        <v>54639.5</v>
      </c>
      <c r="AS8" s="22">
        <f>IF(AS5=DistCalc!$C$4,DistCalc!$D8,'New Formula with HB25-1320'!AS8)</f>
        <v>5616.5</v>
      </c>
      <c r="AT8" s="22">
        <f>IF(AT5=DistCalc!$C$4,DistCalc!$D8,'New Formula with HB25-1320'!AT8)</f>
        <v>2180</v>
      </c>
      <c r="AU8" s="22">
        <f>IF(AU5=DistCalc!$C$4,DistCalc!$D8,'New Formula with HB25-1320'!AU8)</f>
        <v>244</v>
      </c>
      <c r="AV8" s="22">
        <f>IF(AV5=DistCalc!$C$4,DistCalc!$D8,'New Formula with HB25-1320'!AV8)</f>
        <v>277</v>
      </c>
      <c r="AW8" s="22">
        <f>IF(AW5=DistCalc!$C$4,DistCalc!$D8,'New Formula with HB25-1320'!AW8)</f>
        <v>242</v>
      </c>
      <c r="AX8" s="22">
        <f>IF(AX5=DistCalc!$C$4,DistCalc!$D8,'New Formula with HB25-1320'!AX8)</f>
        <v>71</v>
      </c>
      <c r="AY8" s="22">
        <f>IF(AY5=DistCalc!$C$4,DistCalc!$D8,'New Formula with HB25-1320'!AY8)</f>
        <v>363.5</v>
      </c>
      <c r="AZ8" s="22">
        <f>IF(AZ5=DistCalc!$C$4,DistCalc!$D8,'New Formula with HB25-1320'!AZ8)</f>
        <v>10932.5</v>
      </c>
      <c r="BA8" s="22">
        <f>IF(BA5=DistCalc!$C$4,DistCalc!$D8,'New Formula with HB25-1320'!BA8)</f>
        <v>8424</v>
      </c>
      <c r="BB8" s="22">
        <f>IF(BB5=DistCalc!$C$4,DistCalc!$D8,'New Formula with HB25-1320'!BB8)</f>
        <v>6813.5</v>
      </c>
      <c r="BC8" s="22">
        <f>IF(BC5=DistCalc!$C$4,DistCalc!$D8,'New Formula with HB25-1320'!BC8)</f>
        <v>19749</v>
      </c>
      <c r="BD8" s="22">
        <f>IF(BD5=DistCalc!$C$4,DistCalc!$D8,'New Formula with HB25-1320'!BD8)</f>
        <v>3438.5</v>
      </c>
      <c r="BE8" s="22">
        <f>IF(BE5=DistCalc!$C$4,DistCalc!$D8,'New Formula with HB25-1320'!BE8)</f>
        <v>1055</v>
      </c>
      <c r="BF8" s="22">
        <f>IF(BF5=DistCalc!$C$4,DistCalc!$D8,'New Formula with HB25-1320'!BF8)</f>
        <v>24083.5</v>
      </c>
      <c r="BG8" s="22">
        <f>IF(BG5=DistCalc!$C$4,DistCalc!$D8,'New Formula with HB25-1320'!BG8)</f>
        <v>843</v>
      </c>
      <c r="BH8" s="22">
        <f>IF(BH5=DistCalc!$C$4,DistCalc!$D8,'New Formula with HB25-1320'!BH8)</f>
        <v>542</v>
      </c>
      <c r="BI8" s="22">
        <f>IF(BI5=DistCalc!$C$4,DistCalc!$D8,'New Formula with HB25-1320'!BI8)</f>
        <v>235.5</v>
      </c>
      <c r="BJ8" s="22">
        <f>IF(BJ5=DistCalc!$C$4,DistCalc!$D8,'New Formula with HB25-1320'!BJ8)</f>
        <v>5955</v>
      </c>
      <c r="BK8" s="22">
        <f>IF(BK5=DistCalc!$C$4,DistCalc!$D8,'New Formula with HB25-1320'!BK8)</f>
        <v>33128.5</v>
      </c>
      <c r="BL8" s="22">
        <f>IF(BL5=DistCalc!$C$4,DistCalc!$D8,'New Formula with HB25-1320'!BL8)</f>
        <v>67.5</v>
      </c>
      <c r="BM8" s="22">
        <f>IF(BM5=DistCalc!$C$4,DistCalc!$D8,'New Formula with HB25-1320'!BM8)</f>
        <v>324</v>
      </c>
      <c r="BN8" s="22">
        <f>IF(BN5=DistCalc!$C$4,DistCalc!$D8,'New Formula with HB25-1320'!BN8)</f>
        <v>2800</v>
      </c>
      <c r="BO8" s="22">
        <f>IF(BO5=DistCalc!$C$4,DistCalc!$D8,'New Formula with HB25-1320'!BO8)</f>
        <v>1098</v>
      </c>
      <c r="BP8" s="22">
        <f>IF(BP5=DistCalc!$C$4,DistCalc!$D8,'New Formula with HB25-1320'!BP8)</f>
        <v>126</v>
      </c>
      <c r="BQ8" s="22">
        <f>IF(BQ5=DistCalc!$C$4,DistCalc!$D8,'New Formula with HB25-1320'!BQ8)</f>
        <v>5216.5</v>
      </c>
      <c r="BR8" s="22">
        <f>IF(BR5=DistCalc!$C$4,DistCalc!$D8,'New Formula with HB25-1320'!BR8)</f>
        <v>4149</v>
      </c>
      <c r="BS8" s="22">
        <f>IF(BS5=DistCalc!$C$4,DistCalc!$D8,'New Formula with HB25-1320'!BS8)</f>
        <v>1060</v>
      </c>
      <c r="BT8" s="22">
        <f>IF(BT5=DistCalc!$C$4,DistCalc!$D8,'New Formula with HB25-1320'!BT8)</f>
        <v>324</v>
      </c>
      <c r="BU8" s="22">
        <f>IF(BU5=DistCalc!$C$4,DistCalc!$D8,'New Formula with HB25-1320'!BU8)</f>
        <v>360.5</v>
      </c>
      <c r="BV8" s="22">
        <f>IF(BV5=DistCalc!$C$4,DistCalc!$D8,'New Formula with HB25-1320'!BV8)</f>
        <v>1159</v>
      </c>
      <c r="BW8" s="22">
        <f>IF(BW5=DistCalc!$C$4,DistCalc!$D8,'New Formula with HB25-1320'!BW8)</f>
        <v>1873.5</v>
      </c>
      <c r="BX8" s="22">
        <f>IF(BX5=DistCalc!$C$4,DistCalc!$D8,'New Formula with HB25-1320'!BX8)</f>
        <v>55</v>
      </c>
      <c r="BY8" s="22">
        <f>IF(BY5=DistCalc!$C$4,DistCalc!$D8,'New Formula with HB25-1320'!BY8)</f>
        <v>369</v>
      </c>
      <c r="BZ8" s="22">
        <f>IF(BZ5=DistCalc!$C$4,DistCalc!$D8,'New Formula with HB25-1320'!BZ8)</f>
        <v>216</v>
      </c>
      <c r="CA8" s="22">
        <f>IF(CA5=DistCalc!$C$4,DistCalc!$D8,'New Formula with HB25-1320'!CA8)</f>
        <v>129.5</v>
      </c>
      <c r="CB8" s="22">
        <f>IF(CB5=DistCalc!$C$4,DistCalc!$D8,'New Formula with HB25-1320'!CB8)</f>
        <v>66247.5</v>
      </c>
      <c r="CC8" s="22">
        <f>IF(CC5=DistCalc!$C$4,DistCalc!$D8,'New Formula with HB25-1320'!CC8)</f>
        <v>174</v>
      </c>
      <c r="CD8" s="22">
        <f>IF(CD5=DistCalc!$C$4,DistCalc!$D8,'New Formula with HB25-1320'!CD8)</f>
        <v>27</v>
      </c>
      <c r="CE8" s="22">
        <f>IF(CE5=DistCalc!$C$4,DistCalc!$D8,'New Formula with HB25-1320'!CE8)</f>
        <v>144</v>
      </c>
      <c r="CF8" s="22">
        <f>IF(CF5=DistCalc!$C$4,DistCalc!$D8,'New Formula with HB25-1320'!CF8)</f>
        <v>94</v>
      </c>
      <c r="CG8" s="22">
        <f>IF(CG5=DistCalc!$C$4,DistCalc!$D8,'New Formula with HB25-1320'!CG8)</f>
        <v>182</v>
      </c>
      <c r="CH8" s="22">
        <f>IF(CH5=DistCalc!$C$4,DistCalc!$D8,'New Formula with HB25-1320'!CH8)</f>
        <v>85</v>
      </c>
      <c r="CI8" s="22">
        <f>IF(CI5=DistCalc!$C$4,DistCalc!$D8,'New Formula with HB25-1320'!CI8)</f>
        <v>631</v>
      </c>
      <c r="CJ8" s="22">
        <f>IF(CJ5=DistCalc!$C$4,DistCalc!$D8,'New Formula with HB25-1320'!CJ8)</f>
        <v>764</v>
      </c>
      <c r="CK8" s="22">
        <f>IF(CK5=DistCalc!$C$4,DistCalc!$D8,'New Formula with HB25-1320'!CK8)</f>
        <v>3908</v>
      </c>
      <c r="CL8" s="22">
        <f>IF(CL5=DistCalc!$C$4,DistCalc!$D8,'New Formula with HB25-1320'!CL8)</f>
        <v>1095</v>
      </c>
      <c r="CM8" s="22">
        <f>IF(CM5=DistCalc!$C$4,DistCalc!$D8,'New Formula with HB25-1320'!CM8)</f>
        <v>623</v>
      </c>
      <c r="CN8" s="22">
        <f>IF(CN5=DistCalc!$C$4,DistCalc!$D8,'New Formula with HB25-1320'!CN8)</f>
        <v>26610</v>
      </c>
      <c r="CO8" s="22">
        <f>IF(CO5=DistCalc!$C$4,DistCalc!$D8,'New Formula with HB25-1320'!CO8)</f>
        <v>13066</v>
      </c>
      <c r="CP8" s="22">
        <f>IF(CP5=DistCalc!$C$4,DistCalc!$D8,'New Formula with HB25-1320'!CP8)</f>
        <v>808</v>
      </c>
      <c r="CQ8" s="22">
        <f>IF(CQ5=DistCalc!$C$4,DistCalc!$D8,'New Formula with HB25-1320'!CQ8)</f>
        <v>701</v>
      </c>
      <c r="CR8" s="22">
        <f>IF(CR5=DistCalc!$C$4,DistCalc!$D8,'New Formula with HB25-1320'!CR8)</f>
        <v>176</v>
      </c>
      <c r="CS8" s="22">
        <f>IF(CS5=DistCalc!$C$4,DistCalc!$D8,'New Formula with HB25-1320'!CS8)</f>
        <v>243</v>
      </c>
      <c r="CT8" s="22">
        <f>IF(CT5=DistCalc!$C$4,DistCalc!$D8,'New Formula with HB25-1320'!CT8)</f>
        <v>102</v>
      </c>
      <c r="CU8" s="22">
        <f>IF(CU5=DistCalc!$C$4,DistCalc!$D8,'New Formula with HB25-1320'!CU8)</f>
        <v>447</v>
      </c>
      <c r="CV8" s="22">
        <f>IF(CV5=DistCalc!$C$4,DistCalc!$D8,'New Formula with HB25-1320'!CV8)</f>
        <v>21</v>
      </c>
      <c r="CW8" s="22">
        <f>IF(CW5=DistCalc!$C$4,DistCalc!$D8,'New Formula with HB25-1320'!CW8)</f>
        <v>175</v>
      </c>
      <c r="CX8" s="22">
        <f>IF(CX5=DistCalc!$C$4,DistCalc!$D8,'New Formula with HB25-1320'!CX8)</f>
        <v>418</v>
      </c>
      <c r="CY8" s="22">
        <f>IF(CY5=DistCalc!$C$4,DistCalc!$D8,'New Formula with HB25-1320'!CY8)</f>
        <v>23</v>
      </c>
      <c r="CZ8" s="22">
        <f>IF(CZ5=DistCalc!$C$4,DistCalc!$D8,'New Formula with HB25-1320'!CZ8)</f>
        <v>1631</v>
      </c>
      <c r="DA8" s="22">
        <f>IF(DA5=DistCalc!$C$4,DistCalc!$D8,'New Formula with HB25-1320'!DA8)</f>
        <v>190</v>
      </c>
      <c r="DB8" s="22">
        <f>IF(DB5=DistCalc!$C$4,DistCalc!$D8,'New Formula with HB25-1320'!DB8)</f>
        <v>290</v>
      </c>
      <c r="DC8" s="22">
        <f>IF(DC5=DistCalc!$C$4,DistCalc!$D8,'New Formula with HB25-1320'!DC8)</f>
        <v>174</v>
      </c>
      <c r="DD8" s="22">
        <f>IF(DD5=DistCalc!$C$4,DistCalc!$D8,'New Formula with HB25-1320'!DD8)</f>
        <v>165.5</v>
      </c>
      <c r="DE8" s="22">
        <f>IF(DE5=DistCalc!$C$4,DistCalc!$D8,'New Formula with HB25-1320'!DE8)</f>
        <v>264.5</v>
      </c>
      <c r="DF8" s="22">
        <f>IF(DF5=DistCalc!$C$4,DistCalc!$D8,'New Formula with HB25-1320'!DF8)</f>
        <v>17227.5</v>
      </c>
      <c r="DG8" s="22">
        <f>IF(DG5=DistCalc!$C$4,DistCalc!$D8,'New Formula with HB25-1320'!DG8)</f>
        <v>86</v>
      </c>
      <c r="DH8" s="22">
        <f>IF(DH5=DistCalc!$C$4,DistCalc!$D8,'New Formula with HB25-1320'!DH8)</f>
        <v>1552.5</v>
      </c>
      <c r="DI8" s="22">
        <f>IF(DI5=DistCalc!$C$4,DistCalc!$D8,'New Formula with HB25-1320'!DI8)</f>
        <v>2141.5</v>
      </c>
      <c r="DJ8" s="22">
        <f>IF(DJ5=DistCalc!$C$4,DistCalc!$D8,'New Formula with HB25-1320'!DJ8)</f>
        <v>566</v>
      </c>
      <c r="DK8" s="22">
        <f>IF(DK5=DistCalc!$C$4,DistCalc!$D8,'New Formula with HB25-1320'!DK8)</f>
        <v>437.5</v>
      </c>
      <c r="DL8" s="22">
        <f>IF(DL5=DistCalc!$C$4,DistCalc!$D8,'New Formula with HB25-1320'!DL8)</f>
        <v>5292.5</v>
      </c>
      <c r="DM8" s="22">
        <f>IF(DM5=DistCalc!$C$4,DistCalc!$D8,'New Formula with HB25-1320'!DM8)</f>
        <v>216</v>
      </c>
      <c r="DN8" s="22">
        <f>IF(DN5=DistCalc!$C$4,DistCalc!$D8,'New Formula with HB25-1320'!DN8)</f>
        <v>1197</v>
      </c>
      <c r="DO8" s="22">
        <f>IF(DO5=DistCalc!$C$4,DistCalc!$D8,'New Formula with HB25-1320'!DO8)</f>
        <v>3055</v>
      </c>
      <c r="DP8" s="22">
        <f>IF(DP5=DistCalc!$C$4,DistCalc!$D8,'New Formula with HB25-1320'!DP8)</f>
        <v>185</v>
      </c>
      <c r="DQ8" s="22">
        <f>IF(DQ5=DistCalc!$C$4,DistCalc!$D8,'New Formula with HB25-1320'!DQ8)</f>
        <v>828</v>
      </c>
      <c r="DR8" s="22">
        <f>IF(DR5=DistCalc!$C$4,DistCalc!$D8,'New Formula with HB25-1320'!DR8)</f>
        <v>1169.5</v>
      </c>
      <c r="DS8" s="22">
        <f>IF(DS5=DistCalc!$C$4,DistCalc!$D8,'New Formula with HB25-1320'!DS8)</f>
        <v>517</v>
      </c>
      <c r="DT8" s="22">
        <f>IF(DT5=DistCalc!$C$4,DistCalc!$D8,'New Formula with HB25-1320'!DT8)</f>
        <v>164</v>
      </c>
      <c r="DU8" s="22">
        <f>IF(DU5=DistCalc!$C$4,DistCalc!$D8,'New Formula with HB25-1320'!DU8)</f>
        <v>323</v>
      </c>
      <c r="DV8" s="22">
        <f>IF(DV5=DistCalc!$C$4,DistCalc!$D8,'New Formula with HB25-1320'!DV8)</f>
        <v>186</v>
      </c>
      <c r="DW8" s="22">
        <f>IF(DW5=DistCalc!$C$4,DistCalc!$D8,'New Formula with HB25-1320'!DW8)</f>
        <v>264</v>
      </c>
      <c r="DX8" s="22">
        <f>IF(DX5=DistCalc!$C$4,DistCalc!$D8,'New Formula with HB25-1320'!DX8)</f>
        <v>160</v>
      </c>
      <c r="DY8" s="22">
        <f>IF(DY5=DistCalc!$C$4,DistCalc!$D8,'New Formula with HB25-1320'!DY8)</f>
        <v>264</v>
      </c>
      <c r="DZ8" s="22">
        <f>IF(DZ5=DistCalc!$C$4,DistCalc!$D8,'New Formula with HB25-1320'!DZ8)</f>
        <v>558</v>
      </c>
      <c r="EA8" s="22">
        <f>IF(EA5=DistCalc!$C$4,DistCalc!$D8,'New Formula with HB25-1320'!EA8)</f>
        <v>460</v>
      </c>
      <c r="EB8" s="22">
        <f>IF(EB5=DistCalc!$C$4,DistCalc!$D8,'New Formula with HB25-1320'!EB8)</f>
        <v>463</v>
      </c>
      <c r="EC8" s="22">
        <f>IF(EC5=DistCalc!$C$4,DistCalc!$D8,'New Formula with HB25-1320'!EC8)</f>
        <v>245</v>
      </c>
      <c r="ED8" s="22">
        <f>IF(ED5=DistCalc!$C$4,DistCalc!$D8,'New Formula with HB25-1320'!ED8)</f>
        <v>1453</v>
      </c>
      <c r="EE8" s="22">
        <f>IF(EE5=DistCalc!$C$4,DistCalc!$D8,'New Formula with HB25-1320'!EE8)</f>
        <v>175.5</v>
      </c>
      <c r="EF8" s="22">
        <f>IF(EF5=DistCalc!$C$4,DistCalc!$D8,'New Formula with HB25-1320'!EF8)</f>
        <v>1175</v>
      </c>
      <c r="EG8" s="22">
        <f>IF(EG5=DistCalc!$C$4,DistCalc!$D8,'New Formula with HB25-1320'!EG8)</f>
        <v>235</v>
      </c>
      <c r="EH8" s="22">
        <f>IF(EH5=DistCalc!$C$4,DistCalc!$D8,'New Formula with HB25-1320'!EH8)</f>
        <v>228</v>
      </c>
      <c r="EI8" s="22">
        <f>IF(EI5=DistCalc!$C$4,DistCalc!$D8,'New Formula with HB25-1320'!EI8)</f>
        <v>12345</v>
      </c>
      <c r="EJ8" s="22">
        <f>IF(EJ5=DistCalc!$C$4,DistCalc!$D8,'New Formula with HB25-1320'!EJ8)</f>
        <v>9340.5</v>
      </c>
      <c r="EK8" s="22">
        <f>IF(EK5=DistCalc!$C$4,DistCalc!$D8,'New Formula with HB25-1320'!EK8)</f>
        <v>629.5</v>
      </c>
      <c r="EL8" s="22">
        <f>IF(EL5=DistCalc!$C$4,DistCalc!$D8,'New Formula with HB25-1320'!EL8)</f>
        <v>415</v>
      </c>
      <c r="EM8" s="22">
        <f>IF(EM5=DistCalc!$C$4,DistCalc!$D8,'New Formula with HB25-1320'!EM8)</f>
        <v>336.5</v>
      </c>
      <c r="EN8" s="22">
        <f>IF(EN5=DistCalc!$C$4,DistCalc!$D8,'New Formula with HB25-1320'!EN8)</f>
        <v>865.5</v>
      </c>
      <c r="EO8" s="22">
        <f>IF(EO5=DistCalc!$C$4,DistCalc!$D8,'New Formula with HB25-1320'!EO8)</f>
        <v>262</v>
      </c>
      <c r="EP8" s="22">
        <f>IF(EP5=DistCalc!$C$4,DistCalc!$D8,'New Formula with HB25-1320'!EP8)</f>
        <v>395.5</v>
      </c>
      <c r="EQ8" s="22">
        <f>IF(EQ5=DistCalc!$C$4,DistCalc!$D8,'New Formula with HB25-1320'!EQ8)</f>
        <v>2280.5</v>
      </c>
      <c r="ER8" s="22">
        <f>IF(ER5=DistCalc!$C$4,DistCalc!$D8,'New Formula with HB25-1320'!ER8)</f>
        <v>285</v>
      </c>
      <c r="ES8" s="22">
        <f>IF(ES5=DistCalc!$C$4,DistCalc!$D8,'New Formula with HB25-1320'!ES8)</f>
        <v>138.5</v>
      </c>
      <c r="ET8" s="22">
        <f>IF(ET5=DistCalc!$C$4,DistCalc!$D8,'New Formula with HB25-1320'!ET8)</f>
        <v>183.5</v>
      </c>
      <c r="EU8" s="22">
        <f>IF(EU5=DistCalc!$C$4,DistCalc!$D8,'New Formula with HB25-1320'!EU8)</f>
        <v>526.5</v>
      </c>
      <c r="EV8" s="22">
        <f>IF(EV5=DistCalc!$C$4,DistCalc!$D8,'New Formula with HB25-1320'!EV8)</f>
        <v>64</v>
      </c>
      <c r="EW8" s="22">
        <f>IF(EW5=DistCalc!$C$4,DistCalc!$D8,'New Formula with HB25-1320'!EW8)</f>
        <v>694.5</v>
      </c>
      <c r="EX8" s="22">
        <f>IF(EX5=DistCalc!$C$4,DistCalc!$D8,'New Formula with HB25-1320'!EX8)</f>
        <v>163.5</v>
      </c>
      <c r="EY8" s="22">
        <f>IF(EY5=DistCalc!$C$4,DistCalc!$D8,'New Formula with HB25-1320'!EY8)</f>
        <v>641</v>
      </c>
      <c r="EZ8" s="22">
        <f>IF(EZ5=DistCalc!$C$4,DistCalc!$D8,'New Formula with HB25-1320'!EZ8)</f>
        <v>119</v>
      </c>
      <c r="FA8" s="22">
        <f>IF(FA5=DistCalc!$C$4,DistCalc!$D8,'New Formula with HB25-1320'!FA8)</f>
        <v>3029.5</v>
      </c>
      <c r="FB8" s="22">
        <f>IF(FB5=DistCalc!$C$4,DistCalc!$D8,'New Formula with HB25-1320'!FB8)</f>
        <v>250.5</v>
      </c>
      <c r="FC8" s="22">
        <f>IF(FC5=DistCalc!$C$4,DistCalc!$D8,'New Formula with HB25-1320'!FC8)</f>
        <v>1503</v>
      </c>
      <c r="FD8" s="22">
        <f>IF(FD5=DistCalc!$C$4,DistCalc!$D8,'New Formula with HB25-1320'!FD8)</f>
        <v>365</v>
      </c>
      <c r="FE8" s="22">
        <f>IF(FE5=DistCalc!$C$4,DistCalc!$D8,'New Formula with HB25-1320'!FE8)</f>
        <v>66</v>
      </c>
      <c r="FF8" s="22">
        <f>IF(FF5=DistCalc!$C$4,DistCalc!$D8,'New Formula with HB25-1320'!FF8)</f>
        <v>162</v>
      </c>
      <c r="FG8" s="22">
        <f>IF(FG5=DistCalc!$C$4,DistCalc!$D8,'New Formula with HB25-1320'!FG8)</f>
        <v>107</v>
      </c>
      <c r="FH8" s="22">
        <f>IF(FH5=DistCalc!$C$4,DistCalc!$D8,'New Formula with HB25-1320'!FH8)</f>
        <v>62</v>
      </c>
      <c r="FI8" s="22">
        <f>IF(FI5=DistCalc!$C$4,DistCalc!$D8,'New Formula with HB25-1320'!FI8)</f>
        <v>1522.5</v>
      </c>
      <c r="FJ8" s="22">
        <f>IF(FJ5=DistCalc!$C$4,DistCalc!$D8,'New Formula with HB25-1320'!FJ8)</f>
        <v>1876.5</v>
      </c>
      <c r="FK8" s="22">
        <f>IF(FK5=DistCalc!$C$4,DistCalc!$D8,'New Formula with HB25-1320'!FK8)</f>
        <v>2279.5</v>
      </c>
      <c r="FL8" s="22">
        <f>IF(FL5=DistCalc!$C$4,DistCalc!$D8,'New Formula with HB25-1320'!FL8)</f>
        <v>7819.5</v>
      </c>
      <c r="FM8" s="22">
        <f>IF(FM5=DistCalc!$C$4,DistCalc!$D8,'New Formula with HB25-1320'!FM8)</f>
        <v>3685.5</v>
      </c>
      <c r="FN8" s="22">
        <f>IF(FN5=DistCalc!$C$4,DistCalc!$D8,'New Formula with HB25-1320'!FN8)</f>
        <v>21021</v>
      </c>
      <c r="FO8" s="22">
        <f>IF(FO5=DistCalc!$C$4,DistCalc!$D8,'New Formula with HB25-1320'!FO8)</f>
        <v>1038</v>
      </c>
      <c r="FP8" s="22">
        <f>IF(FP5=DistCalc!$C$4,DistCalc!$D8,'New Formula with HB25-1320'!FP8)</f>
        <v>2167</v>
      </c>
      <c r="FQ8" s="22">
        <f>IF(FQ5=DistCalc!$C$4,DistCalc!$D8,'New Formula with HB25-1320'!FQ8)</f>
        <v>919</v>
      </c>
      <c r="FR8" s="22">
        <f>IF(FR5=DistCalc!$C$4,DistCalc!$D8,'New Formula with HB25-1320'!FR8)</f>
        <v>149.5</v>
      </c>
      <c r="FS8" s="22">
        <f>IF(FS5=DistCalc!$C$4,DistCalc!$D8,'New Formula with HB25-1320'!FS8)</f>
        <v>148.5</v>
      </c>
      <c r="FT8" s="22" t="e">
        <f ca="1">IF(FT5=DistCalc!$C$4,DistCalc!$D8,'New Formula with HB25-1320'!FT8)</f>
        <v>#NAME?</v>
      </c>
      <c r="FU8" s="22">
        <f>IF(FU5=DistCalc!$C$4,DistCalc!$D8,'New Formula with HB25-1320'!FU8)</f>
        <v>699</v>
      </c>
      <c r="FV8" s="22">
        <f>IF(FV5=DistCalc!$C$4,DistCalc!$D8,'New Formula with HB25-1320'!FV8)</f>
        <v>638</v>
      </c>
      <c r="FW8" s="22">
        <f>IF(FW5=DistCalc!$C$4,DistCalc!$D8,'New Formula with HB25-1320'!FW8)</f>
        <v>121</v>
      </c>
      <c r="FX8" s="22">
        <f>IF(FX5=DistCalc!$C$4,DistCalc!$D8,'New Formula with HB25-1320'!FX8)</f>
        <v>58</v>
      </c>
      <c r="FY8" s="23"/>
      <c r="FZ8" s="23" t="e">
        <f ca="1">SUM(C8:FY8)</f>
        <v>#NAME?</v>
      </c>
      <c r="GA8" s="23"/>
      <c r="GB8" s="23"/>
      <c r="GC8" s="12"/>
      <c r="GD8" s="23"/>
      <c r="GE8" s="7"/>
      <c r="GF8" s="7"/>
      <c r="GG8" s="7"/>
      <c r="GH8" s="7"/>
      <c r="GI8" s="7"/>
      <c r="GJ8" s="7"/>
      <c r="GK8" s="7"/>
    </row>
    <row r="9" spans="1:207" ht="15" customHeight="1" x14ac:dyDescent="0.35">
      <c r="A9" s="12" t="s">
        <v>746</v>
      </c>
      <c r="B9" s="7" t="s">
        <v>450</v>
      </c>
      <c r="C9" s="24">
        <f>IF(C5=DistCalc!$C$4,DistCalc!$D9,'New Formula with HB25-1320'!C9)</f>
        <v>468</v>
      </c>
      <c r="D9" s="25">
        <f>IF(D5=DistCalc!$C$4,DistCalc!$D9,'New Formula with HB25-1320'!D9)</f>
        <v>2050.5</v>
      </c>
      <c r="E9" s="25">
        <f>IF(E5=DistCalc!$C$4,DistCalc!$D9,'New Formula with HB25-1320'!E9)</f>
        <v>299.5</v>
      </c>
      <c r="F9" s="25">
        <f>IF(F5=DistCalc!$C$4,DistCalc!$D9,'New Formula with HB25-1320'!F9)</f>
        <v>1579</v>
      </c>
      <c r="G9" s="25">
        <f>IF(G5=DistCalc!$C$4,DistCalc!$D9,'New Formula with HB25-1320'!G9)</f>
        <v>162</v>
      </c>
      <c r="H9" s="25">
        <f>IF(H5=DistCalc!$C$4,DistCalc!$D9,'New Formula with HB25-1320'!H9)</f>
        <v>75</v>
      </c>
      <c r="I9" s="25">
        <f>IF(I5=DistCalc!$C$4,DistCalc!$D9,'New Formula with HB25-1320'!I9)</f>
        <v>460</v>
      </c>
      <c r="J9" s="25">
        <f>IF(J5=DistCalc!$C$4,DistCalc!$D9,'New Formula with HB25-1320'!J9)</f>
        <v>135.5</v>
      </c>
      <c r="K9" s="25">
        <f>IF(K5=DistCalc!$C$4,DistCalc!$D9,'New Formula with HB25-1320'!K9)</f>
        <v>10</v>
      </c>
      <c r="L9" s="25">
        <f>IF(L5=DistCalc!$C$4,DistCalc!$D9,'New Formula with HB25-1320'!L9)</f>
        <v>170</v>
      </c>
      <c r="M9" s="25">
        <f>IF(M5=DistCalc!$C$4,DistCalc!$D9,'New Formula with HB25-1320'!M9)</f>
        <v>52</v>
      </c>
      <c r="N9" s="25">
        <f>IF(N5=DistCalc!$C$4,DistCalc!$D9,'New Formula with HB25-1320'!N9)</f>
        <v>3139.5</v>
      </c>
      <c r="O9" s="25">
        <f>IF(O5=DistCalc!$C$4,DistCalc!$D9,'New Formula with HB25-1320'!O9)</f>
        <v>758</v>
      </c>
      <c r="P9" s="25">
        <f>IF(P5=DistCalc!$C$4,DistCalc!$D9,'New Formula with HB25-1320'!P9)</f>
        <v>28</v>
      </c>
      <c r="Q9" s="25">
        <f>IF(Q5=DistCalc!$C$4,DistCalc!$D9,'New Formula with HB25-1320'!Q9)</f>
        <v>2910</v>
      </c>
      <c r="R9" s="25">
        <f>IF(R5=DistCalc!$C$4,DistCalc!$D9,'New Formula with HB25-1320'!R9)</f>
        <v>160</v>
      </c>
      <c r="S9" s="25">
        <f>IF(S5=DistCalc!$C$4,DistCalc!$D9,'New Formula with HB25-1320'!S9)</f>
        <v>100.5</v>
      </c>
      <c r="T9" s="25">
        <f>IF(T5=DistCalc!$C$4,DistCalc!$D9,'New Formula with HB25-1320'!T9)</f>
        <v>11</v>
      </c>
      <c r="U9" s="25">
        <f>IF(U5=DistCalc!$C$4,DistCalc!$D9,'New Formula with HB25-1320'!U9)</f>
        <v>6</v>
      </c>
      <c r="V9" s="25">
        <f>IF(V5=DistCalc!$C$4,DistCalc!$D9,'New Formula with HB25-1320'!V9)</f>
        <v>21</v>
      </c>
      <c r="W9" s="25">
        <f>IF(W5=DistCalc!$C$4,DistCalc!$D9,'New Formula with HB25-1320'!W9)</f>
        <v>2</v>
      </c>
      <c r="X9" s="25">
        <f>IF(X5=DistCalc!$C$4,DistCalc!$D9,'New Formula with HB25-1320'!X9)</f>
        <v>4.5</v>
      </c>
      <c r="Y9" s="25">
        <f>IF(Y5=DistCalc!$C$4,DistCalc!$D9,'New Formula with HB25-1320'!Y9)</f>
        <v>26</v>
      </c>
      <c r="Z9" s="25">
        <f>IF(Z5=DistCalc!$C$4,DistCalc!$D9,'New Formula with HB25-1320'!Z9)</f>
        <v>19</v>
      </c>
      <c r="AA9" s="25">
        <f>IF(AA5=DistCalc!$C$4,DistCalc!$D9,'New Formula with HB25-1320'!AA9)</f>
        <v>2101</v>
      </c>
      <c r="AB9" s="25">
        <f>IF(AB5=DistCalc!$C$4,DistCalc!$D9,'New Formula with HB25-1320'!AB9)</f>
        <v>1586</v>
      </c>
      <c r="AC9" s="25">
        <f>IF(AC5=DistCalc!$C$4,DistCalc!$D9,'New Formula with HB25-1320'!AC9)</f>
        <v>62</v>
      </c>
      <c r="AD9" s="25">
        <f>IF(AD5=DistCalc!$C$4,DistCalc!$D9,'New Formula with HB25-1320'!AD9)</f>
        <v>84</v>
      </c>
      <c r="AE9" s="25">
        <f>IF(AE5=DistCalc!$C$4,DistCalc!$D9,'New Formula with HB25-1320'!AE9)</f>
        <v>6</v>
      </c>
      <c r="AF9" s="25">
        <f>IF(AF5=DistCalc!$C$4,DistCalc!$D9,'New Formula with HB25-1320'!AF9)</f>
        <v>7</v>
      </c>
      <c r="AG9" s="25">
        <f>IF(AG5=DistCalc!$C$4,DistCalc!$D9,'New Formula with HB25-1320'!AG9)</f>
        <v>48.5</v>
      </c>
      <c r="AH9" s="25">
        <f>IF(AH5=DistCalc!$C$4,DistCalc!$D9,'New Formula with HB25-1320'!AH9)</f>
        <v>57.5</v>
      </c>
      <c r="AI9" s="25">
        <f>IF(AI5=DistCalc!$C$4,DistCalc!$D9,'New Formula with HB25-1320'!AI9)</f>
        <v>20</v>
      </c>
      <c r="AJ9" s="25">
        <f>IF(AJ5=DistCalc!$C$4,DistCalc!$D9,'New Formula with HB25-1320'!AJ9)</f>
        <v>12</v>
      </c>
      <c r="AK9" s="25">
        <f>IF(AK5=DistCalc!$C$4,DistCalc!$D9,'New Formula with HB25-1320'!AK9)</f>
        <v>13.5</v>
      </c>
      <c r="AL9" s="25">
        <f>IF(AL5=DistCalc!$C$4,DistCalc!$D9,'New Formula with HB25-1320'!AL9)</f>
        <v>18</v>
      </c>
      <c r="AM9" s="25">
        <f>IF(AM5=DistCalc!$C$4,DistCalc!$D9,'New Formula with HB25-1320'!AM9)</f>
        <v>16</v>
      </c>
      <c r="AN9" s="25">
        <f>IF(AN5=DistCalc!$C$4,DistCalc!$D9,'New Formula with HB25-1320'!AN9)</f>
        <v>20</v>
      </c>
      <c r="AO9" s="25">
        <f>IF(AO5=DistCalc!$C$4,DistCalc!$D9,'New Formula with HB25-1320'!AO9)</f>
        <v>254</v>
      </c>
      <c r="AP9" s="25">
        <f>IF(AP5=DistCalc!$C$4,DistCalc!$D9,'New Formula with HB25-1320'!AP9)</f>
        <v>6477.5</v>
      </c>
      <c r="AQ9" s="25">
        <f>IF(AQ5=DistCalc!$C$4,DistCalc!$D9,'New Formula with HB25-1320'!AQ9)</f>
        <v>19</v>
      </c>
      <c r="AR9" s="25">
        <f>IF(AR5=DistCalc!$C$4,DistCalc!$D9,'New Formula with HB25-1320'!AR9)</f>
        <v>4138.5</v>
      </c>
      <c r="AS9" s="25">
        <f>IF(AS5=DistCalc!$C$4,DistCalc!$D9,'New Formula with HB25-1320'!AS9)</f>
        <v>355</v>
      </c>
      <c r="AT9" s="25">
        <f>IF(AT5=DistCalc!$C$4,DistCalc!$D9,'New Formula with HB25-1320'!AT9)</f>
        <v>181</v>
      </c>
      <c r="AU9" s="25">
        <f>IF(AU5=DistCalc!$C$4,DistCalc!$D9,'New Formula with HB25-1320'!AU9)</f>
        <v>24</v>
      </c>
      <c r="AV9" s="25">
        <f>IF(AV5=DistCalc!$C$4,DistCalc!$D9,'New Formula with HB25-1320'!AV9)</f>
        <v>19</v>
      </c>
      <c r="AW9" s="25">
        <f>IF(AW5=DistCalc!$C$4,DistCalc!$D9,'New Formula with HB25-1320'!AW9)</f>
        <v>15</v>
      </c>
      <c r="AX9" s="25">
        <f>IF(AX5=DistCalc!$C$4,DistCalc!$D9,'New Formula with HB25-1320'!AX9)</f>
        <v>10</v>
      </c>
      <c r="AY9" s="25">
        <f>IF(AY5=DistCalc!$C$4,DistCalc!$D9,'New Formula with HB25-1320'!AY9)</f>
        <v>28</v>
      </c>
      <c r="AZ9" s="25">
        <f>IF(AZ5=DistCalc!$C$4,DistCalc!$D9,'New Formula with HB25-1320'!AZ9)</f>
        <v>945</v>
      </c>
      <c r="BA9" s="25">
        <f>IF(BA5=DistCalc!$C$4,DistCalc!$D9,'New Formula with HB25-1320'!BA9)</f>
        <v>666</v>
      </c>
      <c r="BB9" s="25">
        <f>IF(BB5=DistCalc!$C$4,DistCalc!$D9,'New Formula with HB25-1320'!BB9)</f>
        <v>637.5</v>
      </c>
      <c r="BC9" s="25">
        <f>IF(BC5=DistCalc!$C$4,DistCalc!$D9,'New Formula with HB25-1320'!BC9)</f>
        <v>1742</v>
      </c>
      <c r="BD9" s="25">
        <f>IF(BD5=DistCalc!$C$4,DistCalc!$D9,'New Formula with HB25-1320'!BD9)</f>
        <v>199</v>
      </c>
      <c r="BE9" s="25">
        <f>IF(BE5=DistCalc!$C$4,DistCalc!$D9,'New Formula with HB25-1320'!BE9)</f>
        <v>37</v>
      </c>
      <c r="BF9" s="25">
        <f>IF(BF5=DistCalc!$C$4,DistCalc!$D9,'New Formula with HB25-1320'!BF9)</f>
        <v>1488.5</v>
      </c>
      <c r="BG9" s="25">
        <f>IF(BG5=DistCalc!$C$4,DistCalc!$D9,'New Formula with HB25-1320'!BG9)</f>
        <v>76.5</v>
      </c>
      <c r="BH9" s="25">
        <f>IF(BH5=DistCalc!$C$4,DistCalc!$D9,'New Formula with HB25-1320'!BH9)</f>
        <v>32</v>
      </c>
      <c r="BI9" s="25">
        <f>IF(BI5=DistCalc!$C$4,DistCalc!$D9,'New Formula with HB25-1320'!BI9)</f>
        <v>19</v>
      </c>
      <c r="BJ9" s="25">
        <f>IF(BJ5=DistCalc!$C$4,DistCalc!$D9,'New Formula with HB25-1320'!BJ9)</f>
        <v>356.5</v>
      </c>
      <c r="BK9" s="25">
        <f>IF(BK5=DistCalc!$C$4,DistCalc!$D9,'New Formula with HB25-1320'!BK9)</f>
        <v>1966</v>
      </c>
      <c r="BL9" s="25">
        <f>IF(BL5=DistCalc!$C$4,DistCalc!$D9,'New Formula with HB25-1320'!BL9)</f>
        <v>5</v>
      </c>
      <c r="BM9" s="25">
        <f>IF(BM5=DistCalc!$C$4,DistCalc!$D9,'New Formula with HB25-1320'!BM9)</f>
        <v>25</v>
      </c>
      <c r="BN9" s="25">
        <f>IF(BN5=DistCalc!$C$4,DistCalc!$D9,'New Formula with HB25-1320'!BN9)</f>
        <v>238.5</v>
      </c>
      <c r="BO9" s="25">
        <f>IF(BO5=DistCalc!$C$4,DistCalc!$D9,'New Formula with HB25-1320'!BO9)</f>
        <v>91</v>
      </c>
      <c r="BP9" s="25">
        <f>IF(BP5=DistCalc!$C$4,DistCalc!$D9,'New Formula with HB25-1320'!BP9)</f>
        <v>11</v>
      </c>
      <c r="BQ9" s="25">
        <f>IF(BQ5=DistCalc!$C$4,DistCalc!$D9,'New Formula with HB25-1320'!BQ9)</f>
        <v>368</v>
      </c>
      <c r="BR9" s="25">
        <f>IF(BR5=DistCalc!$C$4,DistCalc!$D9,'New Formula with HB25-1320'!BR9)</f>
        <v>325.5</v>
      </c>
      <c r="BS9" s="25">
        <f>IF(BS5=DistCalc!$C$4,DistCalc!$D9,'New Formula with HB25-1320'!BS9)</f>
        <v>98</v>
      </c>
      <c r="BT9" s="25">
        <f>IF(BT5=DistCalc!$C$4,DistCalc!$D9,'New Formula with HB25-1320'!BT9)</f>
        <v>29</v>
      </c>
      <c r="BU9" s="25">
        <f>IF(BU5=DistCalc!$C$4,DistCalc!$D9,'New Formula with HB25-1320'!BU9)</f>
        <v>21.5</v>
      </c>
      <c r="BV9" s="25">
        <f>IF(BV5=DistCalc!$C$4,DistCalc!$D9,'New Formula with HB25-1320'!BV9)</f>
        <v>84</v>
      </c>
      <c r="BW9" s="25">
        <f>IF(BW5=DistCalc!$C$4,DistCalc!$D9,'New Formula with HB25-1320'!BW9)</f>
        <v>144</v>
      </c>
      <c r="BX9" s="25">
        <f>IF(BX5=DistCalc!$C$4,DistCalc!$D9,'New Formula with HB25-1320'!BX9)</f>
        <v>2</v>
      </c>
      <c r="BY9" s="25">
        <f>IF(BY5=DistCalc!$C$4,DistCalc!$D9,'New Formula with HB25-1320'!BY9)</f>
        <v>23.5</v>
      </c>
      <c r="BZ9" s="25">
        <f>IF(BZ5=DistCalc!$C$4,DistCalc!$D9,'New Formula with HB25-1320'!BZ9)</f>
        <v>12</v>
      </c>
      <c r="CA9" s="25">
        <f>IF(CA5=DistCalc!$C$4,DistCalc!$D9,'New Formula with HB25-1320'!CA9)</f>
        <v>12</v>
      </c>
      <c r="CB9" s="25">
        <f>IF(CB5=DistCalc!$C$4,DistCalc!$D9,'New Formula with HB25-1320'!CB9)</f>
        <v>5027.5</v>
      </c>
      <c r="CC9" s="25">
        <f>IF(CC5=DistCalc!$C$4,DistCalc!$D9,'New Formula with HB25-1320'!CC9)</f>
        <v>12</v>
      </c>
      <c r="CD9" s="25">
        <f>IF(CD5=DistCalc!$C$4,DistCalc!$D9,'New Formula with HB25-1320'!CD9)</f>
        <v>3</v>
      </c>
      <c r="CE9" s="25">
        <f>IF(CE5=DistCalc!$C$4,DistCalc!$D9,'New Formula with HB25-1320'!CE9)</f>
        <v>14</v>
      </c>
      <c r="CF9" s="25">
        <f>IF(CF5=DistCalc!$C$4,DistCalc!$D9,'New Formula with HB25-1320'!CF9)</f>
        <v>6</v>
      </c>
      <c r="CG9" s="25">
        <f>IF(CG5=DistCalc!$C$4,DistCalc!$D9,'New Formula with HB25-1320'!CG9)</f>
        <v>9</v>
      </c>
      <c r="CH9" s="25">
        <f>IF(CH5=DistCalc!$C$4,DistCalc!$D9,'New Formula with HB25-1320'!CH9)</f>
        <v>5</v>
      </c>
      <c r="CI9" s="25">
        <f>IF(CI5=DistCalc!$C$4,DistCalc!$D9,'New Formula with HB25-1320'!CI9)</f>
        <v>52</v>
      </c>
      <c r="CJ9" s="25">
        <f>IF(CJ5=DistCalc!$C$4,DistCalc!$D9,'New Formula with HB25-1320'!CJ9)</f>
        <v>58.5</v>
      </c>
      <c r="CK9" s="25">
        <f>IF(CK5=DistCalc!$C$4,DistCalc!$D9,'New Formula with HB25-1320'!CK9)</f>
        <v>304</v>
      </c>
      <c r="CL9" s="25">
        <f>IF(CL5=DistCalc!$C$4,DistCalc!$D9,'New Formula with HB25-1320'!CL9)</f>
        <v>62.5</v>
      </c>
      <c r="CM9" s="25">
        <f>IF(CM5=DistCalc!$C$4,DistCalc!$D9,'New Formula with HB25-1320'!CM9)</f>
        <v>54.5</v>
      </c>
      <c r="CN9" s="25">
        <f>IF(CN5=DistCalc!$C$4,DistCalc!$D9,'New Formula with HB25-1320'!CN9)</f>
        <v>1807</v>
      </c>
      <c r="CO9" s="25">
        <f>IF(CO5=DistCalc!$C$4,DistCalc!$D9,'New Formula with HB25-1320'!CO9)</f>
        <v>924</v>
      </c>
      <c r="CP9" s="25">
        <f>IF(CP5=DistCalc!$C$4,DistCalc!$D9,'New Formula with HB25-1320'!CP9)</f>
        <v>53.5</v>
      </c>
      <c r="CQ9" s="25">
        <f>IF(CQ5=DistCalc!$C$4,DistCalc!$D9,'New Formula with HB25-1320'!CQ9)</f>
        <v>58</v>
      </c>
      <c r="CR9" s="25">
        <f>IF(CR5=DistCalc!$C$4,DistCalc!$D9,'New Formula with HB25-1320'!CR9)</f>
        <v>19</v>
      </c>
      <c r="CS9" s="25">
        <f>IF(CS5=DistCalc!$C$4,DistCalc!$D9,'New Formula with HB25-1320'!CS9)</f>
        <v>2.5</v>
      </c>
      <c r="CT9" s="25">
        <f>IF(CT5=DistCalc!$C$4,DistCalc!$D9,'New Formula with HB25-1320'!CT9)</f>
        <v>10</v>
      </c>
      <c r="CU9" s="25">
        <f>IF(CU5=DistCalc!$C$4,DistCalc!$D9,'New Formula with HB25-1320'!CU9)</f>
        <v>18</v>
      </c>
      <c r="CV9" s="25">
        <f>IF(CV5=DistCalc!$C$4,DistCalc!$D9,'New Formula with HB25-1320'!CV9)</f>
        <v>3</v>
      </c>
      <c r="CW9" s="25">
        <f>IF(CW5=DistCalc!$C$4,DistCalc!$D9,'New Formula with HB25-1320'!CW9)</f>
        <v>12</v>
      </c>
      <c r="CX9" s="25">
        <f>IF(CX5=DistCalc!$C$4,DistCalc!$D9,'New Formula with HB25-1320'!CX9)</f>
        <v>39</v>
      </c>
      <c r="CY9" s="25">
        <f>IF(CY5=DistCalc!$C$4,DistCalc!$D9,'New Formula with HB25-1320'!CY9)</f>
        <v>2</v>
      </c>
      <c r="CZ9" s="25">
        <f>IF(CZ5=DistCalc!$C$4,DistCalc!$D9,'New Formula with HB25-1320'!CZ9)</f>
        <v>137</v>
      </c>
      <c r="DA9" s="25">
        <f>IF(DA5=DistCalc!$C$4,DistCalc!$D9,'New Formula with HB25-1320'!DA9)</f>
        <v>13.5</v>
      </c>
      <c r="DB9" s="25">
        <f>IF(DB5=DistCalc!$C$4,DistCalc!$D9,'New Formula with HB25-1320'!DB9)</f>
        <v>20.5</v>
      </c>
      <c r="DC9" s="25">
        <f>IF(DC5=DistCalc!$C$4,DistCalc!$D9,'New Formula with HB25-1320'!DC9)</f>
        <v>19</v>
      </c>
      <c r="DD9" s="25">
        <f>IF(DD5=DistCalc!$C$4,DistCalc!$D9,'New Formula with HB25-1320'!DD9)</f>
        <v>9</v>
      </c>
      <c r="DE9" s="25">
        <f>IF(DE5=DistCalc!$C$4,DistCalc!$D9,'New Formula with HB25-1320'!DE9)</f>
        <v>15</v>
      </c>
      <c r="DF9" s="25">
        <f>IF(DF5=DistCalc!$C$4,DistCalc!$D9,'New Formula with HB25-1320'!DF9)</f>
        <v>1262.5</v>
      </c>
      <c r="DG9" s="25">
        <f>IF(DG5=DistCalc!$C$4,DistCalc!$D9,'New Formula with HB25-1320'!DG9)</f>
        <v>7.5</v>
      </c>
      <c r="DH9" s="25">
        <f>IF(DH5=DistCalc!$C$4,DistCalc!$D9,'New Formula with HB25-1320'!DH9)</f>
        <v>131.5</v>
      </c>
      <c r="DI9" s="25">
        <f>IF(DI5=DistCalc!$C$4,DistCalc!$D9,'New Formula with HB25-1320'!DI9)</f>
        <v>151.5</v>
      </c>
      <c r="DJ9" s="25">
        <f>IF(DJ5=DistCalc!$C$4,DistCalc!$D9,'New Formula with HB25-1320'!DJ9)</f>
        <v>35</v>
      </c>
      <c r="DK9" s="25">
        <f>IF(DK5=DistCalc!$C$4,DistCalc!$D9,'New Formula with HB25-1320'!DK9)</f>
        <v>36</v>
      </c>
      <c r="DL9" s="25">
        <f>IF(DL5=DistCalc!$C$4,DistCalc!$D9,'New Formula with HB25-1320'!DL9)</f>
        <v>323.5</v>
      </c>
      <c r="DM9" s="25">
        <f>IF(DM5=DistCalc!$C$4,DistCalc!$D9,'New Formula with HB25-1320'!DM9)</f>
        <v>19</v>
      </c>
      <c r="DN9" s="25">
        <f>IF(DN5=DistCalc!$C$4,DistCalc!$D9,'New Formula with HB25-1320'!DN9)</f>
        <v>99</v>
      </c>
      <c r="DO9" s="25">
        <f>IF(DO5=DistCalc!$C$4,DistCalc!$D9,'New Formula with HB25-1320'!DO9)</f>
        <v>235</v>
      </c>
      <c r="DP9" s="25">
        <f>IF(DP5=DistCalc!$C$4,DistCalc!$D9,'New Formula with HB25-1320'!DP9)</f>
        <v>14</v>
      </c>
      <c r="DQ9" s="25">
        <f>IF(DQ5=DistCalc!$C$4,DistCalc!$D9,'New Formula with HB25-1320'!DQ9)</f>
        <v>60</v>
      </c>
      <c r="DR9" s="25">
        <f>IF(DR5=DistCalc!$C$4,DistCalc!$D9,'New Formula with HB25-1320'!DR9)</f>
        <v>96.5</v>
      </c>
      <c r="DS9" s="25">
        <f>IF(DS5=DistCalc!$C$4,DistCalc!$D9,'New Formula with HB25-1320'!DS9)</f>
        <v>28</v>
      </c>
      <c r="DT9" s="25">
        <f>IF(DT5=DistCalc!$C$4,DistCalc!$D9,'New Formula with HB25-1320'!DT9)</f>
        <v>11</v>
      </c>
      <c r="DU9" s="25">
        <f>IF(DU5=DistCalc!$C$4,DistCalc!$D9,'New Formula with HB25-1320'!DU9)</f>
        <v>23</v>
      </c>
      <c r="DV9" s="25">
        <f>IF(DV5=DistCalc!$C$4,DistCalc!$D9,'New Formula with HB25-1320'!DV9)</f>
        <v>12</v>
      </c>
      <c r="DW9" s="25">
        <f>IF(DW5=DistCalc!$C$4,DistCalc!$D9,'New Formula with HB25-1320'!DW9)</f>
        <v>21</v>
      </c>
      <c r="DX9" s="25">
        <f>IF(DX5=DistCalc!$C$4,DistCalc!$D9,'New Formula with HB25-1320'!DX9)</f>
        <v>8</v>
      </c>
      <c r="DY9" s="25">
        <f>IF(DY5=DistCalc!$C$4,DistCalc!$D9,'New Formula with HB25-1320'!DY9)</f>
        <v>16</v>
      </c>
      <c r="DZ9" s="25">
        <f>IF(DZ5=DistCalc!$C$4,DistCalc!$D9,'New Formula with HB25-1320'!DZ9)</f>
        <v>49.5</v>
      </c>
      <c r="EA9" s="25">
        <f>IF(EA5=DistCalc!$C$4,DistCalc!$D9,'New Formula with HB25-1320'!EA9)</f>
        <v>27.5</v>
      </c>
      <c r="EB9" s="25">
        <f>IF(EB5=DistCalc!$C$4,DistCalc!$D9,'New Formula with HB25-1320'!EB9)</f>
        <v>35</v>
      </c>
      <c r="EC9" s="25">
        <f>IF(EC5=DistCalc!$C$4,DistCalc!$D9,'New Formula with HB25-1320'!EC9)</f>
        <v>15</v>
      </c>
      <c r="ED9" s="25">
        <f>IF(ED5=DistCalc!$C$4,DistCalc!$D9,'New Formula with HB25-1320'!ED9)</f>
        <v>93.5</v>
      </c>
      <c r="EE9" s="25">
        <f>IF(EE5=DistCalc!$C$4,DistCalc!$D9,'New Formula with HB25-1320'!EE9)</f>
        <v>10</v>
      </c>
      <c r="EF9" s="25">
        <f>IF(EF5=DistCalc!$C$4,DistCalc!$D9,'New Formula with HB25-1320'!EF9)</f>
        <v>87</v>
      </c>
      <c r="EG9" s="25">
        <f>IF(EG5=DistCalc!$C$4,DistCalc!$D9,'New Formula with HB25-1320'!EG9)</f>
        <v>15</v>
      </c>
      <c r="EH9" s="25">
        <f>IF(EH5=DistCalc!$C$4,DistCalc!$D9,'New Formula with HB25-1320'!EH9)</f>
        <v>18</v>
      </c>
      <c r="EI9" s="25">
        <f>IF(EI5=DistCalc!$C$4,DistCalc!$D9,'New Formula with HB25-1320'!EI9)</f>
        <v>938</v>
      </c>
      <c r="EJ9" s="25">
        <f>IF(EJ5=DistCalc!$C$4,DistCalc!$D9,'New Formula with HB25-1320'!EJ9)</f>
        <v>647</v>
      </c>
      <c r="EK9" s="25">
        <f>IF(EK5=DistCalc!$C$4,DistCalc!$D9,'New Formula with HB25-1320'!EK9)</f>
        <v>34</v>
      </c>
      <c r="EL9" s="25">
        <f>IF(EL5=DistCalc!$C$4,DistCalc!$D9,'New Formula with HB25-1320'!EL9)</f>
        <v>32</v>
      </c>
      <c r="EM9" s="25">
        <f>IF(EM5=DistCalc!$C$4,DistCalc!$D9,'New Formula with HB25-1320'!EM9)</f>
        <v>18.5</v>
      </c>
      <c r="EN9" s="25">
        <f>IF(EN5=DistCalc!$C$4,DistCalc!$D9,'New Formula with HB25-1320'!EN9)</f>
        <v>54</v>
      </c>
      <c r="EO9" s="25">
        <f>IF(EO5=DistCalc!$C$4,DistCalc!$D9,'New Formula with HB25-1320'!EO9)</f>
        <v>25</v>
      </c>
      <c r="EP9" s="25">
        <f>IF(EP5=DistCalc!$C$4,DistCalc!$D9,'New Formula with HB25-1320'!EP9)</f>
        <v>33</v>
      </c>
      <c r="EQ9" s="25">
        <f>IF(EQ5=DistCalc!$C$4,DistCalc!$D9,'New Formula with HB25-1320'!EQ9)</f>
        <v>126.5</v>
      </c>
      <c r="ER9" s="25">
        <f>IF(ER5=DistCalc!$C$4,DistCalc!$D9,'New Formula with HB25-1320'!ER9)</f>
        <v>23.5</v>
      </c>
      <c r="ES9" s="25">
        <f>IF(ES5=DistCalc!$C$4,DistCalc!$D9,'New Formula with HB25-1320'!ES9)</f>
        <v>17</v>
      </c>
      <c r="ET9" s="25">
        <f>IF(ET5=DistCalc!$C$4,DistCalc!$D9,'New Formula with HB25-1320'!ET9)</f>
        <v>14</v>
      </c>
      <c r="EU9" s="25">
        <f>IF(EU5=DistCalc!$C$4,DistCalc!$D9,'New Formula with HB25-1320'!EU9)</f>
        <v>41.5</v>
      </c>
      <c r="EV9" s="25">
        <f>IF(EV5=DistCalc!$C$4,DistCalc!$D9,'New Formula with HB25-1320'!EV9)</f>
        <v>2</v>
      </c>
      <c r="EW9" s="25">
        <f>IF(EW5=DistCalc!$C$4,DistCalc!$D9,'New Formula with HB25-1320'!EW9)</f>
        <v>52</v>
      </c>
      <c r="EX9" s="25">
        <f>IF(EX5=DistCalc!$C$4,DistCalc!$D9,'New Formula with HB25-1320'!EX9)</f>
        <v>10</v>
      </c>
      <c r="EY9" s="25">
        <f>IF(EY5=DistCalc!$C$4,DistCalc!$D9,'New Formula with HB25-1320'!EY9)</f>
        <v>10</v>
      </c>
      <c r="EZ9" s="25">
        <f>IF(EZ5=DistCalc!$C$4,DistCalc!$D9,'New Formula with HB25-1320'!EZ9)</f>
        <v>8</v>
      </c>
      <c r="FA9" s="25">
        <f>IF(FA5=DistCalc!$C$4,DistCalc!$D9,'New Formula with HB25-1320'!FA9)</f>
        <v>227.5</v>
      </c>
      <c r="FB9" s="25">
        <f>IF(FB5=DistCalc!$C$4,DistCalc!$D9,'New Formula with HB25-1320'!FB9)</f>
        <v>25</v>
      </c>
      <c r="FC9" s="25">
        <f>IF(FC5=DistCalc!$C$4,DistCalc!$D9,'New Formula with HB25-1320'!FC9)</f>
        <v>141</v>
      </c>
      <c r="FD9" s="25">
        <f>IF(FD5=DistCalc!$C$4,DistCalc!$D9,'New Formula with HB25-1320'!FD9)</f>
        <v>34</v>
      </c>
      <c r="FE9" s="25">
        <f>IF(FE5=DistCalc!$C$4,DistCalc!$D9,'New Formula with HB25-1320'!FE9)</f>
        <v>4</v>
      </c>
      <c r="FF9" s="25">
        <f>IF(FF5=DistCalc!$C$4,DistCalc!$D9,'New Formula with HB25-1320'!FF9)</f>
        <v>13</v>
      </c>
      <c r="FG9" s="25">
        <f>IF(FG5=DistCalc!$C$4,DistCalc!$D9,'New Formula with HB25-1320'!FG9)</f>
        <v>7</v>
      </c>
      <c r="FH9" s="25">
        <f>IF(FH5=DistCalc!$C$4,DistCalc!$D9,'New Formula with HB25-1320'!FH9)</f>
        <v>7</v>
      </c>
      <c r="FI9" s="25">
        <f>IF(FI5=DistCalc!$C$4,DistCalc!$D9,'New Formula with HB25-1320'!FI9)</f>
        <v>122.5</v>
      </c>
      <c r="FJ9" s="25">
        <f>IF(FJ5=DistCalc!$C$4,DistCalc!$D9,'New Formula with HB25-1320'!FJ9)</f>
        <v>140</v>
      </c>
      <c r="FK9" s="25">
        <f>IF(FK5=DistCalc!$C$4,DistCalc!$D9,'New Formula with HB25-1320'!FK9)</f>
        <v>202.5</v>
      </c>
      <c r="FL9" s="25">
        <f>IF(FL5=DistCalc!$C$4,DistCalc!$D9,'New Formula with HB25-1320'!FL9)</f>
        <v>718</v>
      </c>
      <c r="FM9" s="25">
        <f>IF(FM5=DistCalc!$C$4,DistCalc!$D9,'New Formula with HB25-1320'!FM9)</f>
        <v>296</v>
      </c>
      <c r="FN9" s="25">
        <f>IF(FN5=DistCalc!$C$4,DistCalc!$D9,'New Formula with HB25-1320'!FN9)</f>
        <v>1682.5</v>
      </c>
      <c r="FO9" s="25">
        <f>IF(FO5=DistCalc!$C$4,DistCalc!$D9,'New Formula with HB25-1320'!FO9)</f>
        <v>81</v>
      </c>
      <c r="FP9" s="25">
        <f>IF(FP5=DistCalc!$C$4,DistCalc!$D9,'New Formula with HB25-1320'!FP9)</f>
        <v>174.5</v>
      </c>
      <c r="FQ9" s="25">
        <f>IF(FQ5=DistCalc!$C$4,DistCalc!$D9,'New Formula with HB25-1320'!FQ9)</f>
        <v>63.5</v>
      </c>
      <c r="FR9" s="25">
        <f>IF(FR5=DistCalc!$C$4,DistCalc!$D9,'New Formula with HB25-1320'!FR9)</f>
        <v>13</v>
      </c>
      <c r="FS9" s="25">
        <f>IF(FS5=DistCalc!$C$4,DistCalc!$D9,'New Formula with HB25-1320'!FS9)</f>
        <v>12</v>
      </c>
      <c r="FT9" s="25" t="e">
        <f ca="1">IF(FT5=DistCalc!$C$4,DistCalc!$D9,'New Formula with HB25-1320'!FT9)</f>
        <v>#NAME?</v>
      </c>
      <c r="FU9" s="25">
        <f>IF(FU5=DistCalc!$C$4,DistCalc!$D9,'New Formula with HB25-1320'!FU9)</f>
        <v>61</v>
      </c>
      <c r="FV9" s="25">
        <f>IF(FV5=DistCalc!$C$4,DistCalc!$D9,'New Formula with HB25-1320'!FV9)</f>
        <v>55</v>
      </c>
      <c r="FW9" s="25">
        <f>IF(FW5=DistCalc!$C$4,DistCalc!$D9,'New Formula with HB25-1320'!FW9)</f>
        <v>9</v>
      </c>
      <c r="FX9" s="25">
        <f>IF(FX5=DistCalc!$C$4,DistCalc!$D9,'New Formula with HB25-1320'!FX9)</f>
        <v>6</v>
      </c>
      <c r="FY9" s="23"/>
      <c r="FZ9" s="23" t="e">
        <f t="shared" ref="FZ9:FZ13" ca="1" si="0">SUM(C9:FX9)</f>
        <v>#NAME?</v>
      </c>
      <c r="GA9" s="23"/>
      <c r="GB9" s="23"/>
      <c r="GC9" s="12"/>
      <c r="GD9" s="23"/>
      <c r="GE9" s="7"/>
      <c r="GF9" s="7"/>
      <c r="GG9" s="7"/>
      <c r="GH9" s="7"/>
      <c r="GI9" s="7"/>
      <c r="GJ9" s="7"/>
      <c r="GK9" s="7"/>
    </row>
    <row r="10" spans="1:207" ht="15" customHeight="1" x14ac:dyDescent="0.35">
      <c r="A10" s="12" t="s">
        <v>747</v>
      </c>
      <c r="B10" s="7" t="s">
        <v>452</v>
      </c>
      <c r="C10" s="24">
        <f>IF(C5=DistCalc!$C$4,DistCalc!$D10,'New Formula with HB25-1320'!C10)</f>
        <v>0</v>
      </c>
      <c r="D10" s="25">
        <f>IF(D5=DistCalc!$C$4,DistCalc!$D10,'New Formula with HB25-1320'!D10)</f>
        <v>0.5</v>
      </c>
      <c r="E10" s="25">
        <f>IF(E5=DistCalc!$C$4,DistCalc!$D10,'New Formula with HB25-1320'!E10)</f>
        <v>1.5</v>
      </c>
      <c r="F10" s="25">
        <f>IF(F5=DistCalc!$C$4,DistCalc!$D10,'New Formula with HB25-1320'!F10)</f>
        <v>17.5</v>
      </c>
      <c r="G10" s="25">
        <f>IF(G5=DistCalc!$C$4,DistCalc!$D10,'New Formula with HB25-1320'!G10)</f>
        <v>0</v>
      </c>
      <c r="H10" s="25">
        <f>IF(H5=DistCalc!$C$4,DistCalc!$D10,'New Formula with HB25-1320'!H10)</f>
        <v>0</v>
      </c>
      <c r="I10" s="25">
        <f>IF(I5=DistCalc!$C$4,DistCalc!$D10,'New Formula with HB25-1320'!I10)</f>
        <v>0</v>
      </c>
      <c r="J10" s="25">
        <f>IF(J5=DistCalc!$C$4,DistCalc!$D10,'New Formula with HB25-1320'!J10)</f>
        <v>0</v>
      </c>
      <c r="K10" s="25">
        <f>IF(K5=DistCalc!$C$4,DistCalc!$D10,'New Formula with HB25-1320'!K10)</f>
        <v>0</v>
      </c>
      <c r="L10" s="25">
        <f>IF(L5=DistCalc!$C$4,DistCalc!$D10,'New Formula with HB25-1320'!L10)</f>
        <v>0</v>
      </c>
      <c r="M10" s="25">
        <f>IF(M5=DistCalc!$C$4,DistCalc!$D10,'New Formula with HB25-1320'!M10)</f>
        <v>0</v>
      </c>
      <c r="N10" s="25">
        <f>IF(N5=DistCalc!$C$4,DistCalc!$D10,'New Formula with HB25-1320'!N10)</f>
        <v>29</v>
      </c>
      <c r="O10" s="25">
        <f>IF(O5=DistCalc!$C$4,DistCalc!$D10,'New Formula with HB25-1320'!O10)</f>
        <v>2</v>
      </c>
      <c r="P10" s="25">
        <f>IF(P5=DistCalc!$C$4,DistCalc!$D10,'New Formula with HB25-1320'!P10)</f>
        <v>0</v>
      </c>
      <c r="Q10" s="25">
        <f>IF(Q5=DistCalc!$C$4,DistCalc!$D10,'New Formula with HB25-1320'!Q10)</f>
        <v>47</v>
      </c>
      <c r="R10" s="25">
        <f>IF(R5=DistCalc!$C$4,DistCalc!$D10,'New Formula with HB25-1320'!R10)</f>
        <v>0</v>
      </c>
      <c r="S10" s="25">
        <f>IF(S5=DistCalc!$C$4,DistCalc!$D10,'New Formula with HB25-1320'!S10)</f>
        <v>3</v>
      </c>
      <c r="T10" s="25">
        <f>IF(T5=DistCalc!$C$4,DistCalc!$D10,'New Formula with HB25-1320'!T10)</f>
        <v>0</v>
      </c>
      <c r="U10" s="25">
        <f>IF(U5=DistCalc!$C$4,DistCalc!$D10,'New Formula with HB25-1320'!U10)</f>
        <v>0</v>
      </c>
      <c r="V10" s="25">
        <f>IF(V5=DistCalc!$C$4,DistCalc!$D10,'New Formula with HB25-1320'!V10)</f>
        <v>0</v>
      </c>
      <c r="W10" s="25">
        <f>IF(W5=DistCalc!$C$4,DistCalc!$D10,'New Formula with HB25-1320'!W10)</f>
        <v>0</v>
      </c>
      <c r="X10" s="25">
        <f>IF(X5=DistCalc!$C$4,DistCalc!$D10,'New Formula with HB25-1320'!X10)</f>
        <v>2.5</v>
      </c>
      <c r="Y10" s="25">
        <f>IF(Y5=DistCalc!$C$4,DistCalc!$D10,'New Formula with HB25-1320'!Y10)</f>
        <v>0</v>
      </c>
      <c r="Z10" s="25">
        <f>IF(Z5=DistCalc!$C$4,DistCalc!$D10,'New Formula with HB25-1320'!Z10)</f>
        <v>0</v>
      </c>
      <c r="AA10" s="25">
        <f>IF(AA5=DistCalc!$C$4,DistCalc!$D10,'New Formula with HB25-1320'!AA10)</f>
        <v>27</v>
      </c>
      <c r="AB10" s="25">
        <f>IF(AB5=DistCalc!$C$4,DistCalc!$D10,'New Formula with HB25-1320'!AB10)</f>
        <v>1</v>
      </c>
      <c r="AC10" s="25">
        <f>IF(AC5=DistCalc!$C$4,DistCalc!$D10,'New Formula with HB25-1320'!AC10)</f>
        <v>0</v>
      </c>
      <c r="AD10" s="25">
        <f>IF(AD5=DistCalc!$C$4,DistCalc!$D10,'New Formula with HB25-1320'!AD10)</f>
        <v>0.5</v>
      </c>
      <c r="AE10" s="25">
        <f>IF(AE5=DistCalc!$C$4,DistCalc!$D10,'New Formula with HB25-1320'!AE10)</f>
        <v>0</v>
      </c>
      <c r="AF10" s="25">
        <f>IF(AF5=DistCalc!$C$4,DistCalc!$D10,'New Formula with HB25-1320'!AF10)</f>
        <v>0</v>
      </c>
      <c r="AG10" s="25">
        <f>IF(AG5=DistCalc!$C$4,DistCalc!$D10,'New Formula with HB25-1320'!AG10)</f>
        <v>0</v>
      </c>
      <c r="AH10" s="25">
        <f>IF(AH5=DistCalc!$C$4,DistCalc!$D10,'New Formula with HB25-1320'!AH10)</f>
        <v>0</v>
      </c>
      <c r="AI10" s="25">
        <f>IF(AI5=DistCalc!$C$4,DistCalc!$D10,'New Formula with HB25-1320'!AI10)</f>
        <v>0</v>
      </c>
      <c r="AJ10" s="25">
        <f>IF(AJ5=DistCalc!$C$4,DistCalc!$D10,'New Formula with HB25-1320'!AJ10)</f>
        <v>0</v>
      </c>
      <c r="AK10" s="25">
        <f>IF(AK5=DistCalc!$C$4,DistCalc!$D10,'New Formula with HB25-1320'!AK10)</f>
        <v>0</v>
      </c>
      <c r="AL10" s="25">
        <f>IF(AL5=DistCalc!$C$4,DistCalc!$D10,'New Formula with HB25-1320'!AL10)</f>
        <v>0</v>
      </c>
      <c r="AM10" s="25">
        <f>IF(AM5=DistCalc!$C$4,DistCalc!$D10,'New Formula with HB25-1320'!AM10)</f>
        <v>0</v>
      </c>
      <c r="AN10" s="25">
        <f>IF(AN5=DistCalc!$C$4,DistCalc!$D10,'New Formula with HB25-1320'!AN10)</f>
        <v>0</v>
      </c>
      <c r="AO10" s="25">
        <f>IF(AO5=DistCalc!$C$4,DistCalc!$D10,'New Formula with HB25-1320'!AO10)</f>
        <v>4</v>
      </c>
      <c r="AP10" s="25">
        <f>IF(AP5=DistCalc!$C$4,DistCalc!$D10,'New Formula with HB25-1320'!AP10)</f>
        <v>0.5</v>
      </c>
      <c r="AQ10" s="25">
        <f>IF(AQ5=DistCalc!$C$4,DistCalc!$D10,'New Formula with HB25-1320'!AQ10)</f>
        <v>0</v>
      </c>
      <c r="AR10" s="25">
        <f>IF(AR5=DistCalc!$C$4,DistCalc!$D10,'New Formula with HB25-1320'!AR10)</f>
        <v>81.5</v>
      </c>
      <c r="AS10" s="25">
        <f>IF(AS5=DistCalc!$C$4,DistCalc!$D10,'New Formula with HB25-1320'!AS10)</f>
        <v>0</v>
      </c>
      <c r="AT10" s="25">
        <f>IF(AT5=DistCalc!$C$4,DistCalc!$D10,'New Formula with HB25-1320'!AT10)</f>
        <v>14</v>
      </c>
      <c r="AU10" s="25">
        <f>IF(AU5=DistCalc!$C$4,DistCalc!$D10,'New Formula with HB25-1320'!AU10)</f>
        <v>0</v>
      </c>
      <c r="AV10" s="25">
        <f>IF(AV5=DistCalc!$C$4,DistCalc!$D10,'New Formula with HB25-1320'!AV10)</f>
        <v>0</v>
      </c>
      <c r="AW10" s="25">
        <f>IF(AW5=DistCalc!$C$4,DistCalc!$D10,'New Formula with HB25-1320'!AW10)</f>
        <v>0</v>
      </c>
      <c r="AX10" s="25">
        <f>IF(AX5=DistCalc!$C$4,DistCalc!$D10,'New Formula with HB25-1320'!AX10)</f>
        <v>0</v>
      </c>
      <c r="AY10" s="25">
        <f>IF(AY5=DistCalc!$C$4,DistCalc!$D10,'New Formula with HB25-1320'!AY10)</f>
        <v>0</v>
      </c>
      <c r="AZ10" s="25">
        <f>IF(AZ5=DistCalc!$C$4,DistCalc!$D10,'New Formula with HB25-1320'!AZ10)</f>
        <v>15</v>
      </c>
      <c r="BA10" s="25">
        <f>IF(BA5=DistCalc!$C$4,DistCalc!$D10,'New Formula with HB25-1320'!BA10)</f>
        <v>0</v>
      </c>
      <c r="BB10" s="25">
        <f>IF(BB5=DistCalc!$C$4,DistCalc!$D10,'New Formula with HB25-1320'!BB10)</f>
        <v>1</v>
      </c>
      <c r="BC10" s="25">
        <f>IF(BC5=DistCalc!$C$4,DistCalc!$D10,'New Formula with HB25-1320'!BC10)</f>
        <v>40.5</v>
      </c>
      <c r="BD10" s="25">
        <f>IF(BD5=DistCalc!$C$4,DistCalc!$D10,'New Formula with HB25-1320'!BD10)</f>
        <v>0</v>
      </c>
      <c r="BE10" s="25">
        <f>IF(BE5=DistCalc!$C$4,DistCalc!$D10,'New Formula with HB25-1320'!BE10)</f>
        <v>0</v>
      </c>
      <c r="BF10" s="25">
        <f>IF(BF5=DistCalc!$C$4,DistCalc!$D10,'New Formula with HB25-1320'!BF10)</f>
        <v>210.5</v>
      </c>
      <c r="BG10" s="25">
        <f>IF(BG5=DistCalc!$C$4,DistCalc!$D10,'New Formula with HB25-1320'!BG10)</f>
        <v>0.5</v>
      </c>
      <c r="BH10" s="25">
        <f>IF(BH5=DistCalc!$C$4,DistCalc!$D10,'New Formula with HB25-1320'!BH10)</f>
        <v>0</v>
      </c>
      <c r="BI10" s="25">
        <f>IF(BI5=DistCalc!$C$4,DistCalc!$D10,'New Formula with HB25-1320'!BI10)</f>
        <v>0</v>
      </c>
      <c r="BJ10" s="25">
        <f>IF(BJ5=DistCalc!$C$4,DistCalc!$D10,'New Formula with HB25-1320'!BJ10)</f>
        <v>21.5</v>
      </c>
      <c r="BK10" s="25">
        <f>IF(BK5=DistCalc!$C$4,DistCalc!$D10,'New Formula with HB25-1320'!BK10)</f>
        <v>326</v>
      </c>
      <c r="BL10" s="25">
        <f>IF(BL5=DistCalc!$C$4,DistCalc!$D10,'New Formula with HB25-1320'!BL10)</f>
        <v>0</v>
      </c>
      <c r="BM10" s="25">
        <f>IF(BM5=DistCalc!$C$4,DistCalc!$D10,'New Formula with HB25-1320'!BM10)</f>
        <v>0</v>
      </c>
      <c r="BN10" s="25">
        <f>IF(BN5=DistCalc!$C$4,DistCalc!$D10,'New Formula with HB25-1320'!BN10)</f>
        <v>0.5</v>
      </c>
      <c r="BO10" s="25">
        <f>IF(BO5=DistCalc!$C$4,DistCalc!$D10,'New Formula with HB25-1320'!BO10)</f>
        <v>0</v>
      </c>
      <c r="BP10" s="25">
        <f>IF(BP5=DistCalc!$C$4,DistCalc!$D10,'New Formula with HB25-1320'!BP10)</f>
        <v>0</v>
      </c>
      <c r="BQ10" s="25">
        <f>IF(BQ5=DistCalc!$C$4,DistCalc!$D10,'New Formula with HB25-1320'!BQ10)</f>
        <v>0</v>
      </c>
      <c r="BR10" s="25">
        <f>IF(BR5=DistCalc!$C$4,DistCalc!$D10,'New Formula with HB25-1320'!BR10)</f>
        <v>0</v>
      </c>
      <c r="BS10" s="25">
        <f>IF(BS5=DistCalc!$C$4,DistCalc!$D10,'New Formula with HB25-1320'!BS10)</f>
        <v>0.5</v>
      </c>
      <c r="BT10" s="25">
        <f>IF(BT5=DistCalc!$C$4,DistCalc!$D10,'New Formula with HB25-1320'!BT10)</f>
        <v>0</v>
      </c>
      <c r="BU10" s="25">
        <f>IF(BU5=DistCalc!$C$4,DistCalc!$D10,'New Formula with HB25-1320'!BU10)</f>
        <v>0</v>
      </c>
      <c r="BV10" s="25">
        <f>IF(BV5=DistCalc!$C$4,DistCalc!$D10,'New Formula with HB25-1320'!BV10)</f>
        <v>0</v>
      </c>
      <c r="BW10" s="25">
        <f>IF(BW5=DistCalc!$C$4,DistCalc!$D10,'New Formula with HB25-1320'!BW10)</f>
        <v>0</v>
      </c>
      <c r="BX10" s="25">
        <f>IF(BX5=DistCalc!$C$4,DistCalc!$D10,'New Formula with HB25-1320'!BX10)</f>
        <v>0</v>
      </c>
      <c r="BY10" s="25">
        <f>IF(BY5=DistCalc!$C$4,DistCalc!$D10,'New Formula with HB25-1320'!BY10)</f>
        <v>0.5</v>
      </c>
      <c r="BZ10" s="25">
        <f>IF(BZ5=DistCalc!$C$4,DistCalc!$D10,'New Formula with HB25-1320'!BZ10)</f>
        <v>0</v>
      </c>
      <c r="CA10" s="25">
        <f>IF(CA5=DistCalc!$C$4,DistCalc!$D10,'New Formula with HB25-1320'!CA10)</f>
        <v>0</v>
      </c>
      <c r="CB10" s="25">
        <f>IF(CB5=DistCalc!$C$4,DistCalc!$D10,'New Formula with HB25-1320'!CB10)</f>
        <v>74.5</v>
      </c>
      <c r="CC10" s="25">
        <f>IF(CC5=DistCalc!$C$4,DistCalc!$D10,'New Formula with HB25-1320'!CC10)</f>
        <v>0</v>
      </c>
      <c r="CD10" s="25">
        <f>IF(CD5=DistCalc!$C$4,DistCalc!$D10,'New Formula with HB25-1320'!CD10)</f>
        <v>0</v>
      </c>
      <c r="CE10" s="25">
        <f>IF(CE5=DistCalc!$C$4,DistCalc!$D10,'New Formula with HB25-1320'!CE10)</f>
        <v>0</v>
      </c>
      <c r="CF10" s="25">
        <f>IF(CF5=DistCalc!$C$4,DistCalc!$D10,'New Formula with HB25-1320'!CF10)</f>
        <v>0</v>
      </c>
      <c r="CG10" s="25">
        <f>IF(CG5=DistCalc!$C$4,DistCalc!$D10,'New Formula with HB25-1320'!CG10)</f>
        <v>0</v>
      </c>
      <c r="CH10" s="25">
        <f>IF(CH5=DistCalc!$C$4,DistCalc!$D10,'New Formula with HB25-1320'!CH10)</f>
        <v>0</v>
      </c>
      <c r="CI10" s="25">
        <f>IF(CI5=DistCalc!$C$4,DistCalc!$D10,'New Formula with HB25-1320'!CI10)</f>
        <v>0</v>
      </c>
      <c r="CJ10" s="25">
        <f>IF(CJ5=DistCalc!$C$4,DistCalc!$D10,'New Formula with HB25-1320'!CJ10)</f>
        <v>0</v>
      </c>
      <c r="CK10" s="25">
        <f>IF(CK5=DistCalc!$C$4,DistCalc!$D10,'New Formula with HB25-1320'!CK10)</f>
        <v>12.5</v>
      </c>
      <c r="CL10" s="25">
        <f>IF(CL5=DistCalc!$C$4,DistCalc!$D10,'New Formula with HB25-1320'!CL10)</f>
        <v>0</v>
      </c>
      <c r="CM10" s="25">
        <f>IF(CM5=DistCalc!$C$4,DistCalc!$D10,'New Formula with HB25-1320'!CM10)</f>
        <v>7</v>
      </c>
      <c r="CN10" s="25">
        <f>IF(CN5=DistCalc!$C$4,DistCalc!$D10,'New Formula with HB25-1320'!CN10)</f>
        <v>102</v>
      </c>
      <c r="CO10" s="25">
        <f>IF(CO5=DistCalc!$C$4,DistCalc!$D10,'New Formula with HB25-1320'!CO10)</f>
        <v>29</v>
      </c>
      <c r="CP10" s="25">
        <f>IF(CP5=DistCalc!$C$4,DistCalc!$D10,'New Formula with HB25-1320'!CP10)</f>
        <v>5</v>
      </c>
      <c r="CQ10" s="25">
        <f>IF(CQ5=DistCalc!$C$4,DistCalc!$D10,'New Formula with HB25-1320'!CQ10)</f>
        <v>0</v>
      </c>
      <c r="CR10" s="25">
        <f>IF(CR5=DistCalc!$C$4,DistCalc!$D10,'New Formula with HB25-1320'!CR10)</f>
        <v>0</v>
      </c>
      <c r="CS10" s="25">
        <f>IF(CS5=DistCalc!$C$4,DistCalc!$D10,'New Formula with HB25-1320'!CS10)</f>
        <v>0</v>
      </c>
      <c r="CT10" s="25">
        <f>IF(CT5=DistCalc!$C$4,DistCalc!$D10,'New Formula with HB25-1320'!CT10)</f>
        <v>0</v>
      </c>
      <c r="CU10" s="25">
        <f>IF(CU5=DistCalc!$C$4,DistCalc!$D10,'New Formula with HB25-1320'!CU10)</f>
        <v>0</v>
      </c>
      <c r="CV10" s="25">
        <f>IF(CV5=DistCalc!$C$4,DistCalc!$D10,'New Formula with HB25-1320'!CV10)</f>
        <v>0</v>
      </c>
      <c r="CW10" s="25">
        <f>IF(CW5=DistCalc!$C$4,DistCalc!$D10,'New Formula with HB25-1320'!CW10)</f>
        <v>0</v>
      </c>
      <c r="CX10" s="25">
        <f>IF(CX5=DistCalc!$C$4,DistCalc!$D10,'New Formula with HB25-1320'!CX10)</f>
        <v>0</v>
      </c>
      <c r="CY10" s="25">
        <f>IF(CY5=DistCalc!$C$4,DistCalc!$D10,'New Formula with HB25-1320'!CY10)</f>
        <v>0</v>
      </c>
      <c r="CZ10" s="25">
        <f>IF(CZ5=DistCalc!$C$4,DistCalc!$D10,'New Formula with HB25-1320'!CZ10)</f>
        <v>1</v>
      </c>
      <c r="DA10" s="25">
        <f>IF(DA5=DistCalc!$C$4,DistCalc!$D10,'New Formula with HB25-1320'!DA10)</f>
        <v>0</v>
      </c>
      <c r="DB10" s="25">
        <f>IF(DB5=DistCalc!$C$4,DistCalc!$D10,'New Formula with HB25-1320'!DB10)</f>
        <v>0</v>
      </c>
      <c r="DC10" s="25">
        <f>IF(DC5=DistCalc!$C$4,DistCalc!$D10,'New Formula with HB25-1320'!DC10)</f>
        <v>0</v>
      </c>
      <c r="DD10" s="25">
        <f>IF(DD5=DistCalc!$C$4,DistCalc!$D10,'New Formula with HB25-1320'!DD10)</f>
        <v>0</v>
      </c>
      <c r="DE10" s="25">
        <f>IF(DE5=DistCalc!$C$4,DistCalc!$D10,'New Formula with HB25-1320'!DE10)</f>
        <v>0</v>
      </c>
      <c r="DF10" s="25">
        <f>IF(DF5=DistCalc!$C$4,DistCalc!$D10,'New Formula with HB25-1320'!DF10)</f>
        <v>23.5</v>
      </c>
      <c r="DG10" s="25">
        <f>IF(DG5=DistCalc!$C$4,DistCalc!$D10,'New Formula with HB25-1320'!DG10)</f>
        <v>0</v>
      </c>
      <c r="DH10" s="25">
        <f>IF(DH5=DistCalc!$C$4,DistCalc!$D10,'New Formula with HB25-1320'!DH10)</f>
        <v>0</v>
      </c>
      <c r="DI10" s="25">
        <f>IF(DI5=DistCalc!$C$4,DistCalc!$D10,'New Formula with HB25-1320'!DI10)</f>
        <v>0.5</v>
      </c>
      <c r="DJ10" s="25">
        <f>IF(DJ5=DistCalc!$C$4,DistCalc!$D10,'New Formula with HB25-1320'!DJ10)</f>
        <v>0</v>
      </c>
      <c r="DK10" s="25">
        <f>IF(DK5=DistCalc!$C$4,DistCalc!$D10,'New Formula with HB25-1320'!DK10)</f>
        <v>0</v>
      </c>
      <c r="DL10" s="25">
        <f>IF(DL5=DistCalc!$C$4,DistCalc!$D10,'New Formula with HB25-1320'!DL10)</f>
        <v>0.5</v>
      </c>
      <c r="DM10" s="25">
        <f>IF(DM5=DistCalc!$C$4,DistCalc!$D10,'New Formula with HB25-1320'!DM10)</f>
        <v>0</v>
      </c>
      <c r="DN10" s="25">
        <f>IF(DN5=DistCalc!$C$4,DistCalc!$D10,'New Formula with HB25-1320'!DN10)</f>
        <v>0</v>
      </c>
      <c r="DO10" s="25">
        <f>IF(DO5=DistCalc!$C$4,DistCalc!$D10,'New Formula with HB25-1320'!DO10)</f>
        <v>0</v>
      </c>
      <c r="DP10" s="25">
        <f>IF(DP5=DistCalc!$C$4,DistCalc!$D10,'New Formula with HB25-1320'!DP10)</f>
        <v>0</v>
      </c>
      <c r="DQ10" s="25">
        <f>IF(DQ5=DistCalc!$C$4,DistCalc!$D10,'New Formula with HB25-1320'!DQ10)</f>
        <v>0</v>
      </c>
      <c r="DR10" s="25">
        <f>IF(DR5=DistCalc!$C$4,DistCalc!$D10,'New Formula with HB25-1320'!DR10)</f>
        <v>0.5</v>
      </c>
      <c r="DS10" s="25">
        <f>IF(DS5=DistCalc!$C$4,DistCalc!$D10,'New Formula with HB25-1320'!DS10)</f>
        <v>0</v>
      </c>
      <c r="DT10" s="25">
        <f>IF(DT5=DistCalc!$C$4,DistCalc!$D10,'New Formula with HB25-1320'!DT10)</f>
        <v>0</v>
      </c>
      <c r="DU10" s="25">
        <f>IF(DU5=DistCalc!$C$4,DistCalc!$D10,'New Formula with HB25-1320'!DU10)</f>
        <v>0</v>
      </c>
      <c r="DV10" s="25">
        <f>IF(DV5=DistCalc!$C$4,DistCalc!$D10,'New Formula with HB25-1320'!DV10)</f>
        <v>0</v>
      </c>
      <c r="DW10" s="25">
        <f>IF(DW5=DistCalc!$C$4,DistCalc!$D10,'New Formula with HB25-1320'!DW10)</f>
        <v>0</v>
      </c>
      <c r="DX10" s="25">
        <f>IF(DX5=DistCalc!$C$4,DistCalc!$D10,'New Formula with HB25-1320'!DX10)</f>
        <v>0</v>
      </c>
      <c r="DY10" s="25">
        <f>IF(DY5=DistCalc!$C$4,DistCalc!$D10,'New Formula with HB25-1320'!DY10)</f>
        <v>0</v>
      </c>
      <c r="DZ10" s="25">
        <f>IF(DZ5=DistCalc!$C$4,DistCalc!$D10,'New Formula with HB25-1320'!DZ10)</f>
        <v>0</v>
      </c>
      <c r="EA10" s="25">
        <f>IF(EA5=DistCalc!$C$4,DistCalc!$D10,'New Formula with HB25-1320'!EA10)</f>
        <v>0</v>
      </c>
      <c r="EB10" s="25">
        <f>IF(EB5=DistCalc!$C$4,DistCalc!$D10,'New Formula with HB25-1320'!EB10)</f>
        <v>0</v>
      </c>
      <c r="EC10" s="25">
        <f>IF(EC5=DistCalc!$C$4,DistCalc!$D10,'New Formula with HB25-1320'!EC10)</f>
        <v>0</v>
      </c>
      <c r="ED10" s="25">
        <f>IF(ED5=DistCalc!$C$4,DistCalc!$D10,'New Formula with HB25-1320'!ED10)</f>
        <v>0</v>
      </c>
      <c r="EE10" s="25">
        <f>IF(EE5=DistCalc!$C$4,DistCalc!$D10,'New Formula with HB25-1320'!EE10)</f>
        <v>0</v>
      </c>
      <c r="EF10" s="25">
        <f>IF(EF5=DistCalc!$C$4,DistCalc!$D10,'New Formula with HB25-1320'!EF10)</f>
        <v>0</v>
      </c>
      <c r="EG10" s="25">
        <f>IF(EG5=DistCalc!$C$4,DistCalc!$D10,'New Formula with HB25-1320'!EG10)</f>
        <v>0</v>
      </c>
      <c r="EH10" s="25">
        <f>IF(EH5=DistCalc!$C$4,DistCalc!$D10,'New Formula with HB25-1320'!EH10)</f>
        <v>0</v>
      </c>
      <c r="EI10" s="25">
        <f>IF(EI5=DistCalc!$C$4,DistCalc!$D10,'New Formula with HB25-1320'!EI10)</f>
        <v>0</v>
      </c>
      <c r="EJ10" s="25">
        <f>IF(EJ5=DistCalc!$C$4,DistCalc!$D10,'New Formula with HB25-1320'!EJ10)</f>
        <v>0</v>
      </c>
      <c r="EK10" s="25">
        <f>IF(EK5=DistCalc!$C$4,DistCalc!$D10,'New Formula with HB25-1320'!EK10)</f>
        <v>0</v>
      </c>
      <c r="EL10" s="25">
        <f>IF(EL5=DistCalc!$C$4,DistCalc!$D10,'New Formula with HB25-1320'!EL10)</f>
        <v>0</v>
      </c>
      <c r="EM10" s="25">
        <f>IF(EM5=DistCalc!$C$4,DistCalc!$D10,'New Formula with HB25-1320'!EM10)</f>
        <v>0</v>
      </c>
      <c r="EN10" s="25">
        <f>IF(EN5=DistCalc!$C$4,DistCalc!$D10,'New Formula with HB25-1320'!EN10)</f>
        <v>0</v>
      </c>
      <c r="EO10" s="25">
        <f>IF(EO5=DistCalc!$C$4,DistCalc!$D10,'New Formula with HB25-1320'!EO10)</f>
        <v>0</v>
      </c>
      <c r="EP10" s="25">
        <f>IF(EP5=DistCalc!$C$4,DistCalc!$D10,'New Formula with HB25-1320'!EP10)</f>
        <v>0</v>
      </c>
      <c r="EQ10" s="25">
        <f>IF(EQ5=DistCalc!$C$4,DistCalc!$D10,'New Formula with HB25-1320'!EQ10)</f>
        <v>1</v>
      </c>
      <c r="ER10" s="25">
        <f>IF(ER5=DistCalc!$C$4,DistCalc!$D10,'New Formula with HB25-1320'!ER10)</f>
        <v>0</v>
      </c>
      <c r="ES10" s="25">
        <f>IF(ES5=DistCalc!$C$4,DistCalc!$D10,'New Formula with HB25-1320'!ES10)</f>
        <v>9.5</v>
      </c>
      <c r="ET10" s="25">
        <f>IF(ET5=DistCalc!$C$4,DistCalc!$D10,'New Formula with HB25-1320'!ET10)</f>
        <v>0</v>
      </c>
      <c r="EU10" s="25">
        <f>IF(EU5=DistCalc!$C$4,DistCalc!$D10,'New Formula with HB25-1320'!EU10)</f>
        <v>0</v>
      </c>
      <c r="EV10" s="25">
        <f>IF(EV5=DistCalc!$C$4,DistCalc!$D10,'New Formula with HB25-1320'!EV10)</f>
        <v>0</v>
      </c>
      <c r="EW10" s="25">
        <f>IF(EW5=DistCalc!$C$4,DistCalc!$D10,'New Formula with HB25-1320'!EW10)</f>
        <v>0</v>
      </c>
      <c r="EX10" s="25">
        <f>IF(EX5=DistCalc!$C$4,DistCalc!$D10,'New Formula with HB25-1320'!EX10)</f>
        <v>0</v>
      </c>
      <c r="EY10" s="25">
        <f>IF(EY5=DistCalc!$C$4,DistCalc!$D10,'New Formula with HB25-1320'!EY10)</f>
        <v>0</v>
      </c>
      <c r="EZ10" s="25">
        <f>IF(EZ5=DistCalc!$C$4,DistCalc!$D10,'New Formula with HB25-1320'!EZ10)</f>
        <v>0</v>
      </c>
      <c r="FA10" s="25">
        <f>IF(FA5=DistCalc!$C$4,DistCalc!$D10,'New Formula with HB25-1320'!FA10)</f>
        <v>0</v>
      </c>
      <c r="FB10" s="25">
        <f>IF(FB5=DistCalc!$C$4,DistCalc!$D10,'New Formula with HB25-1320'!FB10)</f>
        <v>0</v>
      </c>
      <c r="FC10" s="25">
        <f>IF(FC5=DistCalc!$C$4,DistCalc!$D10,'New Formula with HB25-1320'!FC10)</f>
        <v>5.5</v>
      </c>
      <c r="FD10" s="25">
        <f>IF(FD5=DistCalc!$C$4,DistCalc!$D10,'New Formula with HB25-1320'!FD10)</f>
        <v>0</v>
      </c>
      <c r="FE10" s="25">
        <f>IF(FE5=DistCalc!$C$4,DistCalc!$D10,'New Formula with HB25-1320'!FE10)</f>
        <v>0</v>
      </c>
      <c r="FF10" s="25">
        <f>IF(FF5=DistCalc!$C$4,DistCalc!$D10,'New Formula with HB25-1320'!FF10)</f>
        <v>0</v>
      </c>
      <c r="FG10" s="25">
        <f>IF(FG5=DistCalc!$C$4,DistCalc!$D10,'New Formula with HB25-1320'!FG10)</f>
        <v>0</v>
      </c>
      <c r="FH10" s="25">
        <f>IF(FH5=DistCalc!$C$4,DistCalc!$D10,'New Formula with HB25-1320'!FH10)</f>
        <v>0</v>
      </c>
      <c r="FI10" s="25">
        <f>IF(FI5=DistCalc!$C$4,DistCalc!$D10,'New Formula with HB25-1320'!FI10)</f>
        <v>0</v>
      </c>
      <c r="FJ10" s="25">
        <f>IF(FJ5=DistCalc!$C$4,DistCalc!$D10,'New Formula with HB25-1320'!FJ10)</f>
        <v>0</v>
      </c>
      <c r="FK10" s="25">
        <f>IF(FK5=DistCalc!$C$4,DistCalc!$D10,'New Formula with HB25-1320'!FK10)</f>
        <v>0</v>
      </c>
      <c r="FL10" s="25">
        <f>IF(FL5=DistCalc!$C$4,DistCalc!$D10,'New Formula with HB25-1320'!FL10)</f>
        <v>6</v>
      </c>
      <c r="FM10" s="25">
        <f>IF(FM5=DistCalc!$C$4,DistCalc!$D10,'New Formula with HB25-1320'!FM10)</f>
        <v>0</v>
      </c>
      <c r="FN10" s="25">
        <f>IF(FN5=DistCalc!$C$4,DistCalc!$D10,'New Formula with HB25-1320'!FN10)</f>
        <v>11.5</v>
      </c>
      <c r="FO10" s="25">
        <f>IF(FO5=DistCalc!$C$4,DistCalc!$D10,'New Formula with HB25-1320'!FO10)</f>
        <v>1</v>
      </c>
      <c r="FP10" s="25">
        <f>IF(FP5=DistCalc!$C$4,DistCalc!$D10,'New Formula with HB25-1320'!FP10)</f>
        <v>0</v>
      </c>
      <c r="FQ10" s="25">
        <f>IF(FQ5=DistCalc!$C$4,DistCalc!$D10,'New Formula with HB25-1320'!FQ10)</f>
        <v>0</v>
      </c>
      <c r="FR10" s="25">
        <f>IF(FR5=DistCalc!$C$4,DistCalc!$D10,'New Formula with HB25-1320'!FR10)</f>
        <v>0</v>
      </c>
      <c r="FS10" s="25">
        <f>IF(FS5=DistCalc!$C$4,DistCalc!$D10,'New Formula with HB25-1320'!FS10)</f>
        <v>0</v>
      </c>
      <c r="FT10" s="25" t="e">
        <f ca="1">IF(FT5=DistCalc!$C$4,DistCalc!$D10,'New Formula with HB25-1320'!FT10)</f>
        <v>#NAME?</v>
      </c>
      <c r="FU10" s="25">
        <f>IF(FU5=DistCalc!$C$4,DistCalc!$D10,'New Formula with HB25-1320'!FU10)</f>
        <v>0</v>
      </c>
      <c r="FV10" s="25">
        <f>IF(FV5=DistCalc!$C$4,DistCalc!$D10,'New Formula with HB25-1320'!FV10)</f>
        <v>0</v>
      </c>
      <c r="FW10" s="25">
        <f>IF(FW5=DistCalc!$C$4,DistCalc!$D10,'New Formula with HB25-1320'!FW10)</f>
        <v>0</v>
      </c>
      <c r="FX10" s="25">
        <f>IF(FX5=DistCalc!$C$4,DistCalc!$D10,'New Formula with HB25-1320'!FX10)</f>
        <v>0</v>
      </c>
      <c r="FY10" s="23"/>
      <c r="FZ10" s="23" t="e">
        <f t="shared" ca="1" si="0"/>
        <v>#NAME?</v>
      </c>
      <c r="GA10" s="23"/>
      <c r="GB10" s="23"/>
      <c r="GC10" s="12"/>
      <c r="GD10" s="23"/>
      <c r="GE10" s="7"/>
      <c r="GF10" s="7"/>
      <c r="GG10" s="7"/>
      <c r="GH10" s="7"/>
      <c r="GI10" s="7"/>
      <c r="GJ10" s="7"/>
      <c r="GK10" s="7"/>
    </row>
    <row r="11" spans="1:207" ht="15" customHeight="1" x14ac:dyDescent="0.35">
      <c r="A11" s="12" t="s">
        <v>451</v>
      </c>
      <c r="B11" s="7" t="s">
        <v>454</v>
      </c>
      <c r="C11" s="26">
        <f t="shared" ref="C11:FX11" si="1">C8+C9</f>
        <v>6520.5</v>
      </c>
      <c r="D11" s="26">
        <f t="shared" si="1"/>
        <v>32684</v>
      </c>
      <c r="E11" s="26">
        <f t="shared" si="1"/>
        <v>4702</v>
      </c>
      <c r="F11" s="26">
        <f t="shared" si="1"/>
        <v>23505.5</v>
      </c>
      <c r="G11" s="26">
        <f t="shared" si="1"/>
        <v>1845</v>
      </c>
      <c r="H11" s="26">
        <f t="shared" si="1"/>
        <v>1071</v>
      </c>
      <c r="I11" s="26">
        <f t="shared" si="1"/>
        <v>7041</v>
      </c>
      <c r="J11" s="26">
        <f t="shared" si="1"/>
        <v>1988</v>
      </c>
      <c r="K11" s="26">
        <f t="shared" si="1"/>
        <v>248.5</v>
      </c>
      <c r="L11" s="26">
        <f t="shared" si="1"/>
        <v>2085</v>
      </c>
      <c r="M11" s="26">
        <f t="shared" si="1"/>
        <v>853</v>
      </c>
      <c r="N11" s="26">
        <f t="shared" si="1"/>
        <v>49747</v>
      </c>
      <c r="O11" s="26">
        <f t="shared" si="1"/>
        <v>12367.5</v>
      </c>
      <c r="P11" s="26">
        <f t="shared" si="1"/>
        <v>313</v>
      </c>
      <c r="Q11" s="26">
        <f t="shared" si="1"/>
        <v>37564</v>
      </c>
      <c r="R11" s="26">
        <f t="shared" si="1"/>
        <v>7100</v>
      </c>
      <c r="S11" s="26">
        <f t="shared" si="1"/>
        <v>1559.5</v>
      </c>
      <c r="T11" s="26">
        <f t="shared" si="1"/>
        <v>160</v>
      </c>
      <c r="U11" s="26">
        <f t="shared" si="1"/>
        <v>54</v>
      </c>
      <c r="V11" s="26">
        <f t="shared" si="1"/>
        <v>253</v>
      </c>
      <c r="W11" s="26">
        <f t="shared" si="1"/>
        <v>47</v>
      </c>
      <c r="X11" s="26">
        <f t="shared" si="1"/>
        <v>37.5</v>
      </c>
      <c r="Y11" s="26">
        <f t="shared" si="1"/>
        <v>870.5</v>
      </c>
      <c r="Z11" s="26">
        <f t="shared" si="1"/>
        <v>231</v>
      </c>
      <c r="AA11" s="26">
        <f t="shared" si="1"/>
        <v>30673</v>
      </c>
      <c r="AB11" s="26">
        <f t="shared" si="1"/>
        <v>26785.5</v>
      </c>
      <c r="AC11" s="26">
        <f t="shared" si="1"/>
        <v>847.5</v>
      </c>
      <c r="AD11" s="26">
        <f t="shared" si="1"/>
        <v>1287.5</v>
      </c>
      <c r="AE11" s="26">
        <f t="shared" si="1"/>
        <v>97</v>
      </c>
      <c r="AF11" s="26">
        <f t="shared" si="1"/>
        <v>164</v>
      </c>
      <c r="AG11" s="26">
        <f t="shared" si="1"/>
        <v>585.5</v>
      </c>
      <c r="AH11" s="26">
        <f t="shared" si="1"/>
        <v>908</v>
      </c>
      <c r="AI11" s="26">
        <f t="shared" si="1"/>
        <v>383</v>
      </c>
      <c r="AJ11" s="26">
        <f t="shared" si="1"/>
        <v>181.5</v>
      </c>
      <c r="AK11" s="26">
        <f t="shared" si="1"/>
        <v>162.5</v>
      </c>
      <c r="AL11" s="26">
        <f t="shared" si="1"/>
        <v>288.5</v>
      </c>
      <c r="AM11" s="26">
        <f t="shared" si="1"/>
        <v>306</v>
      </c>
      <c r="AN11" s="26">
        <f t="shared" si="1"/>
        <v>268</v>
      </c>
      <c r="AO11" s="26">
        <f t="shared" si="1"/>
        <v>4051.5</v>
      </c>
      <c r="AP11" s="26">
        <f t="shared" si="1"/>
        <v>84316.5</v>
      </c>
      <c r="AQ11" s="26">
        <f t="shared" si="1"/>
        <v>251</v>
      </c>
      <c r="AR11" s="26">
        <f t="shared" si="1"/>
        <v>58778</v>
      </c>
      <c r="AS11" s="26">
        <f t="shared" si="1"/>
        <v>5971.5</v>
      </c>
      <c r="AT11" s="26">
        <f t="shared" si="1"/>
        <v>2361</v>
      </c>
      <c r="AU11" s="26">
        <f t="shared" si="1"/>
        <v>268</v>
      </c>
      <c r="AV11" s="26">
        <f t="shared" si="1"/>
        <v>296</v>
      </c>
      <c r="AW11" s="26">
        <f t="shared" si="1"/>
        <v>257</v>
      </c>
      <c r="AX11" s="26">
        <f t="shared" si="1"/>
        <v>81</v>
      </c>
      <c r="AY11" s="26">
        <f t="shared" si="1"/>
        <v>391.5</v>
      </c>
      <c r="AZ11" s="26">
        <f t="shared" si="1"/>
        <v>11877.5</v>
      </c>
      <c r="BA11" s="26">
        <f t="shared" si="1"/>
        <v>9090</v>
      </c>
      <c r="BB11" s="26">
        <f t="shared" si="1"/>
        <v>7451</v>
      </c>
      <c r="BC11" s="26">
        <f t="shared" si="1"/>
        <v>21491</v>
      </c>
      <c r="BD11" s="26">
        <f t="shared" si="1"/>
        <v>3637.5</v>
      </c>
      <c r="BE11" s="26">
        <f t="shared" si="1"/>
        <v>1092</v>
      </c>
      <c r="BF11" s="26">
        <f t="shared" si="1"/>
        <v>25572</v>
      </c>
      <c r="BG11" s="26">
        <f t="shared" si="1"/>
        <v>919.5</v>
      </c>
      <c r="BH11" s="26">
        <f t="shared" si="1"/>
        <v>574</v>
      </c>
      <c r="BI11" s="26">
        <f t="shared" si="1"/>
        <v>254.5</v>
      </c>
      <c r="BJ11" s="26">
        <f t="shared" si="1"/>
        <v>6311.5</v>
      </c>
      <c r="BK11" s="26">
        <f t="shared" si="1"/>
        <v>35094.5</v>
      </c>
      <c r="BL11" s="26">
        <f t="shared" si="1"/>
        <v>72.5</v>
      </c>
      <c r="BM11" s="26">
        <f t="shared" si="1"/>
        <v>349</v>
      </c>
      <c r="BN11" s="26">
        <f t="shared" si="1"/>
        <v>3038.5</v>
      </c>
      <c r="BO11" s="26">
        <f t="shared" si="1"/>
        <v>1189</v>
      </c>
      <c r="BP11" s="26">
        <f t="shared" si="1"/>
        <v>137</v>
      </c>
      <c r="BQ11" s="26">
        <f t="shared" si="1"/>
        <v>5584.5</v>
      </c>
      <c r="BR11" s="26">
        <f t="shared" si="1"/>
        <v>4474.5</v>
      </c>
      <c r="BS11" s="26">
        <f t="shared" si="1"/>
        <v>1158</v>
      </c>
      <c r="BT11" s="26">
        <f t="shared" si="1"/>
        <v>353</v>
      </c>
      <c r="BU11" s="26">
        <f t="shared" si="1"/>
        <v>382</v>
      </c>
      <c r="BV11" s="26">
        <f t="shared" si="1"/>
        <v>1243</v>
      </c>
      <c r="BW11" s="26">
        <f t="shared" si="1"/>
        <v>2017.5</v>
      </c>
      <c r="BX11" s="26">
        <f t="shared" si="1"/>
        <v>57</v>
      </c>
      <c r="BY11" s="26">
        <f t="shared" si="1"/>
        <v>392.5</v>
      </c>
      <c r="BZ11" s="26">
        <f t="shared" si="1"/>
        <v>228</v>
      </c>
      <c r="CA11" s="26">
        <f t="shared" si="1"/>
        <v>141.5</v>
      </c>
      <c r="CB11" s="26">
        <f t="shared" si="1"/>
        <v>71275</v>
      </c>
      <c r="CC11" s="26">
        <f t="shared" si="1"/>
        <v>186</v>
      </c>
      <c r="CD11" s="26">
        <f t="shared" si="1"/>
        <v>30</v>
      </c>
      <c r="CE11" s="26">
        <f t="shared" si="1"/>
        <v>158</v>
      </c>
      <c r="CF11" s="26">
        <f t="shared" si="1"/>
        <v>100</v>
      </c>
      <c r="CG11" s="26">
        <f t="shared" si="1"/>
        <v>191</v>
      </c>
      <c r="CH11" s="26">
        <f t="shared" si="1"/>
        <v>90</v>
      </c>
      <c r="CI11" s="26">
        <f t="shared" si="1"/>
        <v>683</v>
      </c>
      <c r="CJ11" s="26">
        <f t="shared" si="1"/>
        <v>822.5</v>
      </c>
      <c r="CK11" s="26">
        <f t="shared" si="1"/>
        <v>4212</v>
      </c>
      <c r="CL11" s="26">
        <f t="shared" si="1"/>
        <v>1157.5</v>
      </c>
      <c r="CM11" s="26">
        <f t="shared" si="1"/>
        <v>677.5</v>
      </c>
      <c r="CN11" s="26">
        <f t="shared" si="1"/>
        <v>28417</v>
      </c>
      <c r="CO11" s="26">
        <f t="shared" si="1"/>
        <v>13990</v>
      </c>
      <c r="CP11" s="26">
        <f t="shared" si="1"/>
        <v>861.5</v>
      </c>
      <c r="CQ11" s="26">
        <f t="shared" si="1"/>
        <v>759</v>
      </c>
      <c r="CR11" s="26">
        <f t="shared" si="1"/>
        <v>195</v>
      </c>
      <c r="CS11" s="26">
        <f t="shared" si="1"/>
        <v>245.5</v>
      </c>
      <c r="CT11" s="26">
        <f t="shared" si="1"/>
        <v>112</v>
      </c>
      <c r="CU11" s="26">
        <f t="shared" si="1"/>
        <v>465</v>
      </c>
      <c r="CV11" s="26">
        <f t="shared" si="1"/>
        <v>24</v>
      </c>
      <c r="CW11" s="26">
        <f t="shared" si="1"/>
        <v>187</v>
      </c>
      <c r="CX11" s="26">
        <f t="shared" si="1"/>
        <v>457</v>
      </c>
      <c r="CY11" s="26">
        <f t="shared" si="1"/>
        <v>25</v>
      </c>
      <c r="CZ11" s="26">
        <f t="shared" si="1"/>
        <v>1768</v>
      </c>
      <c r="DA11" s="26">
        <f t="shared" si="1"/>
        <v>203.5</v>
      </c>
      <c r="DB11" s="26">
        <f t="shared" si="1"/>
        <v>310.5</v>
      </c>
      <c r="DC11" s="26">
        <f t="shared" si="1"/>
        <v>193</v>
      </c>
      <c r="DD11" s="26">
        <f t="shared" si="1"/>
        <v>174.5</v>
      </c>
      <c r="DE11" s="26">
        <f t="shared" si="1"/>
        <v>279.5</v>
      </c>
      <c r="DF11" s="26">
        <f t="shared" si="1"/>
        <v>18490</v>
      </c>
      <c r="DG11" s="26">
        <f t="shared" si="1"/>
        <v>93.5</v>
      </c>
      <c r="DH11" s="26">
        <f t="shared" si="1"/>
        <v>1684</v>
      </c>
      <c r="DI11" s="26">
        <f t="shared" si="1"/>
        <v>2293</v>
      </c>
      <c r="DJ11" s="26">
        <f t="shared" si="1"/>
        <v>601</v>
      </c>
      <c r="DK11" s="26">
        <f t="shared" si="1"/>
        <v>473.5</v>
      </c>
      <c r="DL11" s="26">
        <f t="shared" si="1"/>
        <v>5616</v>
      </c>
      <c r="DM11" s="26">
        <f t="shared" si="1"/>
        <v>235</v>
      </c>
      <c r="DN11" s="26">
        <f t="shared" si="1"/>
        <v>1296</v>
      </c>
      <c r="DO11" s="26">
        <f t="shared" si="1"/>
        <v>3290</v>
      </c>
      <c r="DP11" s="26">
        <f t="shared" si="1"/>
        <v>199</v>
      </c>
      <c r="DQ11" s="26">
        <f t="shared" si="1"/>
        <v>888</v>
      </c>
      <c r="DR11" s="26">
        <f t="shared" si="1"/>
        <v>1266</v>
      </c>
      <c r="DS11" s="26">
        <f t="shared" si="1"/>
        <v>545</v>
      </c>
      <c r="DT11" s="26">
        <f t="shared" si="1"/>
        <v>175</v>
      </c>
      <c r="DU11" s="26">
        <f t="shared" si="1"/>
        <v>346</v>
      </c>
      <c r="DV11" s="26">
        <f t="shared" si="1"/>
        <v>198</v>
      </c>
      <c r="DW11" s="26">
        <f t="shared" si="1"/>
        <v>285</v>
      </c>
      <c r="DX11" s="26">
        <f t="shared" si="1"/>
        <v>168</v>
      </c>
      <c r="DY11" s="26">
        <f t="shared" si="1"/>
        <v>280</v>
      </c>
      <c r="DZ11" s="26">
        <f t="shared" si="1"/>
        <v>607.5</v>
      </c>
      <c r="EA11" s="26">
        <f t="shared" si="1"/>
        <v>487.5</v>
      </c>
      <c r="EB11" s="26">
        <f t="shared" si="1"/>
        <v>498</v>
      </c>
      <c r="EC11" s="26">
        <f t="shared" si="1"/>
        <v>260</v>
      </c>
      <c r="ED11" s="26">
        <f t="shared" si="1"/>
        <v>1546.5</v>
      </c>
      <c r="EE11" s="26">
        <f t="shared" si="1"/>
        <v>185.5</v>
      </c>
      <c r="EF11" s="26">
        <f t="shared" si="1"/>
        <v>1262</v>
      </c>
      <c r="EG11" s="26">
        <f t="shared" si="1"/>
        <v>250</v>
      </c>
      <c r="EH11" s="26">
        <f t="shared" si="1"/>
        <v>246</v>
      </c>
      <c r="EI11" s="26">
        <f t="shared" si="1"/>
        <v>13283</v>
      </c>
      <c r="EJ11" s="26">
        <f t="shared" si="1"/>
        <v>9987.5</v>
      </c>
      <c r="EK11" s="26">
        <f t="shared" si="1"/>
        <v>663.5</v>
      </c>
      <c r="EL11" s="26">
        <f t="shared" si="1"/>
        <v>447</v>
      </c>
      <c r="EM11" s="26">
        <f t="shared" si="1"/>
        <v>355</v>
      </c>
      <c r="EN11" s="26">
        <f t="shared" si="1"/>
        <v>919.5</v>
      </c>
      <c r="EO11" s="26">
        <f t="shared" si="1"/>
        <v>287</v>
      </c>
      <c r="EP11" s="26">
        <f t="shared" si="1"/>
        <v>428.5</v>
      </c>
      <c r="EQ11" s="26">
        <f t="shared" si="1"/>
        <v>2407</v>
      </c>
      <c r="ER11" s="26">
        <f t="shared" si="1"/>
        <v>308.5</v>
      </c>
      <c r="ES11" s="26">
        <f t="shared" si="1"/>
        <v>155.5</v>
      </c>
      <c r="ET11" s="26">
        <f t="shared" si="1"/>
        <v>197.5</v>
      </c>
      <c r="EU11" s="26">
        <f t="shared" si="1"/>
        <v>568</v>
      </c>
      <c r="EV11" s="26">
        <f t="shared" si="1"/>
        <v>66</v>
      </c>
      <c r="EW11" s="26">
        <f t="shared" si="1"/>
        <v>746.5</v>
      </c>
      <c r="EX11" s="26">
        <f t="shared" si="1"/>
        <v>173.5</v>
      </c>
      <c r="EY11" s="26">
        <f t="shared" si="1"/>
        <v>651</v>
      </c>
      <c r="EZ11" s="26">
        <f t="shared" si="1"/>
        <v>127</v>
      </c>
      <c r="FA11" s="26">
        <f t="shared" si="1"/>
        <v>3257</v>
      </c>
      <c r="FB11" s="26">
        <f t="shared" si="1"/>
        <v>275.5</v>
      </c>
      <c r="FC11" s="26">
        <f t="shared" si="1"/>
        <v>1644</v>
      </c>
      <c r="FD11" s="26">
        <f t="shared" si="1"/>
        <v>399</v>
      </c>
      <c r="FE11" s="26">
        <f t="shared" si="1"/>
        <v>70</v>
      </c>
      <c r="FF11" s="26">
        <f t="shared" si="1"/>
        <v>175</v>
      </c>
      <c r="FG11" s="26">
        <f t="shared" si="1"/>
        <v>114</v>
      </c>
      <c r="FH11" s="26">
        <f t="shared" si="1"/>
        <v>69</v>
      </c>
      <c r="FI11" s="26">
        <f t="shared" si="1"/>
        <v>1645</v>
      </c>
      <c r="FJ11" s="26">
        <f t="shared" si="1"/>
        <v>2016.5</v>
      </c>
      <c r="FK11" s="26">
        <f t="shared" si="1"/>
        <v>2482</v>
      </c>
      <c r="FL11" s="26">
        <f t="shared" si="1"/>
        <v>8537.5</v>
      </c>
      <c r="FM11" s="26">
        <f t="shared" si="1"/>
        <v>3981.5</v>
      </c>
      <c r="FN11" s="26">
        <f t="shared" si="1"/>
        <v>22703.5</v>
      </c>
      <c r="FO11" s="26">
        <f t="shared" si="1"/>
        <v>1119</v>
      </c>
      <c r="FP11" s="26">
        <f t="shared" si="1"/>
        <v>2341.5</v>
      </c>
      <c r="FQ11" s="26">
        <f t="shared" si="1"/>
        <v>982.5</v>
      </c>
      <c r="FR11" s="26">
        <f t="shared" si="1"/>
        <v>162.5</v>
      </c>
      <c r="FS11" s="26">
        <f t="shared" si="1"/>
        <v>160.5</v>
      </c>
      <c r="FT11" s="26" t="e">
        <f t="shared" ca="1" si="1"/>
        <v>#NAME?</v>
      </c>
      <c r="FU11" s="26">
        <f t="shared" si="1"/>
        <v>760</v>
      </c>
      <c r="FV11" s="26">
        <f t="shared" si="1"/>
        <v>693</v>
      </c>
      <c r="FW11" s="26">
        <f t="shared" si="1"/>
        <v>130</v>
      </c>
      <c r="FX11" s="26">
        <f t="shared" si="1"/>
        <v>64</v>
      </c>
      <c r="FY11" s="23"/>
      <c r="FZ11" s="23" t="e">
        <f t="shared" ca="1" si="0"/>
        <v>#NAME?</v>
      </c>
      <c r="GA11" s="23"/>
      <c r="GB11" s="23"/>
      <c r="GC11" s="23"/>
      <c r="GD11" s="23"/>
      <c r="GE11" s="7"/>
      <c r="GF11" s="7"/>
      <c r="GG11" s="7"/>
      <c r="GH11" s="7"/>
      <c r="GI11" s="7"/>
      <c r="GJ11" s="7"/>
      <c r="GK11" s="7"/>
    </row>
    <row r="12" spans="1:207" ht="15" customHeight="1" x14ac:dyDescent="0.35">
      <c r="A12" s="12" t="s">
        <v>453</v>
      </c>
      <c r="B12" s="7" t="s">
        <v>456</v>
      </c>
      <c r="C12" s="24">
        <f>IF(C5=DistCalc!$C$4,DistCalc!$D12,'New Formula with HB25-1320'!C12)</f>
        <v>152</v>
      </c>
      <c r="D12" s="25">
        <f>IF(D5=DistCalc!$C$4,DistCalc!$D12,'New Formula with HB25-1320'!D12)</f>
        <v>499</v>
      </c>
      <c r="E12" s="25">
        <f>IF(E5=DistCalc!$C$4,DistCalc!$D12,'New Formula with HB25-1320'!E12)</f>
        <v>0</v>
      </c>
      <c r="F12" s="25">
        <f>IF(F5=DistCalc!$C$4,DistCalc!$D12,'New Formula with HB25-1320'!F12)</f>
        <v>2031</v>
      </c>
      <c r="G12" s="25">
        <f>IF(G5=DistCalc!$C$4,DistCalc!$D12,'New Formula with HB25-1320'!G12)</f>
        <v>0</v>
      </c>
      <c r="H12" s="25">
        <f>IF(H5=DistCalc!$C$4,DistCalc!$D12,'New Formula with HB25-1320'!H12)</f>
        <v>0</v>
      </c>
      <c r="I12" s="25">
        <f>IF(I5=DistCalc!$C$4,DistCalc!$D12,'New Formula with HB25-1320'!I12)</f>
        <v>0</v>
      </c>
      <c r="J12" s="25">
        <f>IF(J5=DistCalc!$C$4,DistCalc!$D12,'New Formula with HB25-1320'!J12)</f>
        <v>0</v>
      </c>
      <c r="K12" s="25">
        <f>IF(K5=DistCalc!$C$4,DistCalc!$D12,'New Formula with HB25-1320'!K12)</f>
        <v>0</v>
      </c>
      <c r="L12" s="25">
        <f>IF(L5=DistCalc!$C$4,DistCalc!$D12,'New Formula with HB25-1320'!L12)</f>
        <v>0</v>
      </c>
      <c r="M12" s="25">
        <f>IF(M5=DistCalc!$C$4,DistCalc!$D12,'New Formula with HB25-1320'!M12)</f>
        <v>0</v>
      </c>
      <c r="N12" s="25">
        <f>IF(N5=DistCalc!$C$4,DistCalc!$D12,'New Formula with HB25-1320'!N12)</f>
        <v>0</v>
      </c>
      <c r="O12" s="25">
        <f>IF(O5=DistCalc!$C$4,DistCalc!$D12,'New Formula with HB25-1320'!O12)</f>
        <v>0</v>
      </c>
      <c r="P12" s="25">
        <f>IF(P5=DistCalc!$C$4,DistCalc!$D12,'New Formula with HB25-1320'!P12)</f>
        <v>0</v>
      </c>
      <c r="Q12" s="25">
        <f>IF(Q5=DistCalc!$C$4,DistCalc!$D12,'New Formula with HB25-1320'!Q12)</f>
        <v>0</v>
      </c>
      <c r="R12" s="25">
        <f>IF(R5=DistCalc!$C$4,DistCalc!$D12,'New Formula with HB25-1320'!R12)</f>
        <v>6618</v>
      </c>
      <c r="S12" s="25">
        <f>IF(S5=DistCalc!$C$4,DistCalc!$D12,'New Formula with HB25-1320'!S12)</f>
        <v>14</v>
      </c>
      <c r="T12" s="25">
        <f>IF(T5=DistCalc!$C$4,DistCalc!$D12,'New Formula with HB25-1320'!T12)</f>
        <v>0</v>
      </c>
      <c r="U12" s="25">
        <f>IF(U5=DistCalc!$C$4,DistCalc!$D12,'New Formula with HB25-1320'!U12)</f>
        <v>0</v>
      </c>
      <c r="V12" s="25">
        <f>IF(V5=DistCalc!$C$4,DistCalc!$D12,'New Formula with HB25-1320'!V12)</f>
        <v>0</v>
      </c>
      <c r="W12" s="25">
        <f>IF(W5=DistCalc!$C$4,DistCalc!$D12,'New Formula with HB25-1320'!W12)</f>
        <v>0</v>
      </c>
      <c r="X12" s="25">
        <f>IF(X5=DistCalc!$C$4,DistCalc!$D12,'New Formula with HB25-1320'!X12)</f>
        <v>0</v>
      </c>
      <c r="Y12" s="25">
        <f>IF(Y5=DistCalc!$C$4,DistCalc!$D12,'New Formula with HB25-1320'!Y12)</f>
        <v>473.5</v>
      </c>
      <c r="Z12" s="25">
        <f>IF(Z5=DistCalc!$C$4,DistCalc!$D12,'New Formula with HB25-1320'!Z12)</f>
        <v>0</v>
      </c>
      <c r="AA12" s="25">
        <f>IF(AA5=DistCalc!$C$4,DistCalc!$D12,'New Formula with HB25-1320'!AA12)</f>
        <v>336.5</v>
      </c>
      <c r="AB12" s="25">
        <f>IF(AB5=DistCalc!$C$4,DistCalc!$D12,'New Formula with HB25-1320'!AB12)</f>
        <v>224</v>
      </c>
      <c r="AC12" s="25">
        <f>IF(AC5=DistCalc!$C$4,DistCalc!$D12,'New Formula with HB25-1320'!AC12)</f>
        <v>0</v>
      </c>
      <c r="AD12" s="25">
        <f>IF(AD5=DistCalc!$C$4,DistCalc!$D12,'New Formula with HB25-1320'!AD12)</f>
        <v>0</v>
      </c>
      <c r="AE12" s="25">
        <f>IF(AE5=DistCalc!$C$4,DistCalc!$D12,'New Formula with HB25-1320'!AE12)</f>
        <v>0</v>
      </c>
      <c r="AF12" s="25">
        <f>IF(AF5=DistCalc!$C$4,DistCalc!$D12,'New Formula with HB25-1320'!AF12)</f>
        <v>0</v>
      </c>
      <c r="AG12" s="25">
        <f>IF(AG5=DistCalc!$C$4,DistCalc!$D12,'New Formula with HB25-1320'!AG12)</f>
        <v>0</v>
      </c>
      <c r="AH12" s="25">
        <f>IF(AH5=DistCalc!$C$4,DistCalc!$D12,'New Formula with HB25-1320'!AH12)</f>
        <v>0</v>
      </c>
      <c r="AI12" s="25">
        <f>IF(AI5=DistCalc!$C$4,DistCalc!$D12,'New Formula with HB25-1320'!AI12)</f>
        <v>0</v>
      </c>
      <c r="AJ12" s="25">
        <f>IF(AJ5=DistCalc!$C$4,DistCalc!$D12,'New Formula with HB25-1320'!AJ12)</f>
        <v>0</v>
      </c>
      <c r="AK12" s="25">
        <f>IF(AK5=DistCalc!$C$4,DistCalc!$D12,'New Formula with HB25-1320'!AK12)</f>
        <v>0</v>
      </c>
      <c r="AL12" s="25">
        <f>IF(AL5=DistCalc!$C$4,DistCalc!$D12,'New Formula with HB25-1320'!AL12)</f>
        <v>0</v>
      </c>
      <c r="AM12" s="25">
        <f>IF(AM5=DistCalc!$C$4,DistCalc!$D12,'New Formula with HB25-1320'!AM12)</f>
        <v>0</v>
      </c>
      <c r="AN12" s="25">
        <f>IF(AN5=DistCalc!$C$4,DistCalc!$D12,'New Formula with HB25-1320'!AN12)</f>
        <v>0</v>
      </c>
      <c r="AO12" s="25">
        <f>IF(AO5=DistCalc!$C$4,DistCalc!$D12,'New Formula with HB25-1320'!AO12)</f>
        <v>370.5</v>
      </c>
      <c r="AP12" s="25">
        <f>IF(AP5=DistCalc!$C$4,DistCalc!$D12,'New Formula with HB25-1320'!AP12)</f>
        <v>595.5</v>
      </c>
      <c r="AQ12" s="25">
        <f>IF(AQ5=DistCalc!$C$4,DistCalc!$D12,'New Formula with HB25-1320'!AQ12)</f>
        <v>0</v>
      </c>
      <c r="AR12" s="25">
        <f>IF(AR5=DistCalc!$C$4,DistCalc!$D12,'New Formula with HB25-1320'!AR12)</f>
        <v>1303</v>
      </c>
      <c r="AS12" s="25">
        <f>IF(AS5=DistCalc!$C$4,DistCalc!$D12,'New Formula with HB25-1320'!AS12)</f>
        <v>0</v>
      </c>
      <c r="AT12" s="25">
        <f>IF(AT5=DistCalc!$C$4,DistCalc!$D12,'New Formula with HB25-1320'!AT12)</f>
        <v>0</v>
      </c>
      <c r="AU12" s="25">
        <f>IF(AU5=DistCalc!$C$4,DistCalc!$D12,'New Formula with HB25-1320'!AU12)</f>
        <v>0</v>
      </c>
      <c r="AV12" s="25">
        <f>IF(AV5=DistCalc!$C$4,DistCalc!$D12,'New Formula with HB25-1320'!AV12)</f>
        <v>0</v>
      </c>
      <c r="AW12" s="25">
        <f>IF(AW5=DistCalc!$C$4,DistCalc!$D12,'New Formula with HB25-1320'!AW12)</f>
        <v>0</v>
      </c>
      <c r="AX12" s="25">
        <f>IF(AX5=DistCalc!$C$4,DistCalc!$D12,'New Formula with HB25-1320'!AX12)</f>
        <v>0</v>
      </c>
      <c r="AY12" s="25">
        <f>IF(AY5=DistCalc!$C$4,DistCalc!$D12,'New Formula with HB25-1320'!AY12)</f>
        <v>0</v>
      </c>
      <c r="AZ12" s="25">
        <f>IF(AZ5=DistCalc!$C$4,DistCalc!$D12,'New Formula with HB25-1320'!AZ12)</f>
        <v>98</v>
      </c>
      <c r="BA12" s="25">
        <f>IF(BA5=DistCalc!$C$4,DistCalc!$D12,'New Formula with HB25-1320'!BA12)</f>
        <v>240</v>
      </c>
      <c r="BB12" s="25">
        <f>IF(BB5=DistCalc!$C$4,DistCalc!$D12,'New Formula with HB25-1320'!BB12)</f>
        <v>0</v>
      </c>
      <c r="BC12" s="25">
        <f>IF(BC5=DistCalc!$C$4,DistCalc!$D12,'New Formula with HB25-1320'!BC12)</f>
        <v>475</v>
      </c>
      <c r="BD12" s="25">
        <f>IF(BD5=DistCalc!$C$4,DistCalc!$D12,'New Formula with HB25-1320'!BD12)</f>
        <v>0</v>
      </c>
      <c r="BE12" s="25">
        <f>IF(BE5=DistCalc!$C$4,DistCalc!$D12,'New Formula with HB25-1320'!BE12)</f>
        <v>0</v>
      </c>
      <c r="BF12" s="25">
        <f>IF(BF5=DistCalc!$C$4,DistCalc!$D12,'New Formula with HB25-1320'!BF12)</f>
        <v>1194.5</v>
      </c>
      <c r="BG12" s="25">
        <f>IF(BG5=DistCalc!$C$4,DistCalc!$D12,'New Formula with HB25-1320'!BG12)</f>
        <v>0</v>
      </c>
      <c r="BH12" s="25">
        <f>IF(BH5=DistCalc!$C$4,DistCalc!$D12,'New Formula with HB25-1320'!BH12)</f>
        <v>28</v>
      </c>
      <c r="BI12" s="25">
        <f>IF(BI5=DistCalc!$C$4,DistCalc!$D12,'New Formula with HB25-1320'!BI12)</f>
        <v>0</v>
      </c>
      <c r="BJ12" s="25">
        <f>IF(BJ5=DistCalc!$C$4,DistCalc!$D12,'New Formula with HB25-1320'!BJ12)</f>
        <v>0</v>
      </c>
      <c r="BK12" s="25">
        <f>IF(BK5=DistCalc!$C$4,DistCalc!$D12,'New Formula with HB25-1320'!BK12)</f>
        <v>13175.5</v>
      </c>
      <c r="BL12" s="25">
        <f>IF(BL5=DistCalc!$C$4,DistCalc!$D12,'New Formula with HB25-1320'!BL12)</f>
        <v>0</v>
      </c>
      <c r="BM12" s="25">
        <f>IF(BM5=DistCalc!$C$4,DistCalc!$D12,'New Formula with HB25-1320'!BM12)</f>
        <v>0</v>
      </c>
      <c r="BN12" s="25">
        <f>IF(BN5=DistCalc!$C$4,DistCalc!$D12,'New Formula with HB25-1320'!BN12)</f>
        <v>0</v>
      </c>
      <c r="BO12" s="25">
        <f>IF(BO5=DistCalc!$C$4,DistCalc!$D12,'New Formula with HB25-1320'!BO12)</f>
        <v>0</v>
      </c>
      <c r="BP12" s="25">
        <f>IF(BP5=DistCalc!$C$4,DistCalc!$D12,'New Formula with HB25-1320'!BP12)</f>
        <v>0</v>
      </c>
      <c r="BQ12" s="25">
        <f>IF(BQ5=DistCalc!$C$4,DistCalc!$D12,'New Formula with HB25-1320'!BQ12)</f>
        <v>0</v>
      </c>
      <c r="BR12" s="25">
        <f>IF(BR5=DistCalc!$C$4,DistCalc!$D12,'New Formula with HB25-1320'!BR12)</f>
        <v>0</v>
      </c>
      <c r="BS12" s="25">
        <f>IF(BS5=DistCalc!$C$4,DistCalc!$D12,'New Formula with HB25-1320'!BS12)</f>
        <v>0</v>
      </c>
      <c r="BT12" s="25">
        <f>IF(BT5=DistCalc!$C$4,DistCalc!$D12,'New Formula with HB25-1320'!BT12)</f>
        <v>0</v>
      </c>
      <c r="BU12" s="25">
        <f>IF(BU5=DistCalc!$C$4,DistCalc!$D12,'New Formula with HB25-1320'!BU12)</f>
        <v>0</v>
      </c>
      <c r="BV12" s="25">
        <f>IF(BV5=DistCalc!$C$4,DistCalc!$D12,'New Formula with HB25-1320'!BV12)</f>
        <v>0</v>
      </c>
      <c r="BW12" s="25">
        <f>IF(BW5=DistCalc!$C$4,DistCalc!$D12,'New Formula with HB25-1320'!BW12)</f>
        <v>0</v>
      </c>
      <c r="BX12" s="25">
        <f>IF(BX5=DistCalc!$C$4,DistCalc!$D12,'New Formula with HB25-1320'!BX12)</f>
        <v>0</v>
      </c>
      <c r="BY12" s="25">
        <f>IF(BY5=DistCalc!$C$4,DistCalc!$D12,'New Formula with HB25-1320'!BY12)</f>
        <v>0</v>
      </c>
      <c r="BZ12" s="25">
        <f>IF(BZ5=DistCalc!$C$4,DistCalc!$D12,'New Formula with HB25-1320'!BZ12)</f>
        <v>0</v>
      </c>
      <c r="CA12" s="25">
        <f>IF(CA5=DistCalc!$C$4,DistCalc!$D12,'New Formula with HB25-1320'!CA12)</f>
        <v>0</v>
      </c>
      <c r="CB12" s="25">
        <f>IF(CB5=DistCalc!$C$4,DistCalc!$D12,'New Formula with HB25-1320'!CB12)</f>
        <v>815.5</v>
      </c>
      <c r="CC12" s="25">
        <f>IF(CC5=DistCalc!$C$4,DistCalc!$D12,'New Formula with HB25-1320'!CC12)</f>
        <v>0</v>
      </c>
      <c r="CD12" s="25">
        <f>IF(CD5=DistCalc!$C$4,DistCalc!$D12,'New Formula with HB25-1320'!CD12)</f>
        <v>0</v>
      </c>
      <c r="CE12" s="25">
        <f>IF(CE5=DistCalc!$C$4,DistCalc!$D12,'New Formula with HB25-1320'!CE12)</f>
        <v>0</v>
      </c>
      <c r="CF12" s="25">
        <f>IF(CF5=DistCalc!$C$4,DistCalc!$D12,'New Formula with HB25-1320'!CF12)</f>
        <v>0</v>
      </c>
      <c r="CG12" s="25">
        <f>IF(CG5=DistCalc!$C$4,DistCalc!$D12,'New Formula with HB25-1320'!CG12)</f>
        <v>0</v>
      </c>
      <c r="CH12" s="25">
        <f>IF(CH5=DistCalc!$C$4,DistCalc!$D12,'New Formula with HB25-1320'!CH12)</f>
        <v>0</v>
      </c>
      <c r="CI12" s="25">
        <f>IF(CI5=DistCalc!$C$4,DistCalc!$D12,'New Formula with HB25-1320'!CI12)</f>
        <v>0</v>
      </c>
      <c r="CJ12" s="25">
        <f>IF(CJ5=DistCalc!$C$4,DistCalc!$D12,'New Formula with HB25-1320'!CJ12)</f>
        <v>0</v>
      </c>
      <c r="CK12" s="25">
        <f>IF(CK5=DistCalc!$C$4,DistCalc!$D12,'New Formula with HB25-1320'!CK12)</f>
        <v>23.5</v>
      </c>
      <c r="CL12" s="25">
        <f>IF(CL5=DistCalc!$C$4,DistCalc!$D12,'New Formula with HB25-1320'!CL12)</f>
        <v>5.5</v>
      </c>
      <c r="CM12" s="25">
        <f>IF(CM5=DistCalc!$C$4,DistCalc!$D12,'New Formula with HB25-1320'!CM12)</f>
        <v>2</v>
      </c>
      <c r="CN12" s="25">
        <f>IF(CN5=DistCalc!$C$4,DistCalc!$D12,'New Formula with HB25-1320'!CN12)</f>
        <v>254</v>
      </c>
      <c r="CO12" s="25">
        <f>IF(CO5=DistCalc!$C$4,DistCalc!$D12,'New Formula with HB25-1320'!CO12)</f>
        <v>0</v>
      </c>
      <c r="CP12" s="25">
        <f>IF(CP5=DistCalc!$C$4,DistCalc!$D12,'New Formula with HB25-1320'!CP12)</f>
        <v>0</v>
      </c>
      <c r="CQ12" s="25">
        <f>IF(CQ5=DistCalc!$C$4,DistCalc!$D12,'New Formula with HB25-1320'!CQ12)</f>
        <v>0</v>
      </c>
      <c r="CR12" s="25">
        <f>IF(CR5=DistCalc!$C$4,DistCalc!$D12,'New Formula with HB25-1320'!CR12)</f>
        <v>0</v>
      </c>
      <c r="CS12" s="25">
        <f>IF(CS5=DistCalc!$C$4,DistCalc!$D12,'New Formula with HB25-1320'!CS12)</f>
        <v>0</v>
      </c>
      <c r="CT12" s="25">
        <f>IF(CT5=DistCalc!$C$4,DistCalc!$D12,'New Formula with HB25-1320'!CT12)</f>
        <v>0</v>
      </c>
      <c r="CU12" s="25">
        <f>IF(CU5=DistCalc!$C$4,DistCalc!$D12,'New Formula with HB25-1320'!CU12)</f>
        <v>396</v>
      </c>
      <c r="CV12" s="25">
        <f>IF(CV5=DistCalc!$C$4,DistCalc!$D12,'New Formula with HB25-1320'!CV12)</f>
        <v>0</v>
      </c>
      <c r="CW12" s="25">
        <f>IF(CW5=DistCalc!$C$4,DistCalc!$D12,'New Formula with HB25-1320'!CW12)</f>
        <v>0</v>
      </c>
      <c r="CX12" s="25">
        <f>IF(CX5=DistCalc!$C$4,DistCalc!$D12,'New Formula with HB25-1320'!CX12)</f>
        <v>0</v>
      </c>
      <c r="CY12" s="25">
        <f>IF(CY5=DistCalc!$C$4,DistCalc!$D12,'New Formula with HB25-1320'!CY12)</f>
        <v>0</v>
      </c>
      <c r="CZ12" s="25">
        <f>IF(CZ5=DistCalc!$C$4,DistCalc!$D12,'New Formula with HB25-1320'!CZ12)</f>
        <v>0</v>
      </c>
      <c r="DA12" s="25">
        <f>IF(DA5=DistCalc!$C$4,DistCalc!$D12,'New Formula with HB25-1320'!DA12)</f>
        <v>0</v>
      </c>
      <c r="DB12" s="25">
        <f>IF(DB5=DistCalc!$C$4,DistCalc!$D12,'New Formula with HB25-1320'!DB12)</f>
        <v>0</v>
      </c>
      <c r="DC12" s="25">
        <f>IF(DC5=DistCalc!$C$4,DistCalc!$D12,'New Formula with HB25-1320'!DC12)</f>
        <v>0</v>
      </c>
      <c r="DD12" s="25">
        <f>IF(DD5=DistCalc!$C$4,DistCalc!$D12,'New Formula with HB25-1320'!DD12)</f>
        <v>0</v>
      </c>
      <c r="DE12" s="25">
        <f>IF(DE5=DistCalc!$C$4,DistCalc!$D12,'New Formula with HB25-1320'!DE12)</f>
        <v>0</v>
      </c>
      <c r="DF12" s="25">
        <f>IF(DF5=DistCalc!$C$4,DistCalc!$D12,'New Formula with HB25-1320'!DF12)</f>
        <v>0</v>
      </c>
      <c r="DG12" s="25">
        <f>IF(DG5=DistCalc!$C$4,DistCalc!$D12,'New Formula with HB25-1320'!DG12)</f>
        <v>0</v>
      </c>
      <c r="DH12" s="25">
        <f>IF(DH5=DistCalc!$C$4,DistCalc!$D12,'New Formula with HB25-1320'!DH12)</f>
        <v>0</v>
      </c>
      <c r="DI12" s="25">
        <f>IF(DI5=DistCalc!$C$4,DistCalc!$D12,'New Formula with HB25-1320'!DI12)</f>
        <v>4</v>
      </c>
      <c r="DJ12" s="25">
        <f>IF(DJ5=DistCalc!$C$4,DistCalc!$D12,'New Formula with HB25-1320'!DJ12)</f>
        <v>1</v>
      </c>
      <c r="DK12" s="25">
        <f>IF(DK5=DistCalc!$C$4,DistCalc!$D12,'New Formula with HB25-1320'!DK12)</f>
        <v>1</v>
      </c>
      <c r="DL12" s="25">
        <f>IF(DL5=DistCalc!$C$4,DistCalc!$D12,'New Formula with HB25-1320'!DL12)</f>
        <v>0</v>
      </c>
      <c r="DM12" s="25">
        <f>IF(DM5=DistCalc!$C$4,DistCalc!$D12,'New Formula with HB25-1320'!DM12)</f>
        <v>0</v>
      </c>
      <c r="DN12" s="25">
        <f>IF(DN5=DistCalc!$C$4,DistCalc!$D12,'New Formula with HB25-1320'!DN12)</f>
        <v>0</v>
      </c>
      <c r="DO12" s="25">
        <f>IF(DO5=DistCalc!$C$4,DistCalc!$D12,'New Formula with HB25-1320'!DO12)</f>
        <v>0</v>
      </c>
      <c r="DP12" s="25">
        <f>IF(DP5=DistCalc!$C$4,DistCalc!$D12,'New Formula with HB25-1320'!DP12)</f>
        <v>0</v>
      </c>
      <c r="DQ12" s="25">
        <f>IF(DQ5=DistCalc!$C$4,DistCalc!$D12,'New Formula with HB25-1320'!DQ12)</f>
        <v>0</v>
      </c>
      <c r="DR12" s="25">
        <f>IF(DR5=DistCalc!$C$4,DistCalc!$D12,'New Formula with HB25-1320'!DR12)</f>
        <v>0</v>
      </c>
      <c r="DS12" s="25">
        <f>IF(DS5=DistCalc!$C$4,DistCalc!$D12,'New Formula with HB25-1320'!DS12)</f>
        <v>0</v>
      </c>
      <c r="DT12" s="25">
        <f>IF(DT5=DistCalc!$C$4,DistCalc!$D12,'New Formula with HB25-1320'!DT12)</f>
        <v>0</v>
      </c>
      <c r="DU12" s="25">
        <f>IF(DU5=DistCalc!$C$4,DistCalc!$D12,'New Formula with HB25-1320'!DU12)</f>
        <v>0</v>
      </c>
      <c r="DV12" s="25">
        <f>IF(DV5=DistCalc!$C$4,DistCalc!$D12,'New Formula with HB25-1320'!DV12)</f>
        <v>0</v>
      </c>
      <c r="DW12" s="25">
        <f>IF(DW5=DistCalc!$C$4,DistCalc!$D12,'New Formula with HB25-1320'!DW12)</f>
        <v>0</v>
      </c>
      <c r="DX12" s="25">
        <f>IF(DX5=DistCalc!$C$4,DistCalc!$D12,'New Formula with HB25-1320'!DX12)</f>
        <v>0</v>
      </c>
      <c r="DY12" s="25">
        <f>IF(DY5=DistCalc!$C$4,DistCalc!$D12,'New Formula with HB25-1320'!DY12)</f>
        <v>0</v>
      </c>
      <c r="DZ12" s="25">
        <f>IF(DZ5=DistCalc!$C$4,DistCalc!$D12,'New Formula with HB25-1320'!DZ12)</f>
        <v>0</v>
      </c>
      <c r="EA12" s="25">
        <f>IF(EA5=DistCalc!$C$4,DistCalc!$D12,'New Formula with HB25-1320'!EA12)</f>
        <v>0</v>
      </c>
      <c r="EB12" s="25">
        <f>IF(EB5=DistCalc!$C$4,DistCalc!$D12,'New Formula with HB25-1320'!EB12)</f>
        <v>0</v>
      </c>
      <c r="EC12" s="25">
        <f>IF(EC5=DistCalc!$C$4,DistCalc!$D12,'New Formula with HB25-1320'!EC12)</f>
        <v>0</v>
      </c>
      <c r="ED12" s="25">
        <f>IF(ED5=DistCalc!$C$4,DistCalc!$D12,'New Formula with HB25-1320'!ED12)</f>
        <v>0</v>
      </c>
      <c r="EE12" s="25">
        <f>IF(EE5=DistCalc!$C$4,DistCalc!$D12,'New Formula with HB25-1320'!EE12)</f>
        <v>0</v>
      </c>
      <c r="EF12" s="25">
        <f>IF(EF5=DistCalc!$C$4,DistCalc!$D12,'New Formula with HB25-1320'!EF12)</f>
        <v>0</v>
      </c>
      <c r="EG12" s="25">
        <f>IF(EG5=DistCalc!$C$4,DistCalc!$D12,'New Formula with HB25-1320'!EG12)</f>
        <v>0</v>
      </c>
      <c r="EH12" s="25">
        <f>IF(EH5=DistCalc!$C$4,DistCalc!$D12,'New Formula with HB25-1320'!EH12)</f>
        <v>0</v>
      </c>
      <c r="EI12" s="25">
        <f>IF(EI5=DistCalc!$C$4,DistCalc!$D12,'New Formula with HB25-1320'!EI12)</f>
        <v>0</v>
      </c>
      <c r="EJ12" s="25">
        <f>IF(EJ5=DistCalc!$C$4,DistCalc!$D12,'New Formula with HB25-1320'!EJ12)</f>
        <v>207.5</v>
      </c>
      <c r="EK12" s="25">
        <f>IF(EK5=DistCalc!$C$4,DistCalc!$D12,'New Formula with HB25-1320'!EK12)</f>
        <v>0</v>
      </c>
      <c r="EL12" s="25">
        <f>IF(EL5=DistCalc!$C$4,DistCalc!$D12,'New Formula with HB25-1320'!EL12)</f>
        <v>0</v>
      </c>
      <c r="EM12" s="25">
        <f>IF(EM5=DistCalc!$C$4,DistCalc!$D12,'New Formula with HB25-1320'!EM12)</f>
        <v>0</v>
      </c>
      <c r="EN12" s="25">
        <f>IF(EN5=DistCalc!$C$4,DistCalc!$D12,'New Formula with HB25-1320'!EN12)</f>
        <v>43</v>
      </c>
      <c r="EO12" s="25">
        <f>IF(EO5=DistCalc!$C$4,DistCalc!$D12,'New Formula with HB25-1320'!EO12)</f>
        <v>0</v>
      </c>
      <c r="EP12" s="25">
        <f>IF(EP5=DistCalc!$C$4,DistCalc!$D12,'New Formula with HB25-1320'!EP12)</f>
        <v>0</v>
      </c>
      <c r="EQ12" s="25">
        <f>IF(EQ5=DistCalc!$C$4,DistCalc!$D12,'New Formula with HB25-1320'!EQ12)</f>
        <v>0</v>
      </c>
      <c r="ER12" s="25">
        <f>IF(ER5=DistCalc!$C$4,DistCalc!$D12,'New Formula with HB25-1320'!ER12)</f>
        <v>0</v>
      </c>
      <c r="ES12" s="25">
        <f>IF(ES5=DistCalc!$C$4,DistCalc!$D12,'New Formula with HB25-1320'!ES12)</f>
        <v>0</v>
      </c>
      <c r="ET12" s="25">
        <f>IF(ET5=DistCalc!$C$4,DistCalc!$D12,'New Formula with HB25-1320'!ET12)</f>
        <v>0</v>
      </c>
      <c r="EU12" s="25">
        <f>IF(EU5=DistCalc!$C$4,DistCalc!$D12,'New Formula with HB25-1320'!EU12)</f>
        <v>0</v>
      </c>
      <c r="EV12" s="25">
        <f>IF(EV5=DistCalc!$C$4,DistCalc!$D12,'New Formula with HB25-1320'!EV12)</f>
        <v>0</v>
      </c>
      <c r="EW12" s="25">
        <f>IF(EW5=DistCalc!$C$4,DistCalc!$D12,'New Formula with HB25-1320'!EW12)</f>
        <v>0</v>
      </c>
      <c r="EX12" s="25">
        <f>IF(EX5=DistCalc!$C$4,DistCalc!$D12,'New Formula with HB25-1320'!EX12)</f>
        <v>0</v>
      </c>
      <c r="EY12" s="25">
        <f>IF(EY5=DistCalc!$C$4,DistCalc!$D12,'New Formula with HB25-1320'!EY12)</f>
        <v>450</v>
      </c>
      <c r="EZ12" s="25">
        <f>IF(EZ5=DistCalc!$C$4,DistCalc!$D12,'New Formula with HB25-1320'!EZ12)</f>
        <v>0</v>
      </c>
      <c r="FA12" s="25">
        <f>IF(FA5=DistCalc!$C$4,DistCalc!$D12,'New Formula with HB25-1320'!FA12)</f>
        <v>0</v>
      </c>
      <c r="FB12" s="25">
        <f>IF(FB5=DistCalc!$C$4,DistCalc!$D12,'New Formula with HB25-1320'!FB12)</f>
        <v>0</v>
      </c>
      <c r="FC12" s="25">
        <f>IF(FC5=DistCalc!$C$4,DistCalc!$D12,'New Formula with HB25-1320'!FC12)</f>
        <v>0</v>
      </c>
      <c r="FD12" s="25">
        <f>IF(FD5=DistCalc!$C$4,DistCalc!$D12,'New Formula with HB25-1320'!FD12)</f>
        <v>0</v>
      </c>
      <c r="FE12" s="25">
        <f>IF(FE5=DistCalc!$C$4,DistCalc!$D12,'New Formula with HB25-1320'!FE12)</f>
        <v>0</v>
      </c>
      <c r="FF12" s="25">
        <f>IF(FF5=DistCalc!$C$4,DistCalc!$D12,'New Formula with HB25-1320'!FF12)</f>
        <v>0</v>
      </c>
      <c r="FG12" s="25">
        <f>IF(FG5=DistCalc!$C$4,DistCalc!$D12,'New Formula with HB25-1320'!FG12)</f>
        <v>0</v>
      </c>
      <c r="FH12" s="25">
        <f>IF(FH5=DistCalc!$C$4,DistCalc!$D12,'New Formula with HB25-1320'!FH12)</f>
        <v>0</v>
      </c>
      <c r="FI12" s="25">
        <f>IF(FI5=DistCalc!$C$4,DistCalc!$D12,'New Formula with HB25-1320'!FI12)</f>
        <v>0</v>
      </c>
      <c r="FJ12" s="25">
        <f>IF(FJ5=DistCalc!$C$4,DistCalc!$D12,'New Formula with HB25-1320'!FJ12)</f>
        <v>0</v>
      </c>
      <c r="FK12" s="25">
        <f>IF(FK5=DistCalc!$C$4,DistCalc!$D12,'New Formula with HB25-1320'!FK12)</f>
        <v>0</v>
      </c>
      <c r="FL12" s="25">
        <f>IF(FL5=DistCalc!$C$4,DistCalc!$D12,'New Formula with HB25-1320'!FL12)</f>
        <v>0</v>
      </c>
      <c r="FM12" s="25">
        <f>IF(FM5=DistCalc!$C$4,DistCalc!$D12,'New Formula with HB25-1320'!FM12)</f>
        <v>0</v>
      </c>
      <c r="FN12" s="25">
        <f>IF(FN5=DistCalc!$C$4,DistCalc!$D12,'New Formula with HB25-1320'!FN12)</f>
        <v>254.5</v>
      </c>
      <c r="FO12" s="25">
        <f>IF(FO5=DistCalc!$C$4,DistCalc!$D12,'New Formula with HB25-1320'!FO12)</f>
        <v>0</v>
      </c>
      <c r="FP12" s="25">
        <f>IF(FP5=DistCalc!$C$4,DistCalc!$D12,'New Formula with HB25-1320'!FP12)</f>
        <v>0</v>
      </c>
      <c r="FQ12" s="25">
        <f>IF(FQ5=DistCalc!$C$4,DistCalc!$D12,'New Formula with HB25-1320'!FQ12)</f>
        <v>0</v>
      </c>
      <c r="FR12" s="25">
        <f>IF(FR5=DistCalc!$C$4,DistCalc!$D12,'New Formula with HB25-1320'!FR12)</f>
        <v>0</v>
      </c>
      <c r="FS12" s="25">
        <f>IF(FS5=DistCalc!$C$4,DistCalc!$D12,'New Formula with HB25-1320'!FS12)</f>
        <v>0</v>
      </c>
      <c r="FT12" s="25" t="e">
        <f ca="1">IF(FT5=DistCalc!$C$4,DistCalc!$D12,'New Formula with HB25-1320'!FT12)</f>
        <v>#NAME?</v>
      </c>
      <c r="FU12" s="25">
        <f>IF(FU5=DistCalc!$C$4,DistCalc!$D12,'New Formula with HB25-1320'!FU12)</f>
        <v>0</v>
      </c>
      <c r="FV12" s="25">
        <f>IF(FV5=DistCalc!$C$4,DistCalc!$D12,'New Formula with HB25-1320'!FV12)</f>
        <v>0</v>
      </c>
      <c r="FW12" s="25">
        <f>IF(FW5=DistCalc!$C$4,DistCalc!$D12,'New Formula with HB25-1320'!FW12)</f>
        <v>0</v>
      </c>
      <c r="FX12" s="25">
        <f>IF(FX5=DistCalc!$C$4,DistCalc!$D12,'New Formula with HB25-1320'!FX12)</f>
        <v>0</v>
      </c>
      <c r="FY12" s="25"/>
      <c r="FZ12" s="23" t="e">
        <f t="shared" ca="1" si="0"/>
        <v>#NAME?</v>
      </c>
      <c r="GA12" s="23"/>
      <c r="GB12" s="23"/>
      <c r="GC12" s="23"/>
      <c r="GD12" s="23"/>
      <c r="GE12" s="7"/>
      <c r="GF12" s="7"/>
      <c r="GG12" s="7"/>
      <c r="GH12" s="7"/>
      <c r="GI12" s="7"/>
      <c r="GJ12" s="7"/>
      <c r="GK12" s="7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</row>
    <row r="13" spans="1:207" ht="15" customHeight="1" x14ac:dyDescent="0.35">
      <c r="A13" s="12" t="s">
        <v>748</v>
      </c>
      <c r="B13" s="7" t="s">
        <v>749</v>
      </c>
      <c r="C13" s="24">
        <f>IF(C5=DistCalc!$C$4,DistCalc!$D13,'New Formula with HB25-1320'!C13)</f>
        <v>0</v>
      </c>
      <c r="D13" s="25">
        <f>IF(D5=DistCalc!$C$4,DistCalc!$D13,'New Formula with HB25-1320'!D13)</f>
        <v>38</v>
      </c>
      <c r="E13" s="25">
        <f>IF(E5=DistCalc!$C$4,DistCalc!$D13,'New Formula with HB25-1320'!E13)</f>
        <v>0</v>
      </c>
      <c r="F13" s="25">
        <f>IF(F5=DistCalc!$C$4,DistCalc!$D13,'New Formula with HB25-1320'!F13)</f>
        <v>1</v>
      </c>
      <c r="G13" s="25">
        <f>IF(G5=DistCalc!$C$4,DistCalc!$D13,'New Formula with HB25-1320'!G13)</f>
        <v>0</v>
      </c>
      <c r="H13" s="25">
        <f>IF(H5=DistCalc!$C$4,DistCalc!$D13,'New Formula with HB25-1320'!H13)</f>
        <v>0</v>
      </c>
      <c r="I13" s="25">
        <f>IF(I5=DistCalc!$C$4,DistCalc!$D13,'New Formula with HB25-1320'!I13)</f>
        <v>5</v>
      </c>
      <c r="J13" s="25">
        <f>IF(J5=DistCalc!$C$4,DistCalc!$D13,'New Formula with HB25-1320'!J13)</f>
        <v>0</v>
      </c>
      <c r="K13" s="25">
        <f>IF(K5=DistCalc!$C$4,DistCalc!$D13,'New Formula with HB25-1320'!K13)</f>
        <v>0</v>
      </c>
      <c r="L13" s="25">
        <f>IF(L5=DistCalc!$C$4,DistCalc!$D13,'New Formula with HB25-1320'!L13)</f>
        <v>0</v>
      </c>
      <c r="M13" s="25">
        <f>IF(M5=DistCalc!$C$4,DistCalc!$D13,'New Formula with HB25-1320'!M13)</f>
        <v>0</v>
      </c>
      <c r="N13" s="25">
        <f>IF(N5=DistCalc!$C$4,DistCalc!$D13,'New Formula with HB25-1320'!N13)</f>
        <v>30.5</v>
      </c>
      <c r="O13" s="25">
        <f>IF(O5=DistCalc!$C$4,DistCalc!$D13,'New Formula with HB25-1320'!O13)</f>
        <v>6</v>
      </c>
      <c r="P13" s="25">
        <f>IF(P5=DistCalc!$C$4,DistCalc!$D13,'New Formula with HB25-1320'!P13)</f>
        <v>0</v>
      </c>
      <c r="Q13" s="25">
        <f>IF(Q5=DistCalc!$C$4,DistCalc!$D13,'New Formula with HB25-1320'!Q13)</f>
        <v>3</v>
      </c>
      <c r="R13" s="25">
        <f>IF(R5=DistCalc!$C$4,DistCalc!$D13,'New Formula with HB25-1320'!R13)</f>
        <v>0</v>
      </c>
      <c r="S13" s="25">
        <f>IF(S5=DistCalc!$C$4,DistCalc!$D13,'New Formula with HB25-1320'!S13)</f>
        <v>0</v>
      </c>
      <c r="T13" s="25">
        <f>IF(T5=DistCalc!$C$4,DistCalc!$D13,'New Formula with HB25-1320'!T13)</f>
        <v>0</v>
      </c>
      <c r="U13" s="25">
        <f>IF(U5=DistCalc!$C$4,DistCalc!$D13,'New Formula with HB25-1320'!U13)</f>
        <v>0</v>
      </c>
      <c r="V13" s="25">
        <f>IF(V5=DistCalc!$C$4,DistCalc!$D13,'New Formula with HB25-1320'!V13)</f>
        <v>0</v>
      </c>
      <c r="W13" s="25">
        <f>IF(W5=DistCalc!$C$4,DistCalc!$D13,'New Formula with HB25-1320'!W13)</f>
        <v>0</v>
      </c>
      <c r="X13" s="25">
        <f>IF(X5=DistCalc!$C$4,DistCalc!$D13,'New Formula with HB25-1320'!X13)</f>
        <v>0</v>
      </c>
      <c r="Y13" s="25">
        <f>IF(Y5=DistCalc!$C$4,DistCalc!$D13,'New Formula with HB25-1320'!Y13)</f>
        <v>0</v>
      </c>
      <c r="Z13" s="25">
        <f>IF(Z5=DistCalc!$C$4,DistCalc!$D13,'New Formula with HB25-1320'!Z13)</f>
        <v>0</v>
      </c>
      <c r="AA13" s="25">
        <f>IF(AA5=DistCalc!$C$4,DistCalc!$D13,'New Formula with HB25-1320'!AA13)</f>
        <v>45</v>
      </c>
      <c r="AB13" s="25">
        <f>IF(AB5=DistCalc!$C$4,DistCalc!$D13,'New Formula with HB25-1320'!AB13)</f>
        <v>1</v>
      </c>
      <c r="AC13" s="25">
        <f>IF(AC5=DistCalc!$C$4,DistCalc!$D13,'New Formula with HB25-1320'!AC13)</f>
        <v>0</v>
      </c>
      <c r="AD13" s="25">
        <f>IF(AD5=DistCalc!$C$4,DistCalc!$D13,'New Formula with HB25-1320'!AD13)</f>
        <v>0</v>
      </c>
      <c r="AE13" s="25">
        <f>IF(AE5=DistCalc!$C$4,DistCalc!$D13,'New Formula with HB25-1320'!AE13)</f>
        <v>0</v>
      </c>
      <c r="AF13" s="25">
        <f>IF(AF5=DistCalc!$C$4,DistCalc!$D13,'New Formula with HB25-1320'!AF13)</f>
        <v>0</v>
      </c>
      <c r="AG13" s="25">
        <f>IF(AG5=DistCalc!$C$4,DistCalc!$D13,'New Formula with HB25-1320'!AG13)</f>
        <v>0</v>
      </c>
      <c r="AH13" s="25">
        <f>IF(AH5=DistCalc!$C$4,DistCalc!$D13,'New Formula with HB25-1320'!AH13)</f>
        <v>0</v>
      </c>
      <c r="AI13" s="25">
        <f>IF(AI5=DistCalc!$C$4,DistCalc!$D13,'New Formula with HB25-1320'!AI13)</f>
        <v>0</v>
      </c>
      <c r="AJ13" s="25">
        <f>IF(AJ5=DistCalc!$C$4,DistCalc!$D13,'New Formula with HB25-1320'!AJ13)</f>
        <v>0</v>
      </c>
      <c r="AK13" s="25">
        <f>IF(AK5=DistCalc!$C$4,DistCalc!$D13,'New Formula with HB25-1320'!AK13)</f>
        <v>0</v>
      </c>
      <c r="AL13" s="25">
        <f>IF(AL5=DistCalc!$C$4,DistCalc!$D13,'New Formula with HB25-1320'!AL13)</f>
        <v>0</v>
      </c>
      <c r="AM13" s="25">
        <f>IF(AM5=DistCalc!$C$4,DistCalc!$D13,'New Formula with HB25-1320'!AM13)</f>
        <v>0</v>
      </c>
      <c r="AN13" s="25">
        <f>IF(AN5=DistCalc!$C$4,DistCalc!$D13,'New Formula with HB25-1320'!AN13)</f>
        <v>0</v>
      </c>
      <c r="AO13" s="25">
        <f>IF(AO5=DistCalc!$C$4,DistCalc!$D13,'New Formula with HB25-1320'!AO13)</f>
        <v>0</v>
      </c>
      <c r="AP13" s="25">
        <f>IF(AP5=DistCalc!$C$4,DistCalc!$D13,'New Formula with HB25-1320'!AP13)</f>
        <v>7.5</v>
      </c>
      <c r="AQ13" s="25">
        <f>IF(AQ5=DistCalc!$C$4,DistCalc!$D13,'New Formula with HB25-1320'!AQ13)</f>
        <v>0</v>
      </c>
      <c r="AR13" s="25">
        <f>IF(AR5=DistCalc!$C$4,DistCalc!$D13,'New Formula with HB25-1320'!AR13)</f>
        <v>8</v>
      </c>
      <c r="AS13" s="25">
        <f>IF(AS5=DistCalc!$C$4,DistCalc!$D13,'New Formula with HB25-1320'!AS13)</f>
        <v>1</v>
      </c>
      <c r="AT13" s="25">
        <f>IF(AT5=DistCalc!$C$4,DistCalc!$D13,'New Formula with HB25-1320'!AT13)</f>
        <v>0</v>
      </c>
      <c r="AU13" s="25">
        <f>IF(AU5=DistCalc!$C$4,DistCalc!$D13,'New Formula with HB25-1320'!AU13)</f>
        <v>0</v>
      </c>
      <c r="AV13" s="25">
        <f>IF(AV5=DistCalc!$C$4,DistCalc!$D13,'New Formula with HB25-1320'!AV13)</f>
        <v>0</v>
      </c>
      <c r="AW13" s="25">
        <f>IF(AW5=DistCalc!$C$4,DistCalc!$D13,'New Formula with HB25-1320'!AW13)</f>
        <v>0</v>
      </c>
      <c r="AX13" s="25">
        <f>IF(AX5=DistCalc!$C$4,DistCalc!$D13,'New Formula with HB25-1320'!AX13)</f>
        <v>0</v>
      </c>
      <c r="AY13" s="25">
        <f>IF(AY5=DistCalc!$C$4,DistCalc!$D13,'New Formula with HB25-1320'!AY13)</f>
        <v>0</v>
      </c>
      <c r="AZ13" s="25">
        <f>IF(AZ5=DistCalc!$C$4,DistCalc!$D13,'New Formula with HB25-1320'!AZ13)</f>
        <v>0</v>
      </c>
      <c r="BA13" s="25">
        <f>IF(BA5=DistCalc!$C$4,DistCalc!$D13,'New Formula with HB25-1320'!BA13)</f>
        <v>0</v>
      </c>
      <c r="BB13" s="25">
        <f>IF(BB5=DistCalc!$C$4,DistCalc!$D13,'New Formula with HB25-1320'!BB13)</f>
        <v>1</v>
      </c>
      <c r="BC13" s="25">
        <f>IF(BC5=DistCalc!$C$4,DistCalc!$D13,'New Formula with HB25-1320'!BC13)</f>
        <v>17.5</v>
      </c>
      <c r="BD13" s="25">
        <f>IF(BD5=DistCalc!$C$4,DistCalc!$D13,'New Formula with HB25-1320'!BD13)</f>
        <v>0</v>
      </c>
      <c r="BE13" s="25">
        <f>IF(BE5=DistCalc!$C$4,DistCalc!$D13,'New Formula with HB25-1320'!BE13)</f>
        <v>0</v>
      </c>
      <c r="BF13" s="25">
        <f>IF(BF5=DistCalc!$C$4,DistCalc!$D13,'New Formula with HB25-1320'!BF13)</f>
        <v>2</v>
      </c>
      <c r="BG13" s="25">
        <f>IF(BG5=DistCalc!$C$4,DistCalc!$D13,'New Formula with HB25-1320'!BG13)</f>
        <v>0</v>
      </c>
      <c r="BH13" s="25">
        <f>IF(BH5=DistCalc!$C$4,DistCalc!$D13,'New Formula with HB25-1320'!BH13)</f>
        <v>0</v>
      </c>
      <c r="BI13" s="25">
        <f>IF(BI5=DistCalc!$C$4,DistCalc!$D13,'New Formula with HB25-1320'!BI13)</f>
        <v>0</v>
      </c>
      <c r="BJ13" s="25">
        <f>IF(BJ5=DistCalc!$C$4,DistCalc!$D13,'New Formula with HB25-1320'!BJ13)</f>
        <v>2</v>
      </c>
      <c r="BK13" s="25">
        <f>IF(BK5=DistCalc!$C$4,DistCalc!$D13,'New Formula with HB25-1320'!BK13)</f>
        <v>23.5</v>
      </c>
      <c r="BL13" s="25">
        <f>IF(BL5=DistCalc!$C$4,DistCalc!$D13,'New Formula with HB25-1320'!BL13)</f>
        <v>0.5</v>
      </c>
      <c r="BM13" s="25">
        <f>IF(BM5=DistCalc!$C$4,DistCalc!$D13,'New Formula with HB25-1320'!BM13)</f>
        <v>0</v>
      </c>
      <c r="BN13" s="25">
        <f>IF(BN5=DistCalc!$C$4,DistCalc!$D13,'New Formula with HB25-1320'!BN13)</f>
        <v>12</v>
      </c>
      <c r="BO13" s="25">
        <f>IF(BO5=DistCalc!$C$4,DistCalc!$D13,'New Formula with HB25-1320'!BO13)</f>
        <v>0</v>
      </c>
      <c r="BP13" s="25">
        <f>IF(BP5=DistCalc!$C$4,DistCalc!$D13,'New Formula with HB25-1320'!BP13)</f>
        <v>0</v>
      </c>
      <c r="BQ13" s="25">
        <f>IF(BQ5=DistCalc!$C$4,DistCalc!$D13,'New Formula with HB25-1320'!BQ13)</f>
        <v>0.5</v>
      </c>
      <c r="BR13" s="25">
        <f>IF(BR5=DistCalc!$C$4,DistCalc!$D13,'New Formula with HB25-1320'!BR13)</f>
        <v>0</v>
      </c>
      <c r="BS13" s="25">
        <f>IF(BS5=DistCalc!$C$4,DistCalc!$D13,'New Formula with HB25-1320'!BS13)</f>
        <v>0</v>
      </c>
      <c r="BT13" s="25">
        <f>IF(BT5=DistCalc!$C$4,DistCalc!$D13,'New Formula with HB25-1320'!BT13)</f>
        <v>0</v>
      </c>
      <c r="BU13" s="25">
        <f>IF(BU5=DistCalc!$C$4,DistCalc!$D13,'New Formula with HB25-1320'!BU13)</f>
        <v>0</v>
      </c>
      <c r="BV13" s="25">
        <f>IF(BV5=DistCalc!$C$4,DistCalc!$D13,'New Formula with HB25-1320'!BV13)</f>
        <v>0</v>
      </c>
      <c r="BW13" s="25">
        <f>IF(BW5=DistCalc!$C$4,DistCalc!$D13,'New Formula with HB25-1320'!BW13)</f>
        <v>0</v>
      </c>
      <c r="BX13" s="25">
        <f>IF(BX5=DistCalc!$C$4,DistCalc!$D13,'New Formula with HB25-1320'!BX13)</f>
        <v>0</v>
      </c>
      <c r="BY13" s="25">
        <f>IF(BY5=DistCalc!$C$4,DistCalc!$D13,'New Formula with HB25-1320'!BY13)</f>
        <v>0</v>
      </c>
      <c r="BZ13" s="25">
        <f>IF(BZ5=DistCalc!$C$4,DistCalc!$D13,'New Formula with HB25-1320'!BZ13)</f>
        <v>0</v>
      </c>
      <c r="CA13" s="25">
        <f>IF(CA5=DistCalc!$C$4,DistCalc!$D13,'New Formula with HB25-1320'!CA13)</f>
        <v>0</v>
      </c>
      <c r="CB13" s="25">
        <f>IF(CB5=DistCalc!$C$4,DistCalc!$D13,'New Formula with HB25-1320'!CB13)</f>
        <v>17</v>
      </c>
      <c r="CC13" s="25">
        <f>IF(CC5=DistCalc!$C$4,DistCalc!$D13,'New Formula with HB25-1320'!CC13)</f>
        <v>0</v>
      </c>
      <c r="CD13" s="25">
        <f>IF(CD5=DistCalc!$C$4,DistCalc!$D13,'New Formula with HB25-1320'!CD13)</f>
        <v>0</v>
      </c>
      <c r="CE13" s="25">
        <f>IF(CE5=DistCalc!$C$4,DistCalc!$D13,'New Formula with HB25-1320'!CE13)</f>
        <v>0</v>
      </c>
      <c r="CF13" s="25">
        <f>IF(CF5=DistCalc!$C$4,DistCalc!$D13,'New Formula with HB25-1320'!CF13)</f>
        <v>0</v>
      </c>
      <c r="CG13" s="25">
        <f>IF(CG5=DistCalc!$C$4,DistCalc!$D13,'New Formula with HB25-1320'!CG13)</f>
        <v>0</v>
      </c>
      <c r="CH13" s="25">
        <f>IF(CH5=DistCalc!$C$4,DistCalc!$D13,'New Formula with HB25-1320'!CH13)</f>
        <v>0</v>
      </c>
      <c r="CI13" s="25">
        <f>IF(CI5=DistCalc!$C$4,DistCalc!$D13,'New Formula with HB25-1320'!CI13)</f>
        <v>0</v>
      </c>
      <c r="CJ13" s="25">
        <f>IF(CJ5=DistCalc!$C$4,DistCalc!$D13,'New Formula with HB25-1320'!CJ13)</f>
        <v>0</v>
      </c>
      <c r="CK13" s="25">
        <f>IF(CK5=DistCalc!$C$4,DistCalc!$D13,'New Formula with HB25-1320'!CK13)</f>
        <v>0</v>
      </c>
      <c r="CL13" s="25">
        <f>IF(CL5=DistCalc!$C$4,DistCalc!$D13,'New Formula with HB25-1320'!CL13)</f>
        <v>0</v>
      </c>
      <c r="CM13" s="25">
        <f>IF(CM5=DistCalc!$C$4,DistCalc!$D13,'New Formula with HB25-1320'!CM13)</f>
        <v>0</v>
      </c>
      <c r="CN13" s="25">
        <f>IF(CN5=DistCalc!$C$4,DistCalc!$D13,'New Formula with HB25-1320'!CN13)</f>
        <v>25.5</v>
      </c>
      <c r="CO13" s="25">
        <f>IF(CO5=DistCalc!$C$4,DistCalc!$D13,'New Formula with HB25-1320'!CO13)</f>
        <v>1</v>
      </c>
      <c r="CP13" s="25">
        <f>IF(CP5=DistCalc!$C$4,DistCalc!$D13,'New Formula with HB25-1320'!CP13)</f>
        <v>2</v>
      </c>
      <c r="CQ13" s="25">
        <f>IF(CQ5=DistCalc!$C$4,DistCalc!$D13,'New Formula with HB25-1320'!CQ13)</f>
        <v>0</v>
      </c>
      <c r="CR13" s="25">
        <f>IF(CR5=DistCalc!$C$4,DistCalc!$D13,'New Formula with HB25-1320'!CR13)</f>
        <v>0</v>
      </c>
      <c r="CS13" s="25">
        <f>IF(CS5=DistCalc!$C$4,DistCalc!$D13,'New Formula with HB25-1320'!CS13)</f>
        <v>0</v>
      </c>
      <c r="CT13" s="25">
        <f>IF(CT5=DistCalc!$C$4,DistCalc!$D13,'New Formula with HB25-1320'!CT13)</f>
        <v>0</v>
      </c>
      <c r="CU13" s="25">
        <f>IF(CU5=DistCalc!$C$4,DistCalc!$D13,'New Formula with HB25-1320'!CU13)</f>
        <v>0</v>
      </c>
      <c r="CV13" s="25">
        <f>IF(CV5=DistCalc!$C$4,DistCalc!$D13,'New Formula with HB25-1320'!CV13)</f>
        <v>0</v>
      </c>
      <c r="CW13" s="25">
        <f>IF(CW5=DistCalc!$C$4,DistCalc!$D13,'New Formula with HB25-1320'!CW13)</f>
        <v>0</v>
      </c>
      <c r="CX13" s="25">
        <f>IF(CX5=DistCalc!$C$4,DistCalc!$D13,'New Formula with HB25-1320'!CX13)</f>
        <v>0</v>
      </c>
      <c r="CY13" s="25">
        <f>IF(CY5=DistCalc!$C$4,DistCalc!$D13,'New Formula with HB25-1320'!CY13)</f>
        <v>0</v>
      </c>
      <c r="CZ13" s="25">
        <f>IF(CZ5=DistCalc!$C$4,DistCalc!$D13,'New Formula with HB25-1320'!CZ13)</f>
        <v>0</v>
      </c>
      <c r="DA13" s="25">
        <f>IF(DA5=DistCalc!$C$4,DistCalc!$D13,'New Formula with HB25-1320'!DA13)</f>
        <v>0</v>
      </c>
      <c r="DB13" s="25">
        <f>IF(DB5=DistCalc!$C$4,DistCalc!$D13,'New Formula with HB25-1320'!DB13)</f>
        <v>0</v>
      </c>
      <c r="DC13" s="25">
        <f>IF(DC5=DistCalc!$C$4,DistCalc!$D13,'New Formula with HB25-1320'!DC13)</f>
        <v>0</v>
      </c>
      <c r="DD13" s="25">
        <f>IF(DD5=DistCalc!$C$4,DistCalc!$D13,'New Formula with HB25-1320'!DD13)</f>
        <v>0</v>
      </c>
      <c r="DE13" s="25">
        <f>IF(DE5=DistCalc!$C$4,DistCalc!$D13,'New Formula with HB25-1320'!DE13)</f>
        <v>0</v>
      </c>
      <c r="DF13" s="25">
        <f>IF(DF5=DistCalc!$C$4,DistCalc!$D13,'New Formula with HB25-1320'!DF13)</f>
        <v>26</v>
      </c>
      <c r="DG13" s="25">
        <f>IF(DG5=DistCalc!$C$4,DistCalc!$D13,'New Formula with HB25-1320'!DG13)</f>
        <v>0</v>
      </c>
      <c r="DH13" s="25">
        <f>IF(DH5=DistCalc!$C$4,DistCalc!$D13,'New Formula with HB25-1320'!DH13)</f>
        <v>0</v>
      </c>
      <c r="DI13" s="25">
        <f>IF(DI5=DistCalc!$C$4,DistCalc!$D13,'New Formula with HB25-1320'!DI13)</f>
        <v>0</v>
      </c>
      <c r="DJ13" s="25">
        <f>IF(DJ5=DistCalc!$C$4,DistCalc!$D13,'New Formula with HB25-1320'!DJ13)</f>
        <v>0</v>
      </c>
      <c r="DK13" s="25">
        <f>IF(DK5=DistCalc!$C$4,DistCalc!$D13,'New Formula with HB25-1320'!DK13)</f>
        <v>0</v>
      </c>
      <c r="DL13" s="25">
        <f>IF(DL5=DistCalc!$C$4,DistCalc!$D13,'New Formula with HB25-1320'!DL13)</f>
        <v>0</v>
      </c>
      <c r="DM13" s="25">
        <f>IF(DM5=DistCalc!$C$4,DistCalc!$D13,'New Formula with HB25-1320'!DM13)</f>
        <v>0</v>
      </c>
      <c r="DN13" s="25">
        <f>IF(DN5=DistCalc!$C$4,DistCalc!$D13,'New Formula with HB25-1320'!DN13)</f>
        <v>0.5</v>
      </c>
      <c r="DO13" s="25">
        <f>IF(DO5=DistCalc!$C$4,DistCalc!$D13,'New Formula with HB25-1320'!DO13)</f>
        <v>0</v>
      </c>
      <c r="DP13" s="25">
        <f>IF(DP5=DistCalc!$C$4,DistCalc!$D13,'New Formula with HB25-1320'!DP13)</f>
        <v>0</v>
      </c>
      <c r="DQ13" s="25">
        <f>IF(DQ5=DistCalc!$C$4,DistCalc!$D13,'New Formula with HB25-1320'!DQ13)</f>
        <v>0</v>
      </c>
      <c r="DR13" s="25">
        <f>IF(DR5=DistCalc!$C$4,DistCalc!$D13,'New Formula with HB25-1320'!DR13)</f>
        <v>0</v>
      </c>
      <c r="DS13" s="25">
        <f>IF(DS5=DistCalc!$C$4,DistCalc!$D13,'New Formula with HB25-1320'!DS13)</f>
        <v>0</v>
      </c>
      <c r="DT13" s="25">
        <f>IF(DT5=DistCalc!$C$4,DistCalc!$D13,'New Formula with HB25-1320'!DT13)</f>
        <v>0</v>
      </c>
      <c r="DU13" s="25">
        <f>IF(DU5=DistCalc!$C$4,DistCalc!$D13,'New Formula with HB25-1320'!DU13)</f>
        <v>0</v>
      </c>
      <c r="DV13" s="25">
        <f>IF(DV5=DistCalc!$C$4,DistCalc!$D13,'New Formula with HB25-1320'!DV13)</f>
        <v>0</v>
      </c>
      <c r="DW13" s="25">
        <f>IF(DW5=DistCalc!$C$4,DistCalc!$D13,'New Formula with HB25-1320'!DW13)</f>
        <v>0</v>
      </c>
      <c r="DX13" s="25">
        <f>IF(DX5=DistCalc!$C$4,DistCalc!$D13,'New Formula with HB25-1320'!DX13)</f>
        <v>0</v>
      </c>
      <c r="DY13" s="25">
        <f>IF(DY5=DistCalc!$C$4,DistCalc!$D13,'New Formula with HB25-1320'!DY13)</f>
        <v>0</v>
      </c>
      <c r="DZ13" s="25">
        <f>IF(DZ5=DistCalc!$C$4,DistCalc!$D13,'New Formula with HB25-1320'!DZ13)</f>
        <v>0</v>
      </c>
      <c r="EA13" s="25">
        <f>IF(EA5=DistCalc!$C$4,DistCalc!$D13,'New Formula with HB25-1320'!EA13)</f>
        <v>0</v>
      </c>
      <c r="EB13" s="25">
        <f>IF(EB5=DistCalc!$C$4,DistCalc!$D13,'New Formula with HB25-1320'!EB13)</f>
        <v>0</v>
      </c>
      <c r="EC13" s="25">
        <f>IF(EC5=DistCalc!$C$4,DistCalc!$D13,'New Formula with HB25-1320'!EC13)</f>
        <v>0</v>
      </c>
      <c r="ED13" s="25">
        <f>IF(ED5=DistCalc!$C$4,DistCalc!$D13,'New Formula with HB25-1320'!ED13)</f>
        <v>0</v>
      </c>
      <c r="EE13" s="25">
        <f>IF(EE5=DistCalc!$C$4,DistCalc!$D13,'New Formula with HB25-1320'!EE13)</f>
        <v>0</v>
      </c>
      <c r="EF13" s="25">
        <f>IF(EF5=DistCalc!$C$4,DistCalc!$D13,'New Formula with HB25-1320'!EF13)</f>
        <v>0</v>
      </c>
      <c r="EG13" s="25">
        <f>IF(EG5=DistCalc!$C$4,DistCalc!$D13,'New Formula with HB25-1320'!EG13)</f>
        <v>0</v>
      </c>
      <c r="EH13" s="25">
        <f>IF(EH5=DistCalc!$C$4,DistCalc!$D13,'New Formula with HB25-1320'!EH13)</f>
        <v>0</v>
      </c>
      <c r="EI13" s="25">
        <f>IF(EI5=DistCalc!$C$4,DistCalc!$D13,'New Formula with HB25-1320'!EI13)</f>
        <v>0</v>
      </c>
      <c r="EJ13" s="25">
        <f>IF(EJ5=DistCalc!$C$4,DistCalc!$D13,'New Formula with HB25-1320'!EJ13)</f>
        <v>2</v>
      </c>
      <c r="EK13" s="25">
        <f>IF(EK5=DistCalc!$C$4,DistCalc!$D13,'New Formula with HB25-1320'!EK13)</f>
        <v>0</v>
      </c>
      <c r="EL13" s="25">
        <f>IF(EL5=DistCalc!$C$4,DistCalc!$D13,'New Formula with HB25-1320'!EL13)</f>
        <v>0</v>
      </c>
      <c r="EM13" s="25">
        <f>IF(EM5=DistCalc!$C$4,DistCalc!$D13,'New Formula with HB25-1320'!EM13)</f>
        <v>0</v>
      </c>
      <c r="EN13" s="25">
        <f>IF(EN5=DistCalc!$C$4,DistCalc!$D13,'New Formula with HB25-1320'!EN13)</f>
        <v>0</v>
      </c>
      <c r="EO13" s="25">
        <f>IF(EO5=DistCalc!$C$4,DistCalc!$D13,'New Formula with HB25-1320'!EO13)</f>
        <v>0</v>
      </c>
      <c r="EP13" s="25">
        <f>IF(EP5=DistCalc!$C$4,DistCalc!$D13,'New Formula with HB25-1320'!EP13)</f>
        <v>0</v>
      </c>
      <c r="EQ13" s="25">
        <f>IF(EQ5=DistCalc!$C$4,DistCalc!$D13,'New Formula with HB25-1320'!EQ13)</f>
        <v>0</v>
      </c>
      <c r="ER13" s="25">
        <f>IF(ER5=DistCalc!$C$4,DistCalc!$D13,'New Formula with HB25-1320'!ER13)</f>
        <v>0</v>
      </c>
      <c r="ES13" s="25">
        <f>IF(ES5=DistCalc!$C$4,DistCalc!$D13,'New Formula with HB25-1320'!ES13)</f>
        <v>0</v>
      </c>
      <c r="ET13" s="25">
        <f>IF(ET5=DistCalc!$C$4,DistCalc!$D13,'New Formula with HB25-1320'!ET13)</f>
        <v>0</v>
      </c>
      <c r="EU13" s="25">
        <f>IF(EU5=DistCalc!$C$4,DistCalc!$D13,'New Formula with HB25-1320'!EU13)</f>
        <v>0</v>
      </c>
      <c r="EV13" s="25">
        <f>IF(EV5=DistCalc!$C$4,DistCalc!$D13,'New Formula with HB25-1320'!EV13)</f>
        <v>0</v>
      </c>
      <c r="EW13" s="25">
        <f>IF(EW5=DistCalc!$C$4,DistCalc!$D13,'New Formula with HB25-1320'!EW13)</f>
        <v>0</v>
      </c>
      <c r="EX13" s="25">
        <f>IF(EX5=DistCalc!$C$4,DistCalc!$D13,'New Formula with HB25-1320'!EX13)</f>
        <v>0</v>
      </c>
      <c r="EY13" s="25">
        <f>IF(EY5=DistCalc!$C$4,DistCalc!$D13,'New Formula with HB25-1320'!EY13)</f>
        <v>0</v>
      </c>
      <c r="EZ13" s="25">
        <f>IF(EZ5=DistCalc!$C$4,DistCalc!$D13,'New Formula with HB25-1320'!EZ13)</f>
        <v>0</v>
      </c>
      <c r="FA13" s="25">
        <f>IF(FA5=DistCalc!$C$4,DistCalc!$D13,'New Formula with HB25-1320'!FA13)</f>
        <v>0</v>
      </c>
      <c r="FB13" s="25">
        <f>IF(FB5=DistCalc!$C$4,DistCalc!$D13,'New Formula with HB25-1320'!FB13)</f>
        <v>0</v>
      </c>
      <c r="FC13" s="25">
        <f>IF(FC5=DistCalc!$C$4,DistCalc!$D13,'New Formula with HB25-1320'!FC13)</f>
        <v>0</v>
      </c>
      <c r="FD13" s="25">
        <f>IF(FD5=DistCalc!$C$4,DistCalc!$D13,'New Formula with HB25-1320'!FD13)</f>
        <v>0</v>
      </c>
      <c r="FE13" s="25">
        <f>IF(FE5=DistCalc!$C$4,DistCalc!$D13,'New Formula with HB25-1320'!FE13)</f>
        <v>0</v>
      </c>
      <c r="FF13" s="25">
        <f>IF(FF5=DistCalc!$C$4,DistCalc!$D13,'New Formula with HB25-1320'!FF13)</f>
        <v>0</v>
      </c>
      <c r="FG13" s="25">
        <f>IF(FG5=DistCalc!$C$4,DistCalc!$D13,'New Formula with HB25-1320'!FG13)</f>
        <v>0</v>
      </c>
      <c r="FH13" s="25">
        <f>IF(FH5=DistCalc!$C$4,DistCalc!$D13,'New Formula with HB25-1320'!FH13)</f>
        <v>0</v>
      </c>
      <c r="FI13" s="25">
        <f>IF(FI5=DistCalc!$C$4,DistCalc!$D13,'New Formula with HB25-1320'!FI13)</f>
        <v>0</v>
      </c>
      <c r="FJ13" s="25">
        <f>IF(FJ5=DistCalc!$C$4,DistCalc!$D13,'New Formula with HB25-1320'!FJ13)</f>
        <v>0</v>
      </c>
      <c r="FK13" s="25">
        <f>IF(FK5=DistCalc!$C$4,DistCalc!$D13,'New Formula with HB25-1320'!FK13)</f>
        <v>0</v>
      </c>
      <c r="FL13" s="25">
        <f>IF(FL5=DistCalc!$C$4,DistCalc!$D13,'New Formula with HB25-1320'!FL13)</f>
        <v>0</v>
      </c>
      <c r="FM13" s="25">
        <f>IF(FM5=DistCalc!$C$4,DistCalc!$D13,'New Formula with HB25-1320'!FM13)</f>
        <v>0</v>
      </c>
      <c r="FN13" s="25">
        <f>IF(FN5=DistCalc!$C$4,DistCalc!$D13,'New Formula with HB25-1320'!FN13)</f>
        <v>13</v>
      </c>
      <c r="FO13" s="25">
        <f>IF(FO5=DistCalc!$C$4,DistCalc!$D13,'New Formula with HB25-1320'!FO13)</f>
        <v>2</v>
      </c>
      <c r="FP13" s="25">
        <f>IF(FP5=DistCalc!$C$4,DistCalc!$D13,'New Formula with HB25-1320'!FP13)</f>
        <v>0</v>
      </c>
      <c r="FQ13" s="25">
        <f>IF(FQ5=DistCalc!$C$4,DistCalc!$D13,'New Formula with HB25-1320'!FQ13)</f>
        <v>0</v>
      </c>
      <c r="FR13" s="25">
        <f>IF(FR5=DistCalc!$C$4,DistCalc!$D13,'New Formula with HB25-1320'!FR13)</f>
        <v>0</v>
      </c>
      <c r="FS13" s="25">
        <f>IF(FS5=DistCalc!$C$4,DistCalc!$D13,'New Formula with HB25-1320'!FS13)</f>
        <v>0</v>
      </c>
      <c r="FT13" s="25" t="e">
        <f ca="1">IF(FT5=DistCalc!$C$4,DistCalc!$D13,'New Formula with HB25-1320'!FT13)</f>
        <v>#NAME?</v>
      </c>
      <c r="FU13" s="25">
        <f>IF(FU5=DistCalc!$C$4,DistCalc!$D13,'New Formula with HB25-1320'!FU13)</f>
        <v>0</v>
      </c>
      <c r="FV13" s="25">
        <f>IF(FV5=DistCalc!$C$4,DistCalc!$D13,'New Formula with HB25-1320'!FV13)</f>
        <v>0</v>
      </c>
      <c r="FW13" s="25">
        <f>IF(FW5=DistCalc!$C$4,DistCalc!$D13,'New Formula with HB25-1320'!FW13)</f>
        <v>0</v>
      </c>
      <c r="FX13" s="25">
        <f>IF(FX5=DistCalc!$C$4,DistCalc!$D13,'New Formula with HB25-1320'!FX13)</f>
        <v>0</v>
      </c>
      <c r="FY13" s="29"/>
      <c r="FZ13" s="23" t="e">
        <f t="shared" ca="1" si="0"/>
        <v>#NAME?</v>
      </c>
      <c r="GA13" s="23"/>
      <c r="GB13" s="23"/>
      <c r="GC13" s="23"/>
      <c r="GD13" s="23"/>
      <c r="GE13" s="7"/>
      <c r="GF13" s="7"/>
      <c r="GG13" s="7"/>
      <c r="GH13" s="7"/>
      <c r="GI13" s="7"/>
      <c r="GJ13" s="7"/>
      <c r="GK13" s="7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</row>
    <row r="14" spans="1:207" ht="15" customHeight="1" x14ac:dyDescent="0.35">
      <c r="A14" s="12" t="s">
        <v>750</v>
      </c>
      <c r="B14" s="7" t="s">
        <v>460</v>
      </c>
      <c r="C14" s="24">
        <f>IF(C5=DistCalc!$C$4,DistCalc!$D14,'New Formula with HB25-1320'!C14)</f>
        <v>0</v>
      </c>
      <c r="D14" s="25">
        <f>IF(D5=DistCalc!$C$4,DistCalc!$D14,'New Formula with HB25-1320'!D14)</f>
        <v>1.5</v>
      </c>
      <c r="E14" s="25">
        <f>IF(E5=DistCalc!$C$4,DistCalc!$D14,'New Formula with HB25-1320'!E14)</f>
        <v>0</v>
      </c>
      <c r="F14" s="25">
        <f>IF(F5=DistCalc!$C$4,DistCalc!$D14,'New Formula with HB25-1320'!F14)</f>
        <v>2</v>
      </c>
      <c r="G14" s="25">
        <f>IF(G5=DistCalc!$C$4,DistCalc!$D14,'New Formula with HB25-1320'!G14)</f>
        <v>0</v>
      </c>
      <c r="H14" s="25">
        <f>IF(H5=DistCalc!$C$4,DistCalc!$D14,'New Formula with HB25-1320'!H14)</f>
        <v>0</v>
      </c>
      <c r="I14" s="25">
        <f>IF(I5=DistCalc!$C$4,DistCalc!$D14,'New Formula with HB25-1320'!I14)</f>
        <v>1</v>
      </c>
      <c r="J14" s="25">
        <f>IF(J5=DistCalc!$C$4,DistCalc!$D14,'New Formula with HB25-1320'!J14)</f>
        <v>0</v>
      </c>
      <c r="K14" s="25">
        <f>IF(K5=DistCalc!$C$4,DistCalc!$D14,'New Formula with HB25-1320'!K14)</f>
        <v>0</v>
      </c>
      <c r="L14" s="25">
        <f>IF(L5=DistCalc!$C$4,DistCalc!$D14,'New Formula with HB25-1320'!L14)</f>
        <v>0</v>
      </c>
      <c r="M14" s="25">
        <f>IF(M5=DistCalc!$C$4,DistCalc!$D14,'New Formula with HB25-1320'!M14)</f>
        <v>0</v>
      </c>
      <c r="N14" s="25">
        <f>IF(N5=DistCalc!$C$4,DistCalc!$D14,'New Formula with HB25-1320'!N14)</f>
        <v>5</v>
      </c>
      <c r="O14" s="25">
        <f>IF(O5=DistCalc!$C$4,DistCalc!$D14,'New Formula with HB25-1320'!O14)</f>
        <v>2</v>
      </c>
      <c r="P14" s="25">
        <f>IF(P5=DistCalc!$C$4,DistCalc!$D14,'New Formula with HB25-1320'!P14)</f>
        <v>0</v>
      </c>
      <c r="Q14" s="25">
        <f>IF(Q5=DistCalc!$C$4,DistCalc!$D14,'New Formula with HB25-1320'!Q14)</f>
        <v>5.5</v>
      </c>
      <c r="R14" s="25">
        <f>IF(R5=DistCalc!$C$4,DistCalc!$D14,'New Formula with HB25-1320'!R14)</f>
        <v>0</v>
      </c>
      <c r="S14" s="25">
        <f>IF(S5=DistCalc!$C$4,DistCalc!$D14,'New Formula with HB25-1320'!S14)</f>
        <v>0</v>
      </c>
      <c r="T14" s="25">
        <f>IF(T5=DistCalc!$C$4,DistCalc!$D14,'New Formula with HB25-1320'!T14)</f>
        <v>0</v>
      </c>
      <c r="U14" s="25">
        <f>IF(U5=DistCalc!$C$4,DistCalc!$D14,'New Formula with HB25-1320'!U14)</f>
        <v>0</v>
      </c>
      <c r="V14" s="25">
        <f>IF(V5=DistCalc!$C$4,DistCalc!$D14,'New Formula with HB25-1320'!V14)</f>
        <v>0</v>
      </c>
      <c r="W14" s="25">
        <f>IF(W5=DistCalc!$C$4,DistCalc!$D14,'New Formula with HB25-1320'!W14)</f>
        <v>0</v>
      </c>
      <c r="X14" s="25">
        <f>IF(X5=DistCalc!$C$4,DistCalc!$D14,'New Formula with HB25-1320'!X14)</f>
        <v>0</v>
      </c>
      <c r="Y14" s="25">
        <f>IF(Y5=DistCalc!$C$4,DistCalc!$D14,'New Formula with HB25-1320'!Y14)</f>
        <v>0</v>
      </c>
      <c r="Z14" s="25">
        <f>IF(Z5=DistCalc!$C$4,DistCalc!$D14,'New Formula with HB25-1320'!Z14)</f>
        <v>0</v>
      </c>
      <c r="AA14" s="25">
        <f>IF(AA5=DistCalc!$C$4,DistCalc!$D14,'New Formula with HB25-1320'!AA14)</f>
        <v>3.5</v>
      </c>
      <c r="AB14" s="25">
        <f>IF(AB5=DistCalc!$C$4,DistCalc!$D14,'New Formula with HB25-1320'!AB14)</f>
        <v>1</v>
      </c>
      <c r="AC14" s="25">
        <f>IF(AC5=DistCalc!$C$4,DistCalc!$D14,'New Formula with HB25-1320'!AC14)</f>
        <v>0</v>
      </c>
      <c r="AD14" s="25">
        <f>IF(AD5=DistCalc!$C$4,DistCalc!$D14,'New Formula with HB25-1320'!AD14)</f>
        <v>0</v>
      </c>
      <c r="AE14" s="25">
        <f>IF(AE5=DistCalc!$C$4,DistCalc!$D14,'New Formula with HB25-1320'!AE14)</f>
        <v>0</v>
      </c>
      <c r="AF14" s="25">
        <f>IF(AF5=DistCalc!$C$4,DistCalc!$D14,'New Formula with HB25-1320'!AF14)</f>
        <v>0</v>
      </c>
      <c r="AG14" s="25">
        <f>IF(AG5=DistCalc!$C$4,DistCalc!$D14,'New Formula with HB25-1320'!AG14)</f>
        <v>0</v>
      </c>
      <c r="AH14" s="25">
        <f>IF(AH5=DistCalc!$C$4,DistCalc!$D14,'New Formula with HB25-1320'!AH14)</f>
        <v>0</v>
      </c>
      <c r="AI14" s="25">
        <f>IF(AI5=DistCalc!$C$4,DistCalc!$D14,'New Formula with HB25-1320'!AI14)</f>
        <v>0</v>
      </c>
      <c r="AJ14" s="25">
        <f>IF(AJ5=DistCalc!$C$4,DistCalc!$D14,'New Formula with HB25-1320'!AJ14)</f>
        <v>0</v>
      </c>
      <c r="AK14" s="25">
        <f>IF(AK5=DistCalc!$C$4,DistCalc!$D14,'New Formula with HB25-1320'!AK14)</f>
        <v>0</v>
      </c>
      <c r="AL14" s="25">
        <f>IF(AL5=DistCalc!$C$4,DistCalc!$D14,'New Formula with HB25-1320'!AL14)</f>
        <v>0</v>
      </c>
      <c r="AM14" s="25">
        <f>IF(AM5=DistCalc!$C$4,DistCalc!$D14,'New Formula with HB25-1320'!AM14)</f>
        <v>0</v>
      </c>
      <c r="AN14" s="25">
        <f>IF(AN5=DistCalc!$C$4,DistCalc!$D14,'New Formula with HB25-1320'!AN14)</f>
        <v>0</v>
      </c>
      <c r="AO14" s="25">
        <f>IF(AO5=DistCalc!$C$4,DistCalc!$D14,'New Formula with HB25-1320'!AO14)</f>
        <v>0</v>
      </c>
      <c r="AP14" s="25">
        <f>IF(AP5=DistCalc!$C$4,DistCalc!$D14,'New Formula with HB25-1320'!AP14)</f>
        <v>7</v>
      </c>
      <c r="AQ14" s="25">
        <f>IF(AQ5=DistCalc!$C$4,DistCalc!$D14,'New Formula with HB25-1320'!AQ14)</f>
        <v>0.5</v>
      </c>
      <c r="AR14" s="25">
        <f>IF(AR5=DistCalc!$C$4,DistCalc!$D14,'New Formula with HB25-1320'!AR14)</f>
        <v>2</v>
      </c>
      <c r="AS14" s="25">
        <f>IF(AS5=DistCalc!$C$4,DistCalc!$D14,'New Formula with HB25-1320'!AS14)</f>
        <v>0</v>
      </c>
      <c r="AT14" s="25">
        <f>IF(AT5=DistCalc!$C$4,DistCalc!$D14,'New Formula with HB25-1320'!AT14)</f>
        <v>1</v>
      </c>
      <c r="AU14" s="25">
        <f>IF(AU5=DistCalc!$C$4,DistCalc!$D14,'New Formula with HB25-1320'!AU14)</f>
        <v>0</v>
      </c>
      <c r="AV14" s="25">
        <f>IF(AV5=DistCalc!$C$4,DistCalc!$D14,'New Formula with HB25-1320'!AV14)</f>
        <v>0</v>
      </c>
      <c r="AW14" s="25">
        <f>IF(AW5=DistCalc!$C$4,DistCalc!$D14,'New Formula with HB25-1320'!AW14)</f>
        <v>0</v>
      </c>
      <c r="AX14" s="25">
        <f>IF(AX5=DistCalc!$C$4,DistCalc!$D14,'New Formula with HB25-1320'!AX14)</f>
        <v>0</v>
      </c>
      <c r="AY14" s="25">
        <f>IF(AY5=DistCalc!$C$4,DistCalc!$D14,'New Formula with HB25-1320'!AY14)</f>
        <v>0</v>
      </c>
      <c r="AZ14" s="25">
        <f>IF(AZ5=DistCalc!$C$4,DistCalc!$D14,'New Formula with HB25-1320'!AZ14)</f>
        <v>0</v>
      </c>
      <c r="BA14" s="25">
        <f>IF(BA5=DistCalc!$C$4,DistCalc!$D14,'New Formula with HB25-1320'!BA14)</f>
        <v>0</v>
      </c>
      <c r="BB14" s="25">
        <f>IF(BB5=DistCalc!$C$4,DistCalc!$D14,'New Formula with HB25-1320'!BB14)</f>
        <v>0</v>
      </c>
      <c r="BC14" s="25">
        <f>IF(BC5=DistCalc!$C$4,DistCalc!$D14,'New Formula with HB25-1320'!BC14)</f>
        <v>4</v>
      </c>
      <c r="BD14" s="25">
        <f>IF(BD5=DistCalc!$C$4,DistCalc!$D14,'New Formula with HB25-1320'!BD14)</f>
        <v>0</v>
      </c>
      <c r="BE14" s="25">
        <f>IF(BE5=DistCalc!$C$4,DistCalc!$D14,'New Formula with HB25-1320'!BE14)</f>
        <v>0</v>
      </c>
      <c r="BF14" s="25">
        <f>IF(BF5=DistCalc!$C$4,DistCalc!$D14,'New Formula with HB25-1320'!BF14)</f>
        <v>0</v>
      </c>
      <c r="BG14" s="25">
        <f>IF(BG5=DistCalc!$C$4,DistCalc!$D14,'New Formula with HB25-1320'!BG14)</f>
        <v>0</v>
      </c>
      <c r="BH14" s="25">
        <f>IF(BH5=DistCalc!$C$4,DistCalc!$D14,'New Formula with HB25-1320'!BH14)</f>
        <v>0</v>
      </c>
      <c r="BI14" s="25">
        <f>IF(BI5=DistCalc!$C$4,DistCalc!$D14,'New Formula with HB25-1320'!BI14)</f>
        <v>0</v>
      </c>
      <c r="BJ14" s="25">
        <f>IF(BJ5=DistCalc!$C$4,DistCalc!$D14,'New Formula with HB25-1320'!BJ14)</f>
        <v>0</v>
      </c>
      <c r="BK14" s="25">
        <f>IF(BK5=DistCalc!$C$4,DistCalc!$D14,'New Formula with HB25-1320'!BK14)</f>
        <v>2.5</v>
      </c>
      <c r="BL14" s="25">
        <f>IF(BL5=DistCalc!$C$4,DistCalc!$D14,'New Formula with HB25-1320'!BL14)</f>
        <v>1.5</v>
      </c>
      <c r="BM14" s="25">
        <f>IF(BM5=DistCalc!$C$4,DistCalc!$D14,'New Formula with HB25-1320'!BM14)</f>
        <v>0</v>
      </c>
      <c r="BN14" s="25">
        <f>IF(BN5=DistCalc!$C$4,DistCalc!$D14,'New Formula with HB25-1320'!BN14)</f>
        <v>3</v>
      </c>
      <c r="BO14" s="25">
        <f>IF(BO5=DistCalc!$C$4,DistCalc!$D14,'New Formula with HB25-1320'!BO14)</f>
        <v>0</v>
      </c>
      <c r="BP14" s="25">
        <f>IF(BP5=DistCalc!$C$4,DistCalc!$D14,'New Formula with HB25-1320'!BP14)</f>
        <v>0</v>
      </c>
      <c r="BQ14" s="25">
        <f>IF(BQ5=DistCalc!$C$4,DistCalc!$D14,'New Formula with HB25-1320'!BQ14)</f>
        <v>0.5</v>
      </c>
      <c r="BR14" s="25">
        <f>IF(BR5=DistCalc!$C$4,DistCalc!$D14,'New Formula with HB25-1320'!BR14)</f>
        <v>0</v>
      </c>
      <c r="BS14" s="25">
        <f>IF(BS5=DistCalc!$C$4,DistCalc!$D14,'New Formula with HB25-1320'!BS14)</f>
        <v>0</v>
      </c>
      <c r="BT14" s="25">
        <f>IF(BT5=DistCalc!$C$4,DistCalc!$D14,'New Formula with HB25-1320'!BT14)</f>
        <v>0</v>
      </c>
      <c r="BU14" s="25">
        <f>IF(BU5=DistCalc!$C$4,DistCalc!$D14,'New Formula with HB25-1320'!BU14)</f>
        <v>0</v>
      </c>
      <c r="BV14" s="25">
        <f>IF(BV5=DistCalc!$C$4,DistCalc!$D14,'New Formula with HB25-1320'!BV14)</f>
        <v>0</v>
      </c>
      <c r="BW14" s="25">
        <f>IF(BW5=DistCalc!$C$4,DistCalc!$D14,'New Formula with HB25-1320'!BW14)</f>
        <v>0</v>
      </c>
      <c r="BX14" s="25">
        <f>IF(BX5=DistCalc!$C$4,DistCalc!$D14,'New Formula with HB25-1320'!BX14)</f>
        <v>0</v>
      </c>
      <c r="BY14" s="25">
        <f>IF(BY5=DistCalc!$C$4,DistCalc!$D14,'New Formula with HB25-1320'!BY14)</f>
        <v>3</v>
      </c>
      <c r="BZ14" s="25">
        <f>IF(BZ5=DistCalc!$C$4,DistCalc!$D14,'New Formula with HB25-1320'!BZ14)</f>
        <v>0</v>
      </c>
      <c r="CA14" s="25">
        <f>IF(CA5=DistCalc!$C$4,DistCalc!$D14,'New Formula with HB25-1320'!CA14)</f>
        <v>0</v>
      </c>
      <c r="CB14" s="25">
        <f>IF(CB5=DistCalc!$C$4,DistCalc!$D14,'New Formula with HB25-1320'!CB14)</f>
        <v>1.5</v>
      </c>
      <c r="CC14" s="25">
        <f>IF(CC5=DistCalc!$C$4,DistCalc!$D14,'New Formula with HB25-1320'!CC14)</f>
        <v>0</v>
      </c>
      <c r="CD14" s="25">
        <f>IF(CD5=DistCalc!$C$4,DistCalc!$D14,'New Formula with HB25-1320'!CD14)</f>
        <v>0</v>
      </c>
      <c r="CE14" s="25">
        <f>IF(CE5=DistCalc!$C$4,DistCalc!$D14,'New Formula with HB25-1320'!CE14)</f>
        <v>0</v>
      </c>
      <c r="CF14" s="25">
        <f>IF(CF5=DistCalc!$C$4,DistCalc!$D14,'New Formula with HB25-1320'!CF14)</f>
        <v>0</v>
      </c>
      <c r="CG14" s="25">
        <f>IF(CG5=DistCalc!$C$4,DistCalc!$D14,'New Formula with HB25-1320'!CG14)</f>
        <v>0</v>
      </c>
      <c r="CH14" s="25">
        <f>IF(CH5=DistCalc!$C$4,DistCalc!$D14,'New Formula with HB25-1320'!CH14)</f>
        <v>0</v>
      </c>
      <c r="CI14" s="25">
        <f>IF(CI5=DistCalc!$C$4,DistCalc!$D14,'New Formula with HB25-1320'!CI14)</f>
        <v>0</v>
      </c>
      <c r="CJ14" s="25">
        <f>IF(CJ5=DistCalc!$C$4,DistCalc!$D14,'New Formula with HB25-1320'!CJ14)</f>
        <v>1</v>
      </c>
      <c r="CK14" s="25">
        <f>IF(CK5=DistCalc!$C$4,DistCalc!$D14,'New Formula with HB25-1320'!CK14)</f>
        <v>0</v>
      </c>
      <c r="CL14" s="25">
        <f>IF(CL5=DistCalc!$C$4,DistCalc!$D14,'New Formula with HB25-1320'!CL14)</f>
        <v>0</v>
      </c>
      <c r="CM14" s="25">
        <f>IF(CM5=DistCalc!$C$4,DistCalc!$D14,'New Formula with HB25-1320'!CM14)</f>
        <v>0</v>
      </c>
      <c r="CN14" s="25">
        <f>IF(CN5=DistCalc!$C$4,DistCalc!$D14,'New Formula with HB25-1320'!CN14)</f>
        <v>5</v>
      </c>
      <c r="CO14" s="25">
        <f>IF(CO5=DistCalc!$C$4,DistCalc!$D14,'New Formula with HB25-1320'!CO14)</f>
        <v>2</v>
      </c>
      <c r="CP14" s="25">
        <f>IF(CP5=DistCalc!$C$4,DistCalc!$D14,'New Formula with HB25-1320'!CP14)</f>
        <v>0</v>
      </c>
      <c r="CQ14" s="25">
        <f>IF(CQ5=DistCalc!$C$4,DistCalc!$D14,'New Formula with HB25-1320'!CQ14)</f>
        <v>0</v>
      </c>
      <c r="CR14" s="25">
        <f>IF(CR5=DistCalc!$C$4,DistCalc!$D14,'New Formula with HB25-1320'!CR14)</f>
        <v>0</v>
      </c>
      <c r="CS14" s="25">
        <f>IF(CS5=DistCalc!$C$4,DistCalc!$D14,'New Formula with HB25-1320'!CS14)</f>
        <v>0</v>
      </c>
      <c r="CT14" s="25">
        <f>IF(CT5=DistCalc!$C$4,DistCalc!$D14,'New Formula with HB25-1320'!CT14)</f>
        <v>0</v>
      </c>
      <c r="CU14" s="25">
        <f>IF(CU5=DistCalc!$C$4,DistCalc!$D14,'New Formula with HB25-1320'!CU14)</f>
        <v>0</v>
      </c>
      <c r="CV14" s="25">
        <f>IF(CV5=DistCalc!$C$4,DistCalc!$D14,'New Formula with HB25-1320'!CV14)</f>
        <v>0</v>
      </c>
      <c r="CW14" s="25">
        <f>IF(CW5=DistCalc!$C$4,DistCalc!$D14,'New Formula with HB25-1320'!CW14)</f>
        <v>0</v>
      </c>
      <c r="CX14" s="25">
        <f>IF(CX5=DistCalc!$C$4,DistCalc!$D14,'New Formula with HB25-1320'!CX14)</f>
        <v>0</v>
      </c>
      <c r="CY14" s="25">
        <f>IF(CY5=DistCalc!$C$4,DistCalc!$D14,'New Formula with HB25-1320'!CY14)</f>
        <v>0</v>
      </c>
      <c r="CZ14" s="25">
        <f>IF(CZ5=DistCalc!$C$4,DistCalc!$D14,'New Formula with HB25-1320'!CZ14)</f>
        <v>0</v>
      </c>
      <c r="DA14" s="25">
        <f>IF(DA5=DistCalc!$C$4,DistCalc!$D14,'New Formula with HB25-1320'!DA14)</f>
        <v>0</v>
      </c>
      <c r="DB14" s="25">
        <f>IF(DB5=DistCalc!$C$4,DistCalc!$D14,'New Formula with HB25-1320'!DB14)</f>
        <v>0</v>
      </c>
      <c r="DC14" s="25">
        <f>IF(DC5=DistCalc!$C$4,DistCalc!$D14,'New Formula with HB25-1320'!DC14)</f>
        <v>0</v>
      </c>
      <c r="DD14" s="25">
        <f>IF(DD5=DistCalc!$C$4,DistCalc!$D14,'New Formula with HB25-1320'!DD14)</f>
        <v>0</v>
      </c>
      <c r="DE14" s="25">
        <f>IF(DE5=DistCalc!$C$4,DistCalc!$D14,'New Formula with HB25-1320'!DE14)</f>
        <v>0</v>
      </c>
      <c r="DF14" s="25">
        <f>IF(DF5=DistCalc!$C$4,DistCalc!$D14,'New Formula with HB25-1320'!DF14)</f>
        <v>4</v>
      </c>
      <c r="DG14" s="25">
        <f>IF(DG5=DistCalc!$C$4,DistCalc!$D14,'New Formula with HB25-1320'!DG14)</f>
        <v>0</v>
      </c>
      <c r="DH14" s="25">
        <f>IF(DH5=DistCalc!$C$4,DistCalc!$D14,'New Formula with HB25-1320'!DH14)</f>
        <v>0</v>
      </c>
      <c r="DI14" s="25">
        <f>IF(DI5=DistCalc!$C$4,DistCalc!$D14,'New Formula with HB25-1320'!DI14)</f>
        <v>0</v>
      </c>
      <c r="DJ14" s="25">
        <f>IF(DJ5=DistCalc!$C$4,DistCalc!$D14,'New Formula with HB25-1320'!DJ14)</f>
        <v>0</v>
      </c>
      <c r="DK14" s="25">
        <f>IF(DK5=DistCalc!$C$4,DistCalc!$D14,'New Formula with HB25-1320'!DK14)</f>
        <v>0</v>
      </c>
      <c r="DL14" s="25">
        <f>IF(DL5=DistCalc!$C$4,DistCalc!$D14,'New Formula with HB25-1320'!DL14)</f>
        <v>0</v>
      </c>
      <c r="DM14" s="25">
        <f>IF(DM5=DistCalc!$C$4,DistCalc!$D14,'New Formula with HB25-1320'!DM14)</f>
        <v>0</v>
      </c>
      <c r="DN14" s="25">
        <f>IF(DN5=DistCalc!$C$4,DistCalc!$D14,'New Formula with HB25-1320'!DN14)</f>
        <v>0</v>
      </c>
      <c r="DO14" s="25">
        <f>IF(DO5=DistCalc!$C$4,DistCalc!$D14,'New Formula with HB25-1320'!DO14)</f>
        <v>1</v>
      </c>
      <c r="DP14" s="25">
        <f>IF(DP5=DistCalc!$C$4,DistCalc!$D14,'New Formula with HB25-1320'!DP14)</f>
        <v>0</v>
      </c>
      <c r="DQ14" s="25">
        <f>IF(DQ5=DistCalc!$C$4,DistCalc!$D14,'New Formula with HB25-1320'!DQ14)</f>
        <v>0</v>
      </c>
      <c r="DR14" s="25">
        <f>IF(DR5=DistCalc!$C$4,DistCalc!$D14,'New Formula with HB25-1320'!DR14)</f>
        <v>0</v>
      </c>
      <c r="DS14" s="25">
        <f>IF(DS5=DistCalc!$C$4,DistCalc!$D14,'New Formula with HB25-1320'!DS14)</f>
        <v>0</v>
      </c>
      <c r="DT14" s="25">
        <f>IF(DT5=DistCalc!$C$4,DistCalc!$D14,'New Formula with HB25-1320'!DT14)</f>
        <v>0</v>
      </c>
      <c r="DU14" s="25">
        <f>IF(DU5=DistCalc!$C$4,DistCalc!$D14,'New Formula with HB25-1320'!DU14)</f>
        <v>0</v>
      </c>
      <c r="DV14" s="25">
        <f>IF(DV5=DistCalc!$C$4,DistCalc!$D14,'New Formula with HB25-1320'!DV14)</f>
        <v>0</v>
      </c>
      <c r="DW14" s="25">
        <f>IF(DW5=DistCalc!$C$4,DistCalc!$D14,'New Formula with HB25-1320'!DW14)</f>
        <v>0</v>
      </c>
      <c r="DX14" s="25">
        <f>IF(DX5=DistCalc!$C$4,DistCalc!$D14,'New Formula with HB25-1320'!DX14)</f>
        <v>0</v>
      </c>
      <c r="DY14" s="25">
        <f>IF(DY5=DistCalc!$C$4,DistCalc!$D14,'New Formula with HB25-1320'!DY14)</f>
        <v>0</v>
      </c>
      <c r="DZ14" s="25">
        <f>IF(DZ5=DistCalc!$C$4,DistCalc!$D14,'New Formula with HB25-1320'!DZ14)</f>
        <v>0</v>
      </c>
      <c r="EA14" s="25">
        <f>IF(EA5=DistCalc!$C$4,DistCalc!$D14,'New Formula with HB25-1320'!EA14)</f>
        <v>0</v>
      </c>
      <c r="EB14" s="25">
        <f>IF(EB5=DistCalc!$C$4,DistCalc!$D14,'New Formula with HB25-1320'!EB14)</f>
        <v>0</v>
      </c>
      <c r="EC14" s="25">
        <f>IF(EC5=DistCalc!$C$4,DistCalc!$D14,'New Formula with HB25-1320'!EC14)</f>
        <v>0</v>
      </c>
      <c r="ED14" s="25">
        <f>IF(ED5=DistCalc!$C$4,DistCalc!$D14,'New Formula with HB25-1320'!ED14)</f>
        <v>0</v>
      </c>
      <c r="EE14" s="25">
        <f>IF(EE5=DistCalc!$C$4,DistCalc!$D14,'New Formula with HB25-1320'!EE14)</f>
        <v>0</v>
      </c>
      <c r="EF14" s="25">
        <f>IF(EF5=DistCalc!$C$4,DistCalc!$D14,'New Formula with HB25-1320'!EF14)</f>
        <v>0</v>
      </c>
      <c r="EG14" s="25">
        <f>IF(EG5=DistCalc!$C$4,DistCalc!$D14,'New Formula with HB25-1320'!EG14)</f>
        <v>0</v>
      </c>
      <c r="EH14" s="25">
        <f>IF(EH5=DistCalc!$C$4,DistCalc!$D14,'New Formula with HB25-1320'!EH14)</f>
        <v>0</v>
      </c>
      <c r="EI14" s="25">
        <f>IF(EI5=DistCalc!$C$4,DistCalc!$D14,'New Formula with HB25-1320'!EI14)</f>
        <v>1</v>
      </c>
      <c r="EJ14" s="25">
        <f>IF(EJ5=DistCalc!$C$4,DistCalc!$D14,'New Formula with HB25-1320'!EJ14)</f>
        <v>1</v>
      </c>
      <c r="EK14" s="25">
        <f>IF(EK5=DistCalc!$C$4,DistCalc!$D14,'New Formula with HB25-1320'!EK14)</f>
        <v>0</v>
      </c>
      <c r="EL14" s="25">
        <f>IF(EL5=DistCalc!$C$4,DistCalc!$D14,'New Formula with HB25-1320'!EL14)</f>
        <v>0</v>
      </c>
      <c r="EM14" s="25">
        <f>IF(EM5=DistCalc!$C$4,DistCalc!$D14,'New Formula with HB25-1320'!EM14)</f>
        <v>0</v>
      </c>
      <c r="EN14" s="25">
        <f>IF(EN5=DistCalc!$C$4,DistCalc!$D14,'New Formula with HB25-1320'!EN14)</f>
        <v>0</v>
      </c>
      <c r="EO14" s="25">
        <f>IF(EO5=DistCalc!$C$4,DistCalc!$D14,'New Formula with HB25-1320'!EO14)</f>
        <v>0</v>
      </c>
      <c r="EP14" s="25">
        <f>IF(EP5=DistCalc!$C$4,DistCalc!$D14,'New Formula with HB25-1320'!EP14)</f>
        <v>0</v>
      </c>
      <c r="EQ14" s="25">
        <f>IF(EQ5=DistCalc!$C$4,DistCalc!$D14,'New Formula with HB25-1320'!EQ14)</f>
        <v>0</v>
      </c>
      <c r="ER14" s="25">
        <f>IF(ER5=DistCalc!$C$4,DistCalc!$D14,'New Formula with HB25-1320'!ER14)</f>
        <v>0</v>
      </c>
      <c r="ES14" s="25">
        <f>IF(ES5=DistCalc!$C$4,DistCalc!$D14,'New Formula with HB25-1320'!ES14)</f>
        <v>0</v>
      </c>
      <c r="ET14" s="25">
        <f>IF(ET5=DistCalc!$C$4,DistCalc!$D14,'New Formula with HB25-1320'!ET14)</f>
        <v>0</v>
      </c>
      <c r="EU14" s="25">
        <f>IF(EU5=DistCalc!$C$4,DistCalc!$D14,'New Formula with HB25-1320'!EU14)</f>
        <v>0</v>
      </c>
      <c r="EV14" s="25">
        <f>IF(EV5=DistCalc!$C$4,DistCalc!$D14,'New Formula with HB25-1320'!EV14)</f>
        <v>0</v>
      </c>
      <c r="EW14" s="25">
        <f>IF(EW5=DistCalc!$C$4,DistCalc!$D14,'New Formula with HB25-1320'!EW14)</f>
        <v>0</v>
      </c>
      <c r="EX14" s="25">
        <f>IF(EX5=DistCalc!$C$4,DistCalc!$D14,'New Formula with HB25-1320'!EX14)</f>
        <v>0</v>
      </c>
      <c r="EY14" s="25">
        <f>IF(EY5=DistCalc!$C$4,DistCalc!$D14,'New Formula with HB25-1320'!EY14)</f>
        <v>0</v>
      </c>
      <c r="EZ14" s="25">
        <f>IF(EZ5=DistCalc!$C$4,DistCalc!$D14,'New Formula with HB25-1320'!EZ14)</f>
        <v>0</v>
      </c>
      <c r="FA14" s="25">
        <f>IF(FA5=DistCalc!$C$4,DistCalc!$D14,'New Formula with HB25-1320'!FA14)</f>
        <v>0</v>
      </c>
      <c r="FB14" s="25">
        <f>IF(FB5=DistCalc!$C$4,DistCalc!$D14,'New Formula with HB25-1320'!FB14)</f>
        <v>0</v>
      </c>
      <c r="FC14" s="25">
        <f>IF(FC5=DistCalc!$C$4,DistCalc!$D14,'New Formula with HB25-1320'!FC14)</f>
        <v>0</v>
      </c>
      <c r="FD14" s="25">
        <f>IF(FD5=DistCalc!$C$4,DistCalc!$D14,'New Formula with HB25-1320'!FD14)</f>
        <v>0</v>
      </c>
      <c r="FE14" s="25">
        <f>IF(FE5=DistCalc!$C$4,DistCalc!$D14,'New Formula with HB25-1320'!FE14)</f>
        <v>0</v>
      </c>
      <c r="FF14" s="25">
        <f>IF(FF5=DistCalc!$C$4,DistCalc!$D14,'New Formula with HB25-1320'!FF14)</f>
        <v>0</v>
      </c>
      <c r="FG14" s="25">
        <f>IF(FG5=DistCalc!$C$4,DistCalc!$D14,'New Formula with HB25-1320'!FG14)</f>
        <v>0</v>
      </c>
      <c r="FH14" s="25">
        <f>IF(FH5=DistCalc!$C$4,DistCalc!$D14,'New Formula with HB25-1320'!FH14)</f>
        <v>0</v>
      </c>
      <c r="FI14" s="25">
        <f>IF(FI5=DistCalc!$C$4,DistCalc!$D14,'New Formula with HB25-1320'!FI14)</f>
        <v>0</v>
      </c>
      <c r="FJ14" s="25">
        <f>IF(FJ5=DistCalc!$C$4,DistCalc!$D14,'New Formula with HB25-1320'!FJ14)</f>
        <v>0</v>
      </c>
      <c r="FK14" s="25">
        <f>IF(FK5=DistCalc!$C$4,DistCalc!$D14,'New Formula with HB25-1320'!FK14)</f>
        <v>0</v>
      </c>
      <c r="FL14" s="25">
        <f>IF(FL5=DistCalc!$C$4,DistCalc!$D14,'New Formula with HB25-1320'!FL14)</f>
        <v>0</v>
      </c>
      <c r="FM14" s="25">
        <f>IF(FM5=DistCalc!$C$4,DistCalc!$D14,'New Formula with HB25-1320'!FM14)</f>
        <v>0</v>
      </c>
      <c r="FN14" s="25">
        <f>IF(FN5=DistCalc!$C$4,DistCalc!$D14,'New Formula with HB25-1320'!FN14)</f>
        <v>0</v>
      </c>
      <c r="FO14" s="25">
        <f>IF(FO5=DistCalc!$C$4,DistCalc!$D14,'New Formula with HB25-1320'!FO14)</f>
        <v>0</v>
      </c>
      <c r="FP14" s="25">
        <f>IF(FP5=DistCalc!$C$4,DistCalc!$D14,'New Formula with HB25-1320'!FP14)</f>
        <v>0</v>
      </c>
      <c r="FQ14" s="25">
        <f>IF(FQ5=DistCalc!$C$4,DistCalc!$D14,'New Formula with HB25-1320'!FQ14)</f>
        <v>0</v>
      </c>
      <c r="FR14" s="25">
        <f>IF(FR5=DistCalc!$C$4,DistCalc!$D14,'New Formula with HB25-1320'!FR14)</f>
        <v>0</v>
      </c>
      <c r="FS14" s="25">
        <f>IF(FS5=DistCalc!$C$4,DistCalc!$D14,'New Formula with HB25-1320'!FS14)</f>
        <v>0</v>
      </c>
      <c r="FT14" s="25" t="e">
        <f ca="1">IF(FT5=DistCalc!$C$4,DistCalc!$D14,'New Formula with HB25-1320'!FT14)</f>
        <v>#NAME?</v>
      </c>
      <c r="FU14" s="25">
        <f>IF(FU5=DistCalc!$C$4,DistCalc!$D14,'New Formula with HB25-1320'!FU14)</f>
        <v>0</v>
      </c>
      <c r="FV14" s="25">
        <f>IF(FV5=DistCalc!$C$4,DistCalc!$D14,'New Formula with HB25-1320'!FV14)</f>
        <v>0</v>
      </c>
      <c r="FW14" s="25">
        <f>IF(FW5=DistCalc!$C$4,DistCalc!$D14,'New Formula with HB25-1320'!FW14)</f>
        <v>0</v>
      </c>
      <c r="FX14" s="25">
        <f>IF(FX5=DistCalc!$C$4,DistCalc!$D14,'New Formula with HB25-1320'!FX14)</f>
        <v>0</v>
      </c>
      <c r="FY14" s="29">
        <v>0</v>
      </c>
      <c r="FZ14" s="23" t="e">
        <f t="shared" ref="FZ14:FZ15" ca="1" si="2">SUM(C14:FY14)</f>
        <v>#NAME?</v>
      </c>
      <c r="GA14" s="23"/>
      <c r="GB14" s="23"/>
      <c r="GC14" s="23"/>
      <c r="GD14" s="23"/>
      <c r="GE14" s="7"/>
      <c r="GF14" s="7"/>
      <c r="GG14" s="7"/>
      <c r="GH14" s="7"/>
      <c r="GI14" s="7"/>
      <c r="GJ14" s="7"/>
      <c r="GK14" s="7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</row>
    <row r="15" spans="1:207" ht="15" customHeight="1" x14ac:dyDescent="0.35">
      <c r="A15" s="12" t="s">
        <v>751</v>
      </c>
      <c r="B15" s="7" t="s">
        <v>462</v>
      </c>
      <c r="C15" s="24">
        <f>IF(C5=DistCalc!$C$4,DistCalc!$D15,'New Formula with HB25-1320'!C15)</f>
        <v>4</v>
      </c>
      <c r="D15" s="25">
        <f>IF(D5=DistCalc!$C$4,DistCalc!$D15,'New Formula with HB25-1320'!D15)</f>
        <v>58</v>
      </c>
      <c r="E15" s="25">
        <f>IF(E5=DistCalc!$C$4,DistCalc!$D15,'New Formula with HB25-1320'!E15)</f>
        <v>11</v>
      </c>
      <c r="F15" s="25">
        <f>IF(F5=DistCalc!$C$4,DistCalc!$D15,'New Formula with HB25-1320'!F15)</f>
        <v>11</v>
      </c>
      <c r="G15" s="25">
        <f>IF(G5=DistCalc!$C$4,DistCalc!$D15,'New Formula with HB25-1320'!G15)</f>
        <v>1</v>
      </c>
      <c r="H15" s="25">
        <f>IF(H5=DistCalc!$C$4,DistCalc!$D15,'New Formula with HB25-1320'!H15)</f>
        <v>1</v>
      </c>
      <c r="I15" s="25">
        <f>IF(I5=DistCalc!$C$4,DistCalc!$D15,'New Formula with HB25-1320'!I15)</f>
        <v>9</v>
      </c>
      <c r="J15" s="25">
        <f>IF(J5=DistCalc!$C$4,DistCalc!$D15,'New Formula with HB25-1320'!J15)</f>
        <v>0</v>
      </c>
      <c r="K15" s="25">
        <f>IF(K5=DistCalc!$C$4,DistCalc!$D15,'New Formula with HB25-1320'!K15)</f>
        <v>0</v>
      </c>
      <c r="L15" s="25">
        <f>IF(L5=DistCalc!$C$4,DistCalc!$D15,'New Formula with HB25-1320'!L15)</f>
        <v>23</v>
      </c>
      <c r="M15" s="25">
        <f>IF(M5=DistCalc!$C$4,DistCalc!$D15,'New Formula with HB25-1320'!M15)</f>
        <v>14</v>
      </c>
      <c r="N15" s="25">
        <f>IF(N5=DistCalc!$C$4,DistCalc!$D15,'New Formula with HB25-1320'!N15)</f>
        <v>159.5</v>
      </c>
      <c r="O15" s="25">
        <f>IF(O5=DistCalc!$C$4,DistCalc!$D15,'New Formula with HB25-1320'!O15)</f>
        <v>98</v>
      </c>
      <c r="P15" s="25">
        <f>IF(P5=DistCalc!$C$4,DistCalc!$D15,'New Formula with HB25-1320'!P15)</f>
        <v>0</v>
      </c>
      <c r="Q15" s="25">
        <f>IF(Q5=DistCalc!$C$4,DistCalc!$D15,'New Formula with HB25-1320'!Q15)</f>
        <v>209</v>
      </c>
      <c r="R15" s="25">
        <f>IF(R5=DistCalc!$C$4,DistCalc!$D15,'New Formula with HB25-1320'!R15)</f>
        <v>1</v>
      </c>
      <c r="S15" s="25">
        <f>IF(S5=DistCalc!$C$4,DistCalc!$D15,'New Formula with HB25-1320'!S15)</f>
        <v>0</v>
      </c>
      <c r="T15" s="25">
        <f>IF(T5=DistCalc!$C$4,DistCalc!$D15,'New Formula with HB25-1320'!T15)</f>
        <v>0</v>
      </c>
      <c r="U15" s="25">
        <f>IF(U5=DistCalc!$C$4,DistCalc!$D15,'New Formula with HB25-1320'!U15)</f>
        <v>0</v>
      </c>
      <c r="V15" s="25">
        <f>IF(V5=DistCalc!$C$4,DistCalc!$D15,'New Formula with HB25-1320'!V15)</f>
        <v>0</v>
      </c>
      <c r="W15" s="25">
        <f>IF(W5=DistCalc!$C$4,DistCalc!$D15,'New Formula with HB25-1320'!W15)</f>
        <v>1</v>
      </c>
      <c r="X15" s="25">
        <f>IF(X5=DistCalc!$C$4,DistCalc!$D15,'New Formula with HB25-1320'!X15)</f>
        <v>0</v>
      </c>
      <c r="Y15" s="25">
        <f>IF(Y5=DistCalc!$C$4,DistCalc!$D15,'New Formula with HB25-1320'!Y15)</f>
        <v>0</v>
      </c>
      <c r="Z15" s="25">
        <f>IF(Z5=DistCalc!$C$4,DistCalc!$D15,'New Formula with HB25-1320'!Z15)</f>
        <v>0</v>
      </c>
      <c r="AA15" s="25">
        <f>IF(AA5=DistCalc!$C$4,DistCalc!$D15,'New Formula with HB25-1320'!AA15)</f>
        <v>37</v>
      </c>
      <c r="AB15" s="25">
        <f>IF(AB5=DistCalc!$C$4,DistCalc!$D15,'New Formula with HB25-1320'!AB15)</f>
        <v>46.5</v>
      </c>
      <c r="AC15" s="25">
        <f>IF(AC5=DistCalc!$C$4,DistCalc!$D15,'New Formula with HB25-1320'!AC15)</f>
        <v>0</v>
      </c>
      <c r="AD15" s="25">
        <f>IF(AD5=DistCalc!$C$4,DistCalc!$D15,'New Formula with HB25-1320'!AD15)</f>
        <v>6.5</v>
      </c>
      <c r="AE15" s="25">
        <f>IF(AE5=DistCalc!$C$4,DistCalc!$D15,'New Formula with HB25-1320'!AE15)</f>
        <v>0</v>
      </c>
      <c r="AF15" s="25">
        <f>IF(AF5=DistCalc!$C$4,DistCalc!$D15,'New Formula with HB25-1320'!AF15)</f>
        <v>0</v>
      </c>
      <c r="AG15" s="25">
        <f>IF(AG5=DistCalc!$C$4,DistCalc!$D15,'New Formula with HB25-1320'!AG15)</f>
        <v>0</v>
      </c>
      <c r="AH15" s="25">
        <f>IF(AH5=DistCalc!$C$4,DistCalc!$D15,'New Formula with HB25-1320'!AH15)</f>
        <v>0</v>
      </c>
      <c r="AI15" s="25">
        <f>IF(AI5=DistCalc!$C$4,DistCalc!$D15,'New Formula with HB25-1320'!AI15)</f>
        <v>0</v>
      </c>
      <c r="AJ15" s="25">
        <f>IF(AJ5=DistCalc!$C$4,DistCalc!$D15,'New Formula with HB25-1320'!AJ15)</f>
        <v>0</v>
      </c>
      <c r="AK15" s="25">
        <f>IF(AK5=DistCalc!$C$4,DistCalc!$D15,'New Formula with HB25-1320'!AK15)</f>
        <v>0</v>
      </c>
      <c r="AL15" s="25">
        <f>IF(AL5=DistCalc!$C$4,DistCalc!$D15,'New Formula with HB25-1320'!AL15)</f>
        <v>0</v>
      </c>
      <c r="AM15" s="25">
        <f>IF(AM5=DistCalc!$C$4,DistCalc!$D15,'New Formula with HB25-1320'!AM15)</f>
        <v>0</v>
      </c>
      <c r="AN15" s="25">
        <f>IF(AN5=DistCalc!$C$4,DistCalc!$D15,'New Formula with HB25-1320'!AN15)</f>
        <v>1</v>
      </c>
      <c r="AO15" s="25">
        <f>IF(AO5=DistCalc!$C$4,DistCalc!$D15,'New Formula with HB25-1320'!AO15)</f>
        <v>0</v>
      </c>
      <c r="AP15" s="25">
        <f>IF(AP5=DistCalc!$C$4,DistCalc!$D15,'New Formula with HB25-1320'!AP15)</f>
        <v>191</v>
      </c>
      <c r="AQ15" s="25">
        <f>IF(AQ5=DistCalc!$C$4,DistCalc!$D15,'New Formula with HB25-1320'!AQ15)</f>
        <v>0</v>
      </c>
      <c r="AR15" s="25">
        <f>IF(AR5=DistCalc!$C$4,DistCalc!$D15,'New Formula with HB25-1320'!AR15)</f>
        <v>155</v>
      </c>
      <c r="AS15" s="25">
        <f>IF(AS5=DistCalc!$C$4,DistCalc!$D15,'New Formula with HB25-1320'!AS15)</f>
        <v>16</v>
      </c>
      <c r="AT15" s="25">
        <f>IF(AT5=DistCalc!$C$4,DistCalc!$D15,'New Formula with HB25-1320'!AT15)</f>
        <v>3</v>
      </c>
      <c r="AU15" s="25">
        <f>IF(AU5=DistCalc!$C$4,DistCalc!$D15,'New Formula with HB25-1320'!AU15)</f>
        <v>0</v>
      </c>
      <c r="AV15" s="25">
        <f>IF(AV5=DistCalc!$C$4,DistCalc!$D15,'New Formula with HB25-1320'!AV15)</f>
        <v>0</v>
      </c>
      <c r="AW15" s="25">
        <f>IF(AW5=DistCalc!$C$4,DistCalc!$D15,'New Formula with HB25-1320'!AW15)</f>
        <v>2</v>
      </c>
      <c r="AX15" s="25">
        <f>IF(AX5=DistCalc!$C$4,DistCalc!$D15,'New Formula with HB25-1320'!AX15)</f>
        <v>0</v>
      </c>
      <c r="AY15" s="25">
        <f>IF(AY5=DistCalc!$C$4,DistCalc!$D15,'New Formula with HB25-1320'!AY15)</f>
        <v>0</v>
      </c>
      <c r="AZ15" s="25">
        <f>IF(AZ5=DistCalc!$C$4,DistCalc!$D15,'New Formula with HB25-1320'!AZ15)</f>
        <v>1</v>
      </c>
      <c r="BA15" s="25">
        <f>IF(BA5=DistCalc!$C$4,DistCalc!$D15,'New Formula with HB25-1320'!BA15)</f>
        <v>0.5</v>
      </c>
      <c r="BB15" s="25">
        <f>IF(BB5=DistCalc!$C$4,DistCalc!$D15,'New Formula with HB25-1320'!BB15)</f>
        <v>9</v>
      </c>
      <c r="BC15" s="25">
        <f>IF(BC5=DistCalc!$C$4,DistCalc!$D15,'New Formula with HB25-1320'!BC15)</f>
        <v>30</v>
      </c>
      <c r="BD15" s="25">
        <f>IF(BD5=DistCalc!$C$4,DistCalc!$D15,'New Formula with HB25-1320'!BD15)</f>
        <v>4</v>
      </c>
      <c r="BE15" s="25">
        <f>IF(BE5=DistCalc!$C$4,DistCalc!$D15,'New Formula with HB25-1320'!BE15)</f>
        <v>0</v>
      </c>
      <c r="BF15" s="25">
        <f>IF(BF5=DistCalc!$C$4,DistCalc!$D15,'New Formula with HB25-1320'!BF15)</f>
        <v>31.5</v>
      </c>
      <c r="BG15" s="25">
        <f>IF(BG5=DistCalc!$C$4,DistCalc!$D15,'New Formula with HB25-1320'!BG15)</f>
        <v>0</v>
      </c>
      <c r="BH15" s="25">
        <f>IF(BH5=DistCalc!$C$4,DistCalc!$D15,'New Formula with HB25-1320'!BH15)</f>
        <v>12</v>
      </c>
      <c r="BI15" s="25">
        <f>IF(BI5=DistCalc!$C$4,DistCalc!$D15,'New Formula with HB25-1320'!BI15)</f>
        <v>0</v>
      </c>
      <c r="BJ15" s="25">
        <f>IF(BJ5=DistCalc!$C$4,DistCalc!$D15,'New Formula with HB25-1320'!BJ15)</f>
        <v>15.5</v>
      </c>
      <c r="BK15" s="25">
        <f>IF(BK5=DistCalc!$C$4,DistCalc!$D15,'New Formula with HB25-1320'!BK15)</f>
        <v>83</v>
      </c>
      <c r="BL15" s="25">
        <f>IF(BL5=DistCalc!$C$4,DistCalc!$D15,'New Formula with HB25-1320'!BL15)</f>
        <v>2.5</v>
      </c>
      <c r="BM15" s="25">
        <f>IF(BM5=DistCalc!$C$4,DistCalc!$D15,'New Formula with HB25-1320'!BM15)</f>
        <v>18.5</v>
      </c>
      <c r="BN15" s="25">
        <f>IF(BN5=DistCalc!$C$4,DistCalc!$D15,'New Formula with HB25-1320'!BN15)</f>
        <v>33.5</v>
      </c>
      <c r="BO15" s="25">
        <f>IF(BO5=DistCalc!$C$4,DistCalc!$D15,'New Formula with HB25-1320'!BO15)</f>
        <v>3</v>
      </c>
      <c r="BP15" s="25">
        <f>IF(BP5=DistCalc!$C$4,DistCalc!$D15,'New Formula with HB25-1320'!BP15)</f>
        <v>0</v>
      </c>
      <c r="BQ15" s="25">
        <f>IF(BQ5=DistCalc!$C$4,DistCalc!$D15,'New Formula with HB25-1320'!BQ15)</f>
        <v>2</v>
      </c>
      <c r="BR15" s="25">
        <f>IF(BR5=DistCalc!$C$4,DistCalc!$D15,'New Formula with HB25-1320'!BR15)</f>
        <v>0</v>
      </c>
      <c r="BS15" s="25">
        <f>IF(BS5=DistCalc!$C$4,DistCalc!$D15,'New Formula with HB25-1320'!BS15)</f>
        <v>0</v>
      </c>
      <c r="BT15" s="25">
        <f>IF(BT5=DistCalc!$C$4,DistCalc!$D15,'New Formula with HB25-1320'!BT15)</f>
        <v>0</v>
      </c>
      <c r="BU15" s="25">
        <f>IF(BU5=DistCalc!$C$4,DistCalc!$D15,'New Formula with HB25-1320'!BU15)</f>
        <v>0</v>
      </c>
      <c r="BV15" s="25">
        <f>IF(BV5=DistCalc!$C$4,DistCalc!$D15,'New Formula with HB25-1320'!BV15)</f>
        <v>0</v>
      </c>
      <c r="BW15" s="25">
        <f>IF(BW5=DistCalc!$C$4,DistCalc!$D15,'New Formula with HB25-1320'!BW15)</f>
        <v>0</v>
      </c>
      <c r="BX15" s="25">
        <f>IF(BX5=DistCalc!$C$4,DistCalc!$D15,'New Formula with HB25-1320'!BX15)</f>
        <v>0</v>
      </c>
      <c r="BY15" s="25">
        <f>IF(BY5=DistCalc!$C$4,DistCalc!$D15,'New Formula with HB25-1320'!BY15)</f>
        <v>0</v>
      </c>
      <c r="BZ15" s="25">
        <f>IF(BZ5=DistCalc!$C$4,DistCalc!$D15,'New Formula with HB25-1320'!BZ15)</f>
        <v>0</v>
      </c>
      <c r="CA15" s="25">
        <f>IF(CA5=DistCalc!$C$4,DistCalc!$D15,'New Formula with HB25-1320'!CA15)</f>
        <v>0</v>
      </c>
      <c r="CB15" s="25">
        <f>IF(CB5=DistCalc!$C$4,DistCalc!$D15,'New Formula with HB25-1320'!CB15)</f>
        <v>235</v>
      </c>
      <c r="CC15" s="25">
        <f>IF(CC5=DistCalc!$C$4,DistCalc!$D15,'New Formula with HB25-1320'!CC15)</f>
        <v>0</v>
      </c>
      <c r="CD15" s="25">
        <f>IF(CD5=DistCalc!$C$4,DistCalc!$D15,'New Formula with HB25-1320'!CD15)</f>
        <v>0</v>
      </c>
      <c r="CE15" s="25">
        <f>IF(CE5=DistCalc!$C$4,DistCalc!$D15,'New Formula with HB25-1320'!CE15)</f>
        <v>0</v>
      </c>
      <c r="CF15" s="25">
        <f>IF(CF5=DistCalc!$C$4,DistCalc!$D15,'New Formula with HB25-1320'!CF15)</f>
        <v>0</v>
      </c>
      <c r="CG15" s="25">
        <f>IF(CG5=DistCalc!$C$4,DistCalc!$D15,'New Formula with HB25-1320'!CG15)</f>
        <v>0</v>
      </c>
      <c r="CH15" s="25">
        <f>IF(CH5=DistCalc!$C$4,DistCalc!$D15,'New Formula with HB25-1320'!CH15)</f>
        <v>0</v>
      </c>
      <c r="CI15" s="25">
        <f>IF(CI5=DistCalc!$C$4,DistCalc!$D15,'New Formula with HB25-1320'!CI15)</f>
        <v>0</v>
      </c>
      <c r="CJ15" s="25">
        <f>IF(CJ5=DistCalc!$C$4,DistCalc!$D15,'New Formula with HB25-1320'!CJ15)</f>
        <v>0</v>
      </c>
      <c r="CK15" s="25">
        <f>IF(CK5=DistCalc!$C$4,DistCalc!$D15,'New Formula with HB25-1320'!CK15)</f>
        <v>0</v>
      </c>
      <c r="CL15" s="25">
        <f>IF(CL5=DistCalc!$C$4,DistCalc!$D15,'New Formula with HB25-1320'!CL15)</f>
        <v>4</v>
      </c>
      <c r="CM15" s="25">
        <f>IF(CM5=DistCalc!$C$4,DistCalc!$D15,'New Formula with HB25-1320'!CM15)</f>
        <v>0</v>
      </c>
      <c r="CN15" s="25">
        <f>IF(CN5=DistCalc!$C$4,DistCalc!$D15,'New Formula with HB25-1320'!CN15)</f>
        <v>232</v>
      </c>
      <c r="CO15" s="25">
        <f>IF(CO5=DistCalc!$C$4,DistCalc!$D15,'New Formula with HB25-1320'!CO15)</f>
        <v>69.5</v>
      </c>
      <c r="CP15" s="25">
        <f>IF(CP5=DistCalc!$C$4,DistCalc!$D15,'New Formula with HB25-1320'!CP15)</f>
        <v>3</v>
      </c>
      <c r="CQ15" s="25">
        <f>IF(CQ5=DistCalc!$C$4,DistCalc!$D15,'New Formula with HB25-1320'!CQ15)</f>
        <v>0</v>
      </c>
      <c r="CR15" s="25">
        <f>IF(CR5=DistCalc!$C$4,DistCalc!$D15,'New Formula with HB25-1320'!CR15)</f>
        <v>0</v>
      </c>
      <c r="CS15" s="25">
        <f>IF(CS5=DistCalc!$C$4,DistCalc!$D15,'New Formula with HB25-1320'!CS15)</f>
        <v>0</v>
      </c>
      <c r="CT15" s="25">
        <f>IF(CT5=DistCalc!$C$4,DistCalc!$D15,'New Formula with HB25-1320'!CT15)</f>
        <v>0</v>
      </c>
      <c r="CU15" s="25">
        <f>IF(CU5=DistCalc!$C$4,DistCalc!$D15,'New Formula with HB25-1320'!CU15)</f>
        <v>2</v>
      </c>
      <c r="CV15" s="25">
        <f>IF(CV5=DistCalc!$C$4,DistCalc!$D15,'New Formula with HB25-1320'!CV15)</f>
        <v>0</v>
      </c>
      <c r="CW15" s="25">
        <f>IF(CW5=DistCalc!$C$4,DistCalc!$D15,'New Formula with HB25-1320'!CW15)</f>
        <v>0</v>
      </c>
      <c r="CX15" s="25">
        <f>IF(CX5=DistCalc!$C$4,DistCalc!$D15,'New Formula with HB25-1320'!CX15)</f>
        <v>0</v>
      </c>
      <c r="CY15" s="25">
        <f>IF(CY5=DistCalc!$C$4,DistCalc!$D15,'New Formula with HB25-1320'!CY15)</f>
        <v>0</v>
      </c>
      <c r="CZ15" s="25">
        <f>IF(CZ5=DistCalc!$C$4,DistCalc!$D15,'New Formula with HB25-1320'!CZ15)</f>
        <v>0</v>
      </c>
      <c r="DA15" s="25">
        <f>IF(DA5=DistCalc!$C$4,DistCalc!$D15,'New Formula with HB25-1320'!DA15)</f>
        <v>0</v>
      </c>
      <c r="DB15" s="25">
        <f>IF(DB5=DistCalc!$C$4,DistCalc!$D15,'New Formula with HB25-1320'!DB15)</f>
        <v>0</v>
      </c>
      <c r="DC15" s="25">
        <f>IF(DC5=DistCalc!$C$4,DistCalc!$D15,'New Formula with HB25-1320'!DC15)</f>
        <v>0</v>
      </c>
      <c r="DD15" s="25">
        <f>IF(DD5=DistCalc!$C$4,DistCalc!$D15,'New Formula with HB25-1320'!DD15)</f>
        <v>0</v>
      </c>
      <c r="DE15" s="25">
        <f>IF(DE5=DistCalc!$C$4,DistCalc!$D15,'New Formula with HB25-1320'!DE15)</f>
        <v>0</v>
      </c>
      <c r="DF15" s="25">
        <f>IF(DF5=DistCalc!$C$4,DistCalc!$D15,'New Formula with HB25-1320'!DF15)</f>
        <v>18.5</v>
      </c>
      <c r="DG15" s="25">
        <f>IF(DG5=DistCalc!$C$4,DistCalc!$D15,'New Formula with HB25-1320'!DG15)</f>
        <v>0</v>
      </c>
      <c r="DH15" s="25">
        <f>IF(DH5=DistCalc!$C$4,DistCalc!$D15,'New Formula with HB25-1320'!DH15)</f>
        <v>0</v>
      </c>
      <c r="DI15" s="25">
        <f>IF(DI5=DistCalc!$C$4,DistCalc!$D15,'New Formula with HB25-1320'!DI15)</f>
        <v>0</v>
      </c>
      <c r="DJ15" s="25">
        <f>IF(DJ5=DistCalc!$C$4,DistCalc!$D15,'New Formula with HB25-1320'!DJ15)</f>
        <v>0</v>
      </c>
      <c r="DK15" s="25">
        <f>IF(DK5=DistCalc!$C$4,DistCalc!$D15,'New Formula with HB25-1320'!DK15)</f>
        <v>0</v>
      </c>
      <c r="DL15" s="25">
        <f>IF(DL5=DistCalc!$C$4,DistCalc!$D15,'New Formula with HB25-1320'!DL15)</f>
        <v>0</v>
      </c>
      <c r="DM15" s="25">
        <f>IF(DM5=DistCalc!$C$4,DistCalc!$D15,'New Formula with HB25-1320'!DM15)</f>
        <v>0</v>
      </c>
      <c r="DN15" s="25">
        <f>IF(DN5=DistCalc!$C$4,DistCalc!$D15,'New Formula with HB25-1320'!DN15)</f>
        <v>1</v>
      </c>
      <c r="DO15" s="25">
        <f>IF(DO5=DistCalc!$C$4,DistCalc!$D15,'New Formula with HB25-1320'!DO15)</f>
        <v>0</v>
      </c>
      <c r="DP15" s="25">
        <f>IF(DP5=DistCalc!$C$4,DistCalc!$D15,'New Formula with HB25-1320'!DP15)</f>
        <v>0</v>
      </c>
      <c r="DQ15" s="25">
        <f>IF(DQ5=DistCalc!$C$4,DistCalc!$D15,'New Formula with HB25-1320'!DQ15)</f>
        <v>1</v>
      </c>
      <c r="DR15" s="25">
        <f>IF(DR5=DistCalc!$C$4,DistCalc!$D15,'New Formula with HB25-1320'!DR15)</f>
        <v>0</v>
      </c>
      <c r="DS15" s="25">
        <f>IF(DS5=DistCalc!$C$4,DistCalc!$D15,'New Formula with HB25-1320'!DS15)</f>
        <v>0</v>
      </c>
      <c r="DT15" s="25">
        <f>IF(DT5=DistCalc!$C$4,DistCalc!$D15,'New Formula with HB25-1320'!DT15)</f>
        <v>0</v>
      </c>
      <c r="DU15" s="25">
        <f>IF(DU5=DistCalc!$C$4,DistCalc!$D15,'New Formula with HB25-1320'!DU15)</f>
        <v>0</v>
      </c>
      <c r="DV15" s="25">
        <f>IF(DV5=DistCalc!$C$4,DistCalc!$D15,'New Formula with HB25-1320'!DV15)</f>
        <v>0</v>
      </c>
      <c r="DW15" s="25">
        <f>IF(DW5=DistCalc!$C$4,DistCalc!$D15,'New Formula with HB25-1320'!DW15)</f>
        <v>0</v>
      </c>
      <c r="DX15" s="25">
        <f>IF(DX5=DistCalc!$C$4,DistCalc!$D15,'New Formula with HB25-1320'!DX15)</f>
        <v>0</v>
      </c>
      <c r="DY15" s="25">
        <f>IF(DY5=DistCalc!$C$4,DistCalc!$D15,'New Formula with HB25-1320'!DY15)</f>
        <v>0</v>
      </c>
      <c r="DZ15" s="25">
        <f>IF(DZ5=DistCalc!$C$4,DistCalc!$D15,'New Formula with HB25-1320'!DZ15)</f>
        <v>1</v>
      </c>
      <c r="EA15" s="25">
        <f>IF(EA5=DistCalc!$C$4,DistCalc!$D15,'New Formula with HB25-1320'!EA15)</f>
        <v>0</v>
      </c>
      <c r="EB15" s="25">
        <f>IF(EB5=DistCalc!$C$4,DistCalc!$D15,'New Formula with HB25-1320'!EB15)</f>
        <v>0</v>
      </c>
      <c r="EC15" s="25">
        <f>IF(EC5=DistCalc!$C$4,DistCalc!$D15,'New Formula with HB25-1320'!EC15)</f>
        <v>0</v>
      </c>
      <c r="ED15" s="25">
        <f>IF(ED5=DistCalc!$C$4,DistCalc!$D15,'New Formula with HB25-1320'!ED15)</f>
        <v>0</v>
      </c>
      <c r="EE15" s="25">
        <f>IF(EE5=DistCalc!$C$4,DistCalc!$D15,'New Formula with HB25-1320'!EE15)</f>
        <v>0</v>
      </c>
      <c r="EF15" s="25">
        <f>IF(EF5=DistCalc!$C$4,DistCalc!$D15,'New Formula with HB25-1320'!EF15)</f>
        <v>2</v>
      </c>
      <c r="EG15" s="25">
        <f>IF(EG5=DistCalc!$C$4,DistCalc!$D15,'New Formula with HB25-1320'!EG15)</f>
        <v>0</v>
      </c>
      <c r="EH15" s="25">
        <f>IF(EH5=DistCalc!$C$4,DistCalc!$D15,'New Formula with HB25-1320'!EH15)</f>
        <v>0</v>
      </c>
      <c r="EI15" s="25">
        <f>IF(EI5=DistCalc!$C$4,DistCalc!$D15,'New Formula with HB25-1320'!EI15)</f>
        <v>24.5</v>
      </c>
      <c r="EJ15" s="25">
        <f>IF(EJ5=DistCalc!$C$4,DistCalc!$D15,'New Formula with HB25-1320'!EJ15)</f>
        <v>26</v>
      </c>
      <c r="EK15" s="25">
        <f>IF(EK5=DistCalc!$C$4,DistCalc!$D15,'New Formula with HB25-1320'!EK15)</f>
        <v>0</v>
      </c>
      <c r="EL15" s="25">
        <f>IF(EL5=DistCalc!$C$4,DistCalc!$D15,'New Formula with HB25-1320'!EL15)</f>
        <v>0</v>
      </c>
      <c r="EM15" s="25">
        <f>IF(EM5=DistCalc!$C$4,DistCalc!$D15,'New Formula with HB25-1320'!EM15)</f>
        <v>0</v>
      </c>
      <c r="EN15" s="25">
        <f>IF(EN5=DistCalc!$C$4,DistCalc!$D15,'New Formula with HB25-1320'!EN15)</f>
        <v>0</v>
      </c>
      <c r="EO15" s="25">
        <f>IF(EO5=DistCalc!$C$4,DistCalc!$D15,'New Formula with HB25-1320'!EO15)</f>
        <v>0</v>
      </c>
      <c r="EP15" s="25">
        <f>IF(EP5=DistCalc!$C$4,DistCalc!$D15,'New Formula with HB25-1320'!EP15)</f>
        <v>0</v>
      </c>
      <c r="EQ15" s="25">
        <f>IF(EQ5=DistCalc!$C$4,DistCalc!$D15,'New Formula with HB25-1320'!EQ15)</f>
        <v>2</v>
      </c>
      <c r="ER15" s="25">
        <f>IF(ER5=DistCalc!$C$4,DistCalc!$D15,'New Formula with HB25-1320'!ER15)</f>
        <v>2</v>
      </c>
      <c r="ES15" s="25">
        <f>IF(ES5=DistCalc!$C$4,DistCalc!$D15,'New Formula with HB25-1320'!ES15)</f>
        <v>0</v>
      </c>
      <c r="ET15" s="25">
        <f>IF(ET5=DistCalc!$C$4,DistCalc!$D15,'New Formula with HB25-1320'!ET15)</f>
        <v>0</v>
      </c>
      <c r="EU15" s="25">
        <f>IF(EU5=DistCalc!$C$4,DistCalc!$D15,'New Formula with HB25-1320'!EU15)</f>
        <v>0</v>
      </c>
      <c r="EV15" s="25">
        <f>IF(EV5=DistCalc!$C$4,DistCalc!$D15,'New Formula with HB25-1320'!EV15)</f>
        <v>0</v>
      </c>
      <c r="EW15" s="25">
        <f>IF(EW5=DistCalc!$C$4,DistCalc!$D15,'New Formula with HB25-1320'!EW15)</f>
        <v>0</v>
      </c>
      <c r="EX15" s="25">
        <f>IF(EX5=DistCalc!$C$4,DistCalc!$D15,'New Formula with HB25-1320'!EX15)</f>
        <v>0</v>
      </c>
      <c r="EY15" s="25">
        <f>IF(EY5=DistCalc!$C$4,DistCalc!$D15,'New Formula with HB25-1320'!EY15)</f>
        <v>0</v>
      </c>
      <c r="EZ15" s="25">
        <f>IF(EZ5=DistCalc!$C$4,DistCalc!$D15,'New Formula with HB25-1320'!EZ15)</f>
        <v>0</v>
      </c>
      <c r="FA15" s="25">
        <f>IF(FA5=DistCalc!$C$4,DistCalc!$D15,'New Formula with HB25-1320'!FA15)</f>
        <v>12</v>
      </c>
      <c r="FB15" s="25">
        <f>IF(FB5=DistCalc!$C$4,DistCalc!$D15,'New Formula with HB25-1320'!FB15)</f>
        <v>0</v>
      </c>
      <c r="FC15" s="25">
        <f>IF(FC5=DistCalc!$C$4,DistCalc!$D15,'New Formula with HB25-1320'!FC15)</f>
        <v>4</v>
      </c>
      <c r="FD15" s="25">
        <f>IF(FD5=DistCalc!$C$4,DistCalc!$D15,'New Formula with HB25-1320'!FD15)</f>
        <v>0</v>
      </c>
      <c r="FE15" s="25">
        <f>IF(FE5=DistCalc!$C$4,DistCalc!$D15,'New Formula with HB25-1320'!FE15)</f>
        <v>0</v>
      </c>
      <c r="FF15" s="25">
        <f>IF(FF5=DistCalc!$C$4,DistCalc!$D15,'New Formula with HB25-1320'!FF15)</f>
        <v>0</v>
      </c>
      <c r="FG15" s="25">
        <f>IF(FG5=DistCalc!$C$4,DistCalc!$D15,'New Formula with HB25-1320'!FG15)</f>
        <v>0</v>
      </c>
      <c r="FH15" s="25">
        <f>IF(FH5=DistCalc!$C$4,DistCalc!$D15,'New Formula with HB25-1320'!FH15)</f>
        <v>0</v>
      </c>
      <c r="FI15" s="25">
        <f>IF(FI5=DistCalc!$C$4,DistCalc!$D15,'New Formula with HB25-1320'!FI15)</f>
        <v>0</v>
      </c>
      <c r="FJ15" s="25">
        <f>IF(FJ5=DistCalc!$C$4,DistCalc!$D15,'New Formula with HB25-1320'!FJ15)</f>
        <v>0</v>
      </c>
      <c r="FK15" s="25">
        <f>IF(FK5=DistCalc!$C$4,DistCalc!$D15,'New Formula with HB25-1320'!FK15)</f>
        <v>0</v>
      </c>
      <c r="FL15" s="25">
        <f>IF(FL5=DistCalc!$C$4,DistCalc!$D15,'New Formula with HB25-1320'!FL15)</f>
        <v>0</v>
      </c>
      <c r="FM15" s="25">
        <f>IF(FM5=DistCalc!$C$4,DistCalc!$D15,'New Formula with HB25-1320'!FM15)</f>
        <v>0</v>
      </c>
      <c r="FN15" s="25">
        <f>IF(FN5=DistCalc!$C$4,DistCalc!$D15,'New Formula with HB25-1320'!FN15)</f>
        <v>15.5</v>
      </c>
      <c r="FO15" s="25">
        <f>IF(FO5=DistCalc!$C$4,DistCalc!$D15,'New Formula with HB25-1320'!FO15)</f>
        <v>0</v>
      </c>
      <c r="FP15" s="25">
        <f>IF(FP5=DistCalc!$C$4,DistCalc!$D15,'New Formula with HB25-1320'!FP15)</f>
        <v>0</v>
      </c>
      <c r="FQ15" s="25">
        <f>IF(FQ5=DistCalc!$C$4,DistCalc!$D15,'New Formula with HB25-1320'!FQ15)</f>
        <v>0</v>
      </c>
      <c r="FR15" s="25">
        <f>IF(FR5=DistCalc!$C$4,DistCalc!$D15,'New Formula with HB25-1320'!FR15)</f>
        <v>0</v>
      </c>
      <c r="FS15" s="25">
        <f>IF(FS5=DistCalc!$C$4,DistCalc!$D15,'New Formula with HB25-1320'!FS15)</f>
        <v>0</v>
      </c>
      <c r="FT15" s="25" t="e">
        <f ca="1">IF(FT5=DistCalc!$C$4,DistCalc!$D15,'New Formula with HB25-1320'!FT15)</f>
        <v>#NAME?</v>
      </c>
      <c r="FU15" s="25">
        <f>IF(FU5=DistCalc!$C$4,DistCalc!$D15,'New Formula with HB25-1320'!FU15)</f>
        <v>0</v>
      </c>
      <c r="FV15" s="25">
        <f>IF(FV5=DistCalc!$C$4,DistCalc!$D15,'New Formula with HB25-1320'!FV15)</f>
        <v>1</v>
      </c>
      <c r="FW15" s="25">
        <f>IF(FW5=DistCalc!$C$4,DistCalc!$D15,'New Formula with HB25-1320'!FW15)</f>
        <v>2</v>
      </c>
      <c r="FX15" s="25">
        <f>IF(FX5=DistCalc!$C$4,DistCalc!$D15,'New Formula with HB25-1320'!FX15)</f>
        <v>0</v>
      </c>
      <c r="FY15" s="29"/>
      <c r="FZ15" s="23" t="e">
        <f t="shared" ca="1" si="2"/>
        <v>#NAME?</v>
      </c>
      <c r="GA15" s="23"/>
      <c r="GB15" s="23"/>
      <c r="GC15" s="23"/>
      <c r="GD15" s="23"/>
      <c r="GE15" s="7"/>
      <c r="GF15" s="7"/>
      <c r="GG15" s="7"/>
      <c r="GH15" s="7"/>
      <c r="GI15" s="7"/>
      <c r="GJ15" s="7"/>
      <c r="GK15" s="7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</row>
    <row r="16" spans="1:207" ht="15" customHeight="1" x14ac:dyDescent="0.35">
      <c r="A16" s="12" t="s">
        <v>455</v>
      </c>
      <c r="B16" s="7" t="s">
        <v>464</v>
      </c>
      <c r="C16" s="23">
        <f t="shared" ref="C16:FX16" si="3">ROUND(C11-C12-C13-C15,1)</f>
        <v>6364.5</v>
      </c>
      <c r="D16" s="23">
        <f t="shared" si="3"/>
        <v>32089</v>
      </c>
      <c r="E16" s="23">
        <f t="shared" si="3"/>
        <v>4691</v>
      </c>
      <c r="F16" s="23">
        <f t="shared" si="3"/>
        <v>21462.5</v>
      </c>
      <c r="G16" s="23">
        <f t="shared" si="3"/>
        <v>1844</v>
      </c>
      <c r="H16" s="23">
        <f t="shared" si="3"/>
        <v>1070</v>
      </c>
      <c r="I16" s="23">
        <f t="shared" si="3"/>
        <v>7027</v>
      </c>
      <c r="J16" s="23">
        <f t="shared" si="3"/>
        <v>1988</v>
      </c>
      <c r="K16" s="23">
        <f t="shared" si="3"/>
        <v>248.5</v>
      </c>
      <c r="L16" s="23">
        <f t="shared" si="3"/>
        <v>2062</v>
      </c>
      <c r="M16" s="23">
        <f t="shared" si="3"/>
        <v>839</v>
      </c>
      <c r="N16" s="23">
        <f t="shared" si="3"/>
        <v>49557</v>
      </c>
      <c r="O16" s="23">
        <f t="shared" si="3"/>
        <v>12263.5</v>
      </c>
      <c r="P16" s="23">
        <f t="shared" si="3"/>
        <v>313</v>
      </c>
      <c r="Q16" s="23">
        <f t="shared" si="3"/>
        <v>37352</v>
      </c>
      <c r="R16" s="23">
        <f t="shared" si="3"/>
        <v>481</v>
      </c>
      <c r="S16" s="23">
        <f t="shared" si="3"/>
        <v>1545.5</v>
      </c>
      <c r="T16" s="23">
        <f t="shared" si="3"/>
        <v>160</v>
      </c>
      <c r="U16" s="23">
        <f t="shared" si="3"/>
        <v>54</v>
      </c>
      <c r="V16" s="23">
        <f t="shared" si="3"/>
        <v>253</v>
      </c>
      <c r="W16" s="23">
        <f t="shared" si="3"/>
        <v>46</v>
      </c>
      <c r="X16" s="23">
        <f t="shared" si="3"/>
        <v>37.5</v>
      </c>
      <c r="Y16" s="23">
        <f t="shared" si="3"/>
        <v>397</v>
      </c>
      <c r="Z16" s="23">
        <f t="shared" si="3"/>
        <v>231</v>
      </c>
      <c r="AA16" s="23">
        <f t="shared" si="3"/>
        <v>30254.5</v>
      </c>
      <c r="AB16" s="23">
        <f t="shared" si="3"/>
        <v>26514</v>
      </c>
      <c r="AC16" s="23">
        <f t="shared" si="3"/>
        <v>847.5</v>
      </c>
      <c r="AD16" s="23">
        <f t="shared" si="3"/>
        <v>1281</v>
      </c>
      <c r="AE16" s="23">
        <f t="shared" si="3"/>
        <v>97</v>
      </c>
      <c r="AF16" s="23">
        <f t="shared" si="3"/>
        <v>164</v>
      </c>
      <c r="AG16" s="23">
        <f t="shared" si="3"/>
        <v>585.5</v>
      </c>
      <c r="AH16" s="23">
        <f t="shared" si="3"/>
        <v>908</v>
      </c>
      <c r="AI16" s="23">
        <f t="shared" si="3"/>
        <v>383</v>
      </c>
      <c r="AJ16" s="23">
        <f t="shared" si="3"/>
        <v>181.5</v>
      </c>
      <c r="AK16" s="23">
        <f t="shared" si="3"/>
        <v>162.5</v>
      </c>
      <c r="AL16" s="23">
        <f t="shared" si="3"/>
        <v>288.5</v>
      </c>
      <c r="AM16" s="23">
        <f t="shared" si="3"/>
        <v>306</v>
      </c>
      <c r="AN16" s="23">
        <f t="shared" si="3"/>
        <v>267</v>
      </c>
      <c r="AO16" s="23">
        <f t="shared" si="3"/>
        <v>3681</v>
      </c>
      <c r="AP16" s="23">
        <f t="shared" si="3"/>
        <v>83522.5</v>
      </c>
      <c r="AQ16" s="23">
        <f t="shared" si="3"/>
        <v>251</v>
      </c>
      <c r="AR16" s="23">
        <f t="shared" si="3"/>
        <v>57312</v>
      </c>
      <c r="AS16" s="23">
        <f t="shared" si="3"/>
        <v>5954.5</v>
      </c>
      <c r="AT16" s="23">
        <f t="shared" si="3"/>
        <v>2358</v>
      </c>
      <c r="AU16" s="23">
        <f t="shared" si="3"/>
        <v>268</v>
      </c>
      <c r="AV16" s="23">
        <f t="shared" si="3"/>
        <v>296</v>
      </c>
      <c r="AW16" s="23">
        <f t="shared" si="3"/>
        <v>255</v>
      </c>
      <c r="AX16" s="23">
        <f t="shared" si="3"/>
        <v>81</v>
      </c>
      <c r="AY16" s="23">
        <f t="shared" si="3"/>
        <v>391.5</v>
      </c>
      <c r="AZ16" s="23">
        <f t="shared" si="3"/>
        <v>11778.5</v>
      </c>
      <c r="BA16" s="23">
        <f t="shared" si="3"/>
        <v>8849.5</v>
      </c>
      <c r="BB16" s="23">
        <f t="shared" si="3"/>
        <v>7441</v>
      </c>
      <c r="BC16" s="23">
        <f t="shared" si="3"/>
        <v>20968.5</v>
      </c>
      <c r="BD16" s="23">
        <f t="shared" si="3"/>
        <v>3633.5</v>
      </c>
      <c r="BE16" s="23">
        <f t="shared" si="3"/>
        <v>1092</v>
      </c>
      <c r="BF16" s="23">
        <f t="shared" si="3"/>
        <v>24344</v>
      </c>
      <c r="BG16" s="23">
        <f t="shared" si="3"/>
        <v>919.5</v>
      </c>
      <c r="BH16" s="23">
        <f t="shared" si="3"/>
        <v>534</v>
      </c>
      <c r="BI16" s="23">
        <f t="shared" si="3"/>
        <v>254.5</v>
      </c>
      <c r="BJ16" s="23">
        <f t="shared" si="3"/>
        <v>6294</v>
      </c>
      <c r="BK16" s="23">
        <f t="shared" si="3"/>
        <v>21812.5</v>
      </c>
      <c r="BL16" s="23">
        <f t="shared" si="3"/>
        <v>69.5</v>
      </c>
      <c r="BM16" s="23">
        <f t="shared" si="3"/>
        <v>330.5</v>
      </c>
      <c r="BN16" s="23">
        <f t="shared" si="3"/>
        <v>2993</v>
      </c>
      <c r="BO16" s="23">
        <f t="shared" si="3"/>
        <v>1186</v>
      </c>
      <c r="BP16" s="23">
        <f t="shared" si="3"/>
        <v>137</v>
      </c>
      <c r="BQ16" s="23">
        <f t="shared" si="3"/>
        <v>5582</v>
      </c>
      <c r="BR16" s="23">
        <f t="shared" si="3"/>
        <v>4474.5</v>
      </c>
      <c r="BS16" s="23">
        <f t="shared" si="3"/>
        <v>1158</v>
      </c>
      <c r="BT16" s="23">
        <f t="shared" si="3"/>
        <v>353</v>
      </c>
      <c r="BU16" s="23">
        <f t="shared" si="3"/>
        <v>382</v>
      </c>
      <c r="BV16" s="23">
        <f t="shared" si="3"/>
        <v>1243</v>
      </c>
      <c r="BW16" s="23">
        <f t="shared" si="3"/>
        <v>2017.5</v>
      </c>
      <c r="BX16" s="23">
        <f t="shared" si="3"/>
        <v>57</v>
      </c>
      <c r="BY16" s="23">
        <f t="shared" si="3"/>
        <v>392.5</v>
      </c>
      <c r="BZ16" s="23">
        <f t="shared" si="3"/>
        <v>228</v>
      </c>
      <c r="CA16" s="23">
        <f t="shared" si="3"/>
        <v>141.5</v>
      </c>
      <c r="CB16" s="23">
        <f t="shared" si="3"/>
        <v>70207.5</v>
      </c>
      <c r="CC16" s="23">
        <f t="shared" si="3"/>
        <v>186</v>
      </c>
      <c r="CD16" s="23">
        <f t="shared" si="3"/>
        <v>30</v>
      </c>
      <c r="CE16" s="23">
        <f t="shared" si="3"/>
        <v>158</v>
      </c>
      <c r="CF16" s="23">
        <f t="shared" si="3"/>
        <v>100</v>
      </c>
      <c r="CG16" s="23">
        <f t="shared" si="3"/>
        <v>191</v>
      </c>
      <c r="CH16" s="23">
        <f t="shared" si="3"/>
        <v>90</v>
      </c>
      <c r="CI16" s="23">
        <f t="shared" si="3"/>
        <v>683</v>
      </c>
      <c r="CJ16" s="23">
        <f t="shared" si="3"/>
        <v>822.5</v>
      </c>
      <c r="CK16" s="23">
        <f t="shared" si="3"/>
        <v>4188.5</v>
      </c>
      <c r="CL16" s="23">
        <f t="shared" si="3"/>
        <v>1148</v>
      </c>
      <c r="CM16" s="23">
        <f t="shared" si="3"/>
        <v>675.5</v>
      </c>
      <c r="CN16" s="23">
        <f t="shared" si="3"/>
        <v>27905.5</v>
      </c>
      <c r="CO16" s="23">
        <f t="shared" si="3"/>
        <v>13919.5</v>
      </c>
      <c r="CP16" s="23">
        <f t="shared" si="3"/>
        <v>856.5</v>
      </c>
      <c r="CQ16" s="23">
        <f t="shared" si="3"/>
        <v>759</v>
      </c>
      <c r="CR16" s="23">
        <f t="shared" si="3"/>
        <v>195</v>
      </c>
      <c r="CS16" s="23">
        <f t="shared" si="3"/>
        <v>245.5</v>
      </c>
      <c r="CT16" s="23">
        <f t="shared" si="3"/>
        <v>112</v>
      </c>
      <c r="CU16" s="23">
        <f t="shared" si="3"/>
        <v>67</v>
      </c>
      <c r="CV16" s="23">
        <f t="shared" si="3"/>
        <v>24</v>
      </c>
      <c r="CW16" s="23">
        <f t="shared" si="3"/>
        <v>187</v>
      </c>
      <c r="CX16" s="23">
        <f t="shared" si="3"/>
        <v>457</v>
      </c>
      <c r="CY16" s="23">
        <f t="shared" si="3"/>
        <v>25</v>
      </c>
      <c r="CZ16" s="23">
        <f t="shared" si="3"/>
        <v>1768</v>
      </c>
      <c r="DA16" s="23">
        <f t="shared" si="3"/>
        <v>203.5</v>
      </c>
      <c r="DB16" s="23">
        <f t="shared" si="3"/>
        <v>310.5</v>
      </c>
      <c r="DC16" s="23">
        <f t="shared" si="3"/>
        <v>193</v>
      </c>
      <c r="DD16" s="23">
        <f t="shared" si="3"/>
        <v>174.5</v>
      </c>
      <c r="DE16" s="23">
        <f t="shared" si="3"/>
        <v>279.5</v>
      </c>
      <c r="DF16" s="23">
        <f t="shared" si="3"/>
        <v>18445.5</v>
      </c>
      <c r="DG16" s="23">
        <f t="shared" si="3"/>
        <v>93.5</v>
      </c>
      <c r="DH16" s="23">
        <f t="shared" si="3"/>
        <v>1684</v>
      </c>
      <c r="DI16" s="23">
        <f t="shared" si="3"/>
        <v>2289</v>
      </c>
      <c r="DJ16" s="23">
        <f t="shared" si="3"/>
        <v>600</v>
      </c>
      <c r="DK16" s="23">
        <f t="shared" si="3"/>
        <v>472.5</v>
      </c>
      <c r="DL16" s="23">
        <f t="shared" si="3"/>
        <v>5616</v>
      </c>
      <c r="DM16" s="23">
        <f t="shared" si="3"/>
        <v>235</v>
      </c>
      <c r="DN16" s="23">
        <f t="shared" si="3"/>
        <v>1294.5</v>
      </c>
      <c r="DO16" s="23">
        <f t="shared" si="3"/>
        <v>3290</v>
      </c>
      <c r="DP16" s="23">
        <f t="shared" si="3"/>
        <v>199</v>
      </c>
      <c r="DQ16" s="23">
        <f t="shared" si="3"/>
        <v>887</v>
      </c>
      <c r="DR16" s="23">
        <f t="shared" si="3"/>
        <v>1266</v>
      </c>
      <c r="DS16" s="23">
        <f t="shared" si="3"/>
        <v>545</v>
      </c>
      <c r="DT16" s="23">
        <f t="shared" si="3"/>
        <v>175</v>
      </c>
      <c r="DU16" s="23">
        <f t="shared" si="3"/>
        <v>346</v>
      </c>
      <c r="DV16" s="23">
        <f t="shared" si="3"/>
        <v>198</v>
      </c>
      <c r="DW16" s="23">
        <f t="shared" si="3"/>
        <v>285</v>
      </c>
      <c r="DX16" s="23">
        <f t="shared" si="3"/>
        <v>168</v>
      </c>
      <c r="DY16" s="23">
        <f t="shared" si="3"/>
        <v>280</v>
      </c>
      <c r="DZ16" s="23">
        <f t="shared" si="3"/>
        <v>606.5</v>
      </c>
      <c r="EA16" s="23">
        <f t="shared" si="3"/>
        <v>487.5</v>
      </c>
      <c r="EB16" s="23">
        <f t="shared" si="3"/>
        <v>498</v>
      </c>
      <c r="EC16" s="23">
        <f t="shared" si="3"/>
        <v>260</v>
      </c>
      <c r="ED16" s="23">
        <f t="shared" si="3"/>
        <v>1546.5</v>
      </c>
      <c r="EE16" s="23">
        <f t="shared" si="3"/>
        <v>185.5</v>
      </c>
      <c r="EF16" s="23">
        <f t="shared" si="3"/>
        <v>1260</v>
      </c>
      <c r="EG16" s="23">
        <f t="shared" si="3"/>
        <v>250</v>
      </c>
      <c r="EH16" s="23">
        <f t="shared" si="3"/>
        <v>246</v>
      </c>
      <c r="EI16" s="23">
        <f t="shared" si="3"/>
        <v>13258.5</v>
      </c>
      <c r="EJ16" s="23">
        <f t="shared" si="3"/>
        <v>9752</v>
      </c>
      <c r="EK16" s="23">
        <f t="shared" si="3"/>
        <v>663.5</v>
      </c>
      <c r="EL16" s="23">
        <f t="shared" si="3"/>
        <v>447</v>
      </c>
      <c r="EM16" s="23">
        <f t="shared" si="3"/>
        <v>355</v>
      </c>
      <c r="EN16" s="23">
        <f t="shared" si="3"/>
        <v>876.5</v>
      </c>
      <c r="EO16" s="23">
        <f t="shared" si="3"/>
        <v>287</v>
      </c>
      <c r="EP16" s="23">
        <f t="shared" si="3"/>
        <v>428.5</v>
      </c>
      <c r="EQ16" s="23">
        <f t="shared" si="3"/>
        <v>2405</v>
      </c>
      <c r="ER16" s="23">
        <f t="shared" si="3"/>
        <v>306.5</v>
      </c>
      <c r="ES16" s="23">
        <f t="shared" si="3"/>
        <v>155.5</v>
      </c>
      <c r="ET16" s="23">
        <f t="shared" si="3"/>
        <v>197.5</v>
      </c>
      <c r="EU16" s="23">
        <f t="shared" si="3"/>
        <v>568</v>
      </c>
      <c r="EV16" s="23">
        <f t="shared" si="3"/>
        <v>66</v>
      </c>
      <c r="EW16" s="23">
        <f t="shared" si="3"/>
        <v>746.5</v>
      </c>
      <c r="EX16" s="23">
        <f t="shared" si="3"/>
        <v>173.5</v>
      </c>
      <c r="EY16" s="23">
        <f t="shared" si="3"/>
        <v>201</v>
      </c>
      <c r="EZ16" s="23">
        <f t="shared" si="3"/>
        <v>127</v>
      </c>
      <c r="FA16" s="23">
        <f t="shared" si="3"/>
        <v>3245</v>
      </c>
      <c r="FB16" s="23">
        <f t="shared" si="3"/>
        <v>275.5</v>
      </c>
      <c r="FC16" s="23">
        <f t="shared" si="3"/>
        <v>1640</v>
      </c>
      <c r="FD16" s="23">
        <f t="shared" si="3"/>
        <v>399</v>
      </c>
      <c r="FE16" s="23">
        <f t="shared" si="3"/>
        <v>70</v>
      </c>
      <c r="FF16" s="23">
        <f t="shared" si="3"/>
        <v>175</v>
      </c>
      <c r="FG16" s="23">
        <f t="shared" si="3"/>
        <v>114</v>
      </c>
      <c r="FH16" s="23">
        <f t="shared" si="3"/>
        <v>69</v>
      </c>
      <c r="FI16" s="23">
        <f t="shared" si="3"/>
        <v>1645</v>
      </c>
      <c r="FJ16" s="23">
        <f t="shared" si="3"/>
        <v>2016.5</v>
      </c>
      <c r="FK16" s="23">
        <f t="shared" si="3"/>
        <v>2482</v>
      </c>
      <c r="FL16" s="23">
        <f t="shared" si="3"/>
        <v>8537.5</v>
      </c>
      <c r="FM16" s="23">
        <f t="shared" si="3"/>
        <v>3981.5</v>
      </c>
      <c r="FN16" s="23">
        <f t="shared" si="3"/>
        <v>22420.5</v>
      </c>
      <c r="FO16" s="23">
        <f t="shared" si="3"/>
        <v>1117</v>
      </c>
      <c r="FP16" s="23">
        <f t="shared" si="3"/>
        <v>2341.5</v>
      </c>
      <c r="FQ16" s="23">
        <f t="shared" si="3"/>
        <v>982.5</v>
      </c>
      <c r="FR16" s="23">
        <f t="shared" si="3"/>
        <v>162.5</v>
      </c>
      <c r="FS16" s="23">
        <f t="shared" si="3"/>
        <v>160.5</v>
      </c>
      <c r="FT16" s="23" t="e">
        <f t="shared" ca="1" si="3"/>
        <v>#NAME?</v>
      </c>
      <c r="FU16" s="23">
        <f t="shared" si="3"/>
        <v>760</v>
      </c>
      <c r="FV16" s="23">
        <f t="shared" si="3"/>
        <v>692</v>
      </c>
      <c r="FW16" s="23">
        <f t="shared" si="3"/>
        <v>128</v>
      </c>
      <c r="FX16" s="23">
        <f t="shared" si="3"/>
        <v>64</v>
      </c>
      <c r="FY16" s="23"/>
      <c r="FZ16" s="23" t="e">
        <f t="shared" ref="FZ16:FZ18" ca="1" si="4">SUM(C16:FX16)</f>
        <v>#NAME?</v>
      </c>
      <c r="GA16" s="30"/>
      <c r="GB16" s="23" t="e">
        <f ca="1">FZ16-GA16</f>
        <v>#NAME?</v>
      </c>
      <c r="GC16" s="23"/>
      <c r="GD16" s="23"/>
      <c r="GE16" s="7"/>
      <c r="GF16" s="7"/>
      <c r="GG16" s="7"/>
      <c r="GH16" s="7"/>
      <c r="GI16" s="7"/>
      <c r="GJ16" s="7"/>
      <c r="GK16" s="7"/>
      <c r="GL16" s="31"/>
      <c r="GM16" s="31"/>
    </row>
    <row r="17" spans="1:207" ht="15" customHeight="1" x14ac:dyDescent="0.35">
      <c r="A17" s="12" t="s">
        <v>457</v>
      </c>
      <c r="B17" s="23" t="s">
        <v>466</v>
      </c>
      <c r="C17" s="25">
        <f>IF(C5=DistCalc!$C$4,DistCalc!$D17,'New Formula with HB25-1320'!C17)</f>
        <v>2311</v>
      </c>
      <c r="D17" s="25">
        <f>IF(D5=DistCalc!$C$4,DistCalc!$D17,'New Formula with HB25-1320'!D17)</f>
        <v>9785</v>
      </c>
      <c r="E17" s="25">
        <f>IF(E5=DistCalc!$C$4,DistCalc!$D17,'New Formula with HB25-1320'!E17)</f>
        <v>2809</v>
      </c>
      <c r="F17" s="25">
        <f>IF(F5=DistCalc!$C$4,DistCalc!$D17,'New Formula with HB25-1320'!F17)</f>
        <v>3989</v>
      </c>
      <c r="G17" s="25">
        <f>IF(G5=DistCalc!$C$4,DistCalc!$D17,'New Formula with HB25-1320'!G17)</f>
        <v>189</v>
      </c>
      <c r="H17" s="25">
        <f>IF(H5=DistCalc!$C$4,DistCalc!$D17,'New Formula with HB25-1320'!H17)</f>
        <v>169</v>
      </c>
      <c r="I17" s="25">
        <f>IF(I5=DistCalc!$C$4,DistCalc!$D17,'New Formula with HB25-1320'!I17)</f>
        <v>4032</v>
      </c>
      <c r="J17" s="25">
        <f>IF(J5=DistCalc!$C$4,DistCalc!$D17,'New Formula with HB25-1320'!J17)</f>
        <v>831</v>
      </c>
      <c r="K17" s="25">
        <f>IF(K5=DistCalc!$C$4,DistCalc!$D17,'New Formula with HB25-1320'!K17)</f>
        <v>83</v>
      </c>
      <c r="L17" s="25">
        <f>IF(L5=DistCalc!$C$4,DistCalc!$D17,'New Formula with HB25-1320'!L17)</f>
        <v>732</v>
      </c>
      <c r="M17" s="25">
        <f>IF(M5=DistCalc!$C$4,DistCalc!$D17,'New Formula with HB25-1320'!M17)</f>
        <v>521</v>
      </c>
      <c r="N17" s="25">
        <f>IF(N5=DistCalc!$C$4,DistCalc!$D17,'New Formula with HB25-1320'!N17)</f>
        <v>8671</v>
      </c>
      <c r="O17" s="25">
        <f>IF(O5=DistCalc!$C$4,DistCalc!$D17,'New Formula with HB25-1320'!O17)</f>
        <v>1022</v>
      </c>
      <c r="P17" s="25">
        <f>IF(P5=DistCalc!$C$4,DistCalc!$D17,'New Formula with HB25-1320'!P17)</f>
        <v>65</v>
      </c>
      <c r="Q17" s="25">
        <f>IF(Q5=DistCalc!$C$4,DistCalc!$D17,'New Formula with HB25-1320'!Q17)</f>
        <v>17070</v>
      </c>
      <c r="R17" s="25">
        <f>IF(R5=DistCalc!$C$4,DistCalc!$D17,'New Formula with HB25-1320'!R17)</f>
        <v>839</v>
      </c>
      <c r="S17" s="25">
        <f>IF(S5=DistCalc!$C$4,DistCalc!$D17,'New Formula with HB25-1320'!S17)</f>
        <v>529</v>
      </c>
      <c r="T17" s="25">
        <f>IF(T5=DistCalc!$C$4,DistCalc!$D17,'New Formula with HB25-1320'!T17)</f>
        <v>57</v>
      </c>
      <c r="U17" s="25">
        <f>IF(U5=DistCalc!$C$4,DistCalc!$D17,'New Formula with HB25-1320'!U17)</f>
        <v>22</v>
      </c>
      <c r="V17" s="25">
        <f>IF(V5=DistCalc!$C$4,DistCalc!$D17,'New Formula with HB25-1320'!V17)</f>
        <v>100</v>
      </c>
      <c r="W17" s="25">
        <f>IF(W5=DistCalc!$C$4,DistCalc!$D17,'New Formula with HB25-1320'!W17)</f>
        <v>50</v>
      </c>
      <c r="X17" s="25">
        <f>IF(X5=DistCalc!$C$4,DistCalc!$D17,'New Formula with HB25-1320'!X17)</f>
        <v>14</v>
      </c>
      <c r="Y17" s="25">
        <f>IF(Y5=DistCalc!$C$4,DistCalc!$D17,'New Formula with HB25-1320'!Y17)</f>
        <v>276</v>
      </c>
      <c r="Z17" s="25">
        <f>IF(Z5=DistCalc!$C$4,DistCalc!$D17,'New Formula with HB25-1320'!Z17)</f>
        <v>60</v>
      </c>
      <c r="AA17" s="25">
        <f>IF(AA5=DistCalc!$C$4,DistCalc!$D17,'New Formula with HB25-1320'!AA17)</f>
        <v>5295</v>
      </c>
      <c r="AB17" s="25">
        <f>IF(AB5=DistCalc!$C$4,DistCalc!$D17,'New Formula with HB25-1320'!AB17)</f>
        <v>3397</v>
      </c>
      <c r="AC17" s="25">
        <f>IF(AC5=DistCalc!$C$4,DistCalc!$D17,'New Formula with HB25-1320'!AC17)</f>
        <v>123</v>
      </c>
      <c r="AD17" s="25">
        <f>IF(AD5=DistCalc!$C$4,DistCalc!$D17,'New Formula with HB25-1320'!AD17)</f>
        <v>283</v>
      </c>
      <c r="AE17" s="25">
        <f>IF(AE5=DistCalc!$C$4,DistCalc!$D17,'New Formula with HB25-1320'!AE17)</f>
        <v>20</v>
      </c>
      <c r="AF17" s="25">
        <f>IF(AF5=DistCalc!$C$4,DistCalc!$D17,'New Formula with HB25-1320'!AF17)</f>
        <v>34</v>
      </c>
      <c r="AG17" s="25">
        <f>IF(AG5=DistCalc!$C$4,DistCalc!$D17,'New Formula with HB25-1320'!AG17)</f>
        <v>74</v>
      </c>
      <c r="AH17" s="25">
        <f>IF(AH5=DistCalc!$C$4,DistCalc!$D17,'New Formula with HB25-1320'!AH17)</f>
        <v>356</v>
      </c>
      <c r="AI17" s="25">
        <f>IF(AI5=DistCalc!$C$4,DistCalc!$D17,'New Formula with HB25-1320'!AI17)</f>
        <v>129</v>
      </c>
      <c r="AJ17" s="25">
        <f>IF(AJ5=DistCalc!$C$4,DistCalc!$D17,'New Formula with HB25-1320'!AJ17)</f>
        <v>71</v>
      </c>
      <c r="AK17" s="25">
        <f>IF(AK5=DistCalc!$C$4,DistCalc!$D17,'New Formula with HB25-1320'!AK17)</f>
        <v>106</v>
      </c>
      <c r="AL17" s="25">
        <f>IF(AL5=DistCalc!$C$4,DistCalc!$D17,'New Formula with HB25-1320'!AL17)</f>
        <v>109</v>
      </c>
      <c r="AM17" s="25">
        <f>IF(AM5=DistCalc!$C$4,DistCalc!$D17,'New Formula with HB25-1320'!AM17)</f>
        <v>175</v>
      </c>
      <c r="AN17" s="25">
        <f>IF(AN5=DistCalc!$C$4,DistCalc!$D17,'New Formula with HB25-1320'!AN17)</f>
        <v>98</v>
      </c>
      <c r="AO17" s="25">
        <f>IF(AO5=DistCalc!$C$4,DistCalc!$D17,'New Formula with HB25-1320'!AO17)</f>
        <v>1189</v>
      </c>
      <c r="AP17" s="25">
        <f>IF(AP5=DistCalc!$C$4,DistCalc!$D17,'New Formula with HB25-1320'!AP17)</f>
        <v>30699</v>
      </c>
      <c r="AQ17" s="25">
        <f>IF(AQ5=DistCalc!$C$4,DistCalc!$D17,'New Formula with HB25-1320'!AQ17)</f>
        <v>74</v>
      </c>
      <c r="AR17" s="25">
        <f>IF(AR5=DistCalc!$C$4,DistCalc!$D17,'New Formula with HB25-1320'!AR17)</f>
        <v>3849</v>
      </c>
      <c r="AS17" s="25">
        <f>IF(AS5=DistCalc!$C$4,DistCalc!$D17,'New Formula with HB25-1320'!AS17)</f>
        <v>1103</v>
      </c>
      <c r="AT17" s="25">
        <f>IF(AT5=DistCalc!$C$4,DistCalc!$D17,'New Formula with HB25-1320'!AT17)</f>
        <v>221</v>
      </c>
      <c r="AU17" s="25">
        <f>IF(AU5=DistCalc!$C$4,DistCalc!$D17,'New Formula with HB25-1320'!AU17)</f>
        <v>48</v>
      </c>
      <c r="AV17" s="25">
        <f>IF(AV5=DistCalc!$C$4,DistCalc!$D17,'New Formula with HB25-1320'!AV17)</f>
        <v>107</v>
      </c>
      <c r="AW17" s="25">
        <f>IF(AW5=DistCalc!$C$4,DistCalc!$D17,'New Formula with HB25-1320'!AW17)</f>
        <v>42</v>
      </c>
      <c r="AX17" s="25">
        <f>IF(AX5=DistCalc!$C$4,DistCalc!$D17,'New Formula with HB25-1320'!AX17)</f>
        <v>0</v>
      </c>
      <c r="AY17" s="25">
        <f>IF(AY5=DistCalc!$C$4,DistCalc!$D17,'New Formula with HB25-1320'!AY17)</f>
        <v>133</v>
      </c>
      <c r="AZ17" s="25">
        <f>IF(AZ5=DistCalc!$C$4,DistCalc!$D17,'New Formula with HB25-1320'!AZ17)</f>
        <v>5157</v>
      </c>
      <c r="BA17" s="25">
        <f>IF(BA5=DistCalc!$C$4,DistCalc!$D17,'New Formula with HB25-1320'!BA17)</f>
        <v>2278</v>
      </c>
      <c r="BB17" s="25">
        <f>IF(BB5=DistCalc!$C$4,DistCalc!$D17,'New Formula with HB25-1320'!BB17)</f>
        <v>2184</v>
      </c>
      <c r="BC17" s="25">
        <f>IF(BC5=DistCalc!$C$4,DistCalc!$D17,'New Formula with HB25-1320'!BC17)</f>
        <v>8604</v>
      </c>
      <c r="BD17" s="25">
        <f>IF(BD5=DistCalc!$C$4,DistCalc!$D17,'New Formula with HB25-1320'!BD17)</f>
        <v>170</v>
      </c>
      <c r="BE17" s="25">
        <f>IF(BE5=DistCalc!$C$4,DistCalc!$D17,'New Formula with HB25-1320'!BE17)</f>
        <v>210</v>
      </c>
      <c r="BF17" s="25">
        <f>IF(BF5=DistCalc!$C$4,DistCalc!$D17,'New Formula with HB25-1320'!BF17)</f>
        <v>1507</v>
      </c>
      <c r="BG17" s="25">
        <f>IF(BG5=DistCalc!$C$4,DistCalc!$D17,'New Formula with HB25-1320'!BG17)</f>
        <v>224</v>
      </c>
      <c r="BH17" s="25">
        <f>IF(BH5=DistCalc!$C$4,DistCalc!$D17,'New Formula with HB25-1320'!BH17)</f>
        <v>65</v>
      </c>
      <c r="BI17" s="25">
        <f>IF(BI5=DistCalc!$C$4,DistCalc!$D17,'New Formula with HB25-1320'!BI17)</f>
        <v>101</v>
      </c>
      <c r="BJ17" s="25">
        <f>IF(BJ5=DistCalc!$C$4,DistCalc!$D17,'New Formula with HB25-1320'!BJ17)</f>
        <v>387</v>
      </c>
      <c r="BK17" s="25">
        <f>IF(BK5=DistCalc!$C$4,DistCalc!$D17,'New Formula with HB25-1320'!BK17)</f>
        <v>3764</v>
      </c>
      <c r="BL17" s="25">
        <f>IF(BL5=DistCalc!$C$4,DistCalc!$D17,'New Formula with HB25-1320'!BL17)</f>
        <v>24</v>
      </c>
      <c r="BM17" s="25">
        <f>IF(BM5=DistCalc!$C$4,DistCalc!$D17,'New Formula with HB25-1320'!BM17)</f>
        <v>92</v>
      </c>
      <c r="BN17" s="25">
        <f>IF(BN5=DistCalc!$C$4,DistCalc!$D17,'New Formula with HB25-1320'!BN17)</f>
        <v>1087</v>
      </c>
      <c r="BO17" s="25">
        <f>IF(BO5=DistCalc!$C$4,DistCalc!$D17,'New Formula with HB25-1320'!BO17)</f>
        <v>366</v>
      </c>
      <c r="BP17" s="25">
        <f>IF(BP5=DistCalc!$C$4,DistCalc!$D17,'New Formula with HB25-1320'!BP17)</f>
        <v>82</v>
      </c>
      <c r="BQ17" s="25">
        <f>IF(BQ5=DistCalc!$C$4,DistCalc!$D17,'New Formula with HB25-1320'!BQ17)</f>
        <v>1279</v>
      </c>
      <c r="BR17" s="25">
        <f>IF(BR5=DistCalc!$C$4,DistCalc!$D17,'New Formula with HB25-1320'!BR17)</f>
        <v>1093</v>
      </c>
      <c r="BS17" s="25">
        <f>IF(BS5=DistCalc!$C$4,DistCalc!$D17,'New Formula with HB25-1320'!BS17)</f>
        <v>465</v>
      </c>
      <c r="BT17" s="25">
        <f>IF(BT5=DistCalc!$C$4,DistCalc!$D17,'New Formula with HB25-1320'!BT17)</f>
        <v>61</v>
      </c>
      <c r="BU17" s="25">
        <f>IF(BU5=DistCalc!$C$4,DistCalc!$D17,'New Formula with HB25-1320'!BU17)</f>
        <v>78</v>
      </c>
      <c r="BV17" s="25">
        <f>IF(BV5=DistCalc!$C$4,DistCalc!$D17,'New Formula with HB25-1320'!BV17)</f>
        <v>206</v>
      </c>
      <c r="BW17" s="25">
        <f>IF(BW5=DistCalc!$C$4,DistCalc!$D17,'New Formula with HB25-1320'!BW17)</f>
        <v>217</v>
      </c>
      <c r="BX17" s="25">
        <f>IF(BX5=DistCalc!$C$4,DistCalc!$D17,'New Formula with HB25-1320'!BX17)</f>
        <v>14</v>
      </c>
      <c r="BY17" s="25">
        <f>IF(BY5=DistCalc!$C$4,DistCalc!$D17,'New Formula with HB25-1320'!BY17)</f>
        <v>256</v>
      </c>
      <c r="BZ17" s="25">
        <f>IF(BZ5=DistCalc!$C$4,DistCalc!$D17,'New Formula with HB25-1320'!BZ17)</f>
        <v>55</v>
      </c>
      <c r="CA17" s="25">
        <f>IF(CA5=DistCalc!$C$4,DistCalc!$D17,'New Formula with HB25-1320'!CA17)</f>
        <v>33</v>
      </c>
      <c r="CB17" s="25">
        <f>IF(CB5=DistCalc!$C$4,DistCalc!$D17,'New Formula with HB25-1320'!CB17)</f>
        <v>13384</v>
      </c>
      <c r="CC17" s="25">
        <f>IF(CC5=DistCalc!$C$4,DistCalc!$D17,'New Formula with HB25-1320'!CC17)</f>
        <v>49</v>
      </c>
      <c r="CD17" s="25">
        <f>IF(CD5=DistCalc!$C$4,DistCalc!$D17,'New Formula with HB25-1320'!CD17)</f>
        <v>7</v>
      </c>
      <c r="CE17" s="25">
        <f>IF(CE5=DistCalc!$C$4,DistCalc!$D17,'New Formula with HB25-1320'!CE17)</f>
        <v>25</v>
      </c>
      <c r="CF17" s="25">
        <f>IF(CF5=DistCalc!$C$4,DistCalc!$D17,'New Formula with HB25-1320'!CF17)</f>
        <v>41</v>
      </c>
      <c r="CG17" s="25">
        <f>IF(CG5=DistCalc!$C$4,DistCalc!$D17,'New Formula with HB25-1320'!CG17)</f>
        <v>63</v>
      </c>
      <c r="CH17" s="25">
        <f>IF(CH5=DistCalc!$C$4,DistCalc!$D17,'New Formula with HB25-1320'!CH17)</f>
        <v>36</v>
      </c>
      <c r="CI17" s="25">
        <f>IF(CI5=DistCalc!$C$4,DistCalc!$D17,'New Formula with HB25-1320'!CI17)</f>
        <v>281</v>
      </c>
      <c r="CJ17" s="25">
        <f>IF(CJ5=DistCalc!$C$4,DistCalc!$D17,'New Formula with HB25-1320'!CJ17)</f>
        <v>280</v>
      </c>
      <c r="CK17" s="25">
        <f>IF(CK5=DistCalc!$C$4,DistCalc!$D17,'New Formula with HB25-1320'!CK17)</f>
        <v>852</v>
      </c>
      <c r="CL17" s="25">
        <f>IF(CL5=DistCalc!$C$4,DistCalc!$D17,'New Formula with HB25-1320'!CL17)</f>
        <v>250</v>
      </c>
      <c r="CM17" s="25">
        <f>IF(CM5=DistCalc!$C$4,DistCalc!$D17,'New Formula with HB25-1320'!CM17)</f>
        <v>180</v>
      </c>
      <c r="CN17" s="25">
        <f>IF(CN5=DistCalc!$C$4,DistCalc!$D17,'New Formula with HB25-1320'!CN17)</f>
        <v>4931</v>
      </c>
      <c r="CO17" s="25">
        <f>IF(CO5=DistCalc!$C$4,DistCalc!$D17,'New Formula with HB25-1320'!CO17)</f>
        <v>2428</v>
      </c>
      <c r="CP17" s="25">
        <f>IF(CP5=DistCalc!$C$4,DistCalc!$D17,'New Formula with HB25-1320'!CP17)</f>
        <v>198</v>
      </c>
      <c r="CQ17" s="25">
        <f>IF(CQ5=DistCalc!$C$4,DistCalc!$D17,'New Formula with HB25-1320'!CQ17)</f>
        <v>352</v>
      </c>
      <c r="CR17" s="25">
        <f>IF(CR5=DistCalc!$C$4,DistCalc!$D17,'New Formula with HB25-1320'!CR17)</f>
        <v>62</v>
      </c>
      <c r="CS17" s="25">
        <f>IF(CS5=DistCalc!$C$4,DistCalc!$D17,'New Formula with HB25-1320'!CS17)</f>
        <v>80</v>
      </c>
      <c r="CT17" s="25">
        <f>IF(CT5=DistCalc!$C$4,DistCalc!$D17,'New Formula with HB25-1320'!CT17)</f>
        <v>54</v>
      </c>
      <c r="CU17" s="25">
        <f>IF(CU5=DistCalc!$C$4,DistCalc!$D17,'New Formula with HB25-1320'!CU17)</f>
        <v>68</v>
      </c>
      <c r="CV17" s="25">
        <f>IF(CV5=DistCalc!$C$4,DistCalc!$D17,'New Formula with HB25-1320'!CV17)</f>
        <v>3</v>
      </c>
      <c r="CW17" s="25">
        <f>IF(CW5=DistCalc!$C$4,DistCalc!$D17,'New Formula with HB25-1320'!CW17)</f>
        <v>53</v>
      </c>
      <c r="CX17" s="25">
        <f>IF(CX5=DistCalc!$C$4,DistCalc!$D17,'New Formula with HB25-1320'!CX17)</f>
        <v>117</v>
      </c>
      <c r="CY17" s="25">
        <f>IF(CY5=DistCalc!$C$4,DistCalc!$D17,'New Formula with HB25-1320'!CY17)</f>
        <v>13.2</v>
      </c>
      <c r="CZ17" s="25">
        <f>IF(CZ5=DistCalc!$C$4,DistCalc!$D17,'New Formula with HB25-1320'!CZ17)</f>
        <v>677</v>
      </c>
      <c r="DA17" s="25">
        <f>IF(DA5=DistCalc!$C$4,DistCalc!$D17,'New Formula with HB25-1320'!DA17)</f>
        <v>36</v>
      </c>
      <c r="DB17" s="25">
        <f>IF(DB5=DistCalc!$C$4,DistCalc!$D17,'New Formula with HB25-1320'!DB17)</f>
        <v>59</v>
      </c>
      <c r="DC17" s="25">
        <f>IF(DC5=DistCalc!$C$4,DistCalc!$D17,'New Formula with HB25-1320'!DC17)</f>
        <v>28</v>
      </c>
      <c r="DD17" s="25">
        <f>IF(DD5=DistCalc!$C$4,DistCalc!$D17,'New Formula with HB25-1320'!DD17)</f>
        <v>41</v>
      </c>
      <c r="DE17" s="25">
        <f>IF(DE5=DistCalc!$C$4,DistCalc!$D17,'New Formula with HB25-1320'!DE17)</f>
        <v>34</v>
      </c>
      <c r="DF17" s="25">
        <f>IF(DF5=DistCalc!$C$4,DistCalc!$D17,'New Formula with HB25-1320'!DF17)</f>
        <v>5994</v>
      </c>
      <c r="DG17" s="25">
        <f>IF(DG5=DistCalc!$C$4,DistCalc!$D17,'New Formula with HB25-1320'!DG17)</f>
        <v>20</v>
      </c>
      <c r="DH17" s="25">
        <f>IF(DH5=DistCalc!$C$4,DistCalc!$D17,'New Formula with HB25-1320'!DH17)</f>
        <v>548</v>
      </c>
      <c r="DI17" s="25">
        <f>IF(DI5=DistCalc!$C$4,DistCalc!$D17,'New Formula with HB25-1320'!DI17)</f>
        <v>1006</v>
      </c>
      <c r="DJ17" s="25">
        <f>IF(DJ5=DistCalc!$C$4,DistCalc!$D17,'New Formula with HB25-1320'!DJ17)</f>
        <v>126</v>
      </c>
      <c r="DK17" s="25">
        <f>IF(DK5=DistCalc!$C$4,DistCalc!$D17,'New Formula with HB25-1320'!DK17)</f>
        <v>132</v>
      </c>
      <c r="DL17" s="25">
        <f>IF(DL5=DistCalc!$C$4,DistCalc!$D17,'New Formula with HB25-1320'!DL17)</f>
        <v>1818</v>
      </c>
      <c r="DM17" s="25">
        <f>IF(DM5=DistCalc!$C$4,DistCalc!$D17,'New Formula with HB25-1320'!DM17)</f>
        <v>81</v>
      </c>
      <c r="DN17" s="25">
        <f>IF(DN5=DistCalc!$C$4,DistCalc!$D17,'New Formula with HB25-1320'!DN17)</f>
        <v>418</v>
      </c>
      <c r="DO17" s="25">
        <f>IF(DO5=DistCalc!$C$4,DistCalc!$D17,'New Formula with HB25-1320'!DO17)</f>
        <v>925</v>
      </c>
      <c r="DP17" s="25">
        <f>IF(DP5=DistCalc!$C$4,DistCalc!$D17,'New Formula with HB25-1320'!DP17)</f>
        <v>47</v>
      </c>
      <c r="DQ17" s="25">
        <f>IF(DQ5=DistCalc!$C$4,DistCalc!$D17,'New Formula with HB25-1320'!DQ17)</f>
        <v>162</v>
      </c>
      <c r="DR17" s="25">
        <f>IF(DR5=DistCalc!$C$4,DistCalc!$D17,'New Formula with HB25-1320'!DR17)</f>
        <v>640</v>
      </c>
      <c r="DS17" s="25">
        <f>IF(DS5=DistCalc!$C$4,DistCalc!$D17,'New Formula with HB25-1320'!DS17)</f>
        <v>342</v>
      </c>
      <c r="DT17" s="25">
        <f>IF(DT5=DistCalc!$C$4,DistCalc!$D17,'New Formula with HB25-1320'!DT17)</f>
        <v>72</v>
      </c>
      <c r="DU17" s="25">
        <f>IF(DU5=DistCalc!$C$4,DistCalc!$D17,'New Formula with HB25-1320'!DU17)</f>
        <v>128</v>
      </c>
      <c r="DV17" s="25">
        <f>IF(DV5=DistCalc!$C$4,DistCalc!$D17,'New Formula with HB25-1320'!DV17)</f>
        <v>56</v>
      </c>
      <c r="DW17" s="25">
        <f>IF(DW5=DistCalc!$C$4,DistCalc!$D17,'New Formula with HB25-1320'!DW17)</f>
        <v>91</v>
      </c>
      <c r="DX17" s="25">
        <f>IF(DX5=DistCalc!$C$4,DistCalc!$D17,'New Formula with HB25-1320'!DX17)</f>
        <v>24</v>
      </c>
      <c r="DY17" s="25">
        <f>IF(DY5=DistCalc!$C$4,DistCalc!$D17,'New Formula with HB25-1320'!DY17)</f>
        <v>27</v>
      </c>
      <c r="DZ17" s="25">
        <f>IF(DZ5=DistCalc!$C$4,DistCalc!$D17,'New Formula with HB25-1320'!DZ17)</f>
        <v>74</v>
      </c>
      <c r="EA17" s="25">
        <f>IF(EA5=DistCalc!$C$4,DistCalc!$D17,'New Formula with HB25-1320'!EA17)</f>
        <v>130</v>
      </c>
      <c r="EB17" s="25">
        <f>IF(EB5=DistCalc!$C$4,DistCalc!$D17,'New Formula with HB25-1320'!EB17)</f>
        <v>172</v>
      </c>
      <c r="EC17" s="25">
        <f>IF(EC5=DistCalc!$C$4,DistCalc!$D17,'New Formula with HB25-1320'!EC17)</f>
        <v>68</v>
      </c>
      <c r="ED17" s="25">
        <f>IF(ED5=DistCalc!$C$4,DistCalc!$D17,'New Formula with HB25-1320'!ED17)</f>
        <v>24</v>
      </c>
      <c r="EE17" s="25">
        <f>IF(EE5=DistCalc!$C$4,DistCalc!$D17,'New Formula with HB25-1320'!EE17)</f>
        <v>69</v>
      </c>
      <c r="EF17" s="25">
        <f>IF(EF5=DistCalc!$C$4,DistCalc!$D17,'New Formula with HB25-1320'!EF17)</f>
        <v>603</v>
      </c>
      <c r="EG17" s="25">
        <f>IF(EG5=DistCalc!$C$4,DistCalc!$D17,'New Formula with HB25-1320'!EG17)</f>
        <v>100</v>
      </c>
      <c r="EH17" s="25">
        <f>IF(EH5=DistCalc!$C$4,DistCalc!$D17,'New Formula with HB25-1320'!EH17)</f>
        <v>68</v>
      </c>
      <c r="EI17" s="25">
        <f>IF(EI5=DistCalc!$C$4,DistCalc!$D17,'New Formula with HB25-1320'!EI17)</f>
        <v>6981</v>
      </c>
      <c r="EJ17" s="25">
        <f>IF(EJ5=DistCalc!$C$4,DistCalc!$D17,'New Formula with HB25-1320'!EJ17)</f>
        <v>2957</v>
      </c>
      <c r="EK17" s="25">
        <f>IF(EK5=DistCalc!$C$4,DistCalc!$D17,'New Formula with HB25-1320'!EK17)</f>
        <v>147</v>
      </c>
      <c r="EL17" s="25">
        <f>IF(EL5=DistCalc!$C$4,DistCalc!$D17,'New Formula with HB25-1320'!EL17)</f>
        <v>123</v>
      </c>
      <c r="EM17" s="25">
        <f>IF(EM5=DistCalc!$C$4,DistCalc!$D17,'New Formula with HB25-1320'!EM17)</f>
        <v>111</v>
      </c>
      <c r="EN17" s="25">
        <f>IF(EN5=DistCalc!$C$4,DistCalc!$D17,'New Formula with HB25-1320'!EN17)</f>
        <v>401</v>
      </c>
      <c r="EO17" s="25">
        <f>IF(EO5=DistCalc!$C$4,DistCalc!$D17,'New Formula with HB25-1320'!EO17)</f>
        <v>68</v>
      </c>
      <c r="EP17" s="25">
        <f>IF(EP5=DistCalc!$C$4,DistCalc!$D17,'New Formula with HB25-1320'!EP17)</f>
        <v>53</v>
      </c>
      <c r="EQ17" s="25">
        <f>IF(EQ5=DistCalc!$C$4,DistCalc!$D17,'New Formula with HB25-1320'!EQ17)</f>
        <v>54</v>
      </c>
      <c r="ER17" s="25">
        <f>IF(ER5=DistCalc!$C$4,DistCalc!$D17,'New Formula with HB25-1320'!ER17)</f>
        <v>52</v>
      </c>
      <c r="ES17" s="25">
        <f>IF(ES5=DistCalc!$C$4,DistCalc!$D17,'New Formula with HB25-1320'!ES17)</f>
        <v>45</v>
      </c>
      <c r="ET17" s="25">
        <f>IF(ET5=DistCalc!$C$4,DistCalc!$D17,'New Formula with HB25-1320'!ET17)</f>
        <v>105</v>
      </c>
      <c r="EU17" s="25">
        <f>IF(EU5=DistCalc!$C$4,DistCalc!$D17,'New Formula with HB25-1320'!EU17)</f>
        <v>308</v>
      </c>
      <c r="EV17" s="25">
        <f>IF(EV5=DistCalc!$C$4,DistCalc!$D17,'New Formula with HB25-1320'!EV17)</f>
        <v>32</v>
      </c>
      <c r="EW17" s="25">
        <f>IF(EW5=DistCalc!$C$4,DistCalc!$D17,'New Formula with HB25-1320'!EW17)</f>
        <v>111</v>
      </c>
      <c r="EX17" s="25">
        <f>IF(EX5=DistCalc!$C$4,DistCalc!$D17,'New Formula with HB25-1320'!EX17)</f>
        <v>40</v>
      </c>
      <c r="EY17" s="25">
        <f>IF(EY5=DistCalc!$C$4,DistCalc!$D17,'New Formula with HB25-1320'!EY17)</f>
        <v>163</v>
      </c>
      <c r="EZ17" s="25">
        <f>IF(EZ5=DistCalc!$C$4,DistCalc!$D17,'New Formula with HB25-1320'!EZ17)</f>
        <v>39</v>
      </c>
      <c r="FA17" s="25">
        <f>IF(FA5=DistCalc!$C$4,DistCalc!$D17,'New Formula with HB25-1320'!FA17)</f>
        <v>619</v>
      </c>
      <c r="FB17" s="25">
        <f>IF(FB5=DistCalc!$C$4,DistCalc!$D17,'New Formula with HB25-1320'!FB17)</f>
        <v>87</v>
      </c>
      <c r="FC17" s="25">
        <f>IF(FC5=DistCalc!$C$4,DistCalc!$D17,'New Formula with HB25-1320'!FC17)</f>
        <v>275</v>
      </c>
      <c r="FD17" s="25">
        <f>IF(FD5=DistCalc!$C$4,DistCalc!$D17,'New Formula with HB25-1320'!FD17)</f>
        <v>127</v>
      </c>
      <c r="FE17" s="25">
        <f>IF(FE5=DistCalc!$C$4,DistCalc!$D17,'New Formula with HB25-1320'!FE17)</f>
        <v>25</v>
      </c>
      <c r="FF17" s="25">
        <f>IF(FF5=DistCalc!$C$4,DistCalc!$D17,'New Formula with HB25-1320'!FF17)</f>
        <v>63</v>
      </c>
      <c r="FG17" s="25">
        <f>IF(FG5=DistCalc!$C$4,DistCalc!$D17,'New Formula with HB25-1320'!FG17)</f>
        <v>16</v>
      </c>
      <c r="FH17" s="25">
        <f>IF(FH5=DistCalc!$C$4,DistCalc!$D17,'New Formula with HB25-1320'!FH17)</f>
        <v>18</v>
      </c>
      <c r="FI17" s="25">
        <f>IF(FI5=DistCalc!$C$4,DistCalc!$D17,'New Formula with HB25-1320'!FI17)</f>
        <v>453</v>
      </c>
      <c r="FJ17" s="25">
        <f>IF(FJ5=DistCalc!$C$4,DistCalc!$D17,'New Formula with HB25-1320'!FJ17)</f>
        <v>369</v>
      </c>
      <c r="FK17" s="25">
        <f>IF(FK5=DistCalc!$C$4,DistCalc!$D17,'New Formula with HB25-1320'!FK17)</f>
        <v>506</v>
      </c>
      <c r="FL17" s="25">
        <f>IF(FL5=DistCalc!$C$4,DistCalc!$D17,'New Formula with HB25-1320'!FL17)</f>
        <v>657</v>
      </c>
      <c r="FM17" s="25">
        <f>IF(FM5=DistCalc!$C$4,DistCalc!$D17,'New Formula with HB25-1320'!FM17)</f>
        <v>275</v>
      </c>
      <c r="FN17" s="25">
        <f>IF(FN5=DistCalc!$C$4,DistCalc!$D17,'New Formula with HB25-1320'!FN17)</f>
        <v>8885</v>
      </c>
      <c r="FO17" s="25">
        <f>IF(FO5=DistCalc!$C$4,DistCalc!$D17,'New Formula with HB25-1320'!FO17)</f>
        <v>307</v>
      </c>
      <c r="FP17" s="25">
        <f>IF(FP5=DistCalc!$C$4,DistCalc!$D17,'New Formula with HB25-1320'!FP17)</f>
        <v>752</v>
      </c>
      <c r="FQ17" s="25">
        <f>IF(FQ5=DistCalc!$C$4,DistCalc!$D17,'New Formula with HB25-1320'!FQ17)</f>
        <v>184</v>
      </c>
      <c r="FR17" s="25">
        <f>IF(FR5=DistCalc!$C$4,DistCalc!$D17,'New Formula with HB25-1320'!FR17)</f>
        <v>31</v>
      </c>
      <c r="FS17" s="25">
        <f>IF(FS5=DistCalc!$C$4,DistCalc!$D17,'New Formula with HB25-1320'!FS17)</f>
        <v>18</v>
      </c>
      <c r="FT17" s="25" t="e">
        <f ca="1">IF(FT5=DistCalc!$C$4,DistCalc!$D17,'New Formula with HB25-1320'!FT17)</f>
        <v>#NAME?</v>
      </c>
      <c r="FU17" s="25">
        <f>IF(FU5=DistCalc!$C$4,DistCalc!$D17,'New Formula with HB25-1320'!FU17)</f>
        <v>332</v>
      </c>
      <c r="FV17" s="25">
        <f>IF(FV5=DistCalc!$C$4,DistCalc!$D17,'New Formula with HB25-1320'!FV17)</f>
        <v>237</v>
      </c>
      <c r="FW17" s="25">
        <f>IF(FW5=DistCalc!$C$4,DistCalc!$D17,'New Formula with HB25-1320'!FW17)</f>
        <v>50</v>
      </c>
      <c r="FX17" s="25">
        <f>IF(FX5=DistCalc!$C$4,DistCalc!$D17,'New Formula with HB25-1320'!FX17)</f>
        <v>16</v>
      </c>
      <c r="FY17" s="32"/>
      <c r="FZ17" s="23" t="e">
        <f t="shared" ca="1" si="4"/>
        <v>#NAME?</v>
      </c>
      <c r="GA17" s="23"/>
      <c r="GB17" s="23"/>
      <c r="GC17" s="23"/>
      <c r="GD17" s="23"/>
      <c r="GE17" s="7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</row>
    <row r="18" spans="1:207" ht="15" customHeight="1" x14ac:dyDescent="0.35">
      <c r="A18" s="92" t="s">
        <v>459</v>
      </c>
      <c r="B18" s="23" t="s">
        <v>468</v>
      </c>
      <c r="C18" s="25">
        <f>IF(C5=DistCalc!$C$4,DistCalc!$D18,'New Formula with HB25-1320'!C18)</f>
        <v>4792.3</v>
      </c>
      <c r="D18" s="25">
        <f>IF(D5=DistCalc!$C$4,DistCalc!$D18,'New Formula with HB25-1320'!D18)</f>
        <v>19193</v>
      </c>
      <c r="E18" s="25">
        <f>IF(E5=DistCalc!$C$4,DistCalc!$D18,'New Formula with HB25-1320'!E18)</f>
        <v>4709.3</v>
      </c>
      <c r="F18" s="25">
        <f>IF(F5=DistCalc!$C$4,DistCalc!$D18,'New Formula with HB25-1320'!F18)</f>
        <v>12549.4</v>
      </c>
      <c r="G18" s="25">
        <f>IF(G5=DistCalc!$C$4,DistCalc!$D18,'New Formula with HB25-1320'!G18)</f>
        <v>812.2</v>
      </c>
      <c r="H18" s="25">
        <f>IF(H5=DistCalc!$C$4,DistCalc!$D18,'New Formula with HB25-1320'!H18)</f>
        <v>438.2</v>
      </c>
      <c r="I18" s="25">
        <f>IF(I5=DistCalc!$C$4,DistCalc!$D18,'New Formula with HB25-1320'!I18)</f>
        <v>6388</v>
      </c>
      <c r="J18" s="25">
        <f>IF(J5=DistCalc!$C$4,DistCalc!$D18,'New Formula with HB25-1320'!J18)</f>
        <v>1579.5</v>
      </c>
      <c r="K18" s="25">
        <f>IF(K5=DistCalc!$C$4,DistCalc!$D18,'New Formula with HB25-1320'!K18)</f>
        <v>152.1</v>
      </c>
      <c r="L18" s="25">
        <f>IF(L5=DistCalc!$C$4,DistCalc!$D18,'New Formula with HB25-1320'!L18)</f>
        <v>1348.7</v>
      </c>
      <c r="M18" s="25">
        <f>IF(M5=DistCalc!$C$4,DistCalc!$D18,'New Formula with HB25-1320'!M18)</f>
        <v>729.9</v>
      </c>
      <c r="N18" s="25">
        <f>IF(N5=DistCalc!$C$4,DistCalc!$D18,'New Formula with HB25-1320'!N18)</f>
        <v>18867.900000000001</v>
      </c>
      <c r="O18" s="25">
        <f>IF(O5=DistCalc!$C$4,DistCalc!$D18,'New Formula with HB25-1320'!O18)</f>
        <v>3029.6</v>
      </c>
      <c r="P18" s="25">
        <f>IF(P5=DistCalc!$C$4,DistCalc!$D18,'New Formula with HB25-1320'!P18)</f>
        <v>163.6</v>
      </c>
      <c r="Q18" s="25">
        <f>IF(Q5=DistCalc!$C$4,DistCalc!$D18,'New Formula with HB25-1320'!Q18)</f>
        <v>31548.1</v>
      </c>
      <c r="R18" s="25">
        <f>IF(R5=DistCalc!$C$4,DistCalc!$D18,'New Formula with HB25-1320'!R18)</f>
        <v>3944.3</v>
      </c>
      <c r="S18" s="25">
        <f>IF(S5=DistCalc!$C$4,DistCalc!$D18,'New Formula with HB25-1320'!S18)</f>
        <v>938.6</v>
      </c>
      <c r="T18" s="25">
        <f>IF(T5=DistCalc!$C$4,DistCalc!$D18,'New Formula with HB25-1320'!T18)</f>
        <v>118.5</v>
      </c>
      <c r="U18" s="25">
        <f>IF(U5=DistCalc!$C$4,DistCalc!$D18,'New Formula with HB25-1320'!U18)</f>
        <v>36.5</v>
      </c>
      <c r="V18" s="25">
        <f>IF(V5=DistCalc!$C$4,DistCalc!$D18,'New Formula with HB25-1320'!V18)</f>
        <v>188.9</v>
      </c>
      <c r="W18" s="25">
        <f>IF(W5=DistCalc!$C$4,DistCalc!$D18,'New Formula with HB25-1320'!W18)</f>
        <v>37.200000000000003</v>
      </c>
      <c r="X18" s="25">
        <f>IF(X5=DistCalc!$C$4,DistCalc!$D18,'New Formula with HB25-1320'!X18)</f>
        <v>22.6</v>
      </c>
      <c r="Y18" s="25">
        <f>IF(Y5=DistCalc!$C$4,DistCalc!$D18,'New Formula with HB25-1320'!Y18)</f>
        <v>735.2</v>
      </c>
      <c r="Z18" s="25">
        <f>IF(Z5=DistCalc!$C$4,DistCalc!$D18,'New Formula with HB25-1320'!Z18)</f>
        <v>90.1</v>
      </c>
      <c r="AA18" s="25">
        <f>IF(AA5=DistCalc!$C$4,DistCalc!$D18,'New Formula with HB25-1320'!AA18)</f>
        <v>11330.4</v>
      </c>
      <c r="AB18" s="25">
        <f>IF(AB5=DistCalc!$C$4,DistCalc!$D18,'New Formula with HB25-1320'!AB18)</f>
        <v>7389</v>
      </c>
      <c r="AC18" s="25">
        <f>IF(AC5=DistCalc!$C$4,DistCalc!$D18,'New Formula with HB25-1320'!AC18)</f>
        <v>311.89999999999998</v>
      </c>
      <c r="AD18" s="25">
        <f>IF(AD5=DistCalc!$C$4,DistCalc!$D18,'New Formula with HB25-1320'!AD18)</f>
        <v>559.29999999999995</v>
      </c>
      <c r="AE18" s="25">
        <f>IF(AE5=DistCalc!$C$4,DistCalc!$D18,'New Formula with HB25-1320'!AE18)</f>
        <v>67.7</v>
      </c>
      <c r="AF18" s="25">
        <f>IF(AF5=DistCalc!$C$4,DistCalc!$D18,'New Formula with HB25-1320'!AF18)</f>
        <v>89.6</v>
      </c>
      <c r="AG18" s="25">
        <f>IF(AG5=DistCalc!$C$4,DistCalc!$D18,'New Formula with HB25-1320'!AG18)</f>
        <v>188.1</v>
      </c>
      <c r="AH18" s="25">
        <f>IF(AH5=DistCalc!$C$4,DistCalc!$D18,'New Formula with HB25-1320'!AH18)</f>
        <v>624.1</v>
      </c>
      <c r="AI18" s="25">
        <f>IF(AI5=DistCalc!$C$4,DistCalc!$D18,'New Formula with HB25-1320'!AI18)</f>
        <v>234.2</v>
      </c>
      <c r="AJ18" s="25">
        <f>IF(AJ5=DistCalc!$C$4,DistCalc!$D18,'New Formula with HB25-1320'!AJ18)</f>
        <v>153.69999999999999</v>
      </c>
      <c r="AK18" s="25">
        <f>IF(AK5=DistCalc!$C$4,DistCalc!$D18,'New Formula with HB25-1320'!AK18)</f>
        <v>148.5</v>
      </c>
      <c r="AL18" s="25">
        <f>IF(AL5=DistCalc!$C$4,DistCalc!$D18,'New Formula with HB25-1320'!AL18)</f>
        <v>237.9</v>
      </c>
      <c r="AM18" s="25">
        <f>IF(AM5=DistCalc!$C$4,DistCalc!$D18,'New Formula with HB25-1320'!AM18)</f>
        <v>201</v>
      </c>
      <c r="AN18" s="25">
        <f>IF(AN5=DistCalc!$C$4,DistCalc!$D18,'New Formula with HB25-1320'!AN18)</f>
        <v>139.6</v>
      </c>
      <c r="AO18" s="25">
        <f>IF(AO5=DistCalc!$C$4,DistCalc!$D18,'New Formula with HB25-1320'!AO18)</f>
        <v>2493.1</v>
      </c>
      <c r="AP18" s="25">
        <f>IF(AP5=DistCalc!$C$4,DistCalc!$D18,'New Formula with HB25-1320'!AP18)</f>
        <v>52878.5</v>
      </c>
      <c r="AQ18" s="25">
        <f>IF(AQ5=DistCalc!$C$4,DistCalc!$D18,'New Formula with HB25-1320'!AQ18)</f>
        <v>151.5</v>
      </c>
      <c r="AR18" s="25">
        <f>IF(AR5=DistCalc!$C$4,DistCalc!$D18,'New Formula with HB25-1320'!AR18)</f>
        <v>10739.2</v>
      </c>
      <c r="AS18" s="25">
        <f>IF(AS5=DistCalc!$C$4,DistCalc!$D18,'New Formula with HB25-1320'!AS18)</f>
        <v>2678</v>
      </c>
      <c r="AT18" s="25">
        <f>IF(AT5=DistCalc!$C$4,DistCalc!$D18,'New Formula with HB25-1320'!AT18)</f>
        <v>605.20000000000005</v>
      </c>
      <c r="AU18" s="25">
        <f>IF(AU5=DistCalc!$C$4,DistCalc!$D18,'New Formula with HB25-1320'!AU18)</f>
        <v>108.3</v>
      </c>
      <c r="AV18" s="25">
        <f>IF(AV5=DistCalc!$C$4,DistCalc!$D18,'New Formula with HB25-1320'!AV18)</f>
        <v>187.1</v>
      </c>
      <c r="AW18" s="25">
        <f>IF(AW5=DistCalc!$C$4,DistCalc!$D18,'New Formula with HB25-1320'!AW18)</f>
        <v>88.3</v>
      </c>
      <c r="AX18" s="25">
        <f>IF(AX5=DistCalc!$C$4,DistCalc!$D18,'New Formula with HB25-1320'!AX18)</f>
        <v>44.4</v>
      </c>
      <c r="AY18" s="25">
        <f>IF(AY5=DistCalc!$C$4,DistCalc!$D18,'New Formula with HB25-1320'!AY18)</f>
        <v>210.6</v>
      </c>
      <c r="AZ18" s="25">
        <f>IF(AZ5=DistCalc!$C$4,DistCalc!$D18,'New Formula with HB25-1320'!AZ18)</f>
        <v>8114.5</v>
      </c>
      <c r="BA18" s="25">
        <f>IF(BA5=DistCalc!$C$4,DistCalc!$D18,'New Formula with HB25-1320'!BA18)</f>
        <v>4395.8</v>
      </c>
      <c r="BB18" s="25">
        <f>IF(BB5=DistCalc!$C$4,DistCalc!$D18,'New Formula with HB25-1320'!BB18)</f>
        <v>3664.6</v>
      </c>
      <c r="BC18" s="25">
        <f>IF(BC5=DistCalc!$C$4,DistCalc!$D18,'New Formula with HB25-1320'!BC18)</f>
        <v>14233.5</v>
      </c>
      <c r="BD18" s="25">
        <f>IF(BD5=DistCalc!$C$4,DistCalc!$D18,'New Formula with HB25-1320'!BD18)</f>
        <v>795.2</v>
      </c>
      <c r="BE18" s="25">
        <f>IF(BE5=DistCalc!$C$4,DistCalc!$D18,'New Formula with HB25-1320'!BE18)</f>
        <v>415.3</v>
      </c>
      <c r="BF18" s="25">
        <f>IF(BF5=DistCalc!$C$4,DistCalc!$D18,'New Formula with HB25-1320'!BF18)</f>
        <v>5915.8</v>
      </c>
      <c r="BG18" s="25">
        <f>IF(BG5=DistCalc!$C$4,DistCalc!$D18,'New Formula with HB25-1320'!BG18)</f>
        <v>551.29999999999995</v>
      </c>
      <c r="BH18" s="25">
        <f>IF(BH5=DistCalc!$C$4,DistCalc!$D18,'New Formula with HB25-1320'!BH18)</f>
        <v>170.4</v>
      </c>
      <c r="BI18" s="25">
        <f>IF(BI5=DistCalc!$C$4,DistCalc!$D18,'New Formula with HB25-1320'!BI18)</f>
        <v>190.9</v>
      </c>
      <c r="BJ18" s="25">
        <f>IF(BJ5=DistCalc!$C$4,DistCalc!$D18,'New Formula with HB25-1320'!BJ18)</f>
        <v>1101</v>
      </c>
      <c r="BK18" s="25">
        <f>IF(BK5=DistCalc!$C$4,DistCalc!$D18,'New Formula with HB25-1320'!BK18)</f>
        <v>14155.7</v>
      </c>
      <c r="BL18" s="25">
        <f>IF(BL5=DistCalc!$C$4,DistCalc!$D18,'New Formula with HB25-1320'!BL18)</f>
        <v>55.7</v>
      </c>
      <c r="BM18" s="25">
        <f>IF(BM5=DistCalc!$C$4,DistCalc!$D18,'New Formula with HB25-1320'!BM18)</f>
        <v>229</v>
      </c>
      <c r="BN18" s="25">
        <f>IF(BN5=DistCalc!$C$4,DistCalc!$D18,'New Formula with HB25-1320'!BN18)</f>
        <v>1807.7</v>
      </c>
      <c r="BO18" s="25">
        <f>IF(BO5=DistCalc!$C$4,DistCalc!$D18,'New Formula with HB25-1320'!BO18)</f>
        <v>683.1</v>
      </c>
      <c r="BP18" s="25">
        <f>IF(BP5=DistCalc!$C$4,DistCalc!$D18,'New Formula with HB25-1320'!BP18)</f>
        <v>87.6</v>
      </c>
      <c r="BQ18" s="25">
        <f>IF(BQ5=DistCalc!$C$4,DistCalc!$D18,'New Formula with HB25-1320'!BQ18)</f>
        <v>2928.7</v>
      </c>
      <c r="BR18" s="25">
        <f>IF(BR5=DistCalc!$C$4,DistCalc!$D18,'New Formula with HB25-1320'!BR18)</f>
        <v>2231.5</v>
      </c>
      <c r="BS18" s="25">
        <f>IF(BS5=DistCalc!$C$4,DistCalc!$D18,'New Formula with HB25-1320'!BS18)</f>
        <v>772.3</v>
      </c>
      <c r="BT18" s="25">
        <f>IF(BT5=DistCalc!$C$4,DistCalc!$D18,'New Formula with HB25-1320'!BT18)</f>
        <v>162.69999999999999</v>
      </c>
      <c r="BU18" s="25">
        <f>IF(BU5=DistCalc!$C$4,DistCalc!$D18,'New Formula with HB25-1320'!BU18)</f>
        <v>166.7</v>
      </c>
      <c r="BV18" s="25">
        <f>IF(BV5=DistCalc!$C$4,DistCalc!$D18,'New Formula with HB25-1320'!BV18)</f>
        <v>413.7</v>
      </c>
      <c r="BW18" s="25">
        <f>IF(BW5=DistCalc!$C$4,DistCalc!$D18,'New Formula with HB25-1320'!BW18)</f>
        <v>715</v>
      </c>
      <c r="BX18" s="25">
        <f>IF(BX5=DistCalc!$C$4,DistCalc!$D18,'New Formula with HB25-1320'!BX18)</f>
        <v>22.5</v>
      </c>
      <c r="BY18" s="25">
        <f>IF(BY5=DistCalc!$C$4,DistCalc!$D18,'New Formula with HB25-1320'!BY18)</f>
        <v>343.9</v>
      </c>
      <c r="BZ18" s="25">
        <f>IF(BZ5=DistCalc!$C$4,DistCalc!$D18,'New Formula with HB25-1320'!BZ18)</f>
        <v>163.6</v>
      </c>
      <c r="CA18" s="25">
        <f>IF(CA5=DistCalc!$C$4,DistCalc!$D18,'New Formula with HB25-1320'!CA18)</f>
        <v>45.4</v>
      </c>
      <c r="CB18" s="25">
        <f>IF(CB5=DistCalc!$C$4,DistCalc!$D18,'New Formula with HB25-1320'!CB18)</f>
        <v>22526.7</v>
      </c>
      <c r="CC18" s="25">
        <f>IF(CC5=DistCalc!$C$4,DistCalc!$D18,'New Formula with HB25-1320'!CC18)</f>
        <v>121.6</v>
      </c>
      <c r="CD18" s="25">
        <f>IF(CD5=DistCalc!$C$4,DistCalc!$D18,'New Formula with HB25-1320'!CD18)</f>
        <v>12.2</v>
      </c>
      <c r="CE18" s="25">
        <f>IF(CE5=DistCalc!$C$4,DistCalc!$D18,'New Formula with HB25-1320'!CE18)</f>
        <v>73.8</v>
      </c>
      <c r="CF18" s="25">
        <f>IF(CF5=DistCalc!$C$4,DistCalc!$D18,'New Formula with HB25-1320'!CF18)</f>
        <v>50</v>
      </c>
      <c r="CG18" s="25">
        <f>IF(CG5=DistCalc!$C$4,DistCalc!$D18,'New Formula with HB25-1320'!CG18)</f>
        <v>86.8</v>
      </c>
      <c r="CH18" s="25">
        <f>IF(CH5=DistCalc!$C$4,DistCalc!$D18,'New Formula with HB25-1320'!CH18)</f>
        <v>68</v>
      </c>
      <c r="CI18" s="25">
        <f>IF(CI5=DistCalc!$C$4,DistCalc!$D18,'New Formula with HB25-1320'!CI18)</f>
        <v>430.8</v>
      </c>
      <c r="CJ18" s="25">
        <f>IF(CJ5=DistCalc!$C$4,DistCalc!$D18,'New Formula with HB25-1320'!CJ18)</f>
        <v>511.5</v>
      </c>
      <c r="CK18" s="25">
        <f>IF(CK5=DistCalc!$C$4,DistCalc!$D18,'New Formula with HB25-1320'!CK18)</f>
        <v>1796.8</v>
      </c>
      <c r="CL18" s="25">
        <f>IF(CL5=DistCalc!$C$4,DistCalc!$D18,'New Formula with HB25-1320'!CL18)</f>
        <v>493.5</v>
      </c>
      <c r="CM18" s="25">
        <f>IF(CM5=DistCalc!$C$4,DistCalc!$D18,'New Formula with HB25-1320'!CM18)</f>
        <v>352.2</v>
      </c>
      <c r="CN18" s="25">
        <f>IF(CN5=DistCalc!$C$4,DistCalc!$D18,'New Formula with HB25-1320'!CN18)</f>
        <v>9777.4</v>
      </c>
      <c r="CO18" s="25">
        <f>IF(CO5=DistCalc!$C$4,DistCalc!$D18,'New Formula with HB25-1320'!CO18)</f>
        <v>4698.3999999999996</v>
      </c>
      <c r="CP18" s="25">
        <f>IF(CP5=DistCalc!$C$4,DistCalc!$D18,'New Formula with HB25-1320'!CP18)</f>
        <v>426.6</v>
      </c>
      <c r="CQ18" s="25">
        <f>IF(CQ5=DistCalc!$C$4,DistCalc!$D18,'New Formula with HB25-1320'!CQ18)</f>
        <v>574.20000000000005</v>
      </c>
      <c r="CR18" s="25">
        <f>IF(CR5=DistCalc!$C$4,DistCalc!$D18,'New Formula with HB25-1320'!CR18)</f>
        <v>73.3</v>
      </c>
      <c r="CS18" s="25">
        <f>IF(CS5=DistCalc!$C$4,DistCalc!$D18,'New Formula with HB25-1320'!CS18)</f>
        <v>99.5</v>
      </c>
      <c r="CT18" s="25">
        <f>IF(CT5=DistCalc!$C$4,DistCalc!$D18,'New Formula with HB25-1320'!CT18)</f>
        <v>90.6</v>
      </c>
      <c r="CU18" s="25">
        <f>IF(CU5=DistCalc!$C$4,DistCalc!$D18,'New Formula with HB25-1320'!CU18)</f>
        <v>208.7</v>
      </c>
      <c r="CV18" s="25">
        <f>IF(CV5=DistCalc!$C$4,DistCalc!$D18,'New Formula with HB25-1320'!CV18)</f>
        <v>9.1</v>
      </c>
      <c r="CW18" s="25">
        <f>IF(CW5=DistCalc!$C$4,DistCalc!$D18,'New Formula with HB25-1320'!CW18)</f>
        <v>105.2</v>
      </c>
      <c r="CX18" s="25">
        <f>IF(CX5=DistCalc!$C$4,DistCalc!$D18,'New Formula with HB25-1320'!CX18)</f>
        <v>231.2</v>
      </c>
      <c r="CY18" s="25">
        <f>IF(CY5=DistCalc!$C$4,DistCalc!$D18,'New Formula with HB25-1320'!CY18)</f>
        <v>13.2</v>
      </c>
      <c r="CZ18" s="25">
        <f>IF(CZ5=DistCalc!$C$4,DistCalc!$D18,'New Formula with HB25-1320'!CZ18)</f>
        <v>1003.3</v>
      </c>
      <c r="DA18" s="25">
        <f>IF(DA5=DistCalc!$C$4,DistCalc!$D18,'New Formula with HB25-1320'!DA18)</f>
        <v>50.5</v>
      </c>
      <c r="DB18" s="25">
        <f>IF(DB5=DistCalc!$C$4,DistCalc!$D18,'New Formula with HB25-1320'!DB18)</f>
        <v>91</v>
      </c>
      <c r="DC18" s="25">
        <f>IF(DC5=DistCalc!$C$4,DistCalc!$D18,'New Formula with HB25-1320'!DC18)</f>
        <v>50.6</v>
      </c>
      <c r="DD18" s="25">
        <f>IF(DD5=DistCalc!$C$4,DistCalc!$D18,'New Formula with HB25-1320'!DD18)</f>
        <v>109.8</v>
      </c>
      <c r="DE18" s="25">
        <f>IF(DE5=DistCalc!$C$4,DistCalc!$D18,'New Formula with HB25-1320'!DE18)</f>
        <v>129.5</v>
      </c>
      <c r="DF18" s="25">
        <f>IF(DF5=DistCalc!$C$4,DistCalc!$D18,'New Formula with HB25-1320'!DF18)</f>
        <v>11723.2</v>
      </c>
      <c r="DG18" s="25">
        <f>IF(DG5=DistCalc!$C$4,DistCalc!$D18,'New Formula with HB25-1320'!DG18)</f>
        <v>37.6</v>
      </c>
      <c r="DH18" s="25">
        <f>IF(DH5=DistCalc!$C$4,DistCalc!$D18,'New Formula with HB25-1320'!DH18)</f>
        <v>977.3</v>
      </c>
      <c r="DI18" s="25">
        <f>IF(DI5=DistCalc!$C$4,DistCalc!$D18,'New Formula with HB25-1320'!DI18)</f>
        <v>1568.7</v>
      </c>
      <c r="DJ18" s="25">
        <f>IF(DJ5=DistCalc!$C$4,DistCalc!$D18,'New Formula with HB25-1320'!DJ18)</f>
        <v>338.6</v>
      </c>
      <c r="DK18" s="25">
        <f>IF(DK5=DistCalc!$C$4,DistCalc!$D18,'New Formula with HB25-1320'!DK18)</f>
        <v>196.6</v>
      </c>
      <c r="DL18" s="25">
        <f>IF(DL5=DistCalc!$C$4,DistCalc!$D18,'New Formula with HB25-1320'!DL18)</f>
        <v>3187.1</v>
      </c>
      <c r="DM18" s="25">
        <f>IF(DM5=DistCalc!$C$4,DistCalc!$D18,'New Formula with HB25-1320'!DM18)</f>
        <v>137.1</v>
      </c>
      <c r="DN18" s="25">
        <f>IF(DN5=DistCalc!$C$4,DistCalc!$D18,'New Formula with HB25-1320'!DN18)</f>
        <v>851</v>
      </c>
      <c r="DO18" s="25">
        <f>IF(DO5=DistCalc!$C$4,DistCalc!$D18,'New Formula with HB25-1320'!DO18)</f>
        <v>2012.2</v>
      </c>
      <c r="DP18" s="25">
        <f>IF(DP5=DistCalc!$C$4,DistCalc!$D18,'New Formula with HB25-1320'!DP18)</f>
        <v>66.3</v>
      </c>
      <c r="DQ18" s="25">
        <f>IF(DQ5=DistCalc!$C$4,DistCalc!$D18,'New Formula with HB25-1320'!DQ18)</f>
        <v>373.1</v>
      </c>
      <c r="DR18" s="25">
        <f>IF(DR5=DistCalc!$C$4,DistCalc!$D18,'New Formula with HB25-1320'!DR18)</f>
        <v>982.1</v>
      </c>
      <c r="DS18" s="25">
        <f>IF(DS5=DistCalc!$C$4,DistCalc!$D18,'New Formula with HB25-1320'!DS18)</f>
        <v>453.9</v>
      </c>
      <c r="DT18" s="25">
        <f>IF(DT5=DistCalc!$C$4,DistCalc!$D18,'New Formula with HB25-1320'!DT18)</f>
        <v>152.19999999999999</v>
      </c>
      <c r="DU18" s="25">
        <f>IF(DU5=DistCalc!$C$4,DistCalc!$D18,'New Formula with HB25-1320'!DU18)</f>
        <v>207.3</v>
      </c>
      <c r="DV18" s="25">
        <f>IF(DV5=DistCalc!$C$4,DistCalc!$D18,'New Formula with HB25-1320'!DV18)</f>
        <v>92.1</v>
      </c>
      <c r="DW18" s="25">
        <f>IF(DW5=DistCalc!$C$4,DistCalc!$D18,'New Formula with HB25-1320'!DW18)</f>
        <v>151.30000000000001</v>
      </c>
      <c r="DX18" s="25">
        <f>IF(DX5=DistCalc!$C$4,DistCalc!$D18,'New Formula with HB25-1320'!DX18)</f>
        <v>56.7</v>
      </c>
      <c r="DY18" s="25">
        <f>IF(DY5=DistCalc!$C$4,DistCalc!$D18,'New Formula with HB25-1320'!DY18)</f>
        <v>71.2</v>
      </c>
      <c r="DZ18" s="25">
        <f>IF(DZ5=DistCalc!$C$4,DistCalc!$D18,'New Formula with HB25-1320'!DZ18)</f>
        <v>240.2</v>
      </c>
      <c r="EA18" s="25">
        <f>IF(EA5=DistCalc!$C$4,DistCalc!$D18,'New Formula with HB25-1320'!EA18)</f>
        <v>222.4</v>
      </c>
      <c r="EB18" s="25">
        <f>IF(EB5=DistCalc!$C$4,DistCalc!$D18,'New Formula with HB25-1320'!EB18)</f>
        <v>314.8</v>
      </c>
      <c r="EC18" s="25">
        <f>IF(EC5=DistCalc!$C$4,DistCalc!$D18,'New Formula with HB25-1320'!EC18)</f>
        <v>96.6</v>
      </c>
      <c r="ED18" s="25">
        <f>IF(ED5=DistCalc!$C$4,DistCalc!$D18,'New Formula with HB25-1320'!ED18)</f>
        <v>103</v>
      </c>
      <c r="EE18" s="25">
        <f>IF(EE5=DistCalc!$C$4,DistCalc!$D18,'New Formula with HB25-1320'!EE18)</f>
        <v>132.30000000000001</v>
      </c>
      <c r="EF18" s="25">
        <f>IF(EF5=DistCalc!$C$4,DistCalc!$D18,'New Formula with HB25-1320'!EF18)</f>
        <v>963.2</v>
      </c>
      <c r="EG18" s="25">
        <f>IF(EG5=DistCalc!$C$4,DistCalc!$D18,'New Formula with HB25-1320'!EG18)</f>
        <v>161.30000000000001</v>
      </c>
      <c r="EH18" s="25">
        <f>IF(EH5=DistCalc!$C$4,DistCalc!$D18,'New Formula with HB25-1320'!EH18)</f>
        <v>130.69999999999999</v>
      </c>
      <c r="EI18" s="25">
        <f>IF(EI5=DistCalc!$C$4,DistCalc!$D18,'New Formula with HB25-1320'!EI18)</f>
        <v>10751.4</v>
      </c>
      <c r="EJ18" s="25">
        <f>IF(EJ5=DistCalc!$C$4,DistCalc!$D18,'New Formula with HB25-1320'!EJ18)</f>
        <v>5234</v>
      </c>
      <c r="EK18" s="25">
        <f>IF(EK5=DistCalc!$C$4,DistCalc!$D18,'New Formula with HB25-1320'!EK18)</f>
        <v>254.2</v>
      </c>
      <c r="EL18" s="25">
        <f>IF(EL5=DistCalc!$C$4,DistCalc!$D18,'New Formula with HB25-1320'!EL18)</f>
        <v>215.9</v>
      </c>
      <c r="EM18" s="25">
        <f>IF(EM5=DistCalc!$C$4,DistCalc!$D18,'New Formula with HB25-1320'!EM18)</f>
        <v>208.5</v>
      </c>
      <c r="EN18" s="25">
        <f>IF(EN5=DistCalc!$C$4,DistCalc!$D18,'New Formula with HB25-1320'!EN18)</f>
        <v>680</v>
      </c>
      <c r="EO18" s="25">
        <f>IF(EO5=DistCalc!$C$4,DistCalc!$D18,'New Formula with HB25-1320'!EO18)</f>
        <v>138.19999999999999</v>
      </c>
      <c r="EP18" s="25">
        <f>IF(EP5=DistCalc!$C$4,DistCalc!$D18,'New Formula with HB25-1320'!EP18)</f>
        <v>118</v>
      </c>
      <c r="EQ18" s="25">
        <f>IF(EQ5=DistCalc!$C$4,DistCalc!$D18,'New Formula with HB25-1320'!EQ18)</f>
        <v>480.4</v>
      </c>
      <c r="ER18" s="25">
        <f>IF(ER5=DistCalc!$C$4,DistCalc!$D18,'New Formula with HB25-1320'!ER18)</f>
        <v>87.7</v>
      </c>
      <c r="ES18" s="25">
        <f>IF(ES5=DistCalc!$C$4,DistCalc!$D18,'New Formula with HB25-1320'!ES18)</f>
        <v>124.4</v>
      </c>
      <c r="ET18" s="25">
        <f>IF(ET5=DistCalc!$C$4,DistCalc!$D18,'New Formula with HB25-1320'!ET18)</f>
        <v>153.1</v>
      </c>
      <c r="EU18" s="25">
        <f>IF(EU5=DistCalc!$C$4,DistCalc!$D18,'New Formula with HB25-1320'!EU18)</f>
        <v>532.79999999999995</v>
      </c>
      <c r="EV18" s="25">
        <f>IF(EV5=DistCalc!$C$4,DistCalc!$D18,'New Formula with HB25-1320'!EV18)</f>
        <v>40.299999999999997</v>
      </c>
      <c r="EW18" s="25">
        <f>IF(EW5=DistCalc!$C$4,DistCalc!$D18,'New Formula with HB25-1320'!EW18)</f>
        <v>229.6</v>
      </c>
      <c r="EX18" s="25">
        <f>IF(EX5=DistCalc!$C$4,DistCalc!$D18,'New Formula with HB25-1320'!EX18)</f>
        <v>92.2</v>
      </c>
      <c r="EY18" s="25">
        <f>IF(EY5=DistCalc!$C$4,DistCalc!$D18,'New Formula with HB25-1320'!EY18)</f>
        <v>427.7</v>
      </c>
      <c r="EZ18" s="25">
        <f>IF(EZ5=DistCalc!$C$4,DistCalc!$D18,'New Formula with HB25-1320'!EZ18)</f>
        <v>69.900000000000006</v>
      </c>
      <c r="FA18" s="25">
        <f>IF(FA5=DistCalc!$C$4,DistCalc!$D18,'New Formula with HB25-1320'!FA18)</f>
        <v>1285.8</v>
      </c>
      <c r="FB18" s="25">
        <f>IF(FB5=DistCalc!$C$4,DistCalc!$D18,'New Formula with HB25-1320'!FB18)</f>
        <v>214.1</v>
      </c>
      <c r="FC18" s="25">
        <f>IF(FC5=DistCalc!$C$4,DistCalc!$D18,'New Formula with HB25-1320'!FC18)</f>
        <v>618.70000000000005</v>
      </c>
      <c r="FD18" s="25">
        <f>IF(FD5=DistCalc!$C$4,DistCalc!$D18,'New Formula with HB25-1320'!FD18)</f>
        <v>228</v>
      </c>
      <c r="FE18" s="25">
        <f>IF(FE5=DistCalc!$C$4,DistCalc!$D18,'New Formula with HB25-1320'!FE18)</f>
        <v>47.7</v>
      </c>
      <c r="FF18" s="25">
        <f>IF(FF5=DistCalc!$C$4,DistCalc!$D18,'New Formula with HB25-1320'!FF18)</f>
        <v>102.8</v>
      </c>
      <c r="FG18" s="25">
        <f>IF(FG5=DistCalc!$C$4,DistCalc!$D18,'New Formula with HB25-1320'!FG18)</f>
        <v>52.6</v>
      </c>
      <c r="FH18" s="25">
        <f>IF(FH5=DistCalc!$C$4,DistCalc!$D18,'New Formula with HB25-1320'!FH18)</f>
        <v>32.1</v>
      </c>
      <c r="FI18" s="25">
        <f>IF(FI5=DistCalc!$C$4,DistCalc!$D18,'New Formula with HB25-1320'!FI18)</f>
        <v>1032.5</v>
      </c>
      <c r="FJ18" s="25">
        <f>IF(FJ5=DistCalc!$C$4,DistCalc!$D18,'New Formula with HB25-1320'!FJ18)</f>
        <v>747.8</v>
      </c>
      <c r="FK18" s="25">
        <f>IF(FK5=DistCalc!$C$4,DistCalc!$D18,'New Formula with HB25-1320'!FK18)</f>
        <v>1374.3</v>
      </c>
      <c r="FL18" s="25">
        <f>IF(FL5=DistCalc!$C$4,DistCalc!$D18,'New Formula with HB25-1320'!FL18)</f>
        <v>2171.9</v>
      </c>
      <c r="FM18" s="25">
        <f>IF(FM5=DistCalc!$C$4,DistCalc!$D18,'New Formula with HB25-1320'!FM18)</f>
        <v>1300.2</v>
      </c>
      <c r="FN18" s="25">
        <f>IF(FN5=DistCalc!$C$4,DistCalc!$D18,'New Formula with HB25-1320'!FN18)</f>
        <v>15884.6</v>
      </c>
      <c r="FO18" s="25">
        <f>IF(FO5=DistCalc!$C$4,DistCalc!$D18,'New Formula with HB25-1320'!FO18)</f>
        <v>578.4</v>
      </c>
      <c r="FP18" s="25">
        <f>IF(FP5=DistCalc!$C$4,DistCalc!$D18,'New Formula with HB25-1320'!FP18)</f>
        <v>1343.2</v>
      </c>
      <c r="FQ18" s="25">
        <f>IF(FQ5=DistCalc!$C$4,DistCalc!$D18,'New Formula with HB25-1320'!FQ18)</f>
        <v>354</v>
      </c>
      <c r="FR18" s="25">
        <f>IF(FR5=DistCalc!$C$4,DistCalc!$D18,'New Formula with HB25-1320'!FR18)</f>
        <v>44.2</v>
      </c>
      <c r="FS18" s="25">
        <f>IF(FS5=DistCalc!$C$4,DistCalc!$D18,'New Formula with HB25-1320'!FS18)</f>
        <v>45</v>
      </c>
      <c r="FT18" s="25" t="e">
        <f ca="1">IF(FT5=DistCalc!$C$4,DistCalc!$D18,'New Formula with HB25-1320'!FT18)</f>
        <v>#NAME?</v>
      </c>
      <c r="FU18" s="25">
        <f>IF(FU5=DistCalc!$C$4,DistCalc!$D18,'New Formula with HB25-1320'!FU18)</f>
        <v>485.3</v>
      </c>
      <c r="FV18" s="25">
        <f>IF(FV5=DistCalc!$C$4,DistCalc!$D18,'New Formula with HB25-1320'!FV18)</f>
        <v>434.2</v>
      </c>
      <c r="FW18" s="25">
        <f>IF(FW5=DistCalc!$C$4,DistCalc!$D18,'New Formula with HB25-1320'!FW18)</f>
        <v>81.7</v>
      </c>
      <c r="FX18" s="25">
        <f>IF(FX5=DistCalc!$C$4,DistCalc!$D18,'New Formula with HB25-1320'!FX18)</f>
        <v>29.3</v>
      </c>
      <c r="FY18" s="23"/>
      <c r="FZ18" s="23" t="e">
        <f t="shared" ca="1" si="4"/>
        <v>#NAME?</v>
      </c>
      <c r="GA18" s="23"/>
      <c r="GB18" s="23"/>
      <c r="GC18" s="23"/>
      <c r="GD18" s="23"/>
      <c r="GE18" s="7"/>
      <c r="GF18" s="23"/>
      <c r="GG18" s="23"/>
      <c r="GH18" s="23"/>
      <c r="GI18" s="23"/>
      <c r="GJ18" s="23"/>
      <c r="GK18" s="23"/>
      <c r="GL18" s="3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</row>
    <row r="19" spans="1:207" ht="15" customHeight="1" x14ac:dyDescent="0.35">
      <c r="A19" s="92" t="s">
        <v>461</v>
      </c>
      <c r="B19" s="7" t="s">
        <v>470</v>
      </c>
      <c r="C19" s="93" t="e">
        <f t="shared" ref="C19:FX19" ca="1" si="5">ROUND($FZ$137/$FZ$21,4)</f>
        <v>#NAME?</v>
      </c>
      <c r="D19" s="31" t="e">
        <f t="shared" ca="1" si="5"/>
        <v>#NAME?</v>
      </c>
      <c r="E19" s="31" t="e">
        <f t="shared" ca="1" si="5"/>
        <v>#NAME?</v>
      </c>
      <c r="F19" s="31" t="e">
        <f t="shared" ca="1" si="5"/>
        <v>#NAME?</v>
      </c>
      <c r="G19" s="31" t="e">
        <f t="shared" ca="1" si="5"/>
        <v>#NAME?</v>
      </c>
      <c r="H19" s="31" t="e">
        <f t="shared" ca="1" si="5"/>
        <v>#NAME?</v>
      </c>
      <c r="I19" s="31" t="e">
        <f t="shared" ca="1" si="5"/>
        <v>#NAME?</v>
      </c>
      <c r="J19" s="31" t="e">
        <f t="shared" ca="1" si="5"/>
        <v>#NAME?</v>
      </c>
      <c r="K19" s="31" t="e">
        <f t="shared" ca="1" si="5"/>
        <v>#NAME?</v>
      </c>
      <c r="L19" s="31" t="e">
        <f t="shared" ca="1" si="5"/>
        <v>#NAME?</v>
      </c>
      <c r="M19" s="31" t="e">
        <f t="shared" ca="1" si="5"/>
        <v>#NAME?</v>
      </c>
      <c r="N19" s="31" t="e">
        <f t="shared" ca="1" si="5"/>
        <v>#NAME?</v>
      </c>
      <c r="O19" s="31" t="e">
        <f t="shared" ca="1" si="5"/>
        <v>#NAME?</v>
      </c>
      <c r="P19" s="31" t="e">
        <f t="shared" ca="1" si="5"/>
        <v>#NAME?</v>
      </c>
      <c r="Q19" s="31" t="e">
        <f t="shared" ca="1" si="5"/>
        <v>#NAME?</v>
      </c>
      <c r="R19" s="31" t="e">
        <f t="shared" ca="1" si="5"/>
        <v>#NAME?</v>
      </c>
      <c r="S19" s="31" t="e">
        <f t="shared" ca="1" si="5"/>
        <v>#NAME?</v>
      </c>
      <c r="T19" s="31" t="e">
        <f t="shared" ca="1" si="5"/>
        <v>#NAME?</v>
      </c>
      <c r="U19" s="31" t="e">
        <f t="shared" ca="1" si="5"/>
        <v>#NAME?</v>
      </c>
      <c r="V19" s="31" t="e">
        <f t="shared" ca="1" si="5"/>
        <v>#NAME?</v>
      </c>
      <c r="W19" s="31" t="e">
        <f t="shared" ca="1" si="5"/>
        <v>#NAME?</v>
      </c>
      <c r="X19" s="31" t="e">
        <f t="shared" ca="1" si="5"/>
        <v>#NAME?</v>
      </c>
      <c r="Y19" s="31" t="e">
        <f t="shared" ca="1" si="5"/>
        <v>#NAME?</v>
      </c>
      <c r="Z19" s="31" t="e">
        <f t="shared" ca="1" si="5"/>
        <v>#NAME?</v>
      </c>
      <c r="AA19" s="31" t="e">
        <f t="shared" ca="1" si="5"/>
        <v>#NAME?</v>
      </c>
      <c r="AB19" s="31" t="e">
        <f t="shared" ca="1" si="5"/>
        <v>#NAME?</v>
      </c>
      <c r="AC19" s="31" t="e">
        <f t="shared" ca="1" si="5"/>
        <v>#NAME?</v>
      </c>
      <c r="AD19" s="31" t="e">
        <f t="shared" ca="1" si="5"/>
        <v>#NAME?</v>
      </c>
      <c r="AE19" s="31" t="e">
        <f t="shared" ca="1" si="5"/>
        <v>#NAME?</v>
      </c>
      <c r="AF19" s="31" t="e">
        <f t="shared" ca="1" si="5"/>
        <v>#NAME?</v>
      </c>
      <c r="AG19" s="31" t="e">
        <f t="shared" ca="1" si="5"/>
        <v>#NAME?</v>
      </c>
      <c r="AH19" s="31" t="e">
        <f t="shared" ca="1" si="5"/>
        <v>#NAME?</v>
      </c>
      <c r="AI19" s="31" t="e">
        <f t="shared" ca="1" si="5"/>
        <v>#NAME?</v>
      </c>
      <c r="AJ19" s="31" t="e">
        <f t="shared" ca="1" si="5"/>
        <v>#NAME?</v>
      </c>
      <c r="AK19" s="31" t="e">
        <f t="shared" ca="1" si="5"/>
        <v>#NAME?</v>
      </c>
      <c r="AL19" s="31" t="e">
        <f t="shared" ca="1" si="5"/>
        <v>#NAME?</v>
      </c>
      <c r="AM19" s="31" t="e">
        <f t="shared" ca="1" si="5"/>
        <v>#NAME?</v>
      </c>
      <c r="AN19" s="31" t="e">
        <f t="shared" ca="1" si="5"/>
        <v>#NAME?</v>
      </c>
      <c r="AO19" s="31" t="e">
        <f t="shared" ca="1" si="5"/>
        <v>#NAME?</v>
      </c>
      <c r="AP19" s="31" t="e">
        <f t="shared" ca="1" si="5"/>
        <v>#NAME?</v>
      </c>
      <c r="AQ19" s="31" t="e">
        <f t="shared" ca="1" si="5"/>
        <v>#NAME?</v>
      </c>
      <c r="AR19" s="31" t="e">
        <f t="shared" ca="1" si="5"/>
        <v>#NAME?</v>
      </c>
      <c r="AS19" s="31" t="e">
        <f t="shared" ca="1" si="5"/>
        <v>#NAME?</v>
      </c>
      <c r="AT19" s="31" t="e">
        <f t="shared" ca="1" si="5"/>
        <v>#NAME?</v>
      </c>
      <c r="AU19" s="31" t="e">
        <f t="shared" ca="1" si="5"/>
        <v>#NAME?</v>
      </c>
      <c r="AV19" s="31" t="e">
        <f t="shared" ca="1" si="5"/>
        <v>#NAME?</v>
      </c>
      <c r="AW19" s="31" t="e">
        <f t="shared" ca="1" si="5"/>
        <v>#NAME?</v>
      </c>
      <c r="AX19" s="31" t="e">
        <f t="shared" ca="1" si="5"/>
        <v>#NAME?</v>
      </c>
      <c r="AY19" s="31" t="e">
        <f t="shared" ca="1" si="5"/>
        <v>#NAME?</v>
      </c>
      <c r="AZ19" s="31" t="e">
        <f t="shared" ca="1" si="5"/>
        <v>#NAME?</v>
      </c>
      <c r="BA19" s="31" t="e">
        <f t="shared" ca="1" si="5"/>
        <v>#NAME?</v>
      </c>
      <c r="BB19" s="31" t="e">
        <f t="shared" ca="1" si="5"/>
        <v>#NAME?</v>
      </c>
      <c r="BC19" s="31" t="e">
        <f t="shared" ca="1" si="5"/>
        <v>#NAME?</v>
      </c>
      <c r="BD19" s="31" t="e">
        <f t="shared" ca="1" si="5"/>
        <v>#NAME?</v>
      </c>
      <c r="BE19" s="31" t="e">
        <f t="shared" ca="1" si="5"/>
        <v>#NAME?</v>
      </c>
      <c r="BF19" s="31" t="e">
        <f t="shared" ca="1" si="5"/>
        <v>#NAME?</v>
      </c>
      <c r="BG19" s="31" t="e">
        <f t="shared" ca="1" si="5"/>
        <v>#NAME?</v>
      </c>
      <c r="BH19" s="31" t="e">
        <f t="shared" ca="1" si="5"/>
        <v>#NAME?</v>
      </c>
      <c r="BI19" s="31" t="e">
        <f t="shared" ca="1" si="5"/>
        <v>#NAME?</v>
      </c>
      <c r="BJ19" s="31" t="e">
        <f t="shared" ca="1" si="5"/>
        <v>#NAME?</v>
      </c>
      <c r="BK19" s="31" t="e">
        <f t="shared" ca="1" si="5"/>
        <v>#NAME?</v>
      </c>
      <c r="BL19" s="31" t="e">
        <f t="shared" ca="1" si="5"/>
        <v>#NAME?</v>
      </c>
      <c r="BM19" s="31" t="e">
        <f t="shared" ca="1" si="5"/>
        <v>#NAME?</v>
      </c>
      <c r="BN19" s="31" t="e">
        <f t="shared" ca="1" si="5"/>
        <v>#NAME?</v>
      </c>
      <c r="BO19" s="31" t="e">
        <f t="shared" ca="1" si="5"/>
        <v>#NAME?</v>
      </c>
      <c r="BP19" s="31" t="e">
        <f t="shared" ca="1" si="5"/>
        <v>#NAME?</v>
      </c>
      <c r="BQ19" s="31" t="e">
        <f t="shared" ca="1" si="5"/>
        <v>#NAME?</v>
      </c>
      <c r="BR19" s="31" t="e">
        <f t="shared" ca="1" si="5"/>
        <v>#NAME?</v>
      </c>
      <c r="BS19" s="31" t="e">
        <f t="shared" ca="1" si="5"/>
        <v>#NAME?</v>
      </c>
      <c r="BT19" s="31" t="e">
        <f t="shared" ca="1" si="5"/>
        <v>#NAME?</v>
      </c>
      <c r="BU19" s="31" t="e">
        <f t="shared" ca="1" si="5"/>
        <v>#NAME?</v>
      </c>
      <c r="BV19" s="31" t="e">
        <f t="shared" ca="1" si="5"/>
        <v>#NAME?</v>
      </c>
      <c r="BW19" s="31" t="e">
        <f t="shared" ca="1" si="5"/>
        <v>#NAME?</v>
      </c>
      <c r="BX19" s="31" t="e">
        <f t="shared" ca="1" si="5"/>
        <v>#NAME?</v>
      </c>
      <c r="BY19" s="31" t="e">
        <f t="shared" ca="1" si="5"/>
        <v>#NAME?</v>
      </c>
      <c r="BZ19" s="31" t="e">
        <f t="shared" ca="1" si="5"/>
        <v>#NAME?</v>
      </c>
      <c r="CA19" s="31" t="e">
        <f t="shared" ca="1" si="5"/>
        <v>#NAME?</v>
      </c>
      <c r="CB19" s="31" t="e">
        <f t="shared" ca="1" si="5"/>
        <v>#NAME?</v>
      </c>
      <c r="CC19" s="31" t="e">
        <f t="shared" ca="1" si="5"/>
        <v>#NAME?</v>
      </c>
      <c r="CD19" s="31" t="e">
        <f t="shared" ca="1" si="5"/>
        <v>#NAME?</v>
      </c>
      <c r="CE19" s="31" t="e">
        <f t="shared" ca="1" si="5"/>
        <v>#NAME?</v>
      </c>
      <c r="CF19" s="31" t="e">
        <f t="shared" ca="1" si="5"/>
        <v>#NAME?</v>
      </c>
      <c r="CG19" s="31" t="e">
        <f t="shared" ca="1" si="5"/>
        <v>#NAME?</v>
      </c>
      <c r="CH19" s="31" t="e">
        <f t="shared" ca="1" si="5"/>
        <v>#NAME?</v>
      </c>
      <c r="CI19" s="31" t="e">
        <f t="shared" ca="1" si="5"/>
        <v>#NAME?</v>
      </c>
      <c r="CJ19" s="31" t="e">
        <f t="shared" ca="1" si="5"/>
        <v>#NAME?</v>
      </c>
      <c r="CK19" s="31" t="e">
        <f t="shared" ca="1" si="5"/>
        <v>#NAME?</v>
      </c>
      <c r="CL19" s="31" t="e">
        <f t="shared" ca="1" si="5"/>
        <v>#NAME?</v>
      </c>
      <c r="CM19" s="31" t="e">
        <f t="shared" ca="1" si="5"/>
        <v>#NAME?</v>
      </c>
      <c r="CN19" s="31" t="e">
        <f t="shared" ca="1" si="5"/>
        <v>#NAME?</v>
      </c>
      <c r="CO19" s="31" t="e">
        <f t="shared" ca="1" si="5"/>
        <v>#NAME?</v>
      </c>
      <c r="CP19" s="31" t="e">
        <f t="shared" ca="1" si="5"/>
        <v>#NAME?</v>
      </c>
      <c r="CQ19" s="31" t="e">
        <f t="shared" ca="1" si="5"/>
        <v>#NAME?</v>
      </c>
      <c r="CR19" s="31" t="e">
        <f t="shared" ca="1" si="5"/>
        <v>#NAME?</v>
      </c>
      <c r="CS19" s="31" t="e">
        <f t="shared" ca="1" si="5"/>
        <v>#NAME?</v>
      </c>
      <c r="CT19" s="31" t="e">
        <f t="shared" ca="1" si="5"/>
        <v>#NAME?</v>
      </c>
      <c r="CU19" s="31" t="e">
        <f t="shared" ca="1" si="5"/>
        <v>#NAME?</v>
      </c>
      <c r="CV19" s="31" t="e">
        <f t="shared" ca="1" si="5"/>
        <v>#NAME?</v>
      </c>
      <c r="CW19" s="31" t="e">
        <f t="shared" ca="1" si="5"/>
        <v>#NAME?</v>
      </c>
      <c r="CX19" s="31" t="e">
        <f t="shared" ca="1" si="5"/>
        <v>#NAME?</v>
      </c>
      <c r="CY19" s="31" t="e">
        <f t="shared" ca="1" si="5"/>
        <v>#NAME?</v>
      </c>
      <c r="CZ19" s="31" t="e">
        <f t="shared" ca="1" si="5"/>
        <v>#NAME?</v>
      </c>
      <c r="DA19" s="31" t="e">
        <f t="shared" ca="1" si="5"/>
        <v>#NAME?</v>
      </c>
      <c r="DB19" s="31" t="e">
        <f t="shared" ca="1" si="5"/>
        <v>#NAME?</v>
      </c>
      <c r="DC19" s="31" t="e">
        <f t="shared" ca="1" si="5"/>
        <v>#NAME?</v>
      </c>
      <c r="DD19" s="31" t="e">
        <f t="shared" ca="1" si="5"/>
        <v>#NAME?</v>
      </c>
      <c r="DE19" s="31" t="e">
        <f t="shared" ca="1" si="5"/>
        <v>#NAME?</v>
      </c>
      <c r="DF19" s="31" t="e">
        <f t="shared" ca="1" si="5"/>
        <v>#NAME?</v>
      </c>
      <c r="DG19" s="31" t="e">
        <f t="shared" ca="1" si="5"/>
        <v>#NAME?</v>
      </c>
      <c r="DH19" s="31" t="e">
        <f t="shared" ca="1" si="5"/>
        <v>#NAME?</v>
      </c>
      <c r="DI19" s="31" t="e">
        <f t="shared" ca="1" si="5"/>
        <v>#NAME?</v>
      </c>
      <c r="DJ19" s="31" t="e">
        <f t="shared" ca="1" si="5"/>
        <v>#NAME?</v>
      </c>
      <c r="DK19" s="31" t="e">
        <f t="shared" ca="1" si="5"/>
        <v>#NAME?</v>
      </c>
      <c r="DL19" s="31" t="e">
        <f t="shared" ca="1" si="5"/>
        <v>#NAME?</v>
      </c>
      <c r="DM19" s="31" t="e">
        <f t="shared" ca="1" si="5"/>
        <v>#NAME?</v>
      </c>
      <c r="DN19" s="31" t="e">
        <f t="shared" ca="1" si="5"/>
        <v>#NAME?</v>
      </c>
      <c r="DO19" s="31" t="e">
        <f t="shared" ca="1" si="5"/>
        <v>#NAME?</v>
      </c>
      <c r="DP19" s="31" t="e">
        <f t="shared" ca="1" si="5"/>
        <v>#NAME?</v>
      </c>
      <c r="DQ19" s="31" t="e">
        <f t="shared" ca="1" si="5"/>
        <v>#NAME?</v>
      </c>
      <c r="DR19" s="31" t="e">
        <f t="shared" ca="1" si="5"/>
        <v>#NAME?</v>
      </c>
      <c r="DS19" s="31" t="e">
        <f t="shared" ca="1" si="5"/>
        <v>#NAME?</v>
      </c>
      <c r="DT19" s="31" t="e">
        <f t="shared" ca="1" si="5"/>
        <v>#NAME?</v>
      </c>
      <c r="DU19" s="31" t="e">
        <f t="shared" ca="1" si="5"/>
        <v>#NAME?</v>
      </c>
      <c r="DV19" s="31" t="e">
        <f t="shared" ca="1" si="5"/>
        <v>#NAME?</v>
      </c>
      <c r="DW19" s="31" t="e">
        <f t="shared" ca="1" si="5"/>
        <v>#NAME?</v>
      </c>
      <c r="DX19" s="31" t="e">
        <f t="shared" ca="1" si="5"/>
        <v>#NAME?</v>
      </c>
      <c r="DY19" s="31" t="e">
        <f t="shared" ca="1" si="5"/>
        <v>#NAME?</v>
      </c>
      <c r="DZ19" s="31" t="e">
        <f t="shared" ca="1" si="5"/>
        <v>#NAME?</v>
      </c>
      <c r="EA19" s="31" t="e">
        <f t="shared" ca="1" si="5"/>
        <v>#NAME?</v>
      </c>
      <c r="EB19" s="31" t="e">
        <f t="shared" ca="1" si="5"/>
        <v>#NAME?</v>
      </c>
      <c r="EC19" s="31" t="e">
        <f t="shared" ca="1" si="5"/>
        <v>#NAME?</v>
      </c>
      <c r="ED19" s="31" t="e">
        <f t="shared" ca="1" si="5"/>
        <v>#NAME?</v>
      </c>
      <c r="EE19" s="31" t="e">
        <f t="shared" ca="1" si="5"/>
        <v>#NAME?</v>
      </c>
      <c r="EF19" s="31" t="e">
        <f t="shared" ca="1" si="5"/>
        <v>#NAME?</v>
      </c>
      <c r="EG19" s="31" t="e">
        <f t="shared" ca="1" si="5"/>
        <v>#NAME?</v>
      </c>
      <c r="EH19" s="31" t="e">
        <f t="shared" ca="1" si="5"/>
        <v>#NAME?</v>
      </c>
      <c r="EI19" s="31" t="e">
        <f t="shared" ca="1" si="5"/>
        <v>#NAME?</v>
      </c>
      <c r="EJ19" s="31" t="e">
        <f t="shared" ca="1" si="5"/>
        <v>#NAME?</v>
      </c>
      <c r="EK19" s="31" t="e">
        <f t="shared" ca="1" si="5"/>
        <v>#NAME?</v>
      </c>
      <c r="EL19" s="31" t="e">
        <f t="shared" ca="1" si="5"/>
        <v>#NAME?</v>
      </c>
      <c r="EM19" s="31" t="e">
        <f t="shared" ca="1" si="5"/>
        <v>#NAME?</v>
      </c>
      <c r="EN19" s="31" t="e">
        <f t="shared" ca="1" si="5"/>
        <v>#NAME?</v>
      </c>
      <c r="EO19" s="31" t="e">
        <f t="shared" ca="1" si="5"/>
        <v>#NAME?</v>
      </c>
      <c r="EP19" s="31" t="e">
        <f t="shared" ca="1" si="5"/>
        <v>#NAME?</v>
      </c>
      <c r="EQ19" s="31" t="e">
        <f t="shared" ca="1" si="5"/>
        <v>#NAME?</v>
      </c>
      <c r="ER19" s="31" t="e">
        <f t="shared" ca="1" si="5"/>
        <v>#NAME?</v>
      </c>
      <c r="ES19" s="31" t="e">
        <f t="shared" ca="1" si="5"/>
        <v>#NAME?</v>
      </c>
      <c r="ET19" s="31" t="e">
        <f t="shared" ca="1" si="5"/>
        <v>#NAME?</v>
      </c>
      <c r="EU19" s="31" t="e">
        <f t="shared" ca="1" si="5"/>
        <v>#NAME?</v>
      </c>
      <c r="EV19" s="31" t="e">
        <f t="shared" ca="1" si="5"/>
        <v>#NAME?</v>
      </c>
      <c r="EW19" s="31" t="e">
        <f t="shared" ca="1" si="5"/>
        <v>#NAME?</v>
      </c>
      <c r="EX19" s="31" t="e">
        <f t="shared" ca="1" si="5"/>
        <v>#NAME?</v>
      </c>
      <c r="EY19" s="31" t="e">
        <f t="shared" ca="1" si="5"/>
        <v>#NAME?</v>
      </c>
      <c r="EZ19" s="31" t="e">
        <f t="shared" ca="1" si="5"/>
        <v>#NAME?</v>
      </c>
      <c r="FA19" s="31" t="e">
        <f t="shared" ca="1" si="5"/>
        <v>#NAME?</v>
      </c>
      <c r="FB19" s="31" t="e">
        <f t="shared" ca="1" si="5"/>
        <v>#NAME?</v>
      </c>
      <c r="FC19" s="31" t="e">
        <f t="shared" ca="1" si="5"/>
        <v>#NAME?</v>
      </c>
      <c r="FD19" s="31" t="e">
        <f t="shared" ca="1" si="5"/>
        <v>#NAME?</v>
      </c>
      <c r="FE19" s="31" t="e">
        <f t="shared" ca="1" si="5"/>
        <v>#NAME?</v>
      </c>
      <c r="FF19" s="31" t="e">
        <f t="shared" ca="1" si="5"/>
        <v>#NAME?</v>
      </c>
      <c r="FG19" s="31" t="e">
        <f t="shared" ca="1" si="5"/>
        <v>#NAME?</v>
      </c>
      <c r="FH19" s="31" t="e">
        <f t="shared" ca="1" si="5"/>
        <v>#NAME?</v>
      </c>
      <c r="FI19" s="31" t="e">
        <f t="shared" ca="1" si="5"/>
        <v>#NAME?</v>
      </c>
      <c r="FJ19" s="31" t="e">
        <f t="shared" ca="1" si="5"/>
        <v>#NAME?</v>
      </c>
      <c r="FK19" s="31" t="e">
        <f t="shared" ca="1" si="5"/>
        <v>#NAME?</v>
      </c>
      <c r="FL19" s="31" t="e">
        <f t="shared" ca="1" si="5"/>
        <v>#NAME?</v>
      </c>
      <c r="FM19" s="31" t="e">
        <f t="shared" ca="1" si="5"/>
        <v>#NAME?</v>
      </c>
      <c r="FN19" s="31" t="e">
        <f t="shared" ca="1" si="5"/>
        <v>#NAME?</v>
      </c>
      <c r="FO19" s="31" t="e">
        <f t="shared" ca="1" si="5"/>
        <v>#NAME?</v>
      </c>
      <c r="FP19" s="31" t="e">
        <f t="shared" ca="1" si="5"/>
        <v>#NAME?</v>
      </c>
      <c r="FQ19" s="31" t="e">
        <f t="shared" ca="1" si="5"/>
        <v>#NAME?</v>
      </c>
      <c r="FR19" s="31" t="e">
        <f t="shared" ca="1" si="5"/>
        <v>#NAME?</v>
      </c>
      <c r="FS19" s="31" t="e">
        <f t="shared" ca="1" si="5"/>
        <v>#NAME?</v>
      </c>
      <c r="FT19" s="31" t="e">
        <f t="shared" ca="1" si="5"/>
        <v>#NAME?</v>
      </c>
      <c r="FU19" s="31" t="e">
        <f t="shared" ca="1" si="5"/>
        <v>#NAME?</v>
      </c>
      <c r="FV19" s="31" t="e">
        <f t="shared" ca="1" si="5"/>
        <v>#NAME?</v>
      </c>
      <c r="FW19" s="31" t="e">
        <f t="shared" ca="1" si="5"/>
        <v>#NAME?</v>
      </c>
      <c r="FX19" s="31" t="e">
        <f t="shared" ca="1" si="5"/>
        <v>#NAME?</v>
      </c>
      <c r="FY19" s="31"/>
      <c r="FZ19" s="31" t="e">
        <f ca="1">FX19</f>
        <v>#NAME?</v>
      </c>
      <c r="GA19" s="31"/>
      <c r="GB19" s="31"/>
      <c r="GC19" s="31"/>
      <c r="GD19" s="31"/>
      <c r="GE19" s="7"/>
      <c r="GF19" s="31"/>
      <c r="GG19" s="31"/>
      <c r="GH19" s="31"/>
      <c r="GI19" s="31"/>
      <c r="GJ19" s="31"/>
      <c r="GK19" s="31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</row>
    <row r="20" spans="1:207" ht="15" customHeight="1" x14ac:dyDescent="0.35">
      <c r="A20" s="12" t="s">
        <v>463</v>
      </c>
      <c r="B20" s="23" t="s">
        <v>472</v>
      </c>
      <c r="C20" s="25">
        <f>IF(C5=DistCalc!$C$4,DistCalc!$D20,'New Formula with HB25-1320'!C20)</f>
        <v>5936.4</v>
      </c>
      <c r="D20" s="25">
        <f>IF(D5=DistCalc!$C$4,DistCalc!$D20,'New Formula with HB25-1320'!D20)</f>
        <v>28893.599999999999</v>
      </c>
      <c r="E20" s="25">
        <f>IF(E5=DistCalc!$C$4,DistCalc!$D20,'New Formula with HB25-1320'!E20)</f>
        <v>4468.8</v>
      </c>
      <c r="F20" s="25">
        <f>IF(F5=DistCalc!$C$4,DistCalc!$D20,'New Formula with HB25-1320'!F20)</f>
        <v>15351.599999999999</v>
      </c>
      <c r="G20" s="25">
        <f>IF(G5=DistCalc!$C$4,DistCalc!$D20,'New Formula with HB25-1320'!G20)</f>
        <v>850.8</v>
      </c>
      <c r="H20" s="25">
        <f>IF(H5=DistCalc!$C$4,DistCalc!$D20,'New Formula with HB25-1320'!H20)</f>
        <v>794.4</v>
      </c>
      <c r="I20" s="25">
        <f>IF(I5=DistCalc!$C$4,DistCalc!$D20,'New Formula with HB25-1320'!I20)</f>
        <v>6464.4</v>
      </c>
      <c r="J20" s="25">
        <f>IF(J5=DistCalc!$C$4,DistCalc!$D20,'New Formula with HB25-1320'!J20)</f>
        <v>1663.2</v>
      </c>
      <c r="K20" s="25">
        <f>IF(K5=DistCalc!$C$4,DistCalc!$D20,'New Formula with HB25-1320'!K20)</f>
        <v>186</v>
      </c>
      <c r="L20" s="25">
        <f>IF(L5=DistCalc!$C$4,DistCalc!$D20,'New Formula with HB25-1320'!L20)</f>
        <v>1503.6</v>
      </c>
      <c r="M20" s="25">
        <f>IF(M5=DistCalc!$C$4,DistCalc!$D20,'New Formula with HB25-1320'!M20)</f>
        <v>685.19999999999993</v>
      </c>
      <c r="N20" s="25">
        <f>IF(N5=DistCalc!$C$4,DistCalc!$D20,'New Formula with HB25-1320'!N20)</f>
        <v>36894</v>
      </c>
      <c r="O20" s="25">
        <f>IF(O5=DistCalc!$C$4,DistCalc!$D20,'New Formula with HB25-1320'!O20)</f>
        <v>9018</v>
      </c>
      <c r="P20" s="25">
        <f>IF(P5=DistCalc!$C$4,DistCalc!$D20,'New Formula with HB25-1320'!P20)</f>
        <v>188.4</v>
      </c>
      <c r="Q20" s="25">
        <f>IF(Q5=DistCalc!$C$4,DistCalc!$D20,'New Formula with HB25-1320'!Q20)</f>
        <v>28060.799999999999</v>
      </c>
      <c r="R20" s="25">
        <f>IF(R5=DistCalc!$C$4,DistCalc!$D20,'New Formula with HB25-1320'!R20)</f>
        <v>3002.4</v>
      </c>
      <c r="S20" s="25">
        <f>IF(S5=DistCalc!$C$4,DistCalc!$D20,'New Formula with HB25-1320'!S20)</f>
        <v>1274.3999999999999</v>
      </c>
      <c r="T20" s="25">
        <f>IF(T5=DistCalc!$C$4,DistCalc!$D20,'New Formula with HB25-1320'!T20)</f>
        <v>124.8</v>
      </c>
      <c r="U20" s="25">
        <f>IF(U5=DistCalc!$C$4,DistCalc!$D20,'New Formula with HB25-1320'!U20)</f>
        <v>37.199999999999996</v>
      </c>
      <c r="V20" s="25">
        <f>IF(V5=DistCalc!$C$4,DistCalc!$D20,'New Formula with HB25-1320'!V20)</f>
        <v>208.79999999999998</v>
      </c>
      <c r="W20" s="25">
        <f>IF(W5=DistCalc!$C$4,DistCalc!$D20,'New Formula with HB25-1320'!W20)</f>
        <v>181.2</v>
      </c>
      <c r="X20" s="25">
        <f>IF(X5=DistCalc!$C$4,DistCalc!$D20,'New Formula with HB25-1320'!X20)</f>
        <v>36</v>
      </c>
      <c r="Y20" s="25">
        <f>IF(Y5=DistCalc!$C$4,DistCalc!$D20,'New Formula with HB25-1320'!Y20)</f>
        <v>460.79999999999995</v>
      </c>
      <c r="Z20" s="25">
        <f>IF(Z5=DistCalc!$C$4,DistCalc!$D20,'New Formula with HB25-1320'!Z20)</f>
        <v>170.4</v>
      </c>
      <c r="AA20" s="25">
        <f>IF(AA5=DistCalc!$C$4,DistCalc!$D20,'New Formula with HB25-1320'!AA20)</f>
        <v>22339.200000000001</v>
      </c>
      <c r="AB20" s="25">
        <f>IF(AB5=DistCalc!$C$4,DistCalc!$D20,'New Formula with HB25-1320'!AB20)</f>
        <v>19311.599999999999</v>
      </c>
      <c r="AC20" s="25">
        <f>IF(AC5=DistCalc!$C$4,DistCalc!$D20,'New Formula with HB25-1320'!AC20)</f>
        <v>718.8</v>
      </c>
      <c r="AD20" s="25">
        <f>IF(AD5=DistCalc!$C$4,DistCalc!$D20,'New Formula with HB25-1320'!AD20)</f>
        <v>1010.4</v>
      </c>
      <c r="AE20" s="25">
        <f>IF(AE5=DistCalc!$C$4,DistCalc!$D20,'New Formula with HB25-1320'!AE20)</f>
        <v>67.2</v>
      </c>
      <c r="AF20" s="25">
        <f>IF(AF5=DistCalc!$C$4,DistCalc!$D20,'New Formula with HB25-1320'!AF20)</f>
        <v>141.6</v>
      </c>
      <c r="AG20" s="25">
        <f>IF(AG5=DistCalc!$C$4,DistCalc!$D20,'New Formula with HB25-1320'!AG20)</f>
        <v>415.2</v>
      </c>
      <c r="AH20" s="25">
        <f>IF(AH5=DistCalc!$C$4,DistCalc!$D20,'New Formula with HB25-1320'!AH20)</f>
        <v>710.4</v>
      </c>
      <c r="AI20" s="25">
        <f>IF(AI5=DistCalc!$C$4,DistCalc!$D20,'New Formula with HB25-1320'!AI20)</f>
        <v>262.8</v>
      </c>
      <c r="AJ20" s="25">
        <f>IF(AJ5=DistCalc!$C$4,DistCalc!$D20,'New Formula with HB25-1320'!AJ20)</f>
        <v>108</v>
      </c>
      <c r="AK20" s="25">
        <f>IF(AK5=DistCalc!$C$4,DistCalc!$D20,'New Formula with HB25-1320'!AK20)</f>
        <v>139.19999999999999</v>
      </c>
      <c r="AL20" s="25">
        <f>IF(AL5=DistCalc!$C$4,DistCalc!$D20,'New Formula with HB25-1320'!AL20)</f>
        <v>169.2</v>
      </c>
      <c r="AM20" s="25">
        <f>IF(AM5=DistCalc!$C$4,DistCalc!$D20,'New Formula with HB25-1320'!AM20)</f>
        <v>295.2</v>
      </c>
      <c r="AN20" s="25">
        <f>IF(AN5=DistCalc!$C$4,DistCalc!$D20,'New Formula with HB25-1320'!AN20)</f>
        <v>248.39999999999998</v>
      </c>
      <c r="AO20" s="25">
        <f>IF(AO5=DistCalc!$C$4,DistCalc!$D20,'New Formula with HB25-1320'!AO20)</f>
        <v>3228</v>
      </c>
      <c r="AP20" s="25">
        <f>IF(AP5=DistCalc!$C$4,DistCalc!$D20,'New Formula with HB25-1320'!AP20)</f>
        <v>60844.799999999996</v>
      </c>
      <c r="AQ20" s="25">
        <f>IF(AQ5=DistCalc!$C$4,DistCalc!$D20,'New Formula with HB25-1320'!AQ20)</f>
        <v>171.6</v>
      </c>
      <c r="AR20" s="25">
        <f>IF(AR5=DistCalc!$C$4,DistCalc!$D20,'New Formula with HB25-1320'!AR20)</f>
        <v>45588</v>
      </c>
      <c r="AS20" s="25">
        <f>IF(AS5=DistCalc!$C$4,DistCalc!$D20,'New Formula with HB25-1320'!AS20)</f>
        <v>4693.2</v>
      </c>
      <c r="AT20" s="25">
        <f>IF(AT5=DistCalc!$C$4,DistCalc!$D20,'New Formula with HB25-1320'!AT20)</f>
        <v>1702.8</v>
      </c>
      <c r="AU20" s="25">
        <f>IF(AU5=DistCalc!$C$4,DistCalc!$D20,'New Formula with HB25-1320'!AU20)</f>
        <v>177.6</v>
      </c>
      <c r="AV20" s="25">
        <f>IF(AV5=DistCalc!$C$4,DistCalc!$D20,'New Formula with HB25-1320'!AV20)</f>
        <v>230.39999999999998</v>
      </c>
      <c r="AW20" s="25">
        <f>IF(AW5=DistCalc!$C$4,DistCalc!$D20,'New Formula with HB25-1320'!AW20)</f>
        <v>178.79999999999998</v>
      </c>
      <c r="AX20" s="25">
        <f>IF(AX5=DistCalc!$C$4,DistCalc!$D20,'New Formula with HB25-1320'!AX20)</f>
        <v>61.199999999999996</v>
      </c>
      <c r="AY20" s="25">
        <f>IF(AY5=DistCalc!$C$4,DistCalc!$D20,'New Formula with HB25-1320'!AY20)</f>
        <v>319.2</v>
      </c>
      <c r="AZ20" s="25">
        <f>IF(AZ5=DistCalc!$C$4,DistCalc!$D20,'New Formula with HB25-1320'!AZ20)</f>
        <v>10087.199999999999</v>
      </c>
      <c r="BA20" s="25">
        <f>IF(BA5=DistCalc!$C$4,DistCalc!$D20,'New Formula with HB25-1320'!BA20)</f>
        <v>6768</v>
      </c>
      <c r="BB20" s="25">
        <f>IF(BB5=DistCalc!$C$4,DistCalc!$D20,'New Formula with HB25-1320'!BB20)</f>
        <v>6028.8</v>
      </c>
      <c r="BC20" s="25">
        <f>IF(BC5=DistCalc!$C$4,DistCalc!$D20,'New Formula with HB25-1320'!BC20)</f>
        <v>19404</v>
      </c>
      <c r="BD20" s="25">
        <f>IF(BD5=DistCalc!$C$4,DistCalc!$D20,'New Formula with HB25-1320'!BD20)</f>
        <v>2425.1999999999998</v>
      </c>
      <c r="BE20" s="25">
        <f>IF(BE5=DistCalc!$C$4,DistCalc!$D20,'New Formula with HB25-1320'!BE20)</f>
        <v>919.19999999999993</v>
      </c>
      <c r="BF20" s="25">
        <f>IF(BF5=DistCalc!$C$4,DistCalc!$D20,'New Formula with HB25-1320'!BF20)</f>
        <v>18489.599999999999</v>
      </c>
      <c r="BG20" s="25">
        <f>IF(BG5=DistCalc!$C$4,DistCalc!$D20,'New Formula with HB25-1320'!BG20)</f>
        <v>656.4</v>
      </c>
      <c r="BH20" s="25">
        <f>IF(BH5=DistCalc!$C$4,DistCalc!$D20,'New Formula with HB25-1320'!BH20)</f>
        <v>358.8</v>
      </c>
      <c r="BI20" s="25">
        <f>IF(BI5=DistCalc!$C$4,DistCalc!$D20,'New Formula with HB25-1320'!BI20)</f>
        <v>177.6</v>
      </c>
      <c r="BJ20" s="25">
        <f>IF(BJ5=DistCalc!$C$4,DistCalc!$D20,'New Formula with HB25-1320'!BJ20)</f>
        <v>4314</v>
      </c>
      <c r="BK20" s="25">
        <f>IF(BK5=DistCalc!$C$4,DistCalc!$D20,'New Formula with HB25-1320'!BK20)</f>
        <v>14372.4</v>
      </c>
      <c r="BL20" s="25">
        <f>IF(BL5=DistCalc!$C$4,DistCalc!$D20,'New Formula with HB25-1320'!BL20)</f>
        <v>57.599999999999994</v>
      </c>
      <c r="BM20" s="25">
        <f>IF(BM5=DistCalc!$C$4,DistCalc!$D20,'New Formula with HB25-1320'!BM20)</f>
        <v>207.6</v>
      </c>
      <c r="BN20" s="25">
        <f>IF(BN5=DistCalc!$C$4,DistCalc!$D20,'New Formula with HB25-1320'!BN20)</f>
        <v>2450.4</v>
      </c>
      <c r="BO20" s="25">
        <f>IF(BO5=DistCalc!$C$4,DistCalc!$D20,'New Formula with HB25-1320'!BO20)</f>
        <v>1017.5999999999999</v>
      </c>
      <c r="BP20" s="25">
        <f>IF(BP5=DistCalc!$C$4,DistCalc!$D20,'New Formula with HB25-1320'!BP20)</f>
        <v>153.6</v>
      </c>
      <c r="BQ20" s="25">
        <f>IF(BQ5=DistCalc!$C$4,DistCalc!$D20,'New Formula with HB25-1320'!BQ20)</f>
        <v>4099.2</v>
      </c>
      <c r="BR20" s="25">
        <f>IF(BR5=DistCalc!$C$4,DistCalc!$D20,'New Formula with HB25-1320'!BR20)</f>
        <v>3291.6</v>
      </c>
      <c r="BS20" s="25">
        <f>IF(BS5=DistCalc!$C$4,DistCalc!$D20,'New Formula with HB25-1320'!BS20)</f>
        <v>853.19999999999993</v>
      </c>
      <c r="BT20" s="25">
        <f>IF(BT5=DistCalc!$C$4,DistCalc!$D20,'New Formula with HB25-1320'!BT20)</f>
        <v>291.59999999999997</v>
      </c>
      <c r="BU20" s="25">
        <f>IF(BU5=DistCalc!$C$4,DistCalc!$D20,'New Formula with HB25-1320'!BU20)</f>
        <v>290.39999999999998</v>
      </c>
      <c r="BV20" s="25">
        <f>IF(BV5=DistCalc!$C$4,DistCalc!$D20,'New Formula with HB25-1320'!BV20)</f>
        <v>890.4</v>
      </c>
      <c r="BW20" s="25">
        <f>IF(BW5=DistCalc!$C$4,DistCalc!$D20,'New Formula with HB25-1320'!BW20)</f>
        <v>1508.3999999999999</v>
      </c>
      <c r="BX20" s="25">
        <f>IF(BX5=DistCalc!$C$4,DistCalc!$D20,'New Formula with HB25-1320'!BX20)</f>
        <v>45.6</v>
      </c>
      <c r="BY20" s="25">
        <f>IF(BY5=DistCalc!$C$4,DistCalc!$D20,'New Formula with HB25-1320'!BY20)</f>
        <v>372</v>
      </c>
      <c r="BZ20" s="25">
        <f>IF(BZ5=DistCalc!$C$4,DistCalc!$D20,'New Formula with HB25-1320'!BZ20)</f>
        <v>128.4</v>
      </c>
      <c r="CA20" s="25">
        <f>IF(CA5=DistCalc!$C$4,DistCalc!$D20,'New Formula with HB25-1320'!CA20)</f>
        <v>106.8</v>
      </c>
      <c r="CB20" s="25">
        <f>IF(CB5=DistCalc!$C$4,DistCalc!$D20,'New Formula with HB25-1320'!CB20)</f>
        <v>54669.599999999999</v>
      </c>
      <c r="CC20" s="25">
        <f>IF(CC5=DistCalc!$C$4,DistCalc!$D20,'New Formula with HB25-1320'!CC20)</f>
        <v>139.19999999999999</v>
      </c>
      <c r="CD20" s="25">
        <f>IF(CD5=DistCalc!$C$4,DistCalc!$D20,'New Formula with HB25-1320'!CD20)</f>
        <v>122.39999999999999</v>
      </c>
      <c r="CE20" s="25">
        <f>IF(CE5=DistCalc!$C$4,DistCalc!$D20,'New Formula with HB25-1320'!CE20)</f>
        <v>96</v>
      </c>
      <c r="CF20" s="25">
        <f>IF(CF5=DistCalc!$C$4,DistCalc!$D20,'New Formula with HB25-1320'!CF20)</f>
        <v>99.6</v>
      </c>
      <c r="CG20" s="25">
        <f>IF(CG5=DistCalc!$C$4,DistCalc!$D20,'New Formula with HB25-1320'!CG20)</f>
        <v>148.79999999999998</v>
      </c>
      <c r="CH20" s="25">
        <f>IF(CH5=DistCalc!$C$4,DistCalc!$D20,'New Formula with HB25-1320'!CH20)</f>
        <v>66</v>
      </c>
      <c r="CI20" s="25">
        <f>IF(CI5=DistCalc!$C$4,DistCalc!$D20,'New Formula with HB25-1320'!CI20)</f>
        <v>511.2</v>
      </c>
      <c r="CJ20" s="25">
        <f>IF(CJ5=DistCalc!$C$4,DistCalc!$D20,'New Formula with HB25-1320'!CJ20)</f>
        <v>643.19999999999993</v>
      </c>
      <c r="CK20" s="25">
        <f>IF(CK5=DistCalc!$C$4,DistCalc!$D20,'New Formula with HB25-1320'!CK20)</f>
        <v>4425.5999999999995</v>
      </c>
      <c r="CL20" s="25">
        <f>IF(CL5=DistCalc!$C$4,DistCalc!$D20,'New Formula with HB25-1320'!CL20)</f>
        <v>985.19999999999993</v>
      </c>
      <c r="CM20" s="25">
        <f>IF(CM5=DistCalc!$C$4,DistCalc!$D20,'New Formula with HB25-1320'!CM20)</f>
        <v>456</v>
      </c>
      <c r="CN20" s="25">
        <f>IF(CN5=DistCalc!$C$4,DistCalc!$D20,'New Formula with HB25-1320'!CN20)</f>
        <v>23926.799999999999</v>
      </c>
      <c r="CO20" s="25">
        <f>IF(CO5=DistCalc!$C$4,DistCalc!$D20,'New Formula with HB25-1320'!CO20)</f>
        <v>10768.8</v>
      </c>
      <c r="CP20" s="25">
        <f>IF(CP5=DistCalc!$C$4,DistCalc!$D20,'New Formula with HB25-1320'!CP20)</f>
        <v>679.19999999999993</v>
      </c>
      <c r="CQ20" s="25">
        <f>IF(CQ5=DistCalc!$C$4,DistCalc!$D20,'New Formula with HB25-1320'!CQ20)</f>
        <v>577.19999999999993</v>
      </c>
      <c r="CR20" s="25">
        <f>IF(CR5=DistCalc!$C$4,DistCalc!$D20,'New Formula with HB25-1320'!CR20)</f>
        <v>177.6</v>
      </c>
      <c r="CS20" s="25">
        <f>IF(CS5=DistCalc!$C$4,DistCalc!$D20,'New Formula with HB25-1320'!CS20)</f>
        <v>240</v>
      </c>
      <c r="CT20" s="25">
        <f>IF(CT5=DistCalc!$C$4,DistCalc!$D20,'New Formula with HB25-1320'!CT20)</f>
        <v>80.399999999999991</v>
      </c>
      <c r="CU20" s="25">
        <f>IF(CU5=DistCalc!$C$4,DistCalc!$D20,'New Formula with HB25-1320'!CU20)</f>
        <v>340.8</v>
      </c>
      <c r="CV20" s="25">
        <f>IF(CV5=DistCalc!$C$4,DistCalc!$D20,'New Formula with HB25-1320'!CV20)</f>
        <v>14.399999999999999</v>
      </c>
      <c r="CW20" s="25">
        <f>IF(CW5=DistCalc!$C$4,DistCalc!$D20,'New Formula with HB25-1320'!CW20)</f>
        <v>150</v>
      </c>
      <c r="CX20" s="25">
        <f>IF(CX5=DistCalc!$C$4,DistCalc!$D20,'New Formula with HB25-1320'!CX20)</f>
        <v>315.59999999999997</v>
      </c>
      <c r="CY20" s="25">
        <f>IF(CY5=DistCalc!$C$4,DistCalc!$D20,'New Formula with HB25-1320'!CY20)</f>
        <v>26.4</v>
      </c>
      <c r="CZ20" s="25">
        <f>IF(CZ5=DistCalc!$C$4,DistCalc!$D20,'New Formula with HB25-1320'!CZ20)</f>
        <v>1434</v>
      </c>
      <c r="DA20" s="25">
        <f>IF(DA5=DistCalc!$C$4,DistCalc!$D20,'New Formula with HB25-1320'!DA20)</f>
        <v>154.79999999999998</v>
      </c>
      <c r="DB20" s="25">
        <f>IF(DB5=DistCalc!$C$4,DistCalc!$D20,'New Formula with HB25-1320'!DB20)</f>
        <v>228</v>
      </c>
      <c r="DC20" s="25">
        <f>IF(DC5=DistCalc!$C$4,DistCalc!$D20,'New Formula with HB25-1320'!DC20)</f>
        <v>115.19999999999999</v>
      </c>
      <c r="DD20" s="25">
        <f>IF(DD5=DistCalc!$C$4,DistCalc!$D20,'New Formula with HB25-1320'!DD20)</f>
        <v>126</v>
      </c>
      <c r="DE20" s="25">
        <f>IF(DE5=DistCalc!$C$4,DistCalc!$D20,'New Formula with HB25-1320'!DE20)</f>
        <v>177.6</v>
      </c>
      <c r="DF20" s="25">
        <f>IF(DF5=DistCalc!$C$4,DistCalc!$D20,'New Formula with HB25-1320'!DF20)</f>
        <v>15525.599999999999</v>
      </c>
      <c r="DG20" s="25">
        <f>IF(DG5=DistCalc!$C$4,DistCalc!$D20,'New Formula with HB25-1320'!DG20)</f>
        <v>56.4</v>
      </c>
      <c r="DH20" s="25">
        <f>IF(DH5=DistCalc!$C$4,DistCalc!$D20,'New Formula with HB25-1320'!DH20)</f>
        <v>1485.6</v>
      </c>
      <c r="DI20" s="25">
        <f>IF(DI5=DistCalc!$C$4,DistCalc!$D20,'New Formula with HB25-1320'!DI20)</f>
        <v>1899.6</v>
      </c>
      <c r="DJ20" s="25">
        <f>IF(DJ5=DistCalc!$C$4,DistCalc!$D20,'New Formula with HB25-1320'!DJ20)</f>
        <v>543.6</v>
      </c>
      <c r="DK20" s="25">
        <f>IF(DK5=DistCalc!$C$4,DistCalc!$D20,'New Formula with HB25-1320'!DK20)</f>
        <v>338.4</v>
      </c>
      <c r="DL20" s="25">
        <f>IF(DL5=DistCalc!$C$4,DistCalc!$D20,'New Formula with HB25-1320'!DL20)</f>
        <v>4126.8</v>
      </c>
      <c r="DM20" s="25">
        <f>IF(DM5=DistCalc!$C$4,DistCalc!$D20,'New Formula with HB25-1320'!DM20)</f>
        <v>174</v>
      </c>
      <c r="DN20" s="25">
        <f>IF(DN5=DistCalc!$C$4,DistCalc!$D20,'New Formula with HB25-1320'!DN20)</f>
        <v>985.19999999999993</v>
      </c>
      <c r="DO20" s="25">
        <f>IF(DO5=DistCalc!$C$4,DistCalc!$D20,'New Formula with HB25-1320'!DO20)</f>
        <v>2394</v>
      </c>
      <c r="DP20" s="25">
        <f>IF(DP5=DistCalc!$C$4,DistCalc!$D20,'New Formula with HB25-1320'!DP20)</f>
        <v>163.19999999999999</v>
      </c>
      <c r="DQ20" s="25">
        <f>IF(DQ5=DistCalc!$C$4,DistCalc!$D20,'New Formula with HB25-1320'!DQ20)</f>
        <v>570</v>
      </c>
      <c r="DR20" s="25">
        <f>IF(DR5=DistCalc!$C$4,DistCalc!$D20,'New Formula with HB25-1320'!DR20)</f>
        <v>1002</v>
      </c>
      <c r="DS20" s="25">
        <f>IF(DS5=DistCalc!$C$4,DistCalc!$D20,'New Formula with HB25-1320'!DS20)</f>
        <v>495.59999999999997</v>
      </c>
      <c r="DT20" s="25">
        <f>IF(DT5=DistCalc!$C$4,DistCalc!$D20,'New Formula with HB25-1320'!DT20)</f>
        <v>106.8</v>
      </c>
      <c r="DU20" s="25">
        <f>IF(DU5=DistCalc!$C$4,DistCalc!$D20,'New Formula with HB25-1320'!DU20)</f>
        <v>266.39999999999998</v>
      </c>
      <c r="DV20" s="25">
        <f>IF(DV5=DistCalc!$C$4,DistCalc!$D20,'New Formula with HB25-1320'!DV20)</f>
        <v>160.79999999999998</v>
      </c>
      <c r="DW20" s="25">
        <f>IF(DW5=DistCalc!$C$4,DistCalc!$D20,'New Formula with HB25-1320'!DW20)</f>
        <v>235.2</v>
      </c>
      <c r="DX20" s="25">
        <f>IF(DX5=DistCalc!$C$4,DistCalc!$D20,'New Formula with HB25-1320'!DX20)</f>
        <v>136.79999999999998</v>
      </c>
      <c r="DY20" s="25">
        <f>IF(DY5=DistCalc!$C$4,DistCalc!$D20,'New Formula with HB25-1320'!DY20)</f>
        <v>223.2</v>
      </c>
      <c r="DZ20" s="25">
        <f>IF(DZ5=DistCalc!$C$4,DistCalc!$D20,'New Formula with HB25-1320'!DZ20)</f>
        <v>536.4</v>
      </c>
      <c r="EA20" s="25">
        <f>IF(EA5=DistCalc!$C$4,DistCalc!$D20,'New Formula with HB25-1320'!EA20)</f>
        <v>430.8</v>
      </c>
      <c r="EB20" s="25">
        <f>IF(EB5=DistCalc!$C$4,DistCalc!$D20,'New Formula with HB25-1320'!EB20)</f>
        <v>394.8</v>
      </c>
      <c r="EC20" s="25">
        <f>IF(EC5=DistCalc!$C$4,DistCalc!$D20,'New Formula with HB25-1320'!EC20)</f>
        <v>222</v>
      </c>
      <c r="ED20" s="25">
        <f>IF(ED5=DistCalc!$C$4,DistCalc!$D20,'New Formula with HB25-1320'!ED20)</f>
        <v>1160.3999999999999</v>
      </c>
      <c r="EE20" s="25">
        <f>IF(EE5=DistCalc!$C$4,DistCalc!$D20,'New Formula with HB25-1320'!EE20)</f>
        <v>122.39999999999999</v>
      </c>
      <c r="EF20" s="25">
        <f>IF(EF5=DistCalc!$C$4,DistCalc!$D20,'New Formula with HB25-1320'!EF20)</f>
        <v>1033.2</v>
      </c>
      <c r="EG20" s="25">
        <f>IF(EG5=DistCalc!$C$4,DistCalc!$D20,'New Formula with HB25-1320'!EG20)</f>
        <v>186</v>
      </c>
      <c r="EH20" s="25">
        <f>IF(EH5=DistCalc!$C$4,DistCalc!$D20,'New Formula with HB25-1320'!EH20)</f>
        <v>198</v>
      </c>
      <c r="EI20" s="25">
        <f>IF(EI5=DistCalc!$C$4,DistCalc!$D20,'New Formula with HB25-1320'!EI20)</f>
        <v>10844.4</v>
      </c>
      <c r="EJ20" s="25">
        <f>IF(EJ5=DistCalc!$C$4,DistCalc!$D20,'New Formula with HB25-1320'!EJ20)</f>
        <v>7365.5999999999995</v>
      </c>
      <c r="EK20" s="25">
        <f>IF(EK5=DistCalc!$C$4,DistCalc!$D20,'New Formula with HB25-1320'!EK20)</f>
        <v>490.79999999999995</v>
      </c>
      <c r="EL20" s="25">
        <f>IF(EL5=DistCalc!$C$4,DistCalc!$D20,'New Formula with HB25-1320'!EL20)</f>
        <v>357.59999999999997</v>
      </c>
      <c r="EM20" s="25">
        <f>IF(EM5=DistCalc!$C$4,DistCalc!$D20,'New Formula with HB25-1320'!EM20)</f>
        <v>310.8</v>
      </c>
      <c r="EN20" s="25">
        <f>IF(EN5=DistCalc!$C$4,DistCalc!$D20,'New Formula with HB25-1320'!EN20)</f>
        <v>699.6</v>
      </c>
      <c r="EO20" s="25">
        <f>IF(EO5=DistCalc!$C$4,DistCalc!$D20,'New Formula with HB25-1320'!EO20)</f>
        <v>244.79999999999998</v>
      </c>
      <c r="EP20" s="25">
        <f>IF(EP5=DistCalc!$C$4,DistCalc!$D20,'New Formula with HB25-1320'!EP20)</f>
        <v>316.8</v>
      </c>
      <c r="EQ20" s="25">
        <f>IF(EQ5=DistCalc!$C$4,DistCalc!$D20,'New Formula with HB25-1320'!EQ20)</f>
        <v>1966.8</v>
      </c>
      <c r="ER20" s="25">
        <f>IF(ER5=DistCalc!$C$4,DistCalc!$D20,'New Formula with HB25-1320'!ER20)</f>
        <v>212.4</v>
      </c>
      <c r="ES20" s="25">
        <f>IF(ES5=DistCalc!$C$4,DistCalc!$D20,'New Formula with HB25-1320'!ES20)</f>
        <v>134.4</v>
      </c>
      <c r="ET20" s="25">
        <f>IF(ET5=DistCalc!$C$4,DistCalc!$D20,'New Formula with HB25-1320'!ET20)</f>
        <v>158.4</v>
      </c>
      <c r="EU20" s="25">
        <f>IF(EU5=DistCalc!$C$4,DistCalc!$D20,'New Formula with HB25-1320'!EU20)</f>
        <v>408</v>
      </c>
      <c r="EV20" s="25">
        <f>IF(EV5=DistCalc!$C$4,DistCalc!$D20,'New Formula with HB25-1320'!EV20)</f>
        <v>60</v>
      </c>
      <c r="EW20" s="25">
        <f>IF(EW5=DistCalc!$C$4,DistCalc!$D20,'New Formula with HB25-1320'!EW20)</f>
        <v>604.79999999999995</v>
      </c>
      <c r="EX20" s="25">
        <f>IF(EX5=DistCalc!$C$4,DistCalc!$D20,'New Formula with HB25-1320'!EX20)</f>
        <v>140.4</v>
      </c>
      <c r="EY20" s="25">
        <f>IF(EY5=DistCalc!$C$4,DistCalc!$D20,'New Formula with HB25-1320'!EY20)</f>
        <v>393.59999999999997</v>
      </c>
      <c r="EZ20" s="25">
        <f>IF(EZ5=DistCalc!$C$4,DistCalc!$D20,'New Formula with HB25-1320'!EZ20)</f>
        <v>99.6</v>
      </c>
      <c r="FA20" s="25">
        <f>IF(FA5=DistCalc!$C$4,DistCalc!$D20,'New Formula with HB25-1320'!FA20)</f>
        <v>2515.1999999999998</v>
      </c>
      <c r="FB20" s="25">
        <f>IF(FB5=DistCalc!$C$4,DistCalc!$D20,'New Formula with HB25-1320'!FB20)</f>
        <v>220.79999999999998</v>
      </c>
      <c r="FC20" s="25">
        <f>IF(FC5=DistCalc!$C$4,DistCalc!$D20,'New Formula with HB25-1320'!FC20)</f>
        <v>1204.8</v>
      </c>
      <c r="FD20" s="25">
        <f>IF(FD5=DistCalc!$C$4,DistCalc!$D20,'New Formula with HB25-1320'!FD20)</f>
        <v>306</v>
      </c>
      <c r="FE20" s="25">
        <f>IF(FE5=DistCalc!$C$4,DistCalc!$D20,'New Formula with HB25-1320'!FE20)</f>
        <v>56.4</v>
      </c>
      <c r="FF20" s="25">
        <f>IF(FF5=DistCalc!$C$4,DistCalc!$D20,'New Formula with HB25-1320'!FF20)</f>
        <v>146.4</v>
      </c>
      <c r="FG20" s="25">
        <f>IF(FG5=DistCalc!$C$4,DistCalc!$D20,'New Formula with HB25-1320'!FG20)</f>
        <v>92.399999999999991</v>
      </c>
      <c r="FH20" s="25">
        <f>IF(FH5=DistCalc!$C$4,DistCalc!$D20,'New Formula with HB25-1320'!FH20)</f>
        <v>57.599999999999994</v>
      </c>
      <c r="FI20" s="25">
        <f>IF(FI5=DistCalc!$C$4,DistCalc!$D20,'New Formula with HB25-1320'!FI20)</f>
        <v>1282.8</v>
      </c>
      <c r="FJ20" s="25">
        <f>IF(FJ5=DistCalc!$C$4,DistCalc!$D20,'New Formula with HB25-1320'!FJ20)</f>
        <v>1510.8</v>
      </c>
      <c r="FK20" s="25">
        <f>IF(FK5=DistCalc!$C$4,DistCalc!$D20,'New Formula with HB25-1320'!FK20)</f>
        <v>1927.1999999999998</v>
      </c>
      <c r="FL20" s="25">
        <f>IF(FL5=DistCalc!$C$4,DistCalc!$D20,'New Formula with HB25-1320'!FL20)</f>
        <v>5967.5999999999995</v>
      </c>
      <c r="FM20" s="25">
        <f>IF(FM5=DistCalc!$C$4,DistCalc!$D20,'New Formula with HB25-1320'!FM20)</f>
        <v>2769.6</v>
      </c>
      <c r="FN20" s="25">
        <f>IF(FN5=DistCalc!$C$4,DistCalc!$D20,'New Formula with HB25-1320'!FN20)</f>
        <v>15997.199999999999</v>
      </c>
      <c r="FO20" s="25">
        <f>IF(FO5=DistCalc!$C$4,DistCalc!$D20,'New Formula with HB25-1320'!FO20)</f>
        <v>782.4</v>
      </c>
      <c r="FP20" s="25">
        <f>IF(FP5=DistCalc!$C$4,DistCalc!$D20,'New Formula with HB25-1320'!FP20)</f>
        <v>1665.6</v>
      </c>
      <c r="FQ20" s="25">
        <f>IF(FQ5=DistCalc!$C$4,DistCalc!$D20,'New Formula with HB25-1320'!FQ20)</f>
        <v>739.19999999999993</v>
      </c>
      <c r="FR20" s="25">
        <f>IF(FR5=DistCalc!$C$4,DistCalc!$D20,'New Formula with HB25-1320'!FR20)</f>
        <v>116.39999999999999</v>
      </c>
      <c r="FS20" s="25">
        <f>IF(FS5=DistCalc!$C$4,DistCalc!$D20,'New Formula with HB25-1320'!FS20)</f>
        <v>141.6</v>
      </c>
      <c r="FT20" s="25" t="e">
        <f ca="1">IF(FT5=DistCalc!$C$4,DistCalc!$D20,'New Formula with HB25-1320'!FT20)</f>
        <v>#NAME?</v>
      </c>
      <c r="FU20" s="25">
        <f>IF(FU5=DistCalc!$C$4,DistCalc!$D20,'New Formula with HB25-1320'!FU20)</f>
        <v>598.79999999999995</v>
      </c>
      <c r="FV20" s="25">
        <f>IF(FV5=DistCalc!$C$4,DistCalc!$D20,'New Formula with HB25-1320'!FV20)</f>
        <v>510</v>
      </c>
      <c r="FW20" s="25">
        <f>IF(FW5=DistCalc!$C$4,DistCalc!$D20,'New Formula with HB25-1320'!FW20)</f>
        <v>120</v>
      </c>
      <c r="FX20" s="25">
        <f>IF(FX5=DistCalc!$C$4,DistCalc!$D20,'New Formula with HB25-1320'!FX20)</f>
        <v>50.4</v>
      </c>
      <c r="FY20" s="32"/>
      <c r="FZ20" s="23" t="e">
        <f t="shared" ref="FZ20:FZ21" ca="1" si="6">SUM(C20:FX20)</f>
        <v>#NAME?</v>
      </c>
      <c r="GA20" s="23"/>
      <c r="GB20" s="23"/>
      <c r="GC20" s="23"/>
      <c r="GD20" s="23"/>
      <c r="GE20" s="7"/>
      <c r="GF20" s="23"/>
      <c r="GG20" s="23"/>
      <c r="GH20" s="23"/>
      <c r="GI20" s="23"/>
      <c r="GJ20" s="23"/>
      <c r="GK20" s="23"/>
    </row>
    <row r="21" spans="1:207" ht="15.5" x14ac:dyDescent="0.35">
      <c r="A21" s="12" t="s">
        <v>465</v>
      </c>
      <c r="B21" s="23" t="s">
        <v>474</v>
      </c>
      <c r="C21" s="25">
        <f>IF(C5=DistCalc!$C$4,DistCalc!$D21,'New Formula with HB25-1320'!C21)</f>
        <v>6521.9</v>
      </c>
      <c r="D21" s="25">
        <f>IF(D5=DistCalc!$C$4,DistCalc!$D21,'New Formula with HB25-1320'!D21)</f>
        <v>37131</v>
      </c>
      <c r="E21" s="25">
        <f>IF(E5=DistCalc!$C$4,DistCalc!$D21,'New Formula with HB25-1320'!E21)</f>
        <v>5325.4</v>
      </c>
      <c r="F21" s="25">
        <f>IF(F5=DistCalc!$C$4,DistCalc!$D21,'New Formula with HB25-1320'!F21)</f>
        <v>24415.1</v>
      </c>
      <c r="G21" s="25">
        <f>IF(G5=DistCalc!$C$4,DistCalc!$D21,'New Formula with HB25-1320'!G21)</f>
        <v>1843.9</v>
      </c>
      <c r="H21" s="25">
        <f>IF(H5=DistCalc!$C$4,DistCalc!$D21,'New Formula with HB25-1320'!H21)</f>
        <v>1071</v>
      </c>
      <c r="I21" s="25">
        <f>IF(I5=DistCalc!$C$4,DistCalc!$D21,'New Formula with HB25-1320'!I21)</f>
        <v>7793.9</v>
      </c>
      <c r="J21" s="25">
        <f>IF(J5=DistCalc!$C$4,DistCalc!$D21,'New Formula with HB25-1320'!J21)</f>
        <v>1989</v>
      </c>
      <c r="K21" s="25">
        <f>IF(K5=DistCalc!$C$4,DistCalc!$D21,'New Formula with HB25-1320'!K21)</f>
        <v>249</v>
      </c>
      <c r="L21" s="25">
        <f>IF(L5=DistCalc!$C$4,DistCalc!$D21,'New Formula with HB25-1320'!L21)</f>
        <v>2088</v>
      </c>
      <c r="M21" s="25">
        <f>IF(M5=DistCalc!$C$4,DistCalc!$D21,'New Formula with HB25-1320'!M21)</f>
        <v>849.1</v>
      </c>
      <c r="N21" s="25">
        <f>IF(N5=DistCalc!$C$4,DistCalc!$D21,'New Formula with HB25-1320'!N21)</f>
        <v>50247.4</v>
      </c>
      <c r="O21" s="25">
        <f>IF(O5=DistCalc!$C$4,DistCalc!$D21,'New Formula with HB25-1320'!O21)</f>
        <v>12370.9</v>
      </c>
      <c r="P21" s="25">
        <f>IF(P5=DistCalc!$C$4,DistCalc!$D21,'New Formula with HB25-1320'!P21)</f>
        <v>312</v>
      </c>
      <c r="Q21" s="25">
        <f>IF(Q5=DistCalc!$C$4,DistCalc!$D21,'New Formula with HB25-1320'!Q21)</f>
        <v>40045.800000000003</v>
      </c>
      <c r="R21" s="25">
        <f>IF(R5=DistCalc!$C$4,DistCalc!$D21,'New Formula with HB25-1320'!R21)</f>
        <v>7394.8</v>
      </c>
      <c r="S21" s="25">
        <f>IF(S5=DistCalc!$C$4,DistCalc!$D21,'New Formula with HB25-1320'!S21)</f>
        <v>1584.6</v>
      </c>
      <c r="T21" s="25">
        <f>IF(T5=DistCalc!$C$4,DistCalc!$D21,'New Formula with HB25-1320'!T21)</f>
        <v>160</v>
      </c>
      <c r="U21" s="25">
        <f>IF(U5=DistCalc!$C$4,DistCalc!$D21,'New Formula with HB25-1320'!U21)</f>
        <v>54</v>
      </c>
      <c r="V21" s="25">
        <f>IF(V5=DistCalc!$C$4,DistCalc!$D21,'New Formula with HB25-1320'!V21)</f>
        <v>253.5</v>
      </c>
      <c r="W21" s="25">
        <f>IF(W5=DistCalc!$C$4,DistCalc!$D21,'New Formula with HB25-1320'!W21)</f>
        <v>47.5</v>
      </c>
      <c r="X21" s="25">
        <f>IF(X5=DistCalc!$C$4,DistCalc!$D21,'New Formula with HB25-1320'!X21)</f>
        <v>40.1</v>
      </c>
      <c r="Y21" s="25">
        <f>IF(Y5=DistCalc!$C$4,DistCalc!$D21,'New Formula with HB25-1320'!Y21)</f>
        <v>873.5</v>
      </c>
      <c r="Z21" s="25">
        <f>IF(Z5=DistCalc!$C$4,DistCalc!$D21,'New Formula with HB25-1320'!Z21)</f>
        <v>231</v>
      </c>
      <c r="AA21" s="25">
        <f>IF(AA5=DistCalc!$C$4,DistCalc!$D21,'New Formula with HB25-1320'!AA21)</f>
        <v>31076.5</v>
      </c>
      <c r="AB21" s="25">
        <f>IF(AB5=DistCalc!$C$4,DistCalc!$D21,'New Formula with HB25-1320'!AB21)</f>
        <v>26859.5</v>
      </c>
      <c r="AC21" s="25">
        <f>IF(AC5=DistCalc!$C$4,DistCalc!$D21,'New Formula with HB25-1320'!AC21)</f>
        <v>847.5</v>
      </c>
      <c r="AD21" s="25">
        <f>IF(AD5=DistCalc!$C$4,DistCalc!$D21,'New Formula with HB25-1320'!AD21)</f>
        <v>1446.7</v>
      </c>
      <c r="AE21" s="25">
        <f>IF(AE5=DistCalc!$C$4,DistCalc!$D21,'New Formula with HB25-1320'!AE21)</f>
        <v>97</v>
      </c>
      <c r="AF21" s="25">
        <f>IF(AF5=DistCalc!$C$4,DistCalc!$D21,'New Formula with HB25-1320'!AF21)</f>
        <v>164.5</v>
      </c>
      <c r="AG21" s="25">
        <f>IF(AG5=DistCalc!$C$4,DistCalc!$D21,'New Formula with HB25-1320'!AG21)</f>
        <v>585.5</v>
      </c>
      <c r="AH21" s="25">
        <f>IF(AH5=DistCalc!$C$4,DistCalc!$D21,'New Formula with HB25-1320'!AH21)</f>
        <v>908</v>
      </c>
      <c r="AI21" s="25">
        <f>IF(AI5=DistCalc!$C$4,DistCalc!$D21,'New Formula with HB25-1320'!AI21)</f>
        <v>383</v>
      </c>
      <c r="AJ21" s="25">
        <f>IF(AJ5=DistCalc!$C$4,DistCalc!$D21,'New Formula with HB25-1320'!AJ21)</f>
        <v>181.5</v>
      </c>
      <c r="AK21" s="25">
        <f>IF(AK5=DistCalc!$C$4,DistCalc!$D21,'New Formula with HB25-1320'!AK21)</f>
        <v>159.5</v>
      </c>
      <c r="AL21" s="25">
        <f>IF(AL5=DistCalc!$C$4,DistCalc!$D21,'New Formula with HB25-1320'!AL21)</f>
        <v>285.5</v>
      </c>
      <c r="AM21" s="25">
        <f>IF(AM5=DistCalc!$C$4,DistCalc!$D21,'New Formula with HB25-1320'!AM21)</f>
        <v>306.89999999999998</v>
      </c>
      <c r="AN21" s="25">
        <f>IF(AN5=DistCalc!$C$4,DistCalc!$D21,'New Formula with HB25-1320'!AN21)</f>
        <v>270.5</v>
      </c>
      <c r="AO21" s="25">
        <f>IF(AO5=DistCalc!$C$4,DistCalc!$D21,'New Formula with HB25-1320'!AO21)</f>
        <v>4120.8999999999996</v>
      </c>
      <c r="AP21" s="25">
        <f>IF(AP5=DistCalc!$C$4,DistCalc!$D21,'New Formula with HB25-1320'!AP21)</f>
        <v>84094.399999999994</v>
      </c>
      <c r="AQ21" s="25">
        <f>IF(AQ5=DistCalc!$C$4,DistCalc!$D21,'New Formula with HB25-1320'!AQ21)</f>
        <v>251.5</v>
      </c>
      <c r="AR21" s="25">
        <f>IF(AR5=DistCalc!$C$4,DistCalc!$D21,'New Formula with HB25-1320'!AR21)</f>
        <v>61239.4</v>
      </c>
      <c r="AS21" s="25">
        <f>IF(AS5=DistCalc!$C$4,DistCalc!$D21,'New Formula with HB25-1320'!AS21)</f>
        <v>6270.2</v>
      </c>
      <c r="AT21" s="25">
        <f>IF(AT5=DistCalc!$C$4,DistCalc!$D21,'New Formula with HB25-1320'!AT21)</f>
        <v>2557</v>
      </c>
      <c r="AU21" s="25">
        <f>IF(AU5=DistCalc!$C$4,DistCalc!$D21,'New Formula with HB25-1320'!AU21)</f>
        <v>268</v>
      </c>
      <c r="AV21" s="25">
        <f>IF(AV5=DistCalc!$C$4,DistCalc!$D21,'New Formula with HB25-1320'!AV21)</f>
        <v>296</v>
      </c>
      <c r="AW21" s="25">
        <f>IF(AW5=DistCalc!$C$4,DistCalc!$D21,'New Formula with HB25-1320'!AW21)</f>
        <v>257</v>
      </c>
      <c r="AX21" s="25">
        <f>IF(AX5=DistCalc!$C$4,DistCalc!$D21,'New Formula with HB25-1320'!AX21)</f>
        <v>81</v>
      </c>
      <c r="AY21" s="25">
        <f>IF(AY5=DistCalc!$C$4,DistCalc!$D21,'New Formula with HB25-1320'!AY21)</f>
        <v>391.5</v>
      </c>
      <c r="AZ21" s="25">
        <f>IF(AZ5=DistCalc!$C$4,DistCalc!$D21,'New Formula with HB25-1320'!AZ21)</f>
        <v>12089.4</v>
      </c>
      <c r="BA21" s="25">
        <f>IF(BA5=DistCalc!$C$4,DistCalc!$D21,'New Formula with HB25-1320'!BA21)</f>
        <v>9089.7999999999993</v>
      </c>
      <c r="BB21" s="25">
        <f>IF(BB5=DistCalc!$C$4,DistCalc!$D21,'New Formula with HB25-1320'!BB21)</f>
        <v>7468.1</v>
      </c>
      <c r="BC21" s="25">
        <f>IF(BC5=DistCalc!$C$4,DistCalc!$D21,'New Formula with HB25-1320'!BC21)</f>
        <v>24680.9</v>
      </c>
      <c r="BD21" s="25">
        <f>IF(BD5=DistCalc!$C$4,DistCalc!$D21,'New Formula with HB25-1320'!BD21)</f>
        <v>3641</v>
      </c>
      <c r="BE21" s="25">
        <f>IF(BE5=DistCalc!$C$4,DistCalc!$D21,'New Formula with HB25-1320'!BE21)</f>
        <v>1092</v>
      </c>
      <c r="BF21" s="25">
        <f>IF(BF5=DistCalc!$C$4,DistCalc!$D21,'New Formula with HB25-1320'!BF21)</f>
        <v>26268.9</v>
      </c>
      <c r="BG21" s="25">
        <f>IF(BG5=DistCalc!$C$4,DistCalc!$D21,'New Formula with HB25-1320'!BG21)</f>
        <v>921</v>
      </c>
      <c r="BH21" s="25">
        <f>IF(BH5=DistCalc!$C$4,DistCalc!$D21,'New Formula with HB25-1320'!BH21)</f>
        <v>577.79999999999995</v>
      </c>
      <c r="BI21" s="25">
        <f>IF(BI5=DistCalc!$C$4,DistCalc!$D21,'New Formula with HB25-1320'!BI21)</f>
        <v>254.5</v>
      </c>
      <c r="BJ21" s="25">
        <f>IF(BJ5=DistCalc!$C$4,DistCalc!$D21,'New Formula with HB25-1320'!BJ21)</f>
        <v>6427.3</v>
      </c>
      <c r="BK21" s="25">
        <f>IF(BK5=DistCalc!$C$4,DistCalc!$D21,'New Formula with HB25-1320'!BK21)</f>
        <v>27836.5</v>
      </c>
      <c r="BL21" s="25">
        <f>IF(BL5=DistCalc!$C$4,DistCalc!$D21,'New Formula with HB25-1320'!BL21)</f>
        <v>90.2</v>
      </c>
      <c r="BM21" s="25">
        <f>IF(BM5=DistCalc!$C$4,DistCalc!$D21,'New Formula with HB25-1320'!BM21)</f>
        <v>360</v>
      </c>
      <c r="BN21" s="25">
        <f>IF(BN5=DistCalc!$C$4,DistCalc!$D21,'New Formula with HB25-1320'!BN21)</f>
        <v>3048.4</v>
      </c>
      <c r="BO21" s="25">
        <f>IF(BO5=DistCalc!$C$4,DistCalc!$D21,'New Formula with HB25-1320'!BO21)</f>
        <v>1189</v>
      </c>
      <c r="BP21" s="25">
        <f>IF(BP5=DistCalc!$C$4,DistCalc!$D21,'New Formula with HB25-1320'!BP21)</f>
        <v>137</v>
      </c>
      <c r="BQ21" s="25">
        <f>IF(BQ5=DistCalc!$C$4,DistCalc!$D21,'New Formula with HB25-1320'!BQ21)</f>
        <v>5703.4</v>
      </c>
      <c r="BR21" s="25">
        <f>IF(BR5=DistCalc!$C$4,DistCalc!$D21,'New Formula with HB25-1320'!BR21)</f>
        <v>4382.3999999999996</v>
      </c>
      <c r="BS21" s="25">
        <f>IF(BS5=DistCalc!$C$4,DistCalc!$D21,'New Formula with HB25-1320'!BS21)</f>
        <v>1140.9000000000001</v>
      </c>
      <c r="BT21" s="25">
        <f>IF(BT5=DistCalc!$C$4,DistCalc!$D21,'New Formula with HB25-1320'!BT21)</f>
        <v>353.5</v>
      </c>
      <c r="BU21" s="25">
        <f>IF(BU5=DistCalc!$C$4,DistCalc!$D21,'New Formula with HB25-1320'!BU21)</f>
        <v>383</v>
      </c>
      <c r="BV21" s="25">
        <f>IF(BV5=DistCalc!$C$4,DistCalc!$D21,'New Formula with HB25-1320'!BV21)</f>
        <v>1244.5</v>
      </c>
      <c r="BW21" s="25">
        <f>IF(BW5=DistCalc!$C$4,DistCalc!$D21,'New Formula with HB25-1320'!BW21)</f>
        <v>2022.5</v>
      </c>
      <c r="BX21" s="25">
        <f>IF(BX5=DistCalc!$C$4,DistCalc!$D21,'New Formula with HB25-1320'!BX21)</f>
        <v>57</v>
      </c>
      <c r="BY21" s="25">
        <f>IF(BY5=DistCalc!$C$4,DistCalc!$D21,'New Formula with HB25-1320'!BY21)</f>
        <v>393.5</v>
      </c>
      <c r="BZ21" s="25">
        <f>IF(BZ5=DistCalc!$C$4,DistCalc!$D21,'New Formula with HB25-1320'!BZ21)</f>
        <v>228</v>
      </c>
      <c r="CA21" s="25">
        <f>IF(CA5=DistCalc!$C$4,DistCalc!$D21,'New Formula with HB25-1320'!CA21)</f>
        <v>141.5</v>
      </c>
      <c r="CB21" s="25">
        <f>IF(CB5=DistCalc!$C$4,DistCalc!$D21,'New Formula with HB25-1320'!CB21)</f>
        <v>73091.199999999997</v>
      </c>
      <c r="CC21" s="25">
        <f>IF(CC5=DistCalc!$C$4,DistCalc!$D21,'New Formula with HB25-1320'!CC21)</f>
        <v>186</v>
      </c>
      <c r="CD21" s="25">
        <f>IF(CD5=DistCalc!$C$4,DistCalc!$D21,'New Formula with HB25-1320'!CD21)</f>
        <v>30</v>
      </c>
      <c r="CE21" s="25">
        <f>IF(CE5=DistCalc!$C$4,DistCalc!$D21,'New Formula with HB25-1320'!CE21)</f>
        <v>159.5</v>
      </c>
      <c r="CF21" s="25">
        <f>IF(CF5=DistCalc!$C$4,DistCalc!$D21,'New Formula with HB25-1320'!CF21)</f>
        <v>100</v>
      </c>
      <c r="CG21" s="25">
        <f>IF(CG5=DistCalc!$C$4,DistCalc!$D21,'New Formula with HB25-1320'!CG21)</f>
        <v>192.5</v>
      </c>
      <c r="CH21" s="25">
        <f>IF(CH5=DistCalc!$C$4,DistCalc!$D21,'New Formula with HB25-1320'!CH21)</f>
        <v>90</v>
      </c>
      <c r="CI21" s="25">
        <f>IF(CI5=DistCalc!$C$4,DistCalc!$D21,'New Formula with HB25-1320'!CI21)</f>
        <v>683</v>
      </c>
      <c r="CJ21" s="25">
        <f>IF(CJ5=DistCalc!$C$4,DistCalc!$D21,'New Formula with HB25-1320'!CJ21)</f>
        <v>823</v>
      </c>
      <c r="CK21" s="25">
        <f>IF(CK5=DistCalc!$C$4,DistCalc!$D21,'New Formula with HB25-1320'!CK21)</f>
        <v>4858.6000000000004</v>
      </c>
      <c r="CL21" s="25">
        <f>IF(CL5=DistCalc!$C$4,DistCalc!$D21,'New Formula with HB25-1320'!CL21)</f>
        <v>1155.0999999999999</v>
      </c>
      <c r="CM21" s="25">
        <f>IF(CM5=DistCalc!$C$4,DistCalc!$D21,'New Formula with HB25-1320'!CM21)</f>
        <v>617</v>
      </c>
      <c r="CN21" s="25">
        <f>IF(CN5=DistCalc!$C$4,DistCalc!$D21,'New Formula with HB25-1320'!CN21)</f>
        <v>30506.799999999999</v>
      </c>
      <c r="CO21" s="25">
        <f>IF(CO5=DistCalc!$C$4,DistCalc!$D21,'New Formula with HB25-1320'!CO21)</f>
        <v>14126.2</v>
      </c>
      <c r="CP21" s="25">
        <f>IF(CP5=DistCalc!$C$4,DistCalc!$D21,'New Formula with HB25-1320'!CP21)</f>
        <v>898.4</v>
      </c>
      <c r="CQ21" s="25">
        <f>IF(CQ5=DistCalc!$C$4,DistCalc!$D21,'New Formula with HB25-1320'!CQ21)</f>
        <v>759</v>
      </c>
      <c r="CR21" s="25">
        <f>IF(CR5=DistCalc!$C$4,DistCalc!$D21,'New Formula with HB25-1320'!CR21)</f>
        <v>195.5</v>
      </c>
      <c r="CS21" s="25">
        <f>IF(CS5=DistCalc!$C$4,DistCalc!$D21,'New Formula with HB25-1320'!CS21)</f>
        <v>246.4</v>
      </c>
      <c r="CT21" s="25">
        <f>IF(CT5=DistCalc!$C$4,DistCalc!$D21,'New Formula with HB25-1320'!CT21)</f>
        <v>112</v>
      </c>
      <c r="CU21" s="25">
        <f>IF(CU5=DistCalc!$C$4,DistCalc!$D21,'New Formula with HB25-1320'!CU21)</f>
        <v>465</v>
      </c>
      <c r="CV21" s="25">
        <f>IF(CV5=DistCalc!$C$4,DistCalc!$D21,'New Formula with HB25-1320'!CV21)</f>
        <v>24</v>
      </c>
      <c r="CW21" s="25">
        <f>IF(CW5=DistCalc!$C$4,DistCalc!$D21,'New Formula with HB25-1320'!CW21)</f>
        <v>186.1</v>
      </c>
      <c r="CX21" s="25">
        <f>IF(CX5=DistCalc!$C$4,DistCalc!$D21,'New Formula with HB25-1320'!CX21)</f>
        <v>457.5</v>
      </c>
      <c r="CY21" s="25">
        <f>IF(CY5=DistCalc!$C$4,DistCalc!$D21,'New Formula with HB25-1320'!CY21)</f>
        <v>25.5</v>
      </c>
      <c r="CZ21" s="25">
        <f>IF(CZ5=DistCalc!$C$4,DistCalc!$D21,'New Formula with HB25-1320'!CZ21)</f>
        <v>1771</v>
      </c>
      <c r="DA21" s="25">
        <f>IF(DA5=DistCalc!$C$4,DistCalc!$D21,'New Formula with HB25-1320'!DA21)</f>
        <v>204</v>
      </c>
      <c r="DB21" s="25">
        <f>IF(DB5=DistCalc!$C$4,DistCalc!$D21,'New Formula with HB25-1320'!DB21)</f>
        <v>310.5</v>
      </c>
      <c r="DC21" s="25">
        <f>IF(DC5=DistCalc!$C$4,DistCalc!$D21,'New Formula with HB25-1320'!DC21)</f>
        <v>193</v>
      </c>
      <c r="DD21" s="25">
        <f>IF(DD5=DistCalc!$C$4,DistCalc!$D21,'New Formula with HB25-1320'!DD21)</f>
        <v>175.5</v>
      </c>
      <c r="DE21" s="25">
        <f>IF(DE5=DistCalc!$C$4,DistCalc!$D21,'New Formula with HB25-1320'!DE21)</f>
        <v>280</v>
      </c>
      <c r="DF21" s="25">
        <f>IF(DF5=DistCalc!$C$4,DistCalc!$D21,'New Formula with HB25-1320'!DF21)</f>
        <v>20837.599999999999</v>
      </c>
      <c r="DG21" s="25">
        <f>IF(DG5=DistCalc!$C$4,DistCalc!$D21,'New Formula with HB25-1320'!DG21)</f>
        <v>93.5</v>
      </c>
      <c r="DH21" s="25">
        <f>IF(DH5=DistCalc!$C$4,DistCalc!$D21,'New Formula with HB25-1320'!DH21)</f>
        <v>1688</v>
      </c>
      <c r="DI21" s="25">
        <f>IF(DI5=DistCalc!$C$4,DistCalc!$D21,'New Formula with HB25-1320'!DI21)</f>
        <v>2353</v>
      </c>
      <c r="DJ21" s="25">
        <f>IF(DJ5=DistCalc!$C$4,DistCalc!$D21,'New Formula with HB25-1320'!DJ21)</f>
        <v>599</v>
      </c>
      <c r="DK21" s="25">
        <f>IF(DK5=DistCalc!$C$4,DistCalc!$D21,'New Formula with HB25-1320'!DK21)</f>
        <v>472.5</v>
      </c>
      <c r="DL21" s="25">
        <f>IF(DL5=DistCalc!$C$4,DistCalc!$D21,'New Formula with HB25-1320'!DL21)</f>
        <v>5635.8</v>
      </c>
      <c r="DM21" s="25">
        <f>IF(DM5=DistCalc!$C$4,DistCalc!$D21,'New Formula with HB25-1320'!DM21)</f>
        <v>236</v>
      </c>
      <c r="DN21" s="25">
        <f>IF(DN5=DistCalc!$C$4,DistCalc!$D21,'New Formula with HB25-1320'!DN21)</f>
        <v>1282.8</v>
      </c>
      <c r="DO21" s="25">
        <f>IF(DO5=DistCalc!$C$4,DistCalc!$D21,'New Formula with HB25-1320'!DO21)</f>
        <v>3281.4</v>
      </c>
      <c r="DP21" s="25">
        <f>IF(DP5=DistCalc!$C$4,DistCalc!$D21,'New Formula with HB25-1320'!DP21)</f>
        <v>199</v>
      </c>
      <c r="DQ21" s="25">
        <f>IF(DQ5=DistCalc!$C$4,DistCalc!$D21,'New Formula with HB25-1320'!DQ21)</f>
        <v>876.4</v>
      </c>
      <c r="DR21" s="25">
        <f>IF(DR5=DistCalc!$C$4,DistCalc!$D21,'New Formula with HB25-1320'!DR21)</f>
        <v>1266.5</v>
      </c>
      <c r="DS21" s="25">
        <f>IF(DS5=DistCalc!$C$4,DistCalc!$D21,'New Formula with HB25-1320'!DS21)</f>
        <v>545</v>
      </c>
      <c r="DT21" s="25">
        <f>IF(DT5=DistCalc!$C$4,DistCalc!$D21,'New Formula with HB25-1320'!DT21)</f>
        <v>176</v>
      </c>
      <c r="DU21" s="25">
        <f>IF(DU5=DistCalc!$C$4,DistCalc!$D21,'New Formula with HB25-1320'!DU21)</f>
        <v>346</v>
      </c>
      <c r="DV21" s="25">
        <f>IF(DV5=DistCalc!$C$4,DistCalc!$D21,'New Formula with HB25-1320'!DV21)</f>
        <v>198.5</v>
      </c>
      <c r="DW21" s="25">
        <f>IF(DW5=DistCalc!$C$4,DistCalc!$D21,'New Formula with HB25-1320'!DW21)</f>
        <v>285.5</v>
      </c>
      <c r="DX21" s="25">
        <f>IF(DX5=DistCalc!$C$4,DistCalc!$D21,'New Formula with HB25-1320'!DX21)</f>
        <v>168</v>
      </c>
      <c r="DY21" s="25">
        <f>IF(DY5=DistCalc!$C$4,DistCalc!$D21,'New Formula with HB25-1320'!DY21)</f>
        <v>280</v>
      </c>
      <c r="DZ21" s="25">
        <f>IF(DZ5=DistCalc!$C$4,DistCalc!$D21,'New Formula with HB25-1320'!DZ21)</f>
        <v>606.5</v>
      </c>
      <c r="EA21" s="25">
        <f>IF(EA5=DistCalc!$C$4,DistCalc!$D21,'New Formula with HB25-1320'!EA21)</f>
        <v>508.5</v>
      </c>
      <c r="EB21" s="25">
        <f>IF(EB5=DistCalc!$C$4,DistCalc!$D21,'New Formula with HB25-1320'!EB21)</f>
        <v>499.5</v>
      </c>
      <c r="EC21" s="25">
        <f>IF(EC5=DistCalc!$C$4,DistCalc!$D21,'New Formula with HB25-1320'!EC21)</f>
        <v>260.5</v>
      </c>
      <c r="ED21" s="25">
        <f>IF(ED5=DistCalc!$C$4,DistCalc!$D21,'New Formula with HB25-1320'!ED21)</f>
        <v>1550</v>
      </c>
      <c r="EE21" s="25">
        <f>IF(EE5=DistCalc!$C$4,DistCalc!$D21,'New Formula with HB25-1320'!EE21)</f>
        <v>185.5</v>
      </c>
      <c r="EF21" s="25">
        <f>IF(EF5=DistCalc!$C$4,DistCalc!$D21,'New Formula with HB25-1320'!EF21)</f>
        <v>1262</v>
      </c>
      <c r="EG21" s="25">
        <f>IF(EG5=DistCalc!$C$4,DistCalc!$D21,'New Formula with HB25-1320'!EG21)</f>
        <v>250</v>
      </c>
      <c r="EH21" s="25">
        <f>IF(EH5=DistCalc!$C$4,DistCalc!$D21,'New Formula with HB25-1320'!EH21)</f>
        <v>246</v>
      </c>
      <c r="EI21" s="25">
        <f>IF(EI5=DistCalc!$C$4,DistCalc!$D21,'New Formula with HB25-1320'!EI21)</f>
        <v>13296.3</v>
      </c>
      <c r="EJ21" s="25">
        <f>IF(EJ5=DistCalc!$C$4,DistCalc!$D21,'New Formula with HB25-1320'!EJ21)</f>
        <v>10001.9</v>
      </c>
      <c r="EK21" s="25">
        <f>IF(EK5=DistCalc!$C$4,DistCalc!$D21,'New Formula with HB25-1320'!EK21)</f>
        <v>666.1</v>
      </c>
      <c r="EL21" s="25">
        <f>IF(EL5=DistCalc!$C$4,DistCalc!$D21,'New Formula with HB25-1320'!EL21)</f>
        <v>447</v>
      </c>
      <c r="EM21" s="25">
        <f>IF(EM5=DistCalc!$C$4,DistCalc!$D21,'New Formula with HB25-1320'!EM21)</f>
        <v>350.1</v>
      </c>
      <c r="EN21" s="25">
        <f>IF(EN5=DistCalc!$C$4,DistCalc!$D21,'New Formula with HB25-1320'!EN21)</f>
        <v>920.3</v>
      </c>
      <c r="EO21" s="25">
        <f>IF(EO5=DistCalc!$C$4,DistCalc!$D21,'New Formula with HB25-1320'!EO21)</f>
        <v>287</v>
      </c>
      <c r="EP21" s="25">
        <f>IF(EP5=DistCalc!$C$4,DistCalc!$D21,'New Formula with HB25-1320'!EP21)</f>
        <v>429</v>
      </c>
      <c r="EQ21" s="25">
        <f>IF(EQ5=DistCalc!$C$4,DistCalc!$D21,'New Formula with HB25-1320'!EQ21)</f>
        <v>2516.4</v>
      </c>
      <c r="ER21" s="25">
        <f>IF(ER5=DistCalc!$C$4,DistCalc!$D21,'New Formula with HB25-1320'!ER21)</f>
        <v>309.5</v>
      </c>
      <c r="ES21" s="25">
        <f>IF(ES5=DistCalc!$C$4,DistCalc!$D21,'New Formula with HB25-1320'!ES21)</f>
        <v>206.6</v>
      </c>
      <c r="ET21" s="25">
        <f>IF(ET5=DistCalc!$C$4,DistCalc!$D21,'New Formula with HB25-1320'!ET21)</f>
        <v>200.1</v>
      </c>
      <c r="EU21" s="25">
        <f>IF(EU5=DistCalc!$C$4,DistCalc!$D21,'New Formula with HB25-1320'!EU21)</f>
        <v>568</v>
      </c>
      <c r="EV21" s="25">
        <f>IF(EV5=DistCalc!$C$4,DistCalc!$D21,'New Formula with HB25-1320'!EV21)</f>
        <v>66</v>
      </c>
      <c r="EW21" s="25">
        <f>IF(EW5=DistCalc!$C$4,DistCalc!$D21,'New Formula with HB25-1320'!EW21)</f>
        <v>746.5</v>
      </c>
      <c r="EX21" s="25">
        <f>IF(EX5=DistCalc!$C$4,DistCalc!$D21,'New Formula with HB25-1320'!EX21)</f>
        <v>173.5</v>
      </c>
      <c r="EY21" s="25">
        <f>IF(EY5=DistCalc!$C$4,DistCalc!$D21,'New Formula with HB25-1320'!EY21)</f>
        <v>649.70000000000005</v>
      </c>
      <c r="EZ21" s="25">
        <f>IF(EZ5=DistCalc!$C$4,DistCalc!$D21,'New Formula with HB25-1320'!EZ21)</f>
        <v>127</v>
      </c>
      <c r="FA21" s="25">
        <f>IF(FA5=DistCalc!$C$4,DistCalc!$D21,'New Formula with HB25-1320'!FA21)</f>
        <v>3261.9</v>
      </c>
      <c r="FB21" s="25">
        <f>IF(FB5=DistCalc!$C$4,DistCalc!$D21,'New Formula with HB25-1320'!FB21)</f>
        <v>268.5</v>
      </c>
      <c r="FC21" s="25">
        <f>IF(FC5=DistCalc!$C$4,DistCalc!$D21,'New Formula with HB25-1320'!FC21)</f>
        <v>1694.6</v>
      </c>
      <c r="FD21" s="25">
        <f>IF(FD5=DistCalc!$C$4,DistCalc!$D21,'New Formula with HB25-1320'!FD21)</f>
        <v>399</v>
      </c>
      <c r="FE21" s="25">
        <f>IF(FE5=DistCalc!$C$4,DistCalc!$D21,'New Formula with HB25-1320'!FE21)</f>
        <v>70</v>
      </c>
      <c r="FF21" s="25">
        <f>IF(FF5=DistCalc!$C$4,DistCalc!$D21,'New Formula with HB25-1320'!FF21)</f>
        <v>175</v>
      </c>
      <c r="FG21" s="25">
        <f>IF(FG5=DistCalc!$C$4,DistCalc!$D21,'New Formula with HB25-1320'!FG21)</f>
        <v>114</v>
      </c>
      <c r="FH21" s="25">
        <f>IF(FH5=DistCalc!$C$4,DistCalc!$D21,'New Formula with HB25-1320'!FH21)</f>
        <v>69</v>
      </c>
      <c r="FI21" s="25">
        <f>IF(FI5=DistCalc!$C$4,DistCalc!$D21,'New Formula with HB25-1320'!FI21)</f>
        <v>1642.5</v>
      </c>
      <c r="FJ21" s="25">
        <f>IF(FJ5=DistCalc!$C$4,DistCalc!$D21,'New Formula with HB25-1320'!FJ21)</f>
        <v>2007.5</v>
      </c>
      <c r="FK21" s="25">
        <f>IF(FK5=DistCalc!$C$4,DistCalc!$D21,'New Formula with HB25-1320'!FK21)</f>
        <v>2477</v>
      </c>
      <c r="FL21" s="25">
        <f>IF(FL5=DistCalc!$C$4,DistCalc!$D21,'New Formula with HB25-1320'!FL21)</f>
        <v>8544.1</v>
      </c>
      <c r="FM21" s="25">
        <f>IF(FM5=DistCalc!$C$4,DistCalc!$D21,'New Formula with HB25-1320'!FM21)</f>
        <v>3967.8</v>
      </c>
      <c r="FN21" s="25">
        <f>IF(FN5=DistCalc!$C$4,DistCalc!$D21,'New Formula with HB25-1320'!FN21)</f>
        <v>22829.200000000001</v>
      </c>
      <c r="FO21" s="25">
        <f>IF(FO5=DistCalc!$C$4,DistCalc!$D21,'New Formula with HB25-1320'!FO21)</f>
        <v>1120</v>
      </c>
      <c r="FP21" s="25">
        <f>IF(FP5=DistCalc!$C$4,DistCalc!$D21,'New Formula with HB25-1320'!FP21)</f>
        <v>2343</v>
      </c>
      <c r="FQ21" s="25">
        <f>IF(FQ5=DistCalc!$C$4,DistCalc!$D21,'New Formula with HB25-1320'!FQ21)</f>
        <v>984</v>
      </c>
      <c r="FR21" s="25">
        <f>IF(FR5=DistCalc!$C$4,DistCalc!$D21,'New Formula with HB25-1320'!FR21)</f>
        <v>157.1</v>
      </c>
      <c r="FS21" s="25">
        <f>IF(FS5=DistCalc!$C$4,DistCalc!$D21,'New Formula with HB25-1320'!FS21)</f>
        <v>160.5</v>
      </c>
      <c r="FT21" s="25" t="e">
        <f ca="1">IF(FT5=DistCalc!$C$4,DistCalc!$D21,'New Formula with HB25-1320'!FT21)</f>
        <v>#NAME?</v>
      </c>
      <c r="FU21" s="25">
        <f>IF(FU5=DistCalc!$C$4,DistCalc!$D21,'New Formula with HB25-1320'!FU21)</f>
        <v>760.5</v>
      </c>
      <c r="FV21" s="25">
        <f>IF(FV5=DistCalc!$C$4,DistCalc!$D21,'New Formula with HB25-1320'!FV21)</f>
        <v>696.5</v>
      </c>
      <c r="FW21" s="25">
        <f>IF(FW5=DistCalc!$C$4,DistCalc!$D21,'New Formula with HB25-1320'!FW21)</f>
        <v>130</v>
      </c>
      <c r="FX21" s="25">
        <f>IF(FX5=DistCalc!$C$4,DistCalc!$D21,'New Formula with HB25-1320'!FX21)</f>
        <v>64</v>
      </c>
      <c r="FY21" s="23"/>
      <c r="FZ21" s="23" t="e">
        <f t="shared" ca="1" si="6"/>
        <v>#NAME?</v>
      </c>
      <c r="GA21" s="23"/>
      <c r="GB21" s="23"/>
      <c r="GC21" s="23"/>
      <c r="GD21" s="33"/>
      <c r="GE21" s="7"/>
      <c r="GF21" s="33"/>
      <c r="GG21" s="33"/>
      <c r="GH21" s="33"/>
      <c r="GI21" s="33"/>
      <c r="GJ21" s="33"/>
      <c r="GK21" s="33"/>
    </row>
    <row r="22" spans="1:207" ht="15.5" x14ac:dyDescent="0.35">
      <c r="A22" s="92" t="s">
        <v>467</v>
      </c>
      <c r="B22" s="7" t="s">
        <v>476</v>
      </c>
      <c r="C22" s="25">
        <f>IF(C5=DistCalc!$C$4,DistCalc!$D22,'New Formula with HB25-1320'!C22)</f>
        <v>0</v>
      </c>
      <c r="D22" s="25">
        <f>IF(D5=DistCalc!$C$4,DistCalc!$D22,'New Formula with HB25-1320'!D22)</f>
        <v>3770</v>
      </c>
      <c r="E22" s="25">
        <f>IF(E5=DistCalc!$C$4,DistCalc!$D22,'New Formula with HB25-1320'!E22)</f>
        <v>0</v>
      </c>
      <c r="F22" s="25">
        <f>IF(F5=DistCalc!$C$4,DistCalc!$D22,'New Formula with HB25-1320'!F22)</f>
        <v>4259</v>
      </c>
      <c r="G22" s="25">
        <f>IF(G5=DistCalc!$C$4,DistCalc!$D22,'New Formula with HB25-1320'!G22)</f>
        <v>495</v>
      </c>
      <c r="H22" s="25">
        <f>IF(H5=DistCalc!$C$4,DistCalc!$D22,'New Formula with HB25-1320'!H22)</f>
        <v>0</v>
      </c>
      <c r="I22" s="25">
        <f>IF(I5=DistCalc!$C$4,DistCalc!$D22,'New Formula with HB25-1320'!I22)</f>
        <v>0</v>
      </c>
      <c r="J22" s="25">
        <f>IF(J5=DistCalc!$C$4,DistCalc!$D22,'New Formula with HB25-1320'!J22)</f>
        <v>0</v>
      </c>
      <c r="K22" s="25">
        <f>IF(K5=DistCalc!$C$4,DistCalc!$D22,'New Formula with HB25-1320'!K22)</f>
        <v>0</v>
      </c>
      <c r="L22" s="25">
        <f>IF(L5=DistCalc!$C$4,DistCalc!$D22,'New Formula with HB25-1320'!L22)</f>
        <v>0</v>
      </c>
      <c r="M22" s="25">
        <f>IF(M5=DistCalc!$C$4,DistCalc!$D22,'New Formula with HB25-1320'!M22)</f>
        <v>0</v>
      </c>
      <c r="N22" s="25">
        <f>IF(N5=DistCalc!$C$4,DistCalc!$D22,'New Formula with HB25-1320'!N22)</f>
        <v>1133</v>
      </c>
      <c r="O22" s="25">
        <f>IF(O5=DistCalc!$C$4,DistCalc!$D22,'New Formula with HB25-1320'!O22)</f>
        <v>922</v>
      </c>
      <c r="P22" s="25">
        <f>IF(P5=DistCalc!$C$4,DistCalc!$D22,'New Formula with HB25-1320'!P22)</f>
        <v>0</v>
      </c>
      <c r="Q22" s="25">
        <f>IF(Q5=DistCalc!$C$4,DistCalc!$D22,'New Formula with HB25-1320'!Q22)</f>
        <v>5887</v>
      </c>
      <c r="R22" s="25">
        <f>IF(R5=DistCalc!$C$4,DistCalc!$D22,'New Formula with HB25-1320'!R22)</f>
        <v>0</v>
      </c>
      <c r="S22" s="25">
        <f>IF(S5=DistCalc!$C$4,DistCalc!$D22,'New Formula with HB25-1320'!S22)</f>
        <v>110</v>
      </c>
      <c r="T22" s="25">
        <f>IF(T5=DistCalc!$C$4,DistCalc!$D22,'New Formula with HB25-1320'!T22)</f>
        <v>0</v>
      </c>
      <c r="U22" s="25">
        <f>IF(U5=DistCalc!$C$4,DistCalc!$D22,'New Formula with HB25-1320'!U22)</f>
        <v>0</v>
      </c>
      <c r="V22" s="25">
        <f>IF(V5=DistCalc!$C$4,DistCalc!$D22,'New Formula with HB25-1320'!V22)</f>
        <v>0</v>
      </c>
      <c r="W22" s="25">
        <f>IF(W5=DistCalc!$C$4,DistCalc!$D22,'New Formula with HB25-1320'!W22)</f>
        <v>0</v>
      </c>
      <c r="X22" s="25">
        <f>IF(X5=DistCalc!$C$4,DistCalc!$D22,'New Formula with HB25-1320'!X22)</f>
        <v>0</v>
      </c>
      <c r="Y22" s="25">
        <f>IF(Y5=DistCalc!$C$4,DistCalc!$D22,'New Formula with HB25-1320'!Y22)</f>
        <v>0</v>
      </c>
      <c r="Z22" s="25">
        <f>IF(Z5=DistCalc!$C$4,DistCalc!$D22,'New Formula with HB25-1320'!Z22)</f>
        <v>0</v>
      </c>
      <c r="AA22" s="25">
        <f>IF(AA5=DistCalc!$C$4,DistCalc!$D22,'New Formula with HB25-1320'!AA22)</f>
        <v>3209</v>
      </c>
      <c r="AB22" s="25">
        <f>IF(AB5=DistCalc!$C$4,DistCalc!$D22,'New Formula with HB25-1320'!AB22)</f>
        <v>2379.5</v>
      </c>
      <c r="AC22" s="25">
        <f>IF(AC5=DistCalc!$C$4,DistCalc!$D22,'New Formula with HB25-1320'!AC22)</f>
        <v>0</v>
      </c>
      <c r="AD22" s="25">
        <f>IF(AD5=DistCalc!$C$4,DistCalc!$D22,'New Formula with HB25-1320'!AD22)</f>
        <v>0</v>
      </c>
      <c r="AE22" s="25">
        <f>IF(AE5=DistCalc!$C$4,DistCalc!$D22,'New Formula with HB25-1320'!AE22)</f>
        <v>0</v>
      </c>
      <c r="AF22" s="25">
        <f>IF(AF5=DistCalc!$C$4,DistCalc!$D22,'New Formula with HB25-1320'!AF22)</f>
        <v>0</v>
      </c>
      <c r="AG22" s="25">
        <f>IF(AG5=DistCalc!$C$4,DistCalc!$D22,'New Formula with HB25-1320'!AG22)</f>
        <v>69</v>
      </c>
      <c r="AH22" s="25">
        <f>IF(AH5=DistCalc!$C$4,DistCalc!$D22,'New Formula with HB25-1320'!AH22)</f>
        <v>0</v>
      </c>
      <c r="AI22" s="25">
        <f>IF(AI5=DistCalc!$C$4,DistCalc!$D22,'New Formula with HB25-1320'!AI22)</f>
        <v>0</v>
      </c>
      <c r="AJ22" s="25">
        <f>IF(AJ5=DistCalc!$C$4,DistCalc!$D22,'New Formula with HB25-1320'!AJ22)</f>
        <v>0</v>
      </c>
      <c r="AK22" s="25">
        <f>IF(AK5=DistCalc!$C$4,DistCalc!$D22,'New Formula with HB25-1320'!AK22)</f>
        <v>0</v>
      </c>
      <c r="AL22" s="25">
        <f>IF(AL5=DistCalc!$C$4,DistCalc!$D22,'New Formula with HB25-1320'!AL22)</f>
        <v>0</v>
      </c>
      <c r="AM22" s="25">
        <f>IF(AM5=DistCalc!$C$4,DistCalc!$D22,'New Formula with HB25-1320'!AM22)</f>
        <v>0</v>
      </c>
      <c r="AN22" s="25">
        <f>IF(AN5=DistCalc!$C$4,DistCalc!$D22,'New Formula with HB25-1320'!AN22)</f>
        <v>0</v>
      </c>
      <c r="AO22" s="25">
        <f>IF(AO5=DistCalc!$C$4,DistCalc!$D22,'New Formula with HB25-1320'!AO22)</f>
        <v>370.5</v>
      </c>
      <c r="AP22" s="25">
        <f>IF(AP5=DistCalc!$C$4,DistCalc!$D22,'New Formula with HB25-1320'!AP22)</f>
        <v>20182</v>
      </c>
      <c r="AQ22" s="25">
        <f>IF(AQ5=DistCalc!$C$4,DistCalc!$D22,'New Formula with HB25-1320'!AQ22)</f>
        <v>0</v>
      </c>
      <c r="AR22" s="25">
        <f>IF(AR5=DistCalc!$C$4,DistCalc!$D22,'New Formula with HB25-1320'!AR22)</f>
        <v>15630.5</v>
      </c>
      <c r="AS22" s="25">
        <f>IF(AS5=DistCalc!$C$4,DistCalc!$D22,'New Formula with HB25-1320'!AS22)</f>
        <v>360</v>
      </c>
      <c r="AT22" s="25">
        <f>IF(AT5=DistCalc!$C$4,DistCalc!$D22,'New Formula with HB25-1320'!AT22)</f>
        <v>490.5</v>
      </c>
      <c r="AU22" s="25">
        <f>IF(AU5=DistCalc!$C$4,DistCalc!$D22,'New Formula with HB25-1320'!AU22)</f>
        <v>0</v>
      </c>
      <c r="AV22" s="25">
        <f>IF(AV5=DistCalc!$C$4,DistCalc!$D22,'New Formula with HB25-1320'!AV22)</f>
        <v>0</v>
      </c>
      <c r="AW22" s="25">
        <f>IF(AW5=DistCalc!$C$4,DistCalc!$D22,'New Formula with HB25-1320'!AW22)</f>
        <v>0</v>
      </c>
      <c r="AX22" s="25">
        <f>IF(AX5=DistCalc!$C$4,DistCalc!$D22,'New Formula with HB25-1320'!AX22)</f>
        <v>0</v>
      </c>
      <c r="AY22" s="25">
        <f>IF(AY5=DistCalc!$C$4,DistCalc!$D22,'New Formula with HB25-1320'!AY22)</f>
        <v>0</v>
      </c>
      <c r="AZ22" s="25">
        <f>IF(AZ5=DistCalc!$C$4,DistCalc!$D22,'New Formula with HB25-1320'!AZ22)</f>
        <v>4118.5</v>
      </c>
      <c r="BA22" s="25">
        <f>IF(BA5=DistCalc!$C$4,DistCalc!$D22,'New Formula with HB25-1320'!BA22)</f>
        <v>72</v>
      </c>
      <c r="BB22" s="25">
        <f>IF(BB5=DistCalc!$C$4,DistCalc!$D22,'New Formula with HB25-1320'!BB22)</f>
        <v>0</v>
      </c>
      <c r="BC22" s="25">
        <f>IF(BC5=DistCalc!$C$4,DistCalc!$D22,'New Formula with HB25-1320'!BC22)</f>
        <v>2369.5</v>
      </c>
      <c r="BD22" s="25">
        <f>IF(BD5=DistCalc!$C$4,DistCalc!$D22,'New Formula with HB25-1320'!BD22)</f>
        <v>0</v>
      </c>
      <c r="BE22" s="25">
        <f>IF(BE5=DistCalc!$C$4,DistCalc!$D22,'New Formula with HB25-1320'!BE22)</f>
        <v>0</v>
      </c>
      <c r="BF22" s="25">
        <f>IF(BF5=DistCalc!$C$4,DistCalc!$D22,'New Formula with HB25-1320'!BF22)</f>
        <v>4104.5</v>
      </c>
      <c r="BG22" s="25">
        <f>IF(BG5=DistCalc!$C$4,DistCalc!$D22,'New Formula with HB25-1320'!BG22)</f>
        <v>0</v>
      </c>
      <c r="BH22" s="25">
        <f>IF(BH5=DistCalc!$C$4,DistCalc!$D22,'New Formula with HB25-1320'!BH22)</f>
        <v>0</v>
      </c>
      <c r="BI22" s="25">
        <f>IF(BI5=DistCalc!$C$4,DistCalc!$D22,'New Formula with HB25-1320'!BI22)</f>
        <v>0</v>
      </c>
      <c r="BJ22" s="25">
        <f>IF(BJ5=DistCalc!$C$4,DistCalc!$D22,'New Formula with HB25-1320'!BJ22)</f>
        <v>1099</v>
      </c>
      <c r="BK22" s="25">
        <f>IF(BK5=DistCalc!$C$4,DistCalc!$D22,'New Formula with HB25-1320'!BK22)</f>
        <v>12574</v>
      </c>
      <c r="BL22" s="25">
        <f>IF(BL5=DistCalc!$C$4,DistCalc!$D22,'New Formula with HB25-1320'!BL22)</f>
        <v>0</v>
      </c>
      <c r="BM22" s="25">
        <f>IF(BM5=DistCalc!$C$4,DistCalc!$D22,'New Formula with HB25-1320'!BM22)</f>
        <v>0</v>
      </c>
      <c r="BN22" s="25">
        <f>IF(BN5=DistCalc!$C$4,DistCalc!$D22,'New Formula with HB25-1320'!BN22)</f>
        <v>250</v>
      </c>
      <c r="BO22" s="25">
        <f>IF(BO5=DistCalc!$C$4,DistCalc!$D22,'New Formula with HB25-1320'!BO22)</f>
        <v>0</v>
      </c>
      <c r="BP22" s="25">
        <f>IF(BP5=DistCalc!$C$4,DistCalc!$D22,'New Formula with HB25-1320'!BP22)</f>
        <v>0</v>
      </c>
      <c r="BQ22" s="25">
        <f>IF(BQ5=DistCalc!$C$4,DistCalc!$D22,'New Formula with HB25-1320'!BQ22)</f>
        <v>531</v>
      </c>
      <c r="BR22" s="25">
        <f>IF(BR5=DistCalc!$C$4,DistCalc!$D22,'New Formula with HB25-1320'!BR22)</f>
        <v>0</v>
      </c>
      <c r="BS22" s="25">
        <f>IF(BS5=DistCalc!$C$4,DistCalc!$D22,'New Formula with HB25-1320'!BS22)</f>
        <v>0</v>
      </c>
      <c r="BT22" s="25">
        <f>IF(BT5=DistCalc!$C$4,DistCalc!$D22,'New Formula with HB25-1320'!BT22)</f>
        <v>0</v>
      </c>
      <c r="BU22" s="25">
        <f>IF(BU5=DistCalc!$C$4,DistCalc!$D22,'New Formula with HB25-1320'!BU22)</f>
        <v>0</v>
      </c>
      <c r="BV22" s="25">
        <f>IF(BV5=DistCalc!$C$4,DistCalc!$D22,'New Formula with HB25-1320'!BV22)</f>
        <v>0</v>
      </c>
      <c r="BW22" s="25">
        <f>IF(BW5=DistCalc!$C$4,DistCalc!$D22,'New Formula with HB25-1320'!BW22)</f>
        <v>34</v>
      </c>
      <c r="BX22" s="25">
        <f>IF(BX5=DistCalc!$C$4,DistCalc!$D22,'New Formula with HB25-1320'!BX22)</f>
        <v>0</v>
      </c>
      <c r="BY22" s="25">
        <f>IF(BY5=DistCalc!$C$4,DistCalc!$D22,'New Formula with HB25-1320'!BY22)</f>
        <v>71.5</v>
      </c>
      <c r="BZ22" s="25">
        <f>IF(BZ5=DistCalc!$C$4,DistCalc!$D22,'New Formula with HB25-1320'!BZ22)</f>
        <v>0</v>
      </c>
      <c r="CA22" s="25">
        <f>IF(CA5=DistCalc!$C$4,DistCalc!$D22,'New Formula with HB25-1320'!CA22)</f>
        <v>0</v>
      </c>
      <c r="CB22" s="25">
        <f>IF(CB5=DistCalc!$C$4,DistCalc!$D22,'New Formula with HB25-1320'!CB22)</f>
        <v>7842.5</v>
      </c>
      <c r="CC22" s="25">
        <f>IF(CC5=DistCalc!$C$4,DistCalc!$D22,'New Formula with HB25-1320'!CC22)</f>
        <v>0</v>
      </c>
      <c r="CD22" s="25">
        <f>IF(CD5=DistCalc!$C$4,DistCalc!$D22,'New Formula with HB25-1320'!CD22)</f>
        <v>0</v>
      </c>
      <c r="CE22" s="25">
        <f>IF(CE5=DistCalc!$C$4,DistCalc!$D22,'New Formula with HB25-1320'!CE22)</f>
        <v>0</v>
      </c>
      <c r="CF22" s="25">
        <f>IF(CF5=DistCalc!$C$4,DistCalc!$D22,'New Formula with HB25-1320'!CF22)</f>
        <v>0</v>
      </c>
      <c r="CG22" s="25">
        <f>IF(CG5=DistCalc!$C$4,DistCalc!$D22,'New Formula with HB25-1320'!CG22)</f>
        <v>0</v>
      </c>
      <c r="CH22" s="25">
        <f>IF(CH5=DistCalc!$C$4,DistCalc!$D22,'New Formula with HB25-1320'!CH22)</f>
        <v>0</v>
      </c>
      <c r="CI22" s="25">
        <f>IF(CI5=DistCalc!$C$4,DistCalc!$D22,'New Formula with HB25-1320'!CI22)</f>
        <v>0</v>
      </c>
      <c r="CJ22" s="25">
        <f>IF(CJ5=DistCalc!$C$4,DistCalc!$D22,'New Formula with HB25-1320'!CJ22)</f>
        <v>0</v>
      </c>
      <c r="CK22" s="25">
        <f>IF(CK5=DistCalc!$C$4,DistCalc!$D22,'New Formula with HB25-1320'!CK22)</f>
        <v>171</v>
      </c>
      <c r="CL22" s="25">
        <f>IF(CL5=DistCalc!$C$4,DistCalc!$D22,'New Formula with HB25-1320'!CL22)</f>
        <v>0</v>
      </c>
      <c r="CM22" s="25">
        <f>IF(CM5=DistCalc!$C$4,DistCalc!$D22,'New Formula with HB25-1320'!CM22)</f>
        <v>0</v>
      </c>
      <c r="CN22" s="25">
        <f>IF(CN5=DistCalc!$C$4,DistCalc!$D22,'New Formula with HB25-1320'!CN22)</f>
        <v>2843.5</v>
      </c>
      <c r="CO22" s="25">
        <f>IF(CO5=DistCalc!$C$4,DistCalc!$D22,'New Formula with HB25-1320'!CO22)</f>
        <v>2019</v>
      </c>
      <c r="CP22" s="25">
        <f>IF(CP5=DistCalc!$C$4,DistCalc!$D22,'New Formula with HB25-1320'!CP22)</f>
        <v>0</v>
      </c>
      <c r="CQ22" s="25">
        <f>IF(CQ5=DistCalc!$C$4,DistCalc!$D22,'New Formula with HB25-1320'!CQ22)</f>
        <v>0</v>
      </c>
      <c r="CR22" s="25">
        <f>IF(CR5=DistCalc!$C$4,DistCalc!$D22,'New Formula with HB25-1320'!CR22)</f>
        <v>0</v>
      </c>
      <c r="CS22" s="25">
        <f>IF(CS5=DistCalc!$C$4,DistCalc!$D22,'New Formula with HB25-1320'!CS22)</f>
        <v>0</v>
      </c>
      <c r="CT22" s="25">
        <f>IF(CT5=DistCalc!$C$4,DistCalc!$D22,'New Formula with HB25-1320'!CT22)</f>
        <v>0</v>
      </c>
      <c r="CU22" s="25">
        <f>IF(CU5=DistCalc!$C$4,DistCalc!$D22,'New Formula with HB25-1320'!CU22)</f>
        <v>0</v>
      </c>
      <c r="CV22" s="25">
        <f>IF(CV5=DistCalc!$C$4,DistCalc!$D22,'New Formula with HB25-1320'!CV22)</f>
        <v>0</v>
      </c>
      <c r="CW22" s="25">
        <f>IF(CW5=DistCalc!$C$4,DistCalc!$D22,'New Formula with HB25-1320'!CW22)</f>
        <v>0</v>
      </c>
      <c r="CX22" s="25">
        <f>IF(CX5=DistCalc!$C$4,DistCalc!$D22,'New Formula with HB25-1320'!CX22)</f>
        <v>0</v>
      </c>
      <c r="CY22" s="25">
        <f>IF(CY5=DistCalc!$C$4,DistCalc!$D22,'New Formula with HB25-1320'!CY22)</f>
        <v>0</v>
      </c>
      <c r="CZ22" s="25">
        <f>IF(CZ5=DistCalc!$C$4,DistCalc!$D22,'New Formula with HB25-1320'!CZ22)</f>
        <v>0</v>
      </c>
      <c r="DA22" s="25">
        <f>IF(DA5=DistCalc!$C$4,DistCalc!$D22,'New Formula with HB25-1320'!DA22)</f>
        <v>0</v>
      </c>
      <c r="DB22" s="25">
        <f>IF(DB5=DistCalc!$C$4,DistCalc!$D22,'New Formula with HB25-1320'!DB22)</f>
        <v>0</v>
      </c>
      <c r="DC22" s="25">
        <f>IF(DC5=DistCalc!$C$4,DistCalc!$D22,'New Formula with HB25-1320'!DC22)</f>
        <v>0</v>
      </c>
      <c r="DD22" s="25">
        <f>IF(DD5=DistCalc!$C$4,DistCalc!$D22,'New Formula with HB25-1320'!DD22)</f>
        <v>0</v>
      </c>
      <c r="DE22" s="25">
        <f>IF(DE5=DistCalc!$C$4,DistCalc!$D22,'New Formula with HB25-1320'!DE22)</f>
        <v>0</v>
      </c>
      <c r="DF22" s="25">
        <f>IF(DF5=DistCalc!$C$4,DistCalc!$D22,'New Formula with HB25-1320'!DF22)</f>
        <v>1074</v>
      </c>
      <c r="DG22" s="25">
        <f>IF(DG5=DistCalc!$C$4,DistCalc!$D22,'New Formula with HB25-1320'!DG22)</f>
        <v>0</v>
      </c>
      <c r="DH22" s="25">
        <f>IF(DH5=DistCalc!$C$4,DistCalc!$D22,'New Formula with HB25-1320'!DH22)</f>
        <v>0</v>
      </c>
      <c r="DI22" s="25">
        <f>IF(DI5=DistCalc!$C$4,DistCalc!$D22,'New Formula with HB25-1320'!DI22)</f>
        <v>386</v>
      </c>
      <c r="DJ22" s="25">
        <f>IF(DJ5=DistCalc!$C$4,DistCalc!$D22,'New Formula with HB25-1320'!DJ22)</f>
        <v>0</v>
      </c>
      <c r="DK22" s="25">
        <f>IF(DK5=DistCalc!$C$4,DistCalc!$D22,'New Formula with HB25-1320'!DK22)</f>
        <v>0</v>
      </c>
      <c r="DL22" s="25">
        <f>IF(DL5=DistCalc!$C$4,DistCalc!$D22,'New Formula with HB25-1320'!DL22)</f>
        <v>172</v>
      </c>
      <c r="DM22" s="25">
        <f>IF(DM5=DistCalc!$C$4,DistCalc!$D22,'New Formula with HB25-1320'!DM22)</f>
        <v>0</v>
      </c>
      <c r="DN22" s="25">
        <f>IF(DN5=DistCalc!$C$4,DistCalc!$D22,'New Formula with HB25-1320'!DN22)</f>
        <v>0</v>
      </c>
      <c r="DO22" s="25">
        <f>IF(DO5=DistCalc!$C$4,DistCalc!$D22,'New Formula with HB25-1320'!DO22)</f>
        <v>0</v>
      </c>
      <c r="DP22" s="25">
        <f>IF(DP5=DistCalc!$C$4,DistCalc!$D22,'New Formula with HB25-1320'!DP22)</f>
        <v>0</v>
      </c>
      <c r="DQ22" s="25">
        <f>IF(DQ5=DistCalc!$C$4,DistCalc!$D22,'New Formula with HB25-1320'!DQ22)</f>
        <v>0</v>
      </c>
      <c r="DR22" s="25">
        <f>IF(DR5=DistCalc!$C$4,DistCalc!$D22,'New Formula with HB25-1320'!DR22)</f>
        <v>0</v>
      </c>
      <c r="DS22" s="25">
        <f>IF(DS5=DistCalc!$C$4,DistCalc!$D22,'New Formula with HB25-1320'!DS22)</f>
        <v>0</v>
      </c>
      <c r="DT22" s="25">
        <f>IF(DT5=DistCalc!$C$4,DistCalc!$D22,'New Formula with HB25-1320'!DT22)</f>
        <v>0</v>
      </c>
      <c r="DU22" s="25">
        <f>IF(DU5=DistCalc!$C$4,DistCalc!$D22,'New Formula with HB25-1320'!DU22)</f>
        <v>0</v>
      </c>
      <c r="DV22" s="25">
        <f>IF(DV5=DistCalc!$C$4,DistCalc!$D22,'New Formula with HB25-1320'!DV22)</f>
        <v>0</v>
      </c>
      <c r="DW22" s="25">
        <f>IF(DW5=DistCalc!$C$4,DistCalc!$D22,'New Formula with HB25-1320'!DW22)</f>
        <v>0</v>
      </c>
      <c r="DX22" s="25">
        <f>IF(DX5=DistCalc!$C$4,DistCalc!$D22,'New Formula with HB25-1320'!DX22)</f>
        <v>0</v>
      </c>
      <c r="DY22" s="25">
        <f>IF(DY5=DistCalc!$C$4,DistCalc!$D22,'New Formula with HB25-1320'!DY22)</f>
        <v>0</v>
      </c>
      <c r="DZ22" s="25">
        <f>IF(DZ5=DistCalc!$C$4,DistCalc!$D22,'New Formula with HB25-1320'!DZ22)</f>
        <v>0</v>
      </c>
      <c r="EA22" s="25">
        <f>IF(EA5=DistCalc!$C$4,DistCalc!$D22,'New Formula with HB25-1320'!EA22)</f>
        <v>161</v>
      </c>
      <c r="EB22" s="25">
        <f>IF(EB5=DistCalc!$C$4,DistCalc!$D22,'New Formula with HB25-1320'!EB22)</f>
        <v>0</v>
      </c>
      <c r="EC22" s="25">
        <f>IF(EC5=DistCalc!$C$4,DistCalc!$D22,'New Formula with HB25-1320'!EC22)</f>
        <v>0</v>
      </c>
      <c r="ED22" s="25">
        <f>IF(ED5=DistCalc!$C$4,DistCalc!$D22,'New Formula with HB25-1320'!ED22)</f>
        <v>135</v>
      </c>
      <c r="EE22" s="25">
        <f>IF(EE5=DistCalc!$C$4,DistCalc!$D22,'New Formula with HB25-1320'!EE22)</f>
        <v>0</v>
      </c>
      <c r="EF22" s="25">
        <f>IF(EF5=DistCalc!$C$4,DistCalc!$D22,'New Formula with HB25-1320'!EF22)</f>
        <v>133</v>
      </c>
      <c r="EG22" s="25">
        <f>IF(EG5=DistCalc!$C$4,DistCalc!$D22,'New Formula with HB25-1320'!EG22)</f>
        <v>0</v>
      </c>
      <c r="EH22" s="25">
        <f>IF(EH5=DistCalc!$C$4,DistCalc!$D22,'New Formula with HB25-1320'!EH22)</f>
        <v>0</v>
      </c>
      <c r="EI22" s="25">
        <f>IF(EI5=DistCalc!$C$4,DistCalc!$D22,'New Formula with HB25-1320'!EI22)</f>
        <v>1491</v>
      </c>
      <c r="EJ22" s="25">
        <f>IF(EJ5=DistCalc!$C$4,DistCalc!$D22,'New Formula with HB25-1320'!EJ22)</f>
        <v>1546</v>
      </c>
      <c r="EK22" s="25">
        <f>IF(EK5=DistCalc!$C$4,DistCalc!$D22,'New Formula with HB25-1320'!EK22)</f>
        <v>0</v>
      </c>
      <c r="EL22" s="25">
        <f>IF(EL5=DistCalc!$C$4,DistCalc!$D22,'New Formula with HB25-1320'!EL22)</f>
        <v>0</v>
      </c>
      <c r="EM22" s="25">
        <f>IF(EM5=DistCalc!$C$4,DistCalc!$D22,'New Formula with HB25-1320'!EM22)</f>
        <v>0</v>
      </c>
      <c r="EN22" s="25">
        <f>IF(EN5=DistCalc!$C$4,DistCalc!$D22,'New Formula with HB25-1320'!EN22)</f>
        <v>0</v>
      </c>
      <c r="EO22" s="25">
        <f>IF(EO5=DistCalc!$C$4,DistCalc!$D22,'New Formula with HB25-1320'!EO22)</f>
        <v>0</v>
      </c>
      <c r="EP22" s="25">
        <f>IF(EP5=DistCalc!$C$4,DistCalc!$D22,'New Formula with HB25-1320'!EP22)</f>
        <v>0</v>
      </c>
      <c r="EQ22" s="25">
        <f>IF(EQ5=DistCalc!$C$4,DistCalc!$D22,'New Formula with HB25-1320'!EQ22)</f>
        <v>85.5</v>
      </c>
      <c r="ER22" s="25">
        <f>IF(ER5=DistCalc!$C$4,DistCalc!$D22,'New Formula with HB25-1320'!ER22)</f>
        <v>0</v>
      </c>
      <c r="ES22" s="25">
        <f>IF(ES5=DistCalc!$C$4,DistCalc!$D22,'New Formula with HB25-1320'!ES22)</f>
        <v>0</v>
      </c>
      <c r="ET22" s="25">
        <f>IF(ET5=DistCalc!$C$4,DistCalc!$D22,'New Formula with HB25-1320'!ET22)</f>
        <v>100</v>
      </c>
      <c r="EU22" s="25">
        <f>IF(EU5=DistCalc!$C$4,DistCalc!$D22,'New Formula with HB25-1320'!EU22)</f>
        <v>0</v>
      </c>
      <c r="EV22" s="25">
        <f>IF(EV5=DistCalc!$C$4,DistCalc!$D22,'New Formula with HB25-1320'!EV22)</f>
        <v>0</v>
      </c>
      <c r="EW22" s="25">
        <f>IF(EW5=DistCalc!$C$4,DistCalc!$D22,'New Formula with HB25-1320'!EW22)</f>
        <v>0</v>
      </c>
      <c r="EX22" s="25">
        <f>IF(EX5=DistCalc!$C$4,DistCalc!$D22,'New Formula with HB25-1320'!EX22)</f>
        <v>0</v>
      </c>
      <c r="EY22" s="25">
        <f>IF(EY5=DistCalc!$C$4,DistCalc!$D22,'New Formula with HB25-1320'!EY22)</f>
        <v>0</v>
      </c>
      <c r="EZ22" s="25">
        <f>IF(EZ5=DistCalc!$C$4,DistCalc!$D22,'New Formula with HB25-1320'!EZ22)</f>
        <v>0</v>
      </c>
      <c r="FA22" s="25">
        <f>IF(FA5=DistCalc!$C$4,DistCalc!$D22,'New Formula with HB25-1320'!FA22)</f>
        <v>0</v>
      </c>
      <c r="FB22" s="25">
        <f>IF(FB5=DistCalc!$C$4,DistCalc!$D22,'New Formula with HB25-1320'!FB22)</f>
        <v>0</v>
      </c>
      <c r="FC22" s="25">
        <f>IF(FC5=DistCalc!$C$4,DistCalc!$D22,'New Formula with HB25-1320'!FC22)</f>
        <v>452</v>
      </c>
      <c r="FD22" s="25">
        <f>IF(FD5=DistCalc!$C$4,DistCalc!$D22,'New Formula with HB25-1320'!FD22)</f>
        <v>0</v>
      </c>
      <c r="FE22" s="25">
        <f>IF(FE5=DistCalc!$C$4,DistCalc!$D22,'New Formula with HB25-1320'!FE22)</f>
        <v>0</v>
      </c>
      <c r="FF22" s="25">
        <f>IF(FF5=DistCalc!$C$4,DistCalc!$D22,'New Formula with HB25-1320'!FF22)</f>
        <v>0</v>
      </c>
      <c r="FG22" s="25">
        <f>IF(FG5=DistCalc!$C$4,DistCalc!$D22,'New Formula with HB25-1320'!FG22)</f>
        <v>0</v>
      </c>
      <c r="FH22" s="25">
        <f>IF(FH5=DistCalc!$C$4,DistCalc!$D22,'New Formula with HB25-1320'!FH22)</f>
        <v>0</v>
      </c>
      <c r="FI22" s="25">
        <f>IF(FI5=DistCalc!$C$4,DistCalc!$D22,'New Formula with HB25-1320'!FI22)</f>
        <v>0</v>
      </c>
      <c r="FJ22" s="25">
        <f>IF(FJ5=DistCalc!$C$4,DistCalc!$D22,'New Formula with HB25-1320'!FJ22)</f>
        <v>0</v>
      </c>
      <c r="FK22" s="25">
        <f>IF(FK5=DistCalc!$C$4,DistCalc!$D22,'New Formula with HB25-1320'!FK22)</f>
        <v>182</v>
      </c>
      <c r="FL22" s="25">
        <f>IF(FL5=DistCalc!$C$4,DistCalc!$D22,'New Formula with HB25-1320'!FL22)</f>
        <v>2030</v>
      </c>
      <c r="FM22" s="25">
        <f>IF(FM5=DistCalc!$C$4,DistCalc!$D22,'New Formula with HB25-1320'!FM22)</f>
        <v>551</v>
      </c>
      <c r="FN22" s="25">
        <f>IF(FN5=DistCalc!$C$4,DistCalc!$D22,'New Formula with HB25-1320'!FN22)</f>
        <v>4978</v>
      </c>
      <c r="FO22" s="25">
        <f>IF(FO5=DistCalc!$C$4,DistCalc!$D22,'New Formula with HB25-1320'!FO22)</f>
        <v>0</v>
      </c>
      <c r="FP22" s="25">
        <f>IF(FP5=DistCalc!$C$4,DistCalc!$D22,'New Formula with HB25-1320'!FP22)</f>
        <v>0</v>
      </c>
      <c r="FQ22" s="25">
        <f>IF(FQ5=DistCalc!$C$4,DistCalc!$D22,'New Formula with HB25-1320'!FQ22)</f>
        <v>0</v>
      </c>
      <c r="FR22" s="25">
        <f>IF(FR5=DistCalc!$C$4,DistCalc!$D22,'New Formula with HB25-1320'!FR22)</f>
        <v>0</v>
      </c>
      <c r="FS22" s="25">
        <f>IF(FS5=DistCalc!$C$4,DistCalc!$D22,'New Formula with HB25-1320'!FS22)</f>
        <v>0</v>
      </c>
      <c r="FT22" s="25" t="e">
        <f ca="1">IF(FT5=DistCalc!$C$4,DistCalc!$D22,'New Formula with HB25-1320'!FT22)</f>
        <v>#NAME?</v>
      </c>
      <c r="FU22" s="25">
        <f>IF(FU5=DistCalc!$C$4,DistCalc!$D22,'New Formula with HB25-1320'!FU22)</f>
        <v>0</v>
      </c>
      <c r="FV22" s="25">
        <f>IF(FV5=DistCalc!$C$4,DistCalc!$D22,'New Formula with HB25-1320'!FV22)</f>
        <v>0</v>
      </c>
      <c r="FW22" s="25">
        <f>IF(FW5=DistCalc!$C$4,DistCalc!$D22,'New Formula with HB25-1320'!FW22)</f>
        <v>0</v>
      </c>
      <c r="FX22" s="25">
        <f>IF(FX5=DistCalc!$C$4,DistCalc!$D22,'New Formula with HB25-1320'!FX22)</f>
        <v>0</v>
      </c>
      <c r="FY22" s="23"/>
      <c r="FZ22" s="23" t="e">
        <f ca="1">SUM(C22:FY22)</f>
        <v>#NAME?</v>
      </c>
      <c r="GA22" s="23"/>
      <c r="GB22" s="23"/>
      <c r="GC22" s="23"/>
      <c r="GD22" s="23"/>
      <c r="GE22" s="7"/>
      <c r="GF22" s="7"/>
      <c r="GG22" s="7"/>
      <c r="GH22" s="7"/>
      <c r="GI22" s="7"/>
      <c r="GJ22" s="7"/>
      <c r="GK22" s="7"/>
    </row>
    <row r="23" spans="1:207" ht="15.5" x14ac:dyDescent="0.35">
      <c r="A23" s="92" t="s">
        <v>469</v>
      </c>
      <c r="B23" s="7" t="s">
        <v>478</v>
      </c>
      <c r="C23" s="25">
        <f>IF(C5=DistCalc!$C$4,DistCalc!$D23,'New Formula with HB25-1320'!C23)</f>
        <v>6556</v>
      </c>
      <c r="D23" s="25">
        <f>IF(D5=DistCalc!$C$4,DistCalc!$D23,'New Formula with HB25-1320'!D23)</f>
        <v>39211.699999999997</v>
      </c>
      <c r="E23" s="25">
        <f>IF(E5=DistCalc!$C$4,DistCalc!$D23,'New Formula with HB25-1320'!E23)</f>
        <v>6031.7</v>
      </c>
      <c r="F23" s="25">
        <f>IF(F5=DistCalc!$C$4,DistCalc!$D23,'New Formula with HB25-1320'!F23)</f>
        <v>23565.3</v>
      </c>
      <c r="G23" s="25">
        <f>IF(G5=DistCalc!$C$4,DistCalc!$D23,'New Formula with HB25-1320'!G23)</f>
        <v>1550.5</v>
      </c>
      <c r="H23" s="25">
        <f>IF(H5=DistCalc!$C$4,DistCalc!$D23,'New Formula with HB25-1320'!H23)</f>
        <v>1112</v>
      </c>
      <c r="I23" s="25">
        <f>IF(I5=DistCalc!$C$4,DistCalc!$D23,'New Formula with HB25-1320'!I23)</f>
        <v>8326</v>
      </c>
      <c r="J23" s="25">
        <f>IF(J5=DistCalc!$C$4,DistCalc!$D23,'New Formula with HB25-1320'!J23)</f>
        <v>2101.4</v>
      </c>
      <c r="K23" s="25">
        <f>IF(K5=DistCalc!$C$4,DistCalc!$D23,'New Formula with HB25-1320'!K23)</f>
        <v>270</v>
      </c>
      <c r="L23" s="25">
        <f>IF(L5=DistCalc!$C$4,DistCalc!$D23,'New Formula with HB25-1320'!L23)</f>
        <v>2192.6</v>
      </c>
      <c r="M23" s="25">
        <f>IF(M5=DistCalc!$C$4,DistCalc!$D23,'New Formula with HB25-1320'!M23)</f>
        <v>1008.8</v>
      </c>
      <c r="N23" s="25">
        <f>IF(N5=DistCalc!$C$4,DistCalc!$D23,'New Formula with HB25-1320'!N23)</f>
        <v>50909.1</v>
      </c>
      <c r="O23" s="25">
        <f>IF(O5=DistCalc!$C$4,DistCalc!$D23,'New Formula with HB25-1320'!O23)</f>
        <v>13189.5</v>
      </c>
      <c r="P23" s="25">
        <f>IF(P5=DistCalc!$C$4,DistCalc!$D23,'New Formula with HB25-1320'!P23)</f>
        <v>347</v>
      </c>
      <c r="Q23" s="25">
        <f>IF(Q5=DistCalc!$C$4,DistCalc!$D23,'New Formula with HB25-1320'!Q23)</f>
        <v>37905.300000000003</v>
      </c>
      <c r="R23" s="25">
        <f>IF(R5=DistCalc!$C$4,DistCalc!$D23,'New Formula with HB25-1320'!R23)</f>
        <v>6074.5</v>
      </c>
      <c r="S23" s="25">
        <f>IF(S5=DistCalc!$C$4,DistCalc!$D23,'New Formula with HB25-1320'!S23)</f>
        <v>1606.3</v>
      </c>
      <c r="T23" s="25">
        <f>IF(T5=DistCalc!$C$4,DistCalc!$D23,'New Formula with HB25-1320'!T23)</f>
        <v>162.80000000000001</v>
      </c>
      <c r="U23" s="25">
        <f>IF(U5=DistCalc!$C$4,DistCalc!$D23,'New Formula with HB25-1320'!U23)</f>
        <v>51.7</v>
      </c>
      <c r="V23" s="25">
        <f>IF(V5=DistCalc!$C$4,DistCalc!$D23,'New Formula with HB25-1320'!V23)</f>
        <v>260.60000000000002</v>
      </c>
      <c r="W23" s="25">
        <f>IF(W5=DistCalc!$C$4,DistCalc!$D23,'New Formula with HB25-1320'!W23)</f>
        <v>208.9</v>
      </c>
      <c r="X23" s="25">
        <f>IF(X5=DistCalc!$C$4,DistCalc!$D23,'New Formula with HB25-1320'!X23)</f>
        <v>50</v>
      </c>
      <c r="Y23" s="25">
        <f>IF(Y5=DistCalc!$C$4,DistCalc!$D23,'New Formula with HB25-1320'!Y23)</f>
        <v>948.7</v>
      </c>
      <c r="Z23" s="25">
        <f>IF(Z5=DistCalc!$C$4,DistCalc!$D23,'New Formula with HB25-1320'!Z23)</f>
        <v>230.5</v>
      </c>
      <c r="AA23" s="25">
        <f>IF(AA5=DistCalc!$C$4,DistCalc!$D23,'New Formula with HB25-1320'!AA23)</f>
        <v>31024.400000000001</v>
      </c>
      <c r="AB23" s="25">
        <f>IF(AB5=DistCalc!$C$4,DistCalc!$D23,'New Formula with HB25-1320'!AB23)</f>
        <v>27406</v>
      </c>
      <c r="AC23" s="25">
        <f>IF(AC5=DistCalc!$C$4,DistCalc!$D23,'New Formula with HB25-1320'!AC23)</f>
        <v>932.5</v>
      </c>
      <c r="AD23" s="25">
        <f>IF(AD5=DistCalc!$C$4,DistCalc!$D23,'New Formula with HB25-1320'!AD23)</f>
        <v>1411.6</v>
      </c>
      <c r="AE23" s="25">
        <f>IF(AE5=DistCalc!$C$4,DistCalc!$D23,'New Formula with HB25-1320'!AE23)</f>
        <v>94</v>
      </c>
      <c r="AF23" s="25">
        <f>IF(AF5=DistCalc!$C$4,DistCalc!$D23,'New Formula with HB25-1320'!AF23)</f>
        <v>172</v>
      </c>
      <c r="AG23" s="25">
        <f>IF(AG5=DistCalc!$C$4,DistCalc!$D23,'New Formula with HB25-1320'!AG23)</f>
        <v>612.29999999999995</v>
      </c>
      <c r="AH23" s="25">
        <f>IF(AH5=DistCalc!$C$4,DistCalc!$D23,'New Formula with HB25-1320'!AH23)</f>
        <v>977.5</v>
      </c>
      <c r="AI23" s="25">
        <f>IF(AI5=DistCalc!$C$4,DistCalc!$D23,'New Formula with HB25-1320'!AI23)</f>
        <v>400</v>
      </c>
      <c r="AJ23" s="25">
        <f>IF(AJ5=DistCalc!$C$4,DistCalc!$D23,'New Formula with HB25-1320'!AJ23)</f>
        <v>166</v>
      </c>
      <c r="AK23" s="25">
        <f>IF(AK5=DistCalc!$C$4,DistCalc!$D23,'New Formula with HB25-1320'!AK23)</f>
        <v>170.4</v>
      </c>
      <c r="AL23" s="25">
        <f>IF(AL5=DistCalc!$C$4,DistCalc!$D23,'New Formula with HB25-1320'!AL23)</f>
        <v>282</v>
      </c>
      <c r="AM23" s="25">
        <f>IF(AM5=DistCalc!$C$4,DistCalc!$D23,'New Formula with HB25-1320'!AM23)</f>
        <v>371.8</v>
      </c>
      <c r="AN23" s="25">
        <f>IF(AN5=DistCalc!$C$4,DistCalc!$D23,'New Formula with HB25-1320'!AN23)</f>
        <v>314.3</v>
      </c>
      <c r="AO23" s="25">
        <f>IF(AO5=DistCalc!$C$4,DistCalc!$D23,'New Formula with HB25-1320'!AO23)</f>
        <v>4353.3999999999996</v>
      </c>
      <c r="AP23" s="25">
        <f>IF(AP5=DistCalc!$C$4,DistCalc!$D23,'New Formula with HB25-1320'!AP23)</f>
        <v>83844</v>
      </c>
      <c r="AQ23" s="25">
        <f>IF(AQ5=DistCalc!$C$4,DistCalc!$D23,'New Formula with HB25-1320'!AQ23)</f>
        <v>237.8</v>
      </c>
      <c r="AR23" s="25">
        <f>IF(AR5=DistCalc!$C$4,DistCalc!$D23,'New Formula with HB25-1320'!AR23)</f>
        <v>62998.26</v>
      </c>
      <c r="AS23" s="25">
        <f>IF(AS5=DistCalc!$C$4,DistCalc!$D23,'New Formula with HB25-1320'!AS23)</f>
        <v>6617.4</v>
      </c>
      <c r="AT23" s="25">
        <f>IF(AT5=DistCalc!$C$4,DistCalc!$D23,'New Formula with HB25-1320'!AT23)</f>
        <v>2651.4</v>
      </c>
      <c r="AU23" s="25">
        <f>IF(AU5=DistCalc!$C$4,DistCalc!$D23,'New Formula with HB25-1320'!AU23)</f>
        <v>305.5</v>
      </c>
      <c r="AV23" s="25">
        <f>IF(AV5=DistCalc!$C$4,DistCalc!$D23,'New Formula with HB25-1320'!AV23)</f>
        <v>307.5</v>
      </c>
      <c r="AW23" s="25">
        <f>IF(AW5=DistCalc!$C$4,DistCalc!$D23,'New Formula with HB25-1320'!AW23)</f>
        <v>255.8</v>
      </c>
      <c r="AX23" s="25">
        <f>IF(AX5=DistCalc!$C$4,DistCalc!$D23,'New Formula with HB25-1320'!AX23)</f>
        <v>66.3</v>
      </c>
      <c r="AY23" s="25">
        <f>IF(AY5=DistCalc!$C$4,DistCalc!$D23,'New Formula with HB25-1320'!AY23)</f>
        <v>424.3</v>
      </c>
      <c r="AZ23" s="25">
        <f>IF(AZ5=DistCalc!$C$4,DistCalc!$D23,'New Formula with HB25-1320'!AZ23)</f>
        <v>12382</v>
      </c>
      <c r="BA23" s="25">
        <f>IF(BA5=DistCalc!$C$4,DistCalc!$D23,'New Formula with HB25-1320'!BA23)</f>
        <v>9172.2999999999993</v>
      </c>
      <c r="BB23" s="25">
        <f>IF(BB5=DistCalc!$C$4,DistCalc!$D23,'New Formula with HB25-1320'!BB23)</f>
        <v>7569.5</v>
      </c>
      <c r="BC23" s="25">
        <f>IF(BC5=DistCalc!$C$4,DistCalc!$D23,'New Formula with HB25-1320'!BC23)</f>
        <v>25829.3</v>
      </c>
      <c r="BD23" s="25">
        <f>IF(BD5=DistCalc!$C$4,DistCalc!$D23,'New Formula with HB25-1320'!BD23)</f>
        <v>3635</v>
      </c>
      <c r="BE23" s="25">
        <f>IF(BE5=DistCalc!$C$4,DistCalc!$D23,'New Formula with HB25-1320'!BE23)</f>
        <v>1259.2</v>
      </c>
      <c r="BF23" s="25">
        <f>IF(BF5=DistCalc!$C$4,DistCalc!$D23,'New Formula with HB25-1320'!BF23)</f>
        <v>25664.7</v>
      </c>
      <c r="BG23" s="25">
        <f>IF(BG5=DistCalc!$C$4,DistCalc!$D23,'New Formula with HB25-1320'!BG23)</f>
        <v>899.7</v>
      </c>
      <c r="BH23" s="25">
        <f>IF(BH5=DistCalc!$C$4,DistCalc!$D23,'New Formula with HB25-1320'!BH23)</f>
        <v>590.29999999999995</v>
      </c>
      <c r="BI23" s="25">
        <f>IF(BI5=DistCalc!$C$4,DistCalc!$D23,'New Formula with HB25-1320'!BI23)</f>
        <v>257.10000000000002</v>
      </c>
      <c r="BJ23" s="25">
        <f>IF(BJ5=DistCalc!$C$4,DistCalc!$D23,'New Formula with HB25-1320'!BJ23)</f>
        <v>6303.3</v>
      </c>
      <c r="BK23" s="25">
        <f>IF(BK5=DistCalc!$C$4,DistCalc!$D23,'New Formula with HB25-1320'!BK23)</f>
        <v>30973.9</v>
      </c>
      <c r="BL23" s="25">
        <f>IF(BL5=DistCalc!$C$4,DistCalc!$D23,'New Formula with HB25-1320'!BL23)</f>
        <v>96.7</v>
      </c>
      <c r="BM23" s="25">
        <f>IF(BM5=DistCalc!$C$4,DistCalc!$D23,'New Formula with HB25-1320'!BM23)</f>
        <v>420</v>
      </c>
      <c r="BN23" s="25">
        <f>IF(BN5=DistCalc!$C$4,DistCalc!$D23,'New Formula with HB25-1320'!BN23)</f>
        <v>3202.6</v>
      </c>
      <c r="BO23" s="25">
        <f>IF(BO5=DistCalc!$C$4,DistCalc!$D23,'New Formula with HB25-1320'!BO23)</f>
        <v>1287.2</v>
      </c>
      <c r="BP23" s="25">
        <f>IF(BP5=DistCalc!$C$4,DistCalc!$D23,'New Formula with HB25-1320'!BP23)</f>
        <v>169.6</v>
      </c>
      <c r="BQ23" s="25">
        <f>IF(BQ5=DistCalc!$C$4,DistCalc!$D23,'New Formula with HB25-1320'!BQ23)</f>
        <v>5970.6</v>
      </c>
      <c r="BR23" s="25">
        <f>IF(BR5=DistCalc!$C$4,DistCalc!$D23,'New Formula with HB25-1320'!BR23)</f>
        <v>4499.6000000000004</v>
      </c>
      <c r="BS23" s="25">
        <f>IF(BS5=DistCalc!$C$4,DistCalc!$D23,'New Formula with HB25-1320'!BS23)</f>
        <v>1116.0999999999999</v>
      </c>
      <c r="BT23" s="25">
        <f>IF(BT5=DistCalc!$C$4,DistCalc!$D23,'New Formula with HB25-1320'!BT23)</f>
        <v>386.6</v>
      </c>
      <c r="BU23" s="25">
        <f>IF(BU5=DistCalc!$C$4,DistCalc!$D23,'New Formula with HB25-1320'!BU23)</f>
        <v>417</v>
      </c>
      <c r="BV23" s="25">
        <f>IF(BV5=DistCalc!$C$4,DistCalc!$D23,'New Formula with HB25-1320'!BV23)</f>
        <v>1232.5999999999999</v>
      </c>
      <c r="BW23" s="25">
        <f>IF(BW5=DistCalc!$C$4,DistCalc!$D23,'New Formula with HB25-1320'!BW23)</f>
        <v>1992.9</v>
      </c>
      <c r="BX23" s="25">
        <f>IF(BX5=DistCalc!$C$4,DistCalc!$D23,'New Formula with HB25-1320'!BX23)</f>
        <v>69.2</v>
      </c>
      <c r="BY23" s="25">
        <f>IF(BY5=DistCalc!$C$4,DistCalc!$D23,'New Formula with HB25-1320'!BY23)</f>
        <v>459.3</v>
      </c>
      <c r="BZ23" s="25">
        <f>IF(BZ5=DistCalc!$C$4,DistCalc!$D23,'New Formula with HB25-1320'!BZ23)</f>
        <v>203.7</v>
      </c>
      <c r="CA23" s="25">
        <f>IF(CA5=DistCalc!$C$4,DistCalc!$D23,'New Formula with HB25-1320'!CA23)</f>
        <v>150.6</v>
      </c>
      <c r="CB23" s="25">
        <f>IF(CB5=DistCalc!$C$4,DistCalc!$D23,'New Formula with HB25-1320'!CB23)</f>
        <v>74887.399999999994</v>
      </c>
      <c r="CC23" s="25">
        <f>IF(CC5=DistCalc!$C$4,DistCalc!$D23,'New Formula with HB25-1320'!CC23)</f>
        <v>188</v>
      </c>
      <c r="CD23" s="25">
        <f>IF(CD5=DistCalc!$C$4,DistCalc!$D23,'New Formula with HB25-1320'!CD23)</f>
        <v>211.3</v>
      </c>
      <c r="CE23" s="25">
        <f>IF(CE5=DistCalc!$C$4,DistCalc!$D23,'New Formula with HB25-1320'!CE23)</f>
        <v>151.80000000000001</v>
      </c>
      <c r="CF23" s="25">
        <f>IF(CF5=DistCalc!$C$4,DistCalc!$D23,'New Formula with HB25-1320'!CF23)</f>
        <v>114.9</v>
      </c>
      <c r="CG23" s="25">
        <f>IF(CG5=DistCalc!$C$4,DistCalc!$D23,'New Formula with HB25-1320'!CG23)</f>
        <v>201.5</v>
      </c>
      <c r="CH23" s="25">
        <f>IF(CH5=DistCalc!$C$4,DistCalc!$D23,'New Formula with HB25-1320'!CH23)</f>
        <v>100.2</v>
      </c>
      <c r="CI23" s="25">
        <f>IF(CI5=DistCalc!$C$4,DistCalc!$D23,'New Formula with HB25-1320'!CI23)</f>
        <v>697.5</v>
      </c>
      <c r="CJ23" s="25">
        <f>IF(CJ5=DistCalc!$C$4,DistCalc!$D23,'New Formula with HB25-1320'!CJ23)</f>
        <v>896.7</v>
      </c>
      <c r="CK23" s="25">
        <f>IF(CK5=DistCalc!$C$4,DistCalc!$D23,'New Formula with HB25-1320'!CK23)</f>
        <v>5676.9</v>
      </c>
      <c r="CL23" s="25">
        <f>IF(CL5=DistCalc!$C$4,DistCalc!$D23,'New Formula with HB25-1320'!CL23)</f>
        <v>1281.3</v>
      </c>
      <c r="CM23" s="25">
        <f>IF(CM5=DistCalc!$C$4,DistCalc!$D23,'New Formula with HB25-1320'!CM23)</f>
        <v>732.7</v>
      </c>
      <c r="CN23" s="25">
        <f>IF(CN5=DistCalc!$C$4,DistCalc!$D23,'New Formula with HB25-1320'!CN23)</f>
        <v>32581.3</v>
      </c>
      <c r="CO23" s="25">
        <f>IF(CO5=DistCalc!$C$4,DistCalc!$D23,'New Formula with HB25-1320'!CO23)</f>
        <v>14539.6</v>
      </c>
      <c r="CP23" s="25">
        <f>IF(CP5=DistCalc!$C$4,DistCalc!$D23,'New Formula with HB25-1320'!CP23)</f>
        <v>971.7</v>
      </c>
      <c r="CQ23" s="25">
        <f>IF(CQ5=DistCalc!$C$4,DistCalc!$D23,'New Formula with HB25-1320'!CQ23)</f>
        <v>773</v>
      </c>
      <c r="CR23" s="25">
        <f>IF(CR5=DistCalc!$C$4,DistCalc!$D23,'New Formula with HB25-1320'!CR23)</f>
        <v>233.2</v>
      </c>
      <c r="CS23" s="25">
        <f>IF(CS5=DistCalc!$C$4,DistCalc!$D23,'New Formula with HB25-1320'!CS23)</f>
        <v>301.60000000000002</v>
      </c>
      <c r="CT23" s="25">
        <f>IF(CT5=DistCalc!$C$4,DistCalc!$D23,'New Formula with HB25-1320'!CT23)</f>
        <v>103.8</v>
      </c>
      <c r="CU23" s="25">
        <f>IF(CU5=DistCalc!$C$4,DistCalc!$D23,'New Formula with HB25-1320'!CU23)</f>
        <v>406.4</v>
      </c>
      <c r="CV23" s="25">
        <f>IF(CV5=DistCalc!$C$4,DistCalc!$D23,'New Formula with HB25-1320'!CV23)</f>
        <v>50</v>
      </c>
      <c r="CW23" s="25">
        <f>IF(CW5=DistCalc!$C$4,DistCalc!$D23,'New Formula with HB25-1320'!CW23)</f>
        <v>206</v>
      </c>
      <c r="CX23" s="25">
        <f>IF(CX5=DistCalc!$C$4,DistCalc!$D23,'New Formula with HB25-1320'!CX23)</f>
        <v>462.5</v>
      </c>
      <c r="CY23" s="25">
        <f>IF(CY5=DistCalc!$C$4,DistCalc!$D23,'New Formula with HB25-1320'!CY23)</f>
        <v>50</v>
      </c>
      <c r="CZ23" s="25">
        <f>IF(CZ5=DistCalc!$C$4,DistCalc!$D23,'New Formula with HB25-1320'!CZ23)</f>
        <v>1843.3</v>
      </c>
      <c r="DA23" s="25">
        <f>IF(DA5=DistCalc!$C$4,DistCalc!$D23,'New Formula with HB25-1320'!DA23)</f>
        <v>199.5</v>
      </c>
      <c r="DB23" s="25">
        <f>IF(DB5=DistCalc!$C$4,DistCalc!$D23,'New Formula with HB25-1320'!DB23)</f>
        <v>320.5</v>
      </c>
      <c r="DC23" s="25">
        <f>IF(DC5=DistCalc!$C$4,DistCalc!$D23,'New Formula with HB25-1320'!DC23)</f>
        <v>183</v>
      </c>
      <c r="DD23" s="25">
        <f>IF(DD5=DistCalc!$C$4,DistCalc!$D23,'New Formula with HB25-1320'!DD23)</f>
        <v>156</v>
      </c>
      <c r="DE23" s="25">
        <f>IF(DE5=DistCalc!$C$4,DistCalc!$D23,'New Formula with HB25-1320'!DE23)</f>
        <v>297.89999999999998</v>
      </c>
      <c r="DF23" s="25">
        <f>IF(DF5=DistCalc!$C$4,DistCalc!$D23,'New Formula with HB25-1320'!DF23)</f>
        <v>21065.599999999999</v>
      </c>
      <c r="DG23" s="25">
        <f>IF(DG5=DistCalc!$C$4,DistCalc!$D23,'New Formula with HB25-1320'!DG23)</f>
        <v>104</v>
      </c>
      <c r="DH23" s="25">
        <f>IF(DH5=DistCalc!$C$4,DistCalc!$D23,'New Formula with HB25-1320'!DH23)</f>
        <v>1860.6</v>
      </c>
      <c r="DI23" s="25">
        <f>IF(DI5=DistCalc!$C$4,DistCalc!$D23,'New Formula with HB25-1320'!DI23)</f>
        <v>2486.8000000000002</v>
      </c>
      <c r="DJ23" s="25">
        <f>IF(DJ5=DistCalc!$C$4,DistCalc!$D23,'New Formula with HB25-1320'!DJ23)</f>
        <v>639.5</v>
      </c>
      <c r="DK23" s="25">
        <f>IF(DK5=DistCalc!$C$4,DistCalc!$D23,'New Formula with HB25-1320'!DK23)</f>
        <v>500</v>
      </c>
      <c r="DL23" s="25">
        <f>IF(DL5=DistCalc!$C$4,DistCalc!$D23,'New Formula with HB25-1320'!DL23)</f>
        <v>5726.4</v>
      </c>
      <c r="DM23" s="25">
        <f>IF(DM5=DistCalc!$C$4,DistCalc!$D23,'New Formula with HB25-1320'!DM23)</f>
        <v>232.8</v>
      </c>
      <c r="DN23" s="25">
        <f>IF(DN5=DistCalc!$C$4,DistCalc!$D23,'New Formula with HB25-1320'!DN23)</f>
        <v>1320</v>
      </c>
      <c r="DO23" s="25">
        <f>IF(DO5=DistCalc!$C$4,DistCalc!$D23,'New Formula with HB25-1320'!DO23)</f>
        <v>3248</v>
      </c>
      <c r="DP23" s="25">
        <f>IF(DP5=DistCalc!$C$4,DistCalc!$D23,'New Formula with HB25-1320'!DP23)</f>
        <v>198.3</v>
      </c>
      <c r="DQ23" s="25">
        <f>IF(DQ5=DistCalc!$C$4,DistCalc!$D23,'New Formula with HB25-1320'!DQ23)</f>
        <v>834</v>
      </c>
      <c r="DR23" s="25">
        <f>IF(DR5=DistCalc!$C$4,DistCalc!$D23,'New Formula with HB25-1320'!DR23)</f>
        <v>1343.6</v>
      </c>
      <c r="DS23" s="25">
        <f>IF(DS5=DistCalc!$C$4,DistCalc!$D23,'New Formula with HB25-1320'!DS23)</f>
        <v>639</v>
      </c>
      <c r="DT23" s="25">
        <f>IF(DT5=DistCalc!$C$4,DistCalc!$D23,'New Formula with HB25-1320'!DT23)</f>
        <v>175</v>
      </c>
      <c r="DU23" s="25">
        <f>IF(DU5=DistCalc!$C$4,DistCalc!$D23,'New Formula with HB25-1320'!DU23)</f>
        <v>361</v>
      </c>
      <c r="DV23" s="25">
        <f>IF(DV5=DistCalc!$C$4,DistCalc!$D23,'New Formula with HB25-1320'!DV23)</f>
        <v>214</v>
      </c>
      <c r="DW23" s="25">
        <f>IF(DW5=DistCalc!$C$4,DistCalc!$D23,'New Formula with HB25-1320'!DW23)</f>
        <v>307.7</v>
      </c>
      <c r="DX23" s="25">
        <f>IF(DX5=DistCalc!$C$4,DistCalc!$D23,'New Formula with HB25-1320'!DX23)</f>
        <v>164.2</v>
      </c>
      <c r="DY23" s="25">
        <f>IF(DY5=DistCalc!$C$4,DistCalc!$D23,'New Formula with HB25-1320'!DY23)</f>
        <v>305.3</v>
      </c>
      <c r="DZ23" s="25">
        <f>IF(DZ5=DistCalc!$C$4,DistCalc!$D23,'New Formula with HB25-1320'!DZ23)</f>
        <v>716.4</v>
      </c>
      <c r="EA23" s="25">
        <f>IF(EA5=DistCalc!$C$4,DistCalc!$D23,'New Formula with HB25-1320'!EA23)</f>
        <v>531.29999999999995</v>
      </c>
      <c r="EB23" s="25">
        <f>IF(EB5=DistCalc!$C$4,DistCalc!$D23,'New Formula with HB25-1320'!EB23)</f>
        <v>569.1</v>
      </c>
      <c r="EC23" s="25">
        <f>IF(EC5=DistCalc!$C$4,DistCalc!$D23,'New Formula with HB25-1320'!EC23)</f>
        <v>297.10000000000002</v>
      </c>
      <c r="ED23" s="25">
        <f>IF(ED5=DistCalc!$C$4,DistCalc!$D23,'New Formula with HB25-1320'!ED23)</f>
        <v>1562.4</v>
      </c>
      <c r="EE23" s="25">
        <f>IF(EE5=DistCalc!$C$4,DistCalc!$D23,'New Formula with HB25-1320'!EE23)</f>
        <v>190.2</v>
      </c>
      <c r="EF23" s="25">
        <f>IF(EF5=DistCalc!$C$4,DistCalc!$D23,'New Formula with HB25-1320'!EF23)</f>
        <v>1404.7</v>
      </c>
      <c r="EG23" s="25">
        <f>IF(EG5=DistCalc!$C$4,DistCalc!$D23,'New Formula with HB25-1320'!EG23)</f>
        <v>249.9</v>
      </c>
      <c r="EH23" s="25">
        <f>IF(EH5=DistCalc!$C$4,DistCalc!$D23,'New Formula with HB25-1320'!EH23)</f>
        <v>248</v>
      </c>
      <c r="EI23" s="25">
        <f>IF(EI5=DistCalc!$C$4,DistCalc!$D23,'New Formula with HB25-1320'!EI23)</f>
        <v>14178.9</v>
      </c>
      <c r="EJ23" s="25">
        <f>IF(EJ5=DistCalc!$C$4,DistCalc!$D23,'New Formula with HB25-1320'!EJ23)</f>
        <v>10282</v>
      </c>
      <c r="EK23" s="25">
        <f>IF(EK5=DistCalc!$C$4,DistCalc!$D23,'New Formula with HB25-1320'!EK23)</f>
        <v>682.8</v>
      </c>
      <c r="EL23" s="25">
        <f>IF(EL5=DistCalc!$C$4,DistCalc!$D23,'New Formula with HB25-1320'!EL23)</f>
        <v>474.5</v>
      </c>
      <c r="EM23" s="25">
        <f>IF(EM5=DistCalc!$C$4,DistCalc!$D23,'New Formula with HB25-1320'!EM23)</f>
        <v>384.9</v>
      </c>
      <c r="EN23" s="25">
        <f>IF(EN5=DistCalc!$C$4,DistCalc!$D23,'New Formula with HB25-1320'!EN23)</f>
        <v>979.8</v>
      </c>
      <c r="EO23" s="25">
        <f>IF(EO5=DistCalc!$C$4,DistCalc!$D23,'New Formula with HB25-1320'!EO23)</f>
        <v>314.2</v>
      </c>
      <c r="EP23" s="25">
        <f>IF(EP5=DistCalc!$C$4,DistCalc!$D23,'New Formula with HB25-1320'!EP23)</f>
        <v>419.7</v>
      </c>
      <c r="EQ23" s="25">
        <f>IF(EQ5=DistCalc!$C$4,DistCalc!$D23,'New Formula with HB25-1320'!EQ23)</f>
        <v>2658.9</v>
      </c>
      <c r="ER23" s="25">
        <f>IF(ER5=DistCalc!$C$4,DistCalc!$D23,'New Formula with HB25-1320'!ER23)</f>
        <v>316</v>
      </c>
      <c r="ES23" s="25">
        <f>IF(ES5=DistCalc!$C$4,DistCalc!$D23,'New Formula with HB25-1320'!ES23)</f>
        <v>181.4</v>
      </c>
      <c r="ET23" s="25">
        <f>IF(ET5=DistCalc!$C$4,DistCalc!$D23,'New Formula with HB25-1320'!ET23)</f>
        <v>191.2</v>
      </c>
      <c r="EU23" s="25">
        <f>IF(EU5=DistCalc!$C$4,DistCalc!$D23,'New Formula with HB25-1320'!EU23)</f>
        <v>574.6</v>
      </c>
      <c r="EV23" s="25">
        <f>IF(EV5=DistCalc!$C$4,DistCalc!$D23,'New Formula with HB25-1320'!EV23)</f>
        <v>78.8</v>
      </c>
      <c r="EW23" s="25">
        <f>IF(EW5=DistCalc!$C$4,DistCalc!$D23,'New Formula with HB25-1320'!EW23)</f>
        <v>839</v>
      </c>
      <c r="EX23" s="25">
        <f>IF(EX5=DistCalc!$C$4,DistCalc!$D23,'New Formula with HB25-1320'!EX23)</f>
        <v>169.3</v>
      </c>
      <c r="EY23" s="25">
        <f>IF(EY5=DistCalc!$C$4,DistCalc!$D23,'New Formula with HB25-1320'!EY23)</f>
        <v>779</v>
      </c>
      <c r="EZ23" s="25">
        <f>IF(EZ5=DistCalc!$C$4,DistCalc!$D23,'New Formula with HB25-1320'!EZ23)</f>
        <v>128.5</v>
      </c>
      <c r="FA23" s="25">
        <f>IF(FA5=DistCalc!$C$4,DistCalc!$D23,'New Formula with HB25-1320'!FA23)</f>
        <v>3455.1</v>
      </c>
      <c r="FB23" s="25">
        <f>IF(FB5=DistCalc!$C$4,DistCalc!$D23,'New Formula with HB25-1320'!FB23)</f>
        <v>295.5</v>
      </c>
      <c r="FC23" s="25">
        <f>IF(FC5=DistCalc!$C$4,DistCalc!$D23,'New Formula with HB25-1320'!FC23)</f>
        <v>1964.2</v>
      </c>
      <c r="FD23" s="25">
        <f>IF(FD5=DistCalc!$C$4,DistCalc!$D23,'New Formula with HB25-1320'!FD23)</f>
        <v>405.3</v>
      </c>
      <c r="FE23" s="25">
        <f>IF(FE5=DistCalc!$C$4,DistCalc!$D23,'New Formula with HB25-1320'!FE23)</f>
        <v>83.4</v>
      </c>
      <c r="FF23" s="25">
        <f>IF(FF5=DistCalc!$C$4,DistCalc!$D23,'New Formula with HB25-1320'!FF23)</f>
        <v>195.4</v>
      </c>
      <c r="FG23" s="25">
        <f>IF(FG5=DistCalc!$C$4,DistCalc!$D23,'New Formula with HB25-1320'!FG23)</f>
        <v>126.8</v>
      </c>
      <c r="FH23" s="25">
        <f>IF(FH5=DistCalc!$C$4,DistCalc!$D23,'New Formula with HB25-1320'!FH23)</f>
        <v>69.7</v>
      </c>
      <c r="FI23" s="25">
        <f>IF(FI5=DistCalc!$C$4,DistCalc!$D23,'New Formula with HB25-1320'!FI23)</f>
        <v>1739.1</v>
      </c>
      <c r="FJ23" s="25">
        <f>IF(FJ5=DistCalc!$C$4,DistCalc!$D23,'New Formula with HB25-1320'!FJ23)</f>
        <v>2033</v>
      </c>
      <c r="FK23" s="25">
        <f>IF(FK5=DistCalc!$C$4,DistCalc!$D23,'New Formula with HB25-1320'!FK23)</f>
        <v>2573.5</v>
      </c>
      <c r="FL23" s="25">
        <f>IF(FL5=DistCalc!$C$4,DistCalc!$D23,'New Formula with HB25-1320'!FL23)</f>
        <v>8294</v>
      </c>
      <c r="FM23" s="25">
        <f>IF(FM5=DistCalc!$C$4,DistCalc!$D23,'New Formula with HB25-1320'!FM23)</f>
        <v>3886</v>
      </c>
      <c r="FN23" s="25">
        <f>IF(FN5=DistCalc!$C$4,DistCalc!$D23,'New Formula with HB25-1320'!FN23)</f>
        <v>22184.9</v>
      </c>
      <c r="FO23" s="25">
        <f>IF(FO5=DistCalc!$C$4,DistCalc!$D23,'New Formula with HB25-1320'!FO23)</f>
        <v>1089.0999999999999</v>
      </c>
      <c r="FP23" s="25">
        <f>IF(FP5=DistCalc!$C$4,DistCalc!$D23,'New Formula with HB25-1320'!FP23)</f>
        <v>2280</v>
      </c>
      <c r="FQ23" s="25">
        <f>IF(FQ5=DistCalc!$C$4,DistCalc!$D23,'New Formula with HB25-1320'!FQ23)</f>
        <v>986.9</v>
      </c>
      <c r="FR23" s="25">
        <f>IF(FR5=DistCalc!$C$4,DistCalc!$D23,'New Formula with HB25-1320'!FR23)</f>
        <v>169.4</v>
      </c>
      <c r="FS23" s="25">
        <f>IF(FS5=DistCalc!$C$4,DistCalc!$D23,'New Formula with HB25-1320'!FS23)</f>
        <v>179.9</v>
      </c>
      <c r="FT23" s="25" t="e">
        <f ca="1">IF(FT5=DistCalc!$C$4,DistCalc!$D23,'New Formula with HB25-1320'!FT23)</f>
        <v>#NAME?</v>
      </c>
      <c r="FU23" s="25">
        <f>IF(FU5=DistCalc!$C$4,DistCalc!$D23,'New Formula with HB25-1320'!FU23)</f>
        <v>813.7</v>
      </c>
      <c r="FV23" s="25">
        <f>IF(FV5=DistCalc!$C$4,DistCalc!$D23,'New Formula with HB25-1320'!FV23)</f>
        <v>784</v>
      </c>
      <c r="FW23" s="25">
        <f>IF(FW5=DistCalc!$C$4,DistCalc!$D23,'New Formula with HB25-1320'!FW23)</f>
        <v>159.19999999999999</v>
      </c>
      <c r="FX23" s="25">
        <f>IF(FX5=DistCalc!$C$4,DistCalc!$D23,'New Formula with HB25-1320'!FX23)</f>
        <v>57.2</v>
      </c>
      <c r="FY23" s="26"/>
      <c r="FZ23" s="23" t="e">
        <f t="shared" ref="FZ23:FZ36" ca="1" si="7">SUM(C23:FX23)</f>
        <v>#NAME?</v>
      </c>
      <c r="GA23" s="23"/>
      <c r="GB23" s="23"/>
      <c r="GC23" s="23"/>
      <c r="GD23" s="23"/>
      <c r="GE23" s="7"/>
      <c r="GF23" s="7"/>
      <c r="GG23" s="7"/>
      <c r="GH23" s="7"/>
      <c r="GI23" s="7"/>
      <c r="GJ23" s="7"/>
      <c r="GK23" s="7"/>
    </row>
    <row r="24" spans="1:207" ht="15.5" x14ac:dyDescent="0.35">
      <c r="A24" s="92" t="s">
        <v>471</v>
      </c>
      <c r="B24" s="36" t="s">
        <v>480</v>
      </c>
      <c r="C24" s="23">
        <f>'New Formula with HB25-1320'!C24</f>
        <v>6404.5</v>
      </c>
      <c r="D24" s="23">
        <f>'New Formula with HB25-1320'!D24</f>
        <v>32699.5</v>
      </c>
      <c r="E24" s="23">
        <f>'New Formula with HB25-1320'!E24</f>
        <v>4867</v>
      </c>
      <c r="F24" s="23">
        <f>'New Formula with HB25-1320'!F24</f>
        <v>21051.5</v>
      </c>
      <c r="G24" s="23">
        <f>'New Formula with HB25-1320'!G24</f>
        <v>1709</v>
      </c>
      <c r="H24" s="23">
        <f>'New Formula with HB25-1320'!H24</f>
        <v>1089</v>
      </c>
      <c r="I24" s="23">
        <f>'New Formula with HB25-1320'!I24</f>
        <v>7236</v>
      </c>
      <c r="J24" s="23">
        <f>'New Formula with HB25-1320'!J24</f>
        <v>2024</v>
      </c>
      <c r="K24" s="23">
        <f>'New Formula with HB25-1320'!K24</f>
        <v>243.5</v>
      </c>
      <c r="L24" s="23">
        <f>'New Formula with HB25-1320'!L24</f>
        <v>2087</v>
      </c>
      <c r="M24" s="23">
        <f>'New Formula with HB25-1320'!M24</f>
        <v>866</v>
      </c>
      <c r="N24" s="23">
        <f>'New Formula with HB25-1320'!N24</f>
        <v>50007.5</v>
      </c>
      <c r="O24" s="23">
        <f>'New Formula with HB25-1320'!O24</f>
        <v>12583.5</v>
      </c>
      <c r="P24" s="23">
        <f>'New Formula with HB25-1320'!P24</f>
        <v>303</v>
      </c>
      <c r="Q24" s="23">
        <f>'New Formula with HB25-1320'!Q24</f>
        <v>37010</v>
      </c>
      <c r="R24" s="23">
        <f>'New Formula with HB25-1320'!R24</f>
        <v>467.5</v>
      </c>
      <c r="S24" s="23">
        <f>'New Formula with HB25-1320'!S24</f>
        <v>1535</v>
      </c>
      <c r="T24" s="23">
        <f>'New Formula with HB25-1320'!T24</f>
        <v>158</v>
      </c>
      <c r="U24" s="23">
        <f>'New Formula with HB25-1320'!U24</f>
        <v>57</v>
      </c>
      <c r="V24" s="23">
        <f>'New Formula with HB25-1320'!V24</f>
        <v>245.5</v>
      </c>
      <c r="W24" s="23">
        <f>'New Formula with HB25-1320'!W24</f>
        <v>49.5</v>
      </c>
      <c r="X24" s="23">
        <f>'New Formula with HB25-1320'!X24</f>
        <v>36.5</v>
      </c>
      <c r="Y24" s="23">
        <f>'New Formula with HB25-1320'!Y24</f>
        <v>404</v>
      </c>
      <c r="Z24" s="23">
        <f>'New Formula with HB25-1320'!Z24</f>
        <v>231</v>
      </c>
      <c r="AA24" s="23">
        <f>'New Formula with HB25-1320'!AA24</f>
        <v>30258.5</v>
      </c>
      <c r="AB24" s="23">
        <f>'New Formula with HB25-1320'!AB24</f>
        <v>26784.5</v>
      </c>
      <c r="AC24" s="23">
        <f>'New Formula with HB25-1320'!AC24</f>
        <v>864</v>
      </c>
      <c r="AD24" s="23">
        <f>'New Formula with HB25-1320'!AD24</f>
        <v>1269.5</v>
      </c>
      <c r="AE24" s="23">
        <f>'New Formula with HB25-1320'!AE24</f>
        <v>97</v>
      </c>
      <c r="AF24" s="23">
        <f>'New Formula with HB25-1320'!AF24</f>
        <v>164.5</v>
      </c>
      <c r="AG24" s="23">
        <f>'New Formula with HB25-1320'!AG24</f>
        <v>589</v>
      </c>
      <c r="AH24" s="23">
        <f>'New Formula with HB25-1320'!AH24</f>
        <v>927</v>
      </c>
      <c r="AI24" s="23">
        <f>'New Formula with HB25-1320'!AI24</f>
        <v>363</v>
      </c>
      <c r="AJ24" s="23">
        <f>'New Formula with HB25-1320'!AJ24</f>
        <v>176</v>
      </c>
      <c r="AK24" s="23">
        <f>'New Formula with HB25-1320'!AK24</f>
        <v>163</v>
      </c>
      <c r="AL24" s="23">
        <f>'New Formula with HB25-1320'!AL24</f>
        <v>286</v>
      </c>
      <c r="AM24" s="23">
        <f>'New Formula with HB25-1320'!AM24</f>
        <v>331</v>
      </c>
      <c r="AN24" s="23">
        <f>'New Formula with HB25-1320'!AN24</f>
        <v>271.5</v>
      </c>
      <c r="AO24" s="23">
        <f>'New Formula with HB25-1320'!AO24</f>
        <v>3767</v>
      </c>
      <c r="AP24" s="23">
        <f>'New Formula with HB25-1320'!AP24</f>
        <v>84396.5</v>
      </c>
      <c r="AQ24" s="23">
        <f>'New Formula with HB25-1320'!AQ24</f>
        <v>242.5</v>
      </c>
      <c r="AR24" s="23">
        <f>'New Formula with HB25-1320'!AR24</f>
        <v>57877.5</v>
      </c>
      <c r="AS24" s="23">
        <f>'New Formula with HB25-1320'!AS24</f>
        <v>6025</v>
      </c>
      <c r="AT24" s="23">
        <f>'New Formula with HB25-1320'!AT24</f>
        <v>2340.5</v>
      </c>
      <c r="AU24" s="23">
        <f>'New Formula with HB25-1320'!AU24</f>
        <v>250</v>
      </c>
      <c r="AV24" s="23">
        <f>'New Formula with HB25-1320'!AV24</f>
        <v>299</v>
      </c>
      <c r="AW24" s="23">
        <f>'New Formula with HB25-1320'!AW24</f>
        <v>250</v>
      </c>
      <c r="AX24" s="23">
        <f>'New Formula with HB25-1320'!AX24</f>
        <v>73</v>
      </c>
      <c r="AY24" s="23">
        <f>'New Formula with HB25-1320'!AY24</f>
        <v>392</v>
      </c>
      <c r="AZ24" s="23">
        <f>'New Formula with HB25-1320'!AZ24</f>
        <v>11891</v>
      </c>
      <c r="BA24" s="23">
        <f>'New Formula with HB25-1320'!BA24</f>
        <v>8667</v>
      </c>
      <c r="BB24" s="23">
        <f>'New Formula with HB25-1320'!BB24</f>
        <v>7399</v>
      </c>
      <c r="BC24" s="23">
        <f>'New Formula with HB25-1320'!BC24</f>
        <v>21443</v>
      </c>
      <c r="BD24" s="23">
        <f>'New Formula with HB25-1320'!BD24</f>
        <v>3598.5</v>
      </c>
      <c r="BE24" s="23">
        <f>'New Formula with HB25-1320'!BE24</f>
        <v>1113</v>
      </c>
      <c r="BF24" s="23">
        <f>'New Formula with HB25-1320'!BF24</f>
        <v>24230</v>
      </c>
      <c r="BG24" s="23">
        <f>'New Formula with HB25-1320'!BG24</f>
        <v>921.5</v>
      </c>
      <c r="BH24" s="23">
        <f>'New Formula with HB25-1320'!BH24</f>
        <v>529</v>
      </c>
      <c r="BI24" s="23">
        <f>'New Formula with HB25-1320'!BI24</f>
        <v>251</v>
      </c>
      <c r="BJ24" s="23">
        <f>'New Formula with HB25-1320'!BJ24</f>
        <v>6198.5</v>
      </c>
      <c r="BK24" s="23">
        <f>'New Formula with HB25-1320'!BK24</f>
        <v>21041</v>
      </c>
      <c r="BL24" s="23">
        <f>'New Formula with HB25-1320'!BL24</f>
        <v>64.5</v>
      </c>
      <c r="BM24" s="23">
        <f>'New Formula with HB25-1320'!BM24</f>
        <v>331.5</v>
      </c>
      <c r="BN24" s="23">
        <f>'New Formula with HB25-1320'!BN24</f>
        <v>3018.5</v>
      </c>
      <c r="BO24" s="23">
        <f>'New Formula with HB25-1320'!BO24</f>
        <v>1190</v>
      </c>
      <c r="BP24" s="23">
        <f>'New Formula with HB25-1320'!BP24</f>
        <v>144</v>
      </c>
      <c r="BQ24" s="23">
        <f>'New Formula with HB25-1320'!BQ24</f>
        <v>5632</v>
      </c>
      <c r="BR24" s="23">
        <f>'New Formula with HB25-1320'!BR24</f>
        <v>4471</v>
      </c>
      <c r="BS24" s="23">
        <f>'New Formula with HB25-1320'!BS24</f>
        <v>1151</v>
      </c>
      <c r="BT24" s="23">
        <f>'New Formula with HB25-1320'!BT24</f>
        <v>355.5</v>
      </c>
      <c r="BU24" s="23">
        <f>'New Formula with HB25-1320'!BU24</f>
        <v>383</v>
      </c>
      <c r="BV24" s="23">
        <f>'New Formula with HB25-1320'!BV24</f>
        <v>1247.5</v>
      </c>
      <c r="BW24" s="23">
        <f>'New Formula with HB25-1320'!BW24</f>
        <v>2017</v>
      </c>
      <c r="BX24" s="23">
        <f>'New Formula with HB25-1320'!BX24</f>
        <v>67</v>
      </c>
      <c r="BY24" s="23">
        <f>'New Formula with HB25-1320'!BY24</f>
        <v>404</v>
      </c>
      <c r="BZ24" s="23">
        <f>'New Formula with HB25-1320'!BZ24</f>
        <v>224</v>
      </c>
      <c r="CA24" s="23">
        <f>'New Formula with HB25-1320'!CA24</f>
        <v>130</v>
      </c>
      <c r="CB24" s="23">
        <f>'New Formula with HB25-1320'!CB24</f>
        <v>70467</v>
      </c>
      <c r="CC24" s="23">
        <f>'New Formula with HB25-1320'!CC24</f>
        <v>190</v>
      </c>
      <c r="CD24" s="23">
        <f>'New Formula with HB25-1320'!CD24</f>
        <v>27</v>
      </c>
      <c r="CE24" s="23">
        <f>'New Formula with HB25-1320'!CE24</f>
        <v>158.5</v>
      </c>
      <c r="CF24" s="23">
        <f>'New Formula with HB25-1320'!CF24</f>
        <v>92</v>
      </c>
      <c r="CG24" s="23">
        <f>'New Formula with HB25-1320'!CG24</f>
        <v>195.5</v>
      </c>
      <c r="CH24" s="23">
        <f>'New Formula with HB25-1320'!CH24</f>
        <v>90</v>
      </c>
      <c r="CI24" s="23">
        <f>'New Formula with HB25-1320'!CI24</f>
        <v>662</v>
      </c>
      <c r="CJ24" s="23">
        <f>'New Formula with HB25-1320'!CJ24</f>
        <v>855.5</v>
      </c>
      <c r="CK24" s="23">
        <f>'New Formula with HB25-1320'!CK24</f>
        <v>4231.5</v>
      </c>
      <c r="CL24" s="23">
        <f>'New Formula with HB25-1320'!CL24</f>
        <v>1169</v>
      </c>
      <c r="CM24" s="23">
        <f>'New Formula with HB25-1320'!CM24</f>
        <v>659</v>
      </c>
      <c r="CN24" s="23">
        <f>'New Formula with HB25-1320'!CN24</f>
        <v>28020.5</v>
      </c>
      <c r="CO24" s="23">
        <f>'New Formula with HB25-1320'!CO24</f>
        <v>14006.5</v>
      </c>
      <c r="CP24" s="23">
        <f>'New Formula with HB25-1320'!CP24</f>
        <v>869.5</v>
      </c>
      <c r="CQ24" s="23">
        <f>'New Formula with HB25-1320'!CQ24</f>
        <v>763</v>
      </c>
      <c r="CR24" s="23">
        <f>'New Formula with HB25-1320'!CR24</f>
        <v>199.5</v>
      </c>
      <c r="CS24" s="23">
        <f>'New Formula with HB25-1320'!CS24</f>
        <v>270</v>
      </c>
      <c r="CT24" s="23">
        <f>'New Formula with HB25-1320'!CT24</f>
        <v>115</v>
      </c>
      <c r="CU24" s="23">
        <f>'New Formula with HB25-1320'!CU24</f>
        <v>67</v>
      </c>
      <c r="CV24" s="23">
        <f>'New Formula with HB25-1320'!CV24</f>
        <v>22</v>
      </c>
      <c r="CW24" s="23">
        <f>'New Formula with HB25-1320'!CW24</f>
        <v>204</v>
      </c>
      <c r="CX24" s="23">
        <f>'New Formula with HB25-1320'!CX24</f>
        <v>450.5</v>
      </c>
      <c r="CY24" s="23">
        <f>'New Formula with HB25-1320'!CY24</f>
        <v>26.5</v>
      </c>
      <c r="CZ24" s="23">
        <f>'New Formula with HB25-1320'!CZ24</f>
        <v>1773</v>
      </c>
      <c r="DA24" s="23">
        <f>'New Formula with HB25-1320'!DA24</f>
        <v>197.5</v>
      </c>
      <c r="DB24" s="23">
        <f>'New Formula with HB25-1320'!DB24</f>
        <v>314</v>
      </c>
      <c r="DC24" s="23">
        <f>'New Formula with HB25-1320'!DC24</f>
        <v>183</v>
      </c>
      <c r="DD24" s="23">
        <f>'New Formula with HB25-1320'!DD24</f>
        <v>170</v>
      </c>
      <c r="DE24" s="23">
        <f>'New Formula with HB25-1320'!DE24</f>
        <v>280.5</v>
      </c>
      <c r="DF24" s="23">
        <f>'New Formula with HB25-1320'!DF24</f>
        <v>18900.5</v>
      </c>
      <c r="DG24" s="23">
        <f>'New Formula with HB25-1320'!DG24</f>
        <v>92</v>
      </c>
      <c r="DH24" s="23">
        <f>'New Formula with HB25-1320'!DH24</f>
        <v>1689</v>
      </c>
      <c r="DI24" s="23">
        <f>'New Formula with HB25-1320'!DI24</f>
        <v>2308</v>
      </c>
      <c r="DJ24" s="23">
        <f>'New Formula with HB25-1320'!DJ24</f>
        <v>598</v>
      </c>
      <c r="DK24" s="23">
        <f>'New Formula with HB25-1320'!DK24</f>
        <v>475</v>
      </c>
      <c r="DL24" s="23">
        <f>'New Formula with HB25-1320'!DL24</f>
        <v>5671</v>
      </c>
      <c r="DM24" s="23">
        <f>'New Formula with HB25-1320'!DM24</f>
        <v>228</v>
      </c>
      <c r="DN24" s="23">
        <f>'New Formula with HB25-1320'!DN24</f>
        <v>1275.5</v>
      </c>
      <c r="DO24" s="23">
        <f>'New Formula with HB25-1320'!DO24</f>
        <v>3255.5</v>
      </c>
      <c r="DP24" s="23">
        <f>'New Formula with HB25-1320'!DP24</f>
        <v>198</v>
      </c>
      <c r="DQ24" s="23">
        <f>'New Formula with HB25-1320'!DQ24</f>
        <v>843</v>
      </c>
      <c r="DR24" s="23">
        <f>'New Formula with HB25-1320'!DR24</f>
        <v>1280.5</v>
      </c>
      <c r="DS24" s="23">
        <f>'New Formula with HB25-1320'!DS24</f>
        <v>554</v>
      </c>
      <c r="DT24" s="23">
        <f>'New Formula with HB25-1320'!DT24</f>
        <v>174</v>
      </c>
      <c r="DU24" s="23">
        <f>'New Formula with HB25-1320'!DU24</f>
        <v>342</v>
      </c>
      <c r="DV24" s="23">
        <f>'New Formula with HB25-1320'!DV24</f>
        <v>200.5</v>
      </c>
      <c r="DW24" s="23">
        <f>'New Formula with HB25-1320'!DW24</f>
        <v>289.5</v>
      </c>
      <c r="DX24" s="23">
        <f>'New Formula with HB25-1320'!DX24</f>
        <v>166</v>
      </c>
      <c r="DY24" s="23">
        <f>'New Formula with HB25-1320'!DY24</f>
        <v>287</v>
      </c>
      <c r="DZ24" s="23">
        <f>'New Formula with HB25-1320'!DZ24</f>
        <v>634</v>
      </c>
      <c r="EA24" s="23">
        <f>'New Formula with HB25-1320'!EA24</f>
        <v>496</v>
      </c>
      <c r="EB24" s="23">
        <f>'New Formula with HB25-1320'!EB24</f>
        <v>508.5</v>
      </c>
      <c r="EC24" s="23">
        <f>'New Formula with HB25-1320'!EC24</f>
        <v>266.5</v>
      </c>
      <c r="ED24" s="23">
        <f>'New Formula with HB25-1320'!ED24</f>
        <v>1551.5</v>
      </c>
      <c r="EE24" s="23">
        <f>'New Formula with HB25-1320'!EE24</f>
        <v>194</v>
      </c>
      <c r="EF24" s="23">
        <f>'New Formula with HB25-1320'!EF24</f>
        <v>1271</v>
      </c>
      <c r="EG24" s="23">
        <f>'New Formula with HB25-1320'!EG24</f>
        <v>257</v>
      </c>
      <c r="EH24" s="23">
        <f>'New Formula with HB25-1320'!EH24</f>
        <v>245</v>
      </c>
      <c r="EI24" s="23">
        <f>'New Formula with HB25-1320'!EI24</f>
        <v>13446</v>
      </c>
      <c r="EJ24" s="23">
        <f>'New Formula with HB25-1320'!EJ24</f>
        <v>9802</v>
      </c>
      <c r="EK24" s="23">
        <f>'New Formula with HB25-1320'!EK24</f>
        <v>639.5</v>
      </c>
      <c r="EL24" s="23">
        <f>'New Formula with HB25-1320'!EL24</f>
        <v>457</v>
      </c>
      <c r="EM24" s="23">
        <f>'New Formula with HB25-1320'!EM24</f>
        <v>365</v>
      </c>
      <c r="EN24" s="23">
        <f>'New Formula with HB25-1320'!EN24</f>
        <v>882.5</v>
      </c>
      <c r="EO24" s="23">
        <f>'New Formula with HB25-1320'!EO24</f>
        <v>293</v>
      </c>
      <c r="EP24" s="23">
        <f>'New Formula with HB25-1320'!EP24</f>
        <v>417.5</v>
      </c>
      <c r="EQ24" s="23">
        <f>'New Formula with HB25-1320'!EQ24</f>
        <v>2460</v>
      </c>
      <c r="ER24" s="23">
        <f>'New Formula with HB25-1320'!ER24</f>
        <v>297</v>
      </c>
      <c r="ES24" s="23">
        <f>'New Formula with HB25-1320'!ES24</f>
        <v>147.5</v>
      </c>
      <c r="ET24" s="23">
        <f>'New Formula with HB25-1320'!ET24</f>
        <v>193.5</v>
      </c>
      <c r="EU24" s="23">
        <f>'New Formula with HB25-1320'!EU24</f>
        <v>576</v>
      </c>
      <c r="EV24" s="23">
        <f>'New Formula with HB25-1320'!EV24</f>
        <v>72</v>
      </c>
      <c r="EW24" s="23">
        <f>'New Formula with HB25-1320'!EW24</f>
        <v>799</v>
      </c>
      <c r="EX24" s="23">
        <f>'New Formula with HB25-1320'!EX24</f>
        <v>170</v>
      </c>
      <c r="EY24" s="23">
        <f>'New Formula with HB25-1320'!EY24</f>
        <v>196.5</v>
      </c>
      <c r="EZ24" s="23">
        <f>'New Formula with HB25-1320'!EZ24</f>
        <v>130</v>
      </c>
      <c r="FA24" s="23">
        <f>'New Formula with HB25-1320'!FA24</f>
        <v>3294</v>
      </c>
      <c r="FB24" s="23">
        <f>'New Formula with HB25-1320'!FB24</f>
        <v>276</v>
      </c>
      <c r="FC24" s="23">
        <f>'New Formula with HB25-1320'!FC24</f>
        <v>1684</v>
      </c>
      <c r="FD24" s="23">
        <f>'New Formula with HB25-1320'!FD24</f>
        <v>395</v>
      </c>
      <c r="FE24" s="23">
        <f>'New Formula with HB25-1320'!FE24</f>
        <v>75</v>
      </c>
      <c r="FF24" s="23">
        <f>'New Formula with HB25-1320'!FF24</f>
        <v>178</v>
      </c>
      <c r="FG24" s="23">
        <f>'New Formula with HB25-1320'!FG24</f>
        <v>117</v>
      </c>
      <c r="FH24" s="23">
        <f>'New Formula with HB25-1320'!FH24</f>
        <v>71</v>
      </c>
      <c r="FI24" s="23">
        <f>'New Formula with HB25-1320'!FI24</f>
        <v>1639.5</v>
      </c>
      <c r="FJ24" s="23">
        <f>'New Formula with HB25-1320'!FJ24</f>
        <v>2009</v>
      </c>
      <c r="FK24" s="23">
        <f>'New Formula with HB25-1320'!FK24</f>
        <v>2481</v>
      </c>
      <c r="FL24" s="23">
        <f>'New Formula with HB25-1320'!FL24</f>
        <v>8455.5</v>
      </c>
      <c r="FM24" s="23">
        <f>'New Formula with HB25-1320'!FM24</f>
        <v>3910.5</v>
      </c>
      <c r="FN24" s="23">
        <f>'New Formula with HB25-1320'!FN24</f>
        <v>22092.5</v>
      </c>
      <c r="FO24" s="23">
        <f>'New Formula with HB25-1320'!FO24</f>
        <v>1111</v>
      </c>
      <c r="FP24" s="23">
        <f>'New Formula with HB25-1320'!FP24</f>
        <v>2307.5</v>
      </c>
      <c r="FQ24" s="23">
        <f>'New Formula with HB25-1320'!FQ24</f>
        <v>974.5</v>
      </c>
      <c r="FR24" s="23">
        <f>'New Formula with HB25-1320'!FR24</f>
        <v>165.5</v>
      </c>
      <c r="FS24" s="23">
        <f>'New Formula with HB25-1320'!FS24</f>
        <v>151</v>
      </c>
      <c r="FT24" s="23">
        <f>'New Formula with HB25-1320'!FT24</f>
        <v>53</v>
      </c>
      <c r="FU24" s="23">
        <f>'New Formula with HB25-1320'!FU24</f>
        <v>759.5</v>
      </c>
      <c r="FV24" s="23">
        <f>'New Formula with HB25-1320'!FV24</f>
        <v>690.5</v>
      </c>
      <c r="FW24" s="23">
        <f>'New Formula with HB25-1320'!FW24</f>
        <v>134</v>
      </c>
      <c r="FX24" s="23">
        <f>'New Formula with HB25-1320'!FX24</f>
        <v>65</v>
      </c>
      <c r="FY24" s="23"/>
      <c r="FZ24" s="23">
        <f t="shared" si="7"/>
        <v>785348.5</v>
      </c>
      <c r="GA24" s="23"/>
      <c r="GB24" s="23"/>
      <c r="GC24" s="23"/>
      <c r="GD24" s="23"/>
      <c r="GE24" s="7"/>
      <c r="GF24" s="7"/>
      <c r="GG24" s="7"/>
      <c r="GH24" s="7"/>
      <c r="GI24" s="7"/>
      <c r="GJ24" s="7"/>
      <c r="GK24" s="7"/>
    </row>
    <row r="25" spans="1:207" ht="15.5" x14ac:dyDescent="0.35">
      <c r="A25" s="92" t="s">
        <v>473</v>
      </c>
      <c r="B25" s="36" t="s">
        <v>482</v>
      </c>
      <c r="C25" s="23">
        <f>'New Formula with HB25-1320'!C25</f>
        <v>6332.5</v>
      </c>
      <c r="D25" s="23">
        <f>'New Formula with HB25-1320'!D25</f>
        <v>33220</v>
      </c>
      <c r="E25" s="23">
        <f>'New Formula with HB25-1320'!E25</f>
        <v>4999.5</v>
      </c>
      <c r="F25" s="23">
        <f>'New Formula with HB25-1320'!F25</f>
        <v>20597.5</v>
      </c>
      <c r="G25" s="23">
        <f>'New Formula with HB25-1320'!G25</f>
        <v>1573</v>
      </c>
      <c r="H25" s="23">
        <f>'New Formula with HB25-1320'!H25</f>
        <v>1094</v>
      </c>
      <c r="I25" s="23">
        <f>'New Formula with HB25-1320'!I25</f>
        <v>7057.5</v>
      </c>
      <c r="J25" s="23">
        <f>'New Formula with HB25-1320'!J25</f>
        <v>2039</v>
      </c>
      <c r="K25" s="23">
        <f>'New Formula with HB25-1320'!K25</f>
        <v>263</v>
      </c>
      <c r="L25" s="23">
        <f>'New Formula with HB25-1320'!L25</f>
        <v>2102</v>
      </c>
      <c r="M25" s="23">
        <f>'New Formula with HB25-1320'!M25</f>
        <v>933</v>
      </c>
      <c r="N25" s="23">
        <f>'New Formula with HB25-1320'!N25</f>
        <v>49949</v>
      </c>
      <c r="O25" s="23">
        <f>'New Formula with HB25-1320'!O25</f>
        <v>12783.5</v>
      </c>
      <c r="P25" s="23">
        <f>'New Formula with HB25-1320'!P25</f>
        <v>330</v>
      </c>
      <c r="Q25" s="23">
        <f>'New Formula with HB25-1320'!Q25</f>
        <v>36546</v>
      </c>
      <c r="R25" s="23">
        <f>'New Formula with HB25-1320'!R25</f>
        <v>497</v>
      </c>
      <c r="S25" s="23">
        <f>'New Formula with HB25-1320'!S25</f>
        <v>1567.5</v>
      </c>
      <c r="T25" s="23">
        <f>'New Formula with HB25-1320'!T25</f>
        <v>160</v>
      </c>
      <c r="U25" s="23">
        <f>'New Formula with HB25-1320'!U25</f>
        <v>50</v>
      </c>
      <c r="V25" s="23">
        <f>'New Formula with HB25-1320'!V25</f>
        <v>261.5</v>
      </c>
      <c r="W25" s="23">
        <f>'New Formula with HB25-1320'!W25</f>
        <v>58.5</v>
      </c>
      <c r="X25" s="23">
        <f>'New Formula with HB25-1320'!X25</f>
        <v>27</v>
      </c>
      <c r="Y25" s="23">
        <f>'New Formula with HB25-1320'!Y25</f>
        <v>428</v>
      </c>
      <c r="Z25" s="23">
        <f>'New Formula with HB25-1320'!Z25</f>
        <v>227</v>
      </c>
      <c r="AA25" s="23">
        <f>'New Formula with HB25-1320'!AA25</f>
        <v>30394.5</v>
      </c>
      <c r="AB25" s="23">
        <f>'New Formula with HB25-1320'!AB25</f>
        <v>26932</v>
      </c>
      <c r="AC25" s="23">
        <f>'New Formula with HB25-1320'!AC25</f>
        <v>909</v>
      </c>
      <c r="AD25" s="23">
        <f>'New Formula with HB25-1320'!AD25</f>
        <v>1255</v>
      </c>
      <c r="AE25" s="23">
        <f>'New Formula with HB25-1320'!AE25</f>
        <v>94</v>
      </c>
      <c r="AF25" s="23">
        <f>'New Formula with HB25-1320'!AF25</f>
        <v>162.5</v>
      </c>
      <c r="AG25" s="23">
        <f>'New Formula with HB25-1320'!AG25</f>
        <v>590</v>
      </c>
      <c r="AH25" s="23">
        <f>'New Formula with HB25-1320'!AH25</f>
        <v>955</v>
      </c>
      <c r="AI25" s="23">
        <f>'New Formula with HB25-1320'!AI25</f>
        <v>385.5</v>
      </c>
      <c r="AJ25" s="23">
        <f>'New Formula with HB25-1320'!AJ25</f>
        <v>164</v>
      </c>
      <c r="AK25" s="23">
        <f>'New Formula with HB25-1320'!AK25</f>
        <v>159</v>
      </c>
      <c r="AL25" s="23">
        <f>'New Formula with HB25-1320'!AL25</f>
        <v>276</v>
      </c>
      <c r="AM25" s="23">
        <f>'New Formula with HB25-1320'!AM25</f>
        <v>343</v>
      </c>
      <c r="AN25" s="23">
        <f>'New Formula with HB25-1320'!AN25</f>
        <v>309</v>
      </c>
      <c r="AO25" s="23">
        <f>'New Formula with HB25-1320'!AO25</f>
        <v>4127.5</v>
      </c>
      <c r="AP25" s="23">
        <f>'New Formula with HB25-1320'!AP25</f>
        <v>82476.5</v>
      </c>
      <c r="AQ25" s="23">
        <f>'New Formula with HB25-1320'!AQ25</f>
        <v>232</v>
      </c>
      <c r="AR25" s="23">
        <f>'New Formula with HB25-1320'!AR25</f>
        <v>58489.5</v>
      </c>
      <c r="AS25" s="23">
        <f>'New Formula with HB25-1320'!AS25</f>
        <v>6165</v>
      </c>
      <c r="AT25" s="23">
        <f>'New Formula with HB25-1320'!AT25</f>
        <v>2332.5</v>
      </c>
      <c r="AU25" s="23">
        <f>'New Formula with HB25-1320'!AU25</f>
        <v>291</v>
      </c>
      <c r="AV25" s="23">
        <f>'New Formula with HB25-1320'!AV25</f>
        <v>297</v>
      </c>
      <c r="AW25" s="23">
        <f>'New Formula with HB25-1320'!AW25</f>
        <v>256</v>
      </c>
      <c r="AX25" s="23">
        <f>'New Formula with HB25-1320'!AX25</f>
        <v>63</v>
      </c>
      <c r="AY25" s="23">
        <f>'New Formula with HB25-1320'!AY25</f>
        <v>415</v>
      </c>
      <c r="AZ25" s="23">
        <f>'New Formula with HB25-1320'!AZ25</f>
        <v>12050</v>
      </c>
      <c r="BA25" s="23">
        <f>'New Formula with HB25-1320'!BA25</f>
        <v>8756</v>
      </c>
      <c r="BB25" s="23">
        <f>'New Formula with HB25-1320'!BB25</f>
        <v>7341</v>
      </c>
      <c r="BC25" s="23">
        <f>'New Formula with HB25-1320'!BC25</f>
        <v>20943.5</v>
      </c>
      <c r="BD25" s="23">
        <f>'New Formula with HB25-1320'!BD25</f>
        <v>3609.5</v>
      </c>
      <c r="BE25" s="23">
        <f>'New Formula with HB25-1320'!BE25</f>
        <v>1207</v>
      </c>
      <c r="BF25" s="23">
        <f>'New Formula with HB25-1320'!BF25</f>
        <v>24346</v>
      </c>
      <c r="BG25" s="23">
        <f>'New Formula with HB25-1320'!BG25</f>
        <v>884.5</v>
      </c>
      <c r="BH25" s="23">
        <f>'New Formula with HB25-1320'!BH25</f>
        <v>542</v>
      </c>
      <c r="BI25" s="23">
        <f>'New Formula with HB25-1320'!BI25</f>
        <v>253.5</v>
      </c>
      <c r="BJ25" s="23">
        <f>'New Formula with HB25-1320'!BJ25</f>
        <v>6224.5</v>
      </c>
      <c r="BK25" s="23">
        <f>'New Formula with HB25-1320'!BK25</f>
        <v>19735</v>
      </c>
      <c r="BL25" s="23">
        <f>'New Formula with HB25-1320'!BL25</f>
        <v>58</v>
      </c>
      <c r="BM25" s="23">
        <f>'New Formula with HB25-1320'!BM25</f>
        <v>360.5</v>
      </c>
      <c r="BN25" s="23">
        <f>'New Formula with HB25-1320'!BN25</f>
        <v>3019.5</v>
      </c>
      <c r="BO25" s="23">
        <f>'New Formula with HB25-1320'!BO25</f>
        <v>1251</v>
      </c>
      <c r="BP25" s="23">
        <f>'New Formula with HB25-1320'!BP25</f>
        <v>152</v>
      </c>
      <c r="BQ25" s="23">
        <f>'New Formula with HB25-1320'!BQ25</f>
        <v>5653</v>
      </c>
      <c r="BR25" s="23">
        <f>'New Formula with HB25-1320'!BR25</f>
        <v>4483</v>
      </c>
      <c r="BS25" s="23">
        <f>'New Formula with HB25-1320'!BS25</f>
        <v>1106</v>
      </c>
      <c r="BT25" s="23">
        <f>'New Formula with HB25-1320'!BT25</f>
        <v>362</v>
      </c>
      <c r="BU25" s="23">
        <f>'New Formula with HB25-1320'!BU25</f>
        <v>410</v>
      </c>
      <c r="BV25" s="23">
        <f>'New Formula with HB25-1320'!BV25</f>
        <v>1223</v>
      </c>
      <c r="BW25" s="23">
        <f>'New Formula with HB25-1320'!BW25</f>
        <v>1985.5</v>
      </c>
      <c r="BX25" s="23">
        <f>'New Formula with HB25-1320'!BX25</f>
        <v>67</v>
      </c>
      <c r="BY25" s="23">
        <f>'New Formula with HB25-1320'!BY25</f>
        <v>439.5</v>
      </c>
      <c r="BZ25" s="23">
        <f>'New Formula with HB25-1320'!BZ25</f>
        <v>195</v>
      </c>
      <c r="CA25" s="23">
        <f>'New Formula with HB25-1320'!CA25</f>
        <v>139</v>
      </c>
      <c r="CB25" s="23">
        <f>'New Formula with HB25-1320'!CB25</f>
        <v>71260.5</v>
      </c>
      <c r="CC25" s="23">
        <f>'New Formula with HB25-1320'!CC25</f>
        <v>192</v>
      </c>
      <c r="CD25" s="23">
        <f>'New Formula with HB25-1320'!CD25</f>
        <v>23</v>
      </c>
      <c r="CE25" s="23">
        <f>'New Formula with HB25-1320'!CE25</f>
        <v>151</v>
      </c>
      <c r="CF25" s="23">
        <f>'New Formula with HB25-1320'!CF25</f>
        <v>110</v>
      </c>
      <c r="CG25" s="23">
        <f>'New Formula with HB25-1320'!CG25</f>
        <v>201.5</v>
      </c>
      <c r="CH25" s="23">
        <f>'New Formula with HB25-1320'!CH25</f>
        <v>99</v>
      </c>
      <c r="CI25" s="23">
        <f>'New Formula with HB25-1320'!CI25</f>
        <v>691</v>
      </c>
      <c r="CJ25" s="23">
        <f>'New Formula with HB25-1320'!CJ25</f>
        <v>873</v>
      </c>
      <c r="CK25" s="23">
        <f>'New Formula with HB25-1320'!CK25</f>
        <v>4272.5</v>
      </c>
      <c r="CL25" s="23">
        <f>'New Formula with HB25-1320'!CL25</f>
        <v>1244.5</v>
      </c>
      <c r="CM25" s="23">
        <f>'New Formula with HB25-1320'!CM25</f>
        <v>701</v>
      </c>
      <c r="CN25" s="23">
        <f>'New Formula with HB25-1320'!CN25</f>
        <v>28337.5</v>
      </c>
      <c r="CO25" s="23">
        <f>'New Formula with HB25-1320'!CO25</f>
        <v>14308.5</v>
      </c>
      <c r="CP25" s="23">
        <f>'New Formula with HB25-1320'!CP25</f>
        <v>937</v>
      </c>
      <c r="CQ25" s="23">
        <f>'New Formula with HB25-1320'!CQ25</f>
        <v>740</v>
      </c>
      <c r="CR25" s="23">
        <f>'New Formula with HB25-1320'!CR25</f>
        <v>230.5</v>
      </c>
      <c r="CS25" s="23">
        <f>'New Formula with HB25-1320'!CS25</f>
        <v>290</v>
      </c>
      <c r="CT25" s="23">
        <f>'New Formula with HB25-1320'!CT25</f>
        <v>101</v>
      </c>
      <c r="CU25" s="23">
        <f>'New Formula with HB25-1320'!CU25</f>
        <v>73</v>
      </c>
      <c r="CV25" s="23">
        <f>'New Formula with HB25-1320'!CV25</f>
        <v>23.5</v>
      </c>
      <c r="CW25" s="23">
        <f>'New Formula with HB25-1320'!CW25</f>
        <v>205</v>
      </c>
      <c r="CX25" s="23">
        <f>'New Formula with HB25-1320'!CX25</f>
        <v>470.5</v>
      </c>
      <c r="CY25" s="23">
        <f>'New Formula with HB25-1320'!CY25</f>
        <v>29.5</v>
      </c>
      <c r="CZ25" s="23">
        <f>'New Formula with HB25-1320'!CZ25</f>
        <v>1759</v>
      </c>
      <c r="DA25" s="23">
        <f>'New Formula with HB25-1320'!DA25</f>
        <v>201</v>
      </c>
      <c r="DB25" s="23">
        <f>'New Formula with HB25-1320'!DB25</f>
        <v>322.5</v>
      </c>
      <c r="DC25" s="23">
        <f>'New Formula with HB25-1320'!DC25</f>
        <v>182</v>
      </c>
      <c r="DD25" s="23">
        <f>'New Formula with HB25-1320'!DD25</f>
        <v>156</v>
      </c>
      <c r="DE25" s="23">
        <f>'New Formula with HB25-1320'!DE25</f>
        <v>287.5</v>
      </c>
      <c r="DF25" s="23">
        <f>'New Formula with HB25-1320'!DF25</f>
        <v>19273</v>
      </c>
      <c r="DG25" s="23">
        <f>'New Formula with HB25-1320'!DG25</f>
        <v>95</v>
      </c>
      <c r="DH25" s="23">
        <f>'New Formula with HB25-1320'!DH25</f>
        <v>1764</v>
      </c>
      <c r="DI25" s="23">
        <f>'New Formula with HB25-1320'!DI25</f>
        <v>2394.5</v>
      </c>
      <c r="DJ25" s="23">
        <f>'New Formula with HB25-1320'!DJ25</f>
        <v>623</v>
      </c>
      <c r="DK25" s="23">
        <f>'New Formula with HB25-1320'!DK25</f>
        <v>485.5</v>
      </c>
      <c r="DL25" s="23">
        <f>'New Formula with HB25-1320'!DL25</f>
        <v>5690.5</v>
      </c>
      <c r="DM25" s="23">
        <f>'New Formula with HB25-1320'!DM25</f>
        <v>228.5</v>
      </c>
      <c r="DN25" s="23">
        <f>'New Formula with HB25-1320'!DN25</f>
        <v>1263.5</v>
      </c>
      <c r="DO25" s="23">
        <f>'New Formula with HB25-1320'!DO25</f>
        <v>3230</v>
      </c>
      <c r="DP25" s="23">
        <f>'New Formula with HB25-1320'!DP25</f>
        <v>191</v>
      </c>
      <c r="DQ25" s="23">
        <f>'New Formula with HB25-1320'!DQ25</f>
        <v>817</v>
      </c>
      <c r="DR25" s="23">
        <f>'New Formula with HB25-1320'!DR25</f>
        <v>1318.5</v>
      </c>
      <c r="DS25" s="23">
        <f>'New Formula with HB25-1320'!DS25</f>
        <v>589</v>
      </c>
      <c r="DT25" s="23">
        <f>'New Formula with HB25-1320'!DT25</f>
        <v>180.5</v>
      </c>
      <c r="DU25" s="23">
        <f>'New Formula with HB25-1320'!DU25</f>
        <v>355</v>
      </c>
      <c r="DV25" s="23">
        <f>'New Formula with HB25-1320'!DV25</f>
        <v>206.5</v>
      </c>
      <c r="DW25" s="23">
        <f>'New Formula with HB25-1320'!DW25</f>
        <v>301</v>
      </c>
      <c r="DX25" s="23">
        <f>'New Formula with HB25-1320'!DX25</f>
        <v>159</v>
      </c>
      <c r="DY25" s="23">
        <f>'New Formula with HB25-1320'!DY25</f>
        <v>296</v>
      </c>
      <c r="DZ25" s="23">
        <f>'New Formula with HB25-1320'!DZ25</f>
        <v>675</v>
      </c>
      <c r="EA25" s="23">
        <f>'New Formula with HB25-1320'!EA25</f>
        <v>510.5</v>
      </c>
      <c r="EB25" s="23">
        <f>'New Formula with HB25-1320'!EB25</f>
        <v>527</v>
      </c>
      <c r="EC25" s="23">
        <f>'New Formula with HB25-1320'!EC25</f>
        <v>281.5</v>
      </c>
      <c r="ED25" s="23">
        <f>'New Formula with HB25-1320'!ED25</f>
        <v>1523</v>
      </c>
      <c r="EE25" s="23">
        <f>'New Formula with HB25-1320'!EE25</f>
        <v>189</v>
      </c>
      <c r="EF25" s="23">
        <f>'New Formula with HB25-1320'!EF25</f>
        <v>1350</v>
      </c>
      <c r="EG25" s="23">
        <f>'New Formula with HB25-1320'!EG25</f>
        <v>246</v>
      </c>
      <c r="EH25" s="23">
        <f>'New Formula with HB25-1320'!EH25</f>
        <v>250</v>
      </c>
      <c r="EI25" s="23">
        <f>'New Formula with HB25-1320'!EI25</f>
        <v>13862.5</v>
      </c>
      <c r="EJ25" s="23">
        <f>'New Formula with HB25-1320'!EJ25</f>
        <v>10059</v>
      </c>
      <c r="EK25" s="23">
        <f>'New Formula with HB25-1320'!EK25</f>
        <v>686</v>
      </c>
      <c r="EL25" s="23">
        <f>'New Formula with HB25-1320'!EL25</f>
        <v>467.5</v>
      </c>
      <c r="EM25" s="23">
        <f>'New Formula with HB25-1320'!EM25</f>
        <v>373</v>
      </c>
      <c r="EN25" s="23">
        <f>'New Formula with HB25-1320'!EN25</f>
        <v>899</v>
      </c>
      <c r="EO25" s="23">
        <f>'New Formula with HB25-1320'!EO25</f>
        <v>296</v>
      </c>
      <c r="EP25" s="23">
        <f>'New Formula with HB25-1320'!EP25</f>
        <v>417.5</v>
      </c>
      <c r="EQ25" s="23">
        <f>'New Formula with HB25-1320'!EQ25</f>
        <v>2509</v>
      </c>
      <c r="ER25" s="23">
        <f>'New Formula with HB25-1320'!ER25</f>
        <v>310.5</v>
      </c>
      <c r="ES25" s="23">
        <f>'New Formula with HB25-1320'!ES25</f>
        <v>174.5</v>
      </c>
      <c r="ET25" s="23">
        <f>'New Formula with HB25-1320'!ET25</f>
        <v>182</v>
      </c>
      <c r="EU25" s="23">
        <f>'New Formula with HB25-1320'!EU25</f>
        <v>569</v>
      </c>
      <c r="EV25" s="23">
        <f>'New Formula with HB25-1320'!EV25</f>
        <v>71</v>
      </c>
      <c r="EW25" s="23">
        <f>'New Formula with HB25-1320'!EW25</f>
        <v>801</v>
      </c>
      <c r="EX25" s="23">
        <f>'New Formula with HB25-1320'!EX25</f>
        <v>170</v>
      </c>
      <c r="EY25" s="23">
        <f>'New Formula with HB25-1320'!EY25</f>
        <v>216</v>
      </c>
      <c r="EZ25" s="23">
        <f>'New Formula with HB25-1320'!EZ25</f>
        <v>131</v>
      </c>
      <c r="FA25" s="23">
        <f>'New Formula with HB25-1320'!FA25</f>
        <v>3409</v>
      </c>
      <c r="FB25" s="23">
        <f>'New Formula with HB25-1320'!FB25</f>
        <v>266.5</v>
      </c>
      <c r="FC25" s="23">
        <f>'New Formula with HB25-1320'!FC25</f>
        <v>1815</v>
      </c>
      <c r="FD25" s="23">
        <f>'New Formula with HB25-1320'!FD25</f>
        <v>399</v>
      </c>
      <c r="FE25" s="23">
        <f>'New Formula with HB25-1320'!FE25</f>
        <v>82</v>
      </c>
      <c r="FF25" s="23">
        <f>'New Formula with HB25-1320'!FF25</f>
        <v>183</v>
      </c>
      <c r="FG25" s="23">
        <f>'New Formula with HB25-1320'!FG25</f>
        <v>124</v>
      </c>
      <c r="FH25" s="23">
        <f>'New Formula with HB25-1320'!FH25</f>
        <v>68</v>
      </c>
      <c r="FI25" s="23">
        <f>'New Formula with HB25-1320'!FI25</f>
        <v>1691</v>
      </c>
      <c r="FJ25" s="23">
        <f>'New Formula with HB25-1320'!FJ25</f>
        <v>2017</v>
      </c>
      <c r="FK25" s="23">
        <f>'New Formula with HB25-1320'!FK25</f>
        <v>2536</v>
      </c>
      <c r="FL25" s="23">
        <f>'New Formula with HB25-1320'!FL25</f>
        <v>8175.5</v>
      </c>
      <c r="FM25" s="23">
        <f>'New Formula with HB25-1320'!FM25</f>
        <v>3824.5</v>
      </c>
      <c r="FN25" s="23">
        <f>'New Formula with HB25-1320'!FN25</f>
        <v>21727</v>
      </c>
      <c r="FO25" s="23">
        <f>'New Formula with HB25-1320'!FO25</f>
        <v>1082</v>
      </c>
      <c r="FP25" s="23">
        <f>'New Formula with HB25-1320'!FP25</f>
        <v>2224.5</v>
      </c>
      <c r="FQ25" s="23">
        <f>'New Formula with HB25-1320'!FQ25</f>
        <v>956.5</v>
      </c>
      <c r="FR25" s="23">
        <f>'New Formula with HB25-1320'!FR25</f>
        <v>164</v>
      </c>
      <c r="FS25" s="23">
        <f>'New Formula with HB25-1320'!FS25</f>
        <v>168</v>
      </c>
      <c r="FT25" s="23">
        <f>'New Formula with HB25-1320'!FT25</f>
        <v>58</v>
      </c>
      <c r="FU25" s="23">
        <f>'New Formula with HB25-1320'!FU25</f>
        <v>785</v>
      </c>
      <c r="FV25" s="23">
        <f>'New Formula with HB25-1320'!FV25</f>
        <v>691.5</v>
      </c>
      <c r="FW25" s="23">
        <f>'New Formula with HB25-1320'!FW25</f>
        <v>147</v>
      </c>
      <c r="FX25" s="23">
        <f>'New Formula with HB25-1320'!FX25</f>
        <v>57.5</v>
      </c>
      <c r="FY25" s="23"/>
      <c r="FZ25" s="23">
        <f t="shared" si="7"/>
        <v>786298</v>
      </c>
      <c r="GA25" s="23"/>
      <c r="GB25" s="23"/>
      <c r="GC25" s="23"/>
      <c r="GD25" s="23"/>
      <c r="GE25" s="7"/>
      <c r="GF25" s="7"/>
      <c r="GG25" s="7"/>
      <c r="GH25" s="7"/>
      <c r="GI25" s="7"/>
      <c r="GJ25" s="7"/>
      <c r="GK25" s="7"/>
    </row>
    <row r="26" spans="1:207" ht="15.5" x14ac:dyDescent="0.35">
      <c r="A26" s="92" t="s">
        <v>475</v>
      </c>
      <c r="B26" s="36" t="s">
        <v>484</v>
      </c>
      <c r="C26" s="23">
        <f>'New Formula with HB25-1320'!C26</f>
        <v>6372</v>
      </c>
      <c r="D26" s="23">
        <f>'New Formula with HB25-1320'!D26</f>
        <v>34363.5</v>
      </c>
      <c r="E26" s="23">
        <f>'New Formula with HB25-1320'!E26</f>
        <v>5274</v>
      </c>
      <c r="F26" s="23">
        <f>'New Formula with HB25-1320'!F26</f>
        <v>20215.5</v>
      </c>
      <c r="G26" s="23">
        <f>'New Formula with HB25-1320'!G26</f>
        <v>1234</v>
      </c>
      <c r="H26" s="23">
        <f>'New Formula with HB25-1320'!H26</f>
        <v>1129</v>
      </c>
      <c r="I26" s="23">
        <f>'New Formula with HB25-1320'!I26</f>
        <v>7427.5</v>
      </c>
      <c r="J26" s="23">
        <f>'New Formula with HB25-1320'!J26</f>
        <v>2111.5</v>
      </c>
      <c r="K26" s="23">
        <f>'New Formula with HB25-1320'!K26</f>
        <v>249</v>
      </c>
      <c r="L26" s="23">
        <f>'New Formula with HB25-1320'!L26</f>
        <v>2195</v>
      </c>
      <c r="M26" s="23">
        <f>'New Formula with HB25-1320'!M26</f>
        <v>998.5</v>
      </c>
      <c r="N26" s="23">
        <f>'New Formula with HB25-1320'!N26</f>
        <v>50787.5</v>
      </c>
      <c r="O26" s="23">
        <f>'New Formula with HB25-1320'!O26</f>
        <v>13067.5</v>
      </c>
      <c r="P26" s="23">
        <f>'New Formula with HB25-1320'!P26</f>
        <v>303.5</v>
      </c>
      <c r="Q26" s="23">
        <f>'New Formula with HB25-1320'!Q26</f>
        <v>36575</v>
      </c>
      <c r="R26" s="23">
        <f>'New Formula with HB25-1320'!R26</f>
        <v>477.5</v>
      </c>
      <c r="S26" s="23">
        <f>'New Formula with HB25-1320'!S26</f>
        <v>1644</v>
      </c>
      <c r="T26" s="23">
        <f>'New Formula with HB25-1320'!T26</f>
        <v>166.5</v>
      </c>
      <c r="U26" s="23">
        <f>'New Formula with HB25-1320'!U26</f>
        <v>48.5</v>
      </c>
      <c r="V26" s="23">
        <f>'New Formula with HB25-1320'!V26</f>
        <v>265.5</v>
      </c>
      <c r="W26" s="23">
        <f>'New Formula with HB25-1320'!W26</f>
        <v>66</v>
      </c>
      <c r="X26" s="23">
        <f>'New Formula with HB25-1320'!X26</f>
        <v>30</v>
      </c>
      <c r="Y26" s="23">
        <f>'New Formula with HB25-1320'!Y26</f>
        <v>456</v>
      </c>
      <c r="Z26" s="23">
        <f>'New Formula with HB25-1320'!Z26</f>
        <v>235.5</v>
      </c>
      <c r="AA26" s="23">
        <f>'New Formula with HB25-1320'!AA26</f>
        <v>30979.5</v>
      </c>
      <c r="AB26" s="23">
        <f>'New Formula with HB25-1320'!AB26</f>
        <v>27171.5</v>
      </c>
      <c r="AC26" s="23">
        <f>'New Formula with HB25-1320'!AC26</f>
        <v>951</v>
      </c>
      <c r="AD26" s="23">
        <f>'New Formula with HB25-1320'!AD26</f>
        <v>1259.5</v>
      </c>
      <c r="AE26" s="23">
        <f>'New Formula with HB25-1320'!AE26</f>
        <v>92</v>
      </c>
      <c r="AF26" s="23">
        <f>'New Formula with HB25-1320'!AF26</f>
        <v>172</v>
      </c>
      <c r="AG26" s="23">
        <f>'New Formula with HB25-1320'!AG26</f>
        <v>609</v>
      </c>
      <c r="AH26" s="23">
        <f>'New Formula with HB25-1320'!AH26</f>
        <v>991.5</v>
      </c>
      <c r="AI26" s="23">
        <f>'New Formula with HB25-1320'!AI26</f>
        <v>365.5</v>
      </c>
      <c r="AJ26" s="23">
        <f>'New Formula with HB25-1320'!AJ26</f>
        <v>153</v>
      </c>
      <c r="AK26" s="23">
        <f>'New Formula with HB25-1320'!AK26</f>
        <v>166.5</v>
      </c>
      <c r="AL26" s="23">
        <f>'New Formula with HB25-1320'!AL26</f>
        <v>259.5</v>
      </c>
      <c r="AM26" s="23">
        <f>'New Formula with HB25-1320'!AM26</f>
        <v>380</v>
      </c>
      <c r="AN26" s="23">
        <f>'New Formula with HB25-1320'!AN26</f>
        <v>318.5</v>
      </c>
      <c r="AO26" s="23">
        <f>'New Formula with HB25-1320'!AO26</f>
        <v>4241</v>
      </c>
      <c r="AP26" s="23">
        <f>'New Formula with HB25-1320'!AP26</f>
        <v>82330</v>
      </c>
      <c r="AQ26" s="23">
        <f>'New Formula with HB25-1320'!AQ26</f>
        <v>244.5</v>
      </c>
      <c r="AR26" s="23">
        <f>'New Formula with HB25-1320'!AR26</f>
        <v>59455.5</v>
      </c>
      <c r="AS26" s="23">
        <f>'New Formula with HB25-1320'!AS26</f>
        <v>6343.5</v>
      </c>
      <c r="AT26" s="23">
        <f>'New Formula with HB25-1320'!AT26</f>
        <v>2293.5</v>
      </c>
      <c r="AU26" s="23">
        <f>'New Formula with HB25-1320'!AU26</f>
        <v>275</v>
      </c>
      <c r="AV26" s="23">
        <f>'New Formula with HB25-1320'!AV26</f>
        <v>329.5</v>
      </c>
      <c r="AW26" s="23">
        <f>'New Formula with HB25-1320'!AW26</f>
        <v>248.5</v>
      </c>
      <c r="AX26" s="23">
        <f>'New Formula with HB25-1320'!AX26</f>
        <v>69.5</v>
      </c>
      <c r="AY26" s="23">
        <f>'New Formula with HB25-1320'!AY26</f>
        <v>409.5</v>
      </c>
      <c r="AZ26" s="23">
        <f>'New Formula with HB25-1320'!AZ26</f>
        <v>12298.5</v>
      </c>
      <c r="BA26" s="23">
        <f>'New Formula with HB25-1320'!BA26</f>
        <v>9225.5</v>
      </c>
      <c r="BB26" s="23">
        <f>'New Formula with HB25-1320'!BB26</f>
        <v>7727</v>
      </c>
      <c r="BC26" s="23">
        <f>'New Formula with HB25-1320'!BC26</f>
        <v>21009</v>
      </c>
      <c r="BD26" s="23">
        <f>'New Formula with HB25-1320'!BD26</f>
        <v>3622.5</v>
      </c>
      <c r="BE26" s="23">
        <f>'New Formula with HB25-1320'!BE26</f>
        <v>1286</v>
      </c>
      <c r="BF26" s="23">
        <f>'New Formula with HB25-1320'!BF26</f>
        <v>24490.5</v>
      </c>
      <c r="BG26" s="23">
        <f>'New Formula with HB25-1320'!BG26</f>
        <v>894</v>
      </c>
      <c r="BH26" s="23">
        <f>'New Formula with HB25-1320'!BH26</f>
        <v>566</v>
      </c>
      <c r="BI26" s="23">
        <f>'New Formula with HB25-1320'!BI26</f>
        <v>270</v>
      </c>
      <c r="BJ26" s="23">
        <f>'New Formula with HB25-1320'!BJ26</f>
        <v>6299.5</v>
      </c>
      <c r="BK26" s="23">
        <f>'New Formula with HB25-1320'!BK26</f>
        <v>18861.5</v>
      </c>
      <c r="BL26" s="23">
        <f>'New Formula with HB25-1320'!BL26</f>
        <v>75.5</v>
      </c>
      <c r="BM26" s="23">
        <f>'New Formula with HB25-1320'!BM26</f>
        <v>303</v>
      </c>
      <c r="BN26" s="23">
        <f>'New Formula with HB25-1320'!BN26</f>
        <v>3219</v>
      </c>
      <c r="BO26" s="23">
        <f>'New Formula with HB25-1320'!BO26</f>
        <v>1303.5</v>
      </c>
      <c r="BP26" s="23">
        <f>'New Formula with HB25-1320'!BP26</f>
        <v>175</v>
      </c>
      <c r="BQ26" s="23">
        <f>'New Formula with HB25-1320'!BQ26</f>
        <v>5661.5</v>
      </c>
      <c r="BR26" s="23">
        <f>'New Formula with HB25-1320'!BR26</f>
        <v>4525</v>
      </c>
      <c r="BS26" s="23">
        <f>'New Formula with HB25-1320'!BS26</f>
        <v>1123.5</v>
      </c>
      <c r="BT26" s="23">
        <f>'New Formula with HB25-1320'!BT26</f>
        <v>379.5</v>
      </c>
      <c r="BU26" s="23">
        <f>'New Formula with HB25-1320'!BU26</f>
        <v>395.5</v>
      </c>
      <c r="BV26" s="23">
        <f>'New Formula with HB25-1320'!BV26</f>
        <v>1232</v>
      </c>
      <c r="BW26" s="23">
        <f>'New Formula with HB25-1320'!BW26</f>
        <v>1990</v>
      </c>
      <c r="BX26" s="23">
        <f>'New Formula with HB25-1320'!BX26</f>
        <v>72.5</v>
      </c>
      <c r="BY26" s="23">
        <f>'New Formula with HB25-1320'!BY26</f>
        <v>451</v>
      </c>
      <c r="BZ26" s="23">
        <f>'New Formula with HB25-1320'!BZ26</f>
        <v>217</v>
      </c>
      <c r="CA26" s="23">
        <f>'New Formula with HB25-1320'!CA26</f>
        <v>167.5</v>
      </c>
      <c r="CB26" s="23">
        <f>'New Formula with HB25-1320'!CB26</f>
        <v>72924.5</v>
      </c>
      <c r="CC26" s="23">
        <f>'New Formula with HB25-1320'!CC26</f>
        <v>186</v>
      </c>
      <c r="CD26" s="23">
        <f>'New Formula with HB25-1320'!CD26</f>
        <v>35.5</v>
      </c>
      <c r="CE26" s="23">
        <f>'New Formula with HB25-1320'!CE26</f>
        <v>156.5</v>
      </c>
      <c r="CF26" s="23">
        <f>'New Formula with HB25-1320'!CF26</f>
        <v>119</v>
      </c>
      <c r="CG26" s="23">
        <f>'New Formula with HB25-1320'!CG26</f>
        <v>202.5</v>
      </c>
      <c r="CH26" s="23">
        <f>'New Formula with HB25-1320'!CH26</f>
        <v>101.5</v>
      </c>
      <c r="CI26" s="23">
        <f>'New Formula with HB25-1320'!CI26</f>
        <v>715.5</v>
      </c>
      <c r="CJ26" s="23">
        <f>'New Formula with HB25-1320'!CJ26</f>
        <v>900</v>
      </c>
      <c r="CK26" s="23">
        <f>'New Formula with HB25-1320'!CK26</f>
        <v>4395</v>
      </c>
      <c r="CL26" s="23">
        <f>'New Formula with HB25-1320'!CL26</f>
        <v>1269</v>
      </c>
      <c r="CM26" s="23">
        <f>'New Formula with HB25-1320'!CM26</f>
        <v>698</v>
      </c>
      <c r="CN26" s="23">
        <f>'New Formula with HB25-1320'!CN26</f>
        <v>28615</v>
      </c>
      <c r="CO26" s="23">
        <f>'New Formula with HB25-1320'!CO26</f>
        <v>14617</v>
      </c>
      <c r="CP26" s="23">
        <f>'New Formula with HB25-1320'!CP26</f>
        <v>983</v>
      </c>
      <c r="CQ26" s="23">
        <f>'New Formula with HB25-1320'!CQ26</f>
        <v>805</v>
      </c>
      <c r="CR26" s="23">
        <f>'New Formula with HB25-1320'!CR26</f>
        <v>238</v>
      </c>
      <c r="CS26" s="23">
        <f>'New Formula with HB25-1320'!CS26</f>
        <v>308</v>
      </c>
      <c r="CT26" s="23">
        <f>'New Formula with HB25-1320'!CT26</f>
        <v>107.5</v>
      </c>
      <c r="CU26" s="23">
        <f>'New Formula with HB25-1320'!CU26</f>
        <v>69</v>
      </c>
      <c r="CV26" s="23">
        <f>'New Formula with HB25-1320'!CV26</f>
        <v>29.5</v>
      </c>
      <c r="CW26" s="23">
        <f>'New Formula with HB25-1320'!CW26</f>
        <v>195.5</v>
      </c>
      <c r="CX26" s="23">
        <f>'New Formula with HB25-1320'!CX26</f>
        <v>467.5</v>
      </c>
      <c r="CY26" s="23">
        <f>'New Formula with HB25-1320'!CY26</f>
        <v>37</v>
      </c>
      <c r="CZ26" s="23">
        <f>'New Formula with HB25-1320'!CZ26</f>
        <v>1845</v>
      </c>
      <c r="DA26" s="23">
        <f>'New Formula with HB25-1320'!DA26</f>
        <v>203.5</v>
      </c>
      <c r="DB26" s="23">
        <f>'New Formula with HB25-1320'!DB26</f>
        <v>316</v>
      </c>
      <c r="DC26" s="23">
        <f>'New Formula with HB25-1320'!DC26</f>
        <v>162</v>
      </c>
      <c r="DD26" s="23">
        <f>'New Formula with HB25-1320'!DD26</f>
        <v>157</v>
      </c>
      <c r="DE26" s="23">
        <f>'New Formula with HB25-1320'!DE26</f>
        <v>291.5</v>
      </c>
      <c r="DF26" s="23">
        <f>'New Formula with HB25-1320'!DF26</f>
        <v>19957.5</v>
      </c>
      <c r="DG26" s="23">
        <f>'New Formula with HB25-1320'!DG26</f>
        <v>85</v>
      </c>
      <c r="DH26" s="23">
        <f>'New Formula with HB25-1320'!DH26</f>
        <v>1945</v>
      </c>
      <c r="DI26" s="23">
        <f>'New Formula with HB25-1320'!DI26</f>
        <v>2362.5</v>
      </c>
      <c r="DJ26" s="23">
        <f>'New Formula with HB25-1320'!DJ26</f>
        <v>631.5</v>
      </c>
      <c r="DK26" s="23">
        <f>'New Formula with HB25-1320'!DK26</f>
        <v>468</v>
      </c>
      <c r="DL26" s="23">
        <f>'New Formula with HB25-1320'!DL26</f>
        <v>5726</v>
      </c>
      <c r="DM26" s="23">
        <f>'New Formula with HB25-1320'!DM26</f>
        <v>236</v>
      </c>
      <c r="DN26" s="23">
        <f>'New Formula with HB25-1320'!DN26</f>
        <v>1296.5</v>
      </c>
      <c r="DO26" s="23">
        <f>'New Formula with HB25-1320'!DO26</f>
        <v>3203</v>
      </c>
      <c r="DP26" s="23">
        <f>'New Formula with HB25-1320'!DP26</f>
        <v>208.5</v>
      </c>
      <c r="DQ26" s="23">
        <f>'New Formula with HB25-1320'!DQ26</f>
        <v>798</v>
      </c>
      <c r="DR26" s="23">
        <f>'New Formula with HB25-1320'!DR26</f>
        <v>1356.5</v>
      </c>
      <c r="DS26" s="23">
        <f>'New Formula with HB25-1320'!DS26</f>
        <v>632</v>
      </c>
      <c r="DT26" s="23">
        <f>'New Formula with HB25-1320'!DT26</f>
        <v>163</v>
      </c>
      <c r="DU26" s="23">
        <f>'New Formula with HB25-1320'!DU26</f>
        <v>346.5</v>
      </c>
      <c r="DV26" s="23">
        <f>'New Formula with HB25-1320'!DV26</f>
        <v>218</v>
      </c>
      <c r="DW26" s="23">
        <f>'New Formula with HB25-1320'!DW26</f>
        <v>314</v>
      </c>
      <c r="DX26" s="23">
        <f>'New Formula with HB25-1320'!DX26</f>
        <v>160.5</v>
      </c>
      <c r="DY26" s="23">
        <f>'New Formula with HB25-1320'!DY26</f>
        <v>309.5</v>
      </c>
      <c r="DZ26" s="23">
        <f>'New Formula with HB25-1320'!DZ26</f>
        <v>729.5</v>
      </c>
      <c r="EA26" s="23">
        <f>'New Formula with HB25-1320'!EA26</f>
        <v>533.5</v>
      </c>
      <c r="EB26" s="23">
        <f>'New Formula with HB25-1320'!EB26</f>
        <v>556.5</v>
      </c>
      <c r="EC26" s="23">
        <f>'New Formula with HB25-1320'!EC26</f>
        <v>306.5</v>
      </c>
      <c r="ED26" s="23">
        <f>'New Formula with HB25-1320'!ED26</f>
        <v>1552.5</v>
      </c>
      <c r="EE26" s="23">
        <f>'New Formula with HB25-1320'!EE26</f>
        <v>198</v>
      </c>
      <c r="EF26" s="23">
        <f>'New Formula with HB25-1320'!EF26</f>
        <v>1414</v>
      </c>
      <c r="EG26" s="23">
        <f>'New Formula with HB25-1320'!EG26</f>
        <v>252.5</v>
      </c>
      <c r="EH26" s="23">
        <f>'New Formula with HB25-1320'!EH26</f>
        <v>248.5</v>
      </c>
      <c r="EI26" s="23">
        <f>'New Formula with HB25-1320'!EI26</f>
        <v>14340.5</v>
      </c>
      <c r="EJ26" s="23">
        <f>'New Formula with HB25-1320'!EJ26</f>
        <v>10073.5</v>
      </c>
      <c r="EK26" s="23">
        <f>'New Formula with HB25-1320'!EK26</f>
        <v>673.5</v>
      </c>
      <c r="EL26" s="23">
        <f>'New Formula with HB25-1320'!EL26</f>
        <v>457.5</v>
      </c>
      <c r="EM26" s="23">
        <f>'New Formula with HB25-1320'!EM26</f>
        <v>391.5</v>
      </c>
      <c r="EN26" s="23">
        <f>'New Formula with HB25-1320'!EN26</f>
        <v>896.5</v>
      </c>
      <c r="EO26" s="23">
        <f>'New Formula with HB25-1320'!EO26</f>
        <v>322</v>
      </c>
      <c r="EP26" s="23">
        <f>'New Formula with HB25-1320'!EP26</f>
        <v>424.5</v>
      </c>
      <c r="EQ26" s="23">
        <f>'New Formula with HB25-1320'!EQ26</f>
        <v>2592.5</v>
      </c>
      <c r="ER26" s="23">
        <f>'New Formula with HB25-1320'!ER26</f>
        <v>316.5</v>
      </c>
      <c r="ES26" s="23">
        <f>'New Formula with HB25-1320'!ES26</f>
        <v>168.5</v>
      </c>
      <c r="ET26" s="23">
        <f>'New Formula with HB25-1320'!ET26</f>
        <v>166</v>
      </c>
      <c r="EU26" s="23">
        <f>'New Formula with HB25-1320'!EU26</f>
        <v>581</v>
      </c>
      <c r="EV26" s="23">
        <f>'New Formula with HB25-1320'!EV26</f>
        <v>80</v>
      </c>
      <c r="EW26" s="23">
        <f>'New Formula with HB25-1320'!EW26</f>
        <v>871</v>
      </c>
      <c r="EX26" s="23">
        <f>'New Formula with HB25-1320'!EX26</f>
        <v>165.5</v>
      </c>
      <c r="EY26" s="23">
        <f>'New Formula with HB25-1320'!EY26</f>
        <v>208.5</v>
      </c>
      <c r="EZ26" s="23">
        <f>'New Formula with HB25-1320'!EZ26</f>
        <v>114</v>
      </c>
      <c r="FA26" s="23">
        <f>'New Formula with HB25-1320'!FA26</f>
        <v>3486</v>
      </c>
      <c r="FB26" s="23">
        <f>'New Formula with HB25-1320'!FB26</f>
        <v>286.5</v>
      </c>
      <c r="FC26" s="23">
        <f>'New Formula with HB25-1320'!FC26</f>
        <v>1944</v>
      </c>
      <c r="FD26" s="23">
        <f>'New Formula with HB25-1320'!FD26</f>
        <v>415</v>
      </c>
      <c r="FE26" s="23">
        <f>'New Formula with HB25-1320'!FE26</f>
        <v>82</v>
      </c>
      <c r="FF26" s="23">
        <f>'New Formula with HB25-1320'!FF26</f>
        <v>188</v>
      </c>
      <c r="FG26" s="23">
        <f>'New Formula with HB25-1320'!FG26</f>
        <v>124</v>
      </c>
      <c r="FH26" s="23">
        <f>'New Formula with HB25-1320'!FH26</f>
        <v>72</v>
      </c>
      <c r="FI26" s="23">
        <f>'New Formula with HB25-1320'!FI26</f>
        <v>1752</v>
      </c>
      <c r="FJ26" s="23">
        <f>'New Formula with HB25-1320'!FJ26</f>
        <v>1998.5</v>
      </c>
      <c r="FK26" s="23">
        <f>'New Formula with HB25-1320'!FK26</f>
        <v>2612.5</v>
      </c>
      <c r="FL26" s="23">
        <f>'New Formula with HB25-1320'!FL26</f>
        <v>7995.5</v>
      </c>
      <c r="FM26" s="23">
        <f>'New Formula with HB25-1320'!FM26</f>
        <v>3731.5</v>
      </c>
      <c r="FN26" s="23">
        <f>'New Formula with HB25-1320'!FN26</f>
        <v>21573.5</v>
      </c>
      <c r="FO26" s="23">
        <f>'New Formula with HB25-1320'!FO26</f>
        <v>1104</v>
      </c>
      <c r="FP26" s="23">
        <f>'New Formula with HB25-1320'!FP26</f>
        <v>2342</v>
      </c>
      <c r="FQ26" s="23">
        <f>'New Formula with HB25-1320'!FQ26</f>
        <v>994.5</v>
      </c>
      <c r="FR26" s="23">
        <f>'New Formula with HB25-1320'!FR26</f>
        <v>169.5</v>
      </c>
      <c r="FS26" s="23">
        <f>'New Formula with HB25-1320'!FS26</f>
        <v>179</v>
      </c>
      <c r="FT26" s="23">
        <f>'New Formula with HB25-1320'!FT26</f>
        <v>58</v>
      </c>
      <c r="FU26" s="23">
        <f>'New Formula with HB25-1320'!FU26</f>
        <v>832.5</v>
      </c>
      <c r="FV26" s="23">
        <f>'New Formula with HB25-1320'!FV26</f>
        <v>689</v>
      </c>
      <c r="FW26" s="23">
        <f>'New Formula with HB25-1320'!FW26</f>
        <v>156</v>
      </c>
      <c r="FX26" s="23">
        <f>'New Formula with HB25-1320'!FX26</f>
        <v>57.5</v>
      </c>
      <c r="FY26" s="23"/>
      <c r="FZ26" s="23">
        <f t="shared" si="7"/>
        <v>796687.5</v>
      </c>
      <c r="GA26" s="23"/>
      <c r="GB26" s="23"/>
      <c r="GC26" s="23"/>
      <c r="GD26" s="23"/>
      <c r="GE26" s="7"/>
      <c r="GF26" s="7"/>
      <c r="GG26" s="7"/>
      <c r="GH26" s="7"/>
      <c r="GI26" s="7"/>
      <c r="GJ26" s="7"/>
      <c r="GK26" s="7"/>
    </row>
    <row r="27" spans="1:207" ht="15.5" x14ac:dyDescent="0.35">
      <c r="A27" s="92" t="s">
        <v>477</v>
      </c>
      <c r="B27" s="36" t="s">
        <v>752</v>
      </c>
      <c r="C27" s="23">
        <f>IF('New Formula with HB25-1320'!$B$7&lt;4,0,VLOOKUP(C5,PriorYR_FTE2!$A$3:$E$180,5))</f>
        <v>6356.5</v>
      </c>
      <c r="D27" s="23">
        <f>IF('New Formula with HB25-1320'!$B$7&lt;4,0,VLOOKUP(D5,PriorYR_FTE2!$A$3:$E$180,5))</f>
        <v>34775</v>
      </c>
      <c r="E27" s="23">
        <f>IF('New Formula with HB25-1320'!$B$7&lt;4,0,VLOOKUP(E5,PriorYR_FTE2!$A$3:$E$180,5))</f>
        <v>5544</v>
      </c>
      <c r="F27" s="23">
        <f>IF('New Formula with HB25-1320'!$B$7&lt;4,0,VLOOKUP(F5,PriorYR_FTE2!$A$3:$E$180,5))</f>
        <v>19613</v>
      </c>
      <c r="G27" s="23">
        <f>IF('New Formula with HB25-1320'!$B$7&lt;4,0,VLOOKUP(G5,PriorYR_FTE2!$A$3:$E$180,5))</f>
        <v>1207.5</v>
      </c>
      <c r="H27" s="23">
        <f>IF('New Formula with HB25-1320'!$B$7&lt;4,0,VLOOKUP(H5,PriorYR_FTE2!$A$3:$E$180,5))</f>
        <v>1096.5</v>
      </c>
      <c r="I27" s="23">
        <f>IF('New Formula with HB25-1320'!$B$7&lt;4,0,VLOOKUP(I5,PriorYR_FTE2!$A$3:$E$180,5))</f>
        <v>7781</v>
      </c>
      <c r="J27" s="23">
        <f>IF('New Formula with HB25-1320'!$B$7&lt;4,0,VLOOKUP(J5,PriorYR_FTE2!$A$3:$E$180,5))</f>
        <v>2171.5</v>
      </c>
      <c r="K27" s="23">
        <f>IF('New Formula with HB25-1320'!$B$7&lt;4,0,VLOOKUP(K5,PriorYR_FTE2!$A$3:$E$180,5))</f>
        <v>233.5</v>
      </c>
      <c r="L27" s="23">
        <f>IF('New Formula with HB25-1320'!$B$7&lt;4,0,VLOOKUP(L5,PriorYR_FTE2!$A$3:$E$180,5))</f>
        <v>2219.5</v>
      </c>
      <c r="M27" s="23">
        <f>IF('New Formula with HB25-1320'!$B$7&lt;4,0,VLOOKUP(M5,PriorYR_FTE2!$A$3:$E$180,5))</f>
        <v>1047</v>
      </c>
      <c r="N27" s="23">
        <f>IF('New Formula with HB25-1320'!$B$7&lt;4,0,VLOOKUP(N5,PriorYR_FTE2!$A$3:$E$180,5))</f>
        <v>51486.5</v>
      </c>
      <c r="O27" s="23">
        <f>IF('New Formula with HB25-1320'!$B$7&lt;4,0,VLOOKUP(O5,PriorYR_FTE2!$A$3:$E$180,5))</f>
        <v>13342.5</v>
      </c>
      <c r="P27" s="23">
        <f>IF('New Formula with HB25-1320'!$B$7&lt;4,0,VLOOKUP(P5,PriorYR_FTE2!$A$3:$E$180,5))</f>
        <v>270.5</v>
      </c>
      <c r="Q27" s="23">
        <f>IF('New Formula with HB25-1320'!$B$7&lt;4,0,VLOOKUP(Q5,PriorYR_FTE2!$A$3:$E$180,5))</f>
        <v>36070.5</v>
      </c>
      <c r="R27" s="23">
        <f>IF('New Formula with HB25-1320'!$B$7&lt;4,0,VLOOKUP(R5,PriorYR_FTE2!$A$3:$E$180,5))</f>
        <v>474.5</v>
      </c>
      <c r="S27" s="23">
        <f>IF('New Formula with HB25-1320'!$B$7&lt;4,0,VLOOKUP(S5,PriorYR_FTE2!$A$3:$E$180,5))</f>
        <v>1662.5</v>
      </c>
      <c r="T27" s="23">
        <f>IF('New Formula with HB25-1320'!$B$7&lt;4,0,VLOOKUP(T5,PriorYR_FTE2!$A$3:$E$180,5))</f>
        <v>144.5</v>
      </c>
      <c r="U27" s="23">
        <f>IF('New Formula with HB25-1320'!$B$7&lt;4,0,VLOOKUP(U5,PriorYR_FTE2!$A$3:$E$180,5))</f>
        <v>54.5</v>
      </c>
      <c r="V27" s="23">
        <f>IF('New Formula with HB25-1320'!$B$7&lt;4,0,VLOOKUP(V5,PriorYR_FTE2!$A$3:$E$180,5))</f>
        <v>250</v>
      </c>
      <c r="W27" s="23">
        <f>IF('New Formula with HB25-1320'!$B$7&lt;4,0,VLOOKUP(W5,PriorYR_FTE2!$A$3:$E$180,5))</f>
        <v>73.5</v>
      </c>
      <c r="X27" s="23">
        <f>IF('New Formula with HB25-1320'!$B$7&lt;4,0,VLOOKUP(X5,PriorYR_FTE2!$A$3:$E$180,5))</f>
        <v>44</v>
      </c>
      <c r="Y27" s="23">
        <f>IF('New Formula with HB25-1320'!$B$7&lt;4,0,VLOOKUP(Y5,PriorYR_FTE2!$A$3:$E$180,5))</f>
        <v>434</v>
      </c>
      <c r="Z27" s="23">
        <f>IF('New Formula with HB25-1320'!$B$7&lt;4,0,VLOOKUP(Z5,PriorYR_FTE2!$A$3:$E$180,5))</f>
        <v>219</v>
      </c>
      <c r="AA27" s="23">
        <f>IF('New Formula with HB25-1320'!$B$7&lt;4,0,VLOOKUP(AA5,PriorYR_FTE2!$A$3:$E$180,5))</f>
        <v>30848.5</v>
      </c>
      <c r="AB27" s="23">
        <f>IF('New Formula with HB25-1320'!$B$7&lt;4,0,VLOOKUP(AB5,PriorYR_FTE2!$A$3:$E$180,5))</f>
        <v>27335.5</v>
      </c>
      <c r="AC27" s="23">
        <f>IF('New Formula with HB25-1320'!$B$7&lt;4,0,VLOOKUP(AC5,PriorYR_FTE2!$A$3:$E$180,5))</f>
        <v>960</v>
      </c>
      <c r="AD27" s="23">
        <f>IF('New Formula with HB25-1320'!$B$7&lt;4,0,VLOOKUP(AD5,PriorYR_FTE2!$A$3:$E$180,5))</f>
        <v>1252.5</v>
      </c>
      <c r="AE27" s="23">
        <f>IF('New Formula with HB25-1320'!$B$7&lt;4,0,VLOOKUP(AE5,PriorYR_FTE2!$A$3:$E$180,5))</f>
        <v>92.5</v>
      </c>
      <c r="AF27" s="23">
        <f>IF('New Formula with HB25-1320'!$B$7&lt;4,0,VLOOKUP(AF5,PriorYR_FTE2!$A$3:$E$180,5))</f>
        <v>174.5</v>
      </c>
      <c r="AG27" s="23">
        <f>IF('New Formula with HB25-1320'!$B$7&lt;4,0,VLOOKUP(AG5,PriorYR_FTE2!$A$3:$E$180,5))</f>
        <v>632</v>
      </c>
      <c r="AH27" s="23">
        <f>IF('New Formula with HB25-1320'!$B$7&lt;4,0,VLOOKUP(AH5,PriorYR_FTE2!$A$3:$E$180,5))</f>
        <v>1007</v>
      </c>
      <c r="AI27" s="23">
        <f>IF('New Formula with HB25-1320'!$B$7&lt;4,0,VLOOKUP(AI5,PriorYR_FTE2!$A$3:$E$180,5))</f>
        <v>331.5</v>
      </c>
      <c r="AJ27" s="23">
        <f>IF('New Formula with HB25-1320'!$B$7&lt;4,0,VLOOKUP(AJ5,PriorYR_FTE2!$A$3:$E$180,5))</f>
        <v>140.5</v>
      </c>
      <c r="AK27" s="23">
        <f>IF('New Formula with HB25-1320'!$B$7&lt;4,0,VLOOKUP(AK5,PriorYR_FTE2!$A$3:$E$180,5))</f>
        <v>177.5</v>
      </c>
      <c r="AL27" s="23">
        <f>IF('New Formula with HB25-1320'!$B$7&lt;4,0,VLOOKUP(AL5,PriorYR_FTE2!$A$3:$E$180,5))</f>
        <v>237.5</v>
      </c>
      <c r="AM27" s="23">
        <f>IF('New Formula with HB25-1320'!$B$7&lt;4,0,VLOOKUP(AM5,PriorYR_FTE2!$A$3:$E$180,5))</f>
        <v>403</v>
      </c>
      <c r="AN27" s="23">
        <f>IF('New Formula with HB25-1320'!$B$7&lt;4,0,VLOOKUP(AN5,PriorYR_FTE2!$A$3:$E$180,5))</f>
        <v>331.5</v>
      </c>
      <c r="AO27" s="23">
        <f>IF('New Formula with HB25-1320'!$B$7&lt;4,0,VLOOKUP(AO5,PriorYR_FTE2!$A$3:$E$180,5))</f>
        <v>4360.5</v>
      </c>
      <c r="AP27" s="23">
        <f>IF('New Formula with HB25-1320'!$B$7&lt;4,0,VLOOKUP(AP5,PriorYR_FTE2!$A$3:$E$180,5))</f>
        <v>83793</v>
      </c>
      <c r="AQ27" s="23">
        <f>IF('New Formula with HB25-1320'!$B$7&lt;4,0,VLOOKUP(AQ5,PriorYR_FTE2!$A$3:$E$180,5))</f>
        <v>241</v>
      </c>
      <c r="AR27" s="23">
        <f>IF('New Formula with HB25-1320'!$B$7&lt;4,0,VLOOKUP(AR5,PriorYR_FTE2!$A$3:$E$180,5))</f>
        <v>60239.5</v>
      </c>
      <c r="AS27" s="23">
        <f>IF('New Formula with HB25-1320'!$B$7&lt;4,0,VLOOKUP(AS5,PriorYR_FTE2!$A$3:$E$180,5))</f>
        <v>6425.5</v>
      </c>
      <c r="AT27" s="23">
        <f>IF('New Formula with HB25-1320'!$B$7&lt;4,0,VLOOKUP(AT5,PriorYR_FTE2!$A$3:$E$180,5))</f>
        <v>2232</v>
      </c>
      <c r="AU27" s="23">
        <f>IF('New Formula with HB25-1320'!$B$7&lt;4,0,VLOOKUP(AU5,PriorYR_FTE2!$A$3:$E$180,5))</f>
        <v>255</v>
      </c>
      <c r="AV27" s="23">
        <f>IF('New Formula with HB25-1320'!$B$7&lt;4,0,VLOOKUP(AV5,PriorYR_FTE2!$A$3:$E$180,5))</f>
        <v>304</v>
      </c>
      <c r="AW27" s="23">
        <f>IF('New Formula with HB25-1320'!$B$7&lt;4,0,VLOOKUP(AW5,PriorYR_FTE2!$A$3:$E$180,5))</f>
        <v>254</v>
      </c>
      <c r="AX27" s="23">
        <f>IF('New Formula with HB25-1320'!$B$7&lt;4,0,VLOOKUP(AX5,PriorYR_FTE2!$A$3:$E$180,5))</f>
        <v>71.5</v>
      </c>
      <c r="AY27" s="23">
        <f>IF('New Formula with HB25-1320'!$B$7&lt;4,0,VLOOKUP(AY5,PriorYR_FTE2!$A$3:$E$180,5))</f>
        <v>426</v>
      </c>
      <c r="AZ27" s="23">
        <f>IF('New Formula with HB25-1320'!$B$7&lt;4,0,VLOOKUP(AZ5,PriorYR_FTE2!$A$3:$E$180,5))</f>
        <v>12587</v>
      </c>
      <c r="BA27" s="23">
        <f>IF('New Formula with HB25-1320'!$B$7&lt;4,0,VLOOKUP(BA5,PriorYR_FTE2!$A$3:$E$180,5))</f>
        <v>8981</v>
      </c>
      <c r="BB27" s="23">
        <f>IF('New Formula with HB25-1320'!$B$7&lt;4,0,VLOOKUP(BB5,PriorYR_FTE2!$A$3:$E$180,5))</f>
        <v>7862.5</v>
      </c>
      <c r="BC27" s="23">
        <f>IF('New Formula with HB25-1320'!$B$7&lt;4,0,VLOOKUP(BC5,PriorYR_FTE2!$A$3:$E$180,5))</f>
        <v>21479.5</v>
      </c>
      <c r="BD27" s="23">
        <f>IF('New Formula with HB25-1320'!$B$7&lt;4,0,VLOOKUP(BD5,PriorYR_FTE2!$A$3:$E$180,5))</f>
        <v>3545</v>
      </c>
      <c r="BE27" s="23">
        <f>IF('New Formula with HB25-1320'!$B$7&lt;4,0,VLOOKUP(BE5,PriorYR_FTE2!$A$3:$E$180,5))</f>
        <v>1295.5</v>
      </c>
      <c r="BF27" s="23">
        <f>IF('New Formula with HB25-1320'!$B$7&lt;4,0,VLOOKUP(BF5,PriorYR_FTE2!$A$3:$E$180,5))</f>
        <v>24154.5</v>
      </c>
      <c r="BG27" s="23">
        <f>IF('New Formula with HB25-1320'!$B$7&lt;4,0,VLOOKUP(BG5,PriorYR_FTE2!$A$3:$E$180,5))</f>
        <v>891.5</v>
      </c>
      <c r="BH27" s="23">
        <f>IF('New Formula with HB25-1320'!$B$7&lt;4,0,VLOOKUP(BH5,PriorYR_FTE2!$A$3:$E$180,5))</f>
        <v>546.5</v>
      </c>
      <c r="BI27" s="23">
        <f>IF('New Formula with HB25-1320'!$B$7&lt;4,0,VLOOKUP(BI5,PriorYR_FTE2!$A$3:$E$180,5))</f>
        <v>258</v>
      </c>
      <c r="BJ27" s="23">
        <f>IF('New Formula with HB25-1320'!$B$7&lt;4,0,VLOOKUP(BJ5,PriorYR_FTE2!$A$3:$E$180,5))</f>
        <v>6328.5</v>
      </c>
      <c r="BK27" s="23">
        <f>IF('New Formula with HB25-1320'!$B$7&lt;4,0,VLOOKUP(BK5,PriorYR_FTE2!$A$3:$E$180,5))</f>
        <v>18568.5</v>
      </c>
      <c r="BL27" s="23">
        <f>IF('New Formula with HB25-1320'!$B$7&lt;4,0,VLOOKUP(BL5,PriorYR_FTE2!$A$3:$E$180,5))</f>
        <v>104</v>
      </c>
      <c r="BM27" s="23">
        <f>IF('New Formula with HB25-1320'!$B$7&lt;4,0,VLOOKUP(BM5,PriorYR_FTE2!$A$3:$E$180,5))</f>
        <v>288</v>
      </c>
      <c r="BN27" s="23">
        <f>IF('New Formula with HB25-1320'!$B$7&lt;4,0,VLOOKUP(BN5,PriorYR_FTE2!$A$3:$E$180,5))</f>
        <v>3250</v>
      </c>
      <c r="BO27" s="23">
        <f>IF('New Formula with HB25-1320'!$B$7&lt;4,0,VLOOKUP(BO5,PriorYR_FTE2!$A$3:$E$180,5))</f>
        <v>1341</v>
      </c>
      <c r="BP27" s="23">
        <f>IF('New Formula with HB25-1320'!$B$7&lt;4,0,VLOOKUP(BP5,PriorYR_FTE2!$A$3:$E$180,5))</f>
        <v>194</v>
      </c>
      <c r="BQ27" s="23">
        <f>IF('New Formula with HB25-1320'!$B$7&lt;4,0,VLOOKUP(BQ5,PriorYR_FTE2!$A$3:$E$180,5))</f>
        <v>5572.5</v>
      </c>
      <c r="BR27" s="23">
        <f>IF('New Formula with HB25-1320'!$B$7&lt;4,0,VLOOKUP(BR5,PriorYR_FTE2!$A$3:$E$180,5))</f>
        <v>4487</v>
      </c>
      <c r="BS27" s="23">
        <f>IF('New Formula with HB25-1320'!$B$7&lt;4,0,VLOOKUP(BS5,PriorYR_FTE2!$A$3:$E$180,5))</f>
        <v>1138.5</v>
      </c>
      <c r="BT27" s="23">
        <f>IF('New Formula with HB25-1320'!$B$7&lt;4,0,VLOOKUP(BT5,PriorYR_FTE2!$A$3:$E$180,5))</f>
        <v>412.5</v>
      </c>
      <c r="BU27" s="23">
        <f>IF('New Formula with HB25-1320'!$B$7&lt;4,0,VLOOKUP(BU5,PriorYR_FTE2!$A$3:$E$180,5))</f>
        <v>398</v>
      </c>
      <c r="BV27" s="23">
        <f>IF('New Formula with HB25-1320'!$B$7&lt;4,0,VLOOKUP(BV5,PriorYR_FTE2!$A$3:$E$180,5))</f>
        <v>1248.5</v>
      </c>
      <c r="BW27" s="23">
        <f>IF('New Formula with HB25-1320'!$B$7&lt;4,0,VLOOKUP(BW5,PriorYR_FTE2!$A$3:$E$180,5))</f>
        <v>2006.5</v>
      </c>
      <c r="BX27" s="23">
        <f>IF('New Formula with HB25-1320'!$B$7&lt;4,0,VLOOKUP(BX5,PriorYR_FTE2!$A$3:$E$180,5))</f>
        <v>69</v>
      </c>
      <c r="BY27" s="23">
        <f>IF('New Formula with HB25-1320'!$B$7&lt;4,0,VLOOKUP(BY5,PriorYR_FTE2!$A$3:$E$180,5))</f>
        <v>466</v>
      </c>
      <c r="BZ27" s="23">
        <f>IF('New Formula with HB25-1320'!$B$7&lt;4,0,VLOOKUP(BZ5,PriorYR_FTE2!$A$3:$E$180,5))</f>
        <v>199</v>
      </c>
      <c r="CA27" s="23">
        <f>IF('New Formula with HB25-1320'!$B$7&lt;4,0,VLOOKUP(CA5,PriorYR_FTE2!$A$3:$E$180,5))</f>
        <v>153</v>
      </c>
      <c r="CB27" s="23">
        <f>IF('New Formula with HB25-1320'!$B$7&lt;4,0,VLOOKUP(CB5,PriorYR_FTE2!$A$3:$E$180,5))</f>
        <v>73784</v>
      </c>
      <c r="CC27" s="23">
        <f>IF('New Formula with HB25-1320'!$B$7&lt;4,0,VLOOKUP(CC5,PriorYR_FTE2!$A$3:$E$180,5))</f>
        <v>187</v>
      </c>
      <c r="CD27" s="23">
        <f>IF('New Formula with HB25-1320'!$B$7&lt;4,0,VLOOKUP(CD5,PriorYR_FTE2!$A$3:$E$180,5))</f>
        <v>32.5</v>
      </c>
      <c r="CE27" s="23">
        <f>IF('New Formula with HB25-1320'!$B$7&lt;4,0,VLOOKUP(CE5,PriorYR_FTE2!$A$3:$E$180,5))</f>
        <v>125.5</v>
      </c>
      <c r="CF27" s="23">
        <f>IF('New Formula with HB25-1320'!$B$7&lt;4,0,VLOOKUP(CF5,PriorYR_FTE2!$A$3:$E$180,5))</f>
        <v>141.5</v>
      </c>
      <c r="CG27" s="23">
        <f>IF('New Formula with HB25-1320'!$B$7&lt;4,0,VLOOKUP(CG5,PriorYR_FTE2!$A$3:$E$180,5))</f>
        <v>209</v>
      </c>
      <c r="CH27" s="23">
        <f>IF('New Formula with HB25-1320'!$B$7&lt;4,0,VLOOKUP(CH5,PriorYR_FTE2!$A$3:$E$180,5))</f>
        <v>102</v>
      </c>
      <c r="CI27" s="23">
        <f>IF('New Formula with HB25-1320'!$B$7&lt;4,0,VLOOKUP(CI5,PriorYR_FTE2!$A$3:$E$180,5))</f>
        <v>687.5</v>
      </c>
      <c r="CJ27" s="23">
        <f>IF('New Formula with HB25-1320'!$B$7&lt;4,0,VLOOKUP(CJ5,PriorYR_FTE2!$A$3:$E$180,5))</f>
        <v>910.5</v>
      </c>
      <c r="CK27" s="23">
        <f>IF('New Formula with HB25-1320'!$B$7&lt;4,0,VLOOKUP(CK5,PriorYR_FTE2!$A$3:$E$180,5))</f>
        <v>4431.5</v>
      </c>
      <c r="CL27" s="23">
        <f>IF('New Formula with HB25-1320'!$B$7&lt;4,0,VLOOKUP(CL5,PriorYR_FTE2!$A$3:$E$180,5))</f>
        <v>1311.5</v>
      </c>
      <c r="CM27" s="23">
        <f>IF('New Formula with HB25-1320'!$B$7&lt;4,0,VLOOKUP(CM5,PriorYR_FTE2!$A$3:$E$180,5))</f>
        <v>688</v>
      </c>
      <c r="CN27" s="23">
        <f>IF('New Formula with HB25-1320'!$B$7&lt;4,0,VLOOKUP(CN5,PriorYR_FTE2!$A$3:$E$180,5))</f>
        <v>28349</v>
      </c>
      <c r="CO27" s="23">
        <f>IF('New Formula with HB25-1320'!$B$7&lt;4,0,VLOOKUP(CO5,PriorYR_FTE2!$A$3:$E$180,5))</f>
        <v>14746.5</v>
      </c>
      <c r="CP27" s="23">
        <f>IF('New Formula with HB25-1320'!$B$7&lt;4,0,VLOOKUP(CP5,PriorYR_FTE2!$A$3:$E$180,5))</f>
        <v>997</v>
      </c>
      <c r="CQ27" s="23">
        <f>IF('New Formula with HB25-1320'!$B$7&lt;4,0,VLOOKUP(CQ5,PriorYR_FTE2!$A$3:$E$180,5))</f>
        <v>783.5</v>
      </c>
      <c r="CR27" s="23">
        <f>IF('New Formula with HB25-1320'!$B$7&lt;4,0,VLOOKUP(CR5,PriorYR_FTE2!$A$3:$E$180,5))</f>
        <v>214.5</v>
      </c>
      <c r="CS27" s="23">
        <f>IF('New Formula with HB25-1320'!$B$7&lt;4,0,VLOOKUP(CS5,PriorYR_FTE2!$A$3:$E$180,5))</f>
        <v>314</v>
      </c>
      <c r="CT27" s="23">
        <f>IF('New Formula with HB25-1320'!$B$7&lt;4,0,VLOOKUP(CT5,PriorYR_FTE2!$A$3:$E$180,5))</f>
        <v>101.5</v>
      </c>
      <c r="CU27" s="23">
        <f>IF('New Formula with HB25-1320'!$B$7&lt;4,0,VLOOKUP(CU5,PriorYR_FTE2!$A$3:$E$180,5))</f>
        <v>83</v>
      </c>
      <c r="CV27" s="23">
        <f>IF('New Formula with HB25-1320'!$B$7&lt;4,0,VLOOKUP(CV5,PriorYR_FTE2!$A$3:$E$180,5))</f>
        <v>28</v>
      </c>
      <c r="CW27" s="23">
        <f>IF('New Formula with HB25-1320'!$B$7&lt;4,0,VLOOKUP(CW5,PriorYR_FTE2!$A$3:$E$180,5))</f>
        <v>188.5</v>
      </c>
      <c r="CX27" s="23">
        <f>IF('New Formula with HB25-1320'!$B$7&lt;4,0,VLOOKUP(CX5,PriorYR_FTE2!$A$3:$E$180,5))</f>
        <v>454</v>
      </c>
      <c r="CY27" s="23">
        <f>IF('New Formula with HB25-1320'!$B$7&lt;4,0,VLOOKUP(CY5,PriorYR_FTE2!$A$3:$E$180,5))</f>
        <v>36.5</v>
      </c>
      <c r="CZ27" s="23">
        <f>IF('New Formula with HB25-1320'!$B$7&lt;4,0,VLOOKUP(CZ5,PriorYR_FTE2!$A$3:$E$180,5))</f>
        <v>1888</v>
      </c>
      <c r="DA27" s="23">
        <f>IF('New Formula with HB25-1320'!$B$7&lt;4,0,VLOOKUP(DA5,PriorYR_FTE2!$A$3:$E$180,5))</f>
        <v>197</v>
      </c>
      <c r="DB27" s="23">
        <f>IF('New Formula with HB25-1320'!$B$7&lt;4,0,VLOOKUP(DB5,PriorYR_FTE2!$A$3:$E$180,5))</f>
        <v>308.5</v>
      </c>
      <c r="DC27" s="23">
        <f>IF('New Formula with HB25-1320'!$B$7&lt;4,0,VLOOKUP(DC5,PriorYR_FTE2!$A$3:$E$180,5))</f>
        <v>142</v>
      </c>
      <c r="DD27" s="23">
        <f>IF('New Formula with HB25-1320'!$B$7&lt;4,0,VLOOKUP(DD5,PriorYR_FTE2!$A$3:$E$180,5))</f>
        <v>156</v>
      </c>
      <c r="DE27" s="23">
        <f>IF('New Formula with HB25-1320'!$B$7&lt;4,0,VLOOKUP(DE5,PriorYR_FTE2!$A$3:$E$180,5))</f>
        <v>287.5</v>
      </c>
      <c r="DF27" s="23">
        <f>IF('New Formula with HB25-1320'!$B$7&lt;4,0,VLOOKUP(DF5,PriorYR_FTE2!$A$3:$E$180,5))</f>
        <v>20440</v>
      </c>
      <c r="DG27" s="23">
        <f>IF('New Formula with HB25-1320'!$B$7&lt;4,0,VLOOKUP(DG5,PriorYR_FTE2!$A$3:$E$180,5))</f>
        <v>79</v>
      </c>
      <c r="DH27" s="23">
        <f>IF('New Formula with HB25-1320'!$B$7&lt;4,0,VLOOKUP(DH5,PriorYR_FTE2!$A$3:$E$180,5))</f>
        <v>1945</v>
      </c>
      <c r="DI27" s="23">
        <f>IF('New Formula with HB25-1320'!$B$7&lt;4,0,VLOOKUP(DI5,PriorYR_FTE2!$A$3:$E$180,5))</f>
        <v>2491</v>
      </c>
      <c r="DJ27" s="23">
        <f>IF('New Formula with HB25-1320'!$B$7&lt;4,0,VLOOKUP(DJ5,PriorYR_FTE2!$A$3:$E$180,5))</f>
        <v>662.5</v>
      </c>
      <c r="DK27" s="23">
        <f>IF('New Formula with HB25-1320'!$B$7&lt;4,0,VLOOKUP(DK5,PriorYR_FTE2!$A$3:$E$180,5))</f>
        <v>454</v>
      </c>
      <c r="DL27" s="23">
        <f>IF('New Formula with HB25-1320'!$B$7&lt;4,0,VLOOKUP(DL5,PriorYR_FTE2!$A$3:$E$180,5))</f>
        <v>5766</v>
      </c>
      <c r="DM27" s="23">
        <f>IF('New Formula with HB25-1320'!$B$7&lt;4,0,VLOOKUP(DM5,PriorYR_FTE2!$A$3:$E$180,5))</f>
        <v>237</v>
      </c>
      <c r="DN27" s="23">
        <f>IF('New Formula with HB25-1320'!$B$7&lt;4,0,VLOOKUP(DN5,PriorYR_FTE2!$A$3:$E$180,5))</f>
        <v>1321</v>
      </c>
      <c r="DO27" s="23">
        <f>IF('New Formula with HB25-1320'!$B$7&lt;4,0,VLOOKUP(DO5,PriorYR_FTE2!$A$3:$E$180,5))</f>
        <v>3212.5</v>
      </c>
      <c r="DP27" s="23">
        <f>IF('New Formula with HB25-1320'!$B$7&lt;4,0,VLOOKUP(DP5,PriorYR_FTE2!$A$3:$E$180,5))</f>
        <v>203.5</v>
      </c>
      <c r="DQ27" s="23">
        <f>IF('New Formula with HB25-1320'!$B$7&lt;4,0,VLOOKUP(DQ5,PriorYR_FTE2!$A$3:$E$180,5))</f>
        <v>764</v>
      </c>
      <c r="DR27" s="23">
        <f>IF('New Formula with HB25-1320'!$B$7&lt;4,0,VLOOKUP(DR5,PriorYR_FTE2!$A$3:$E$180,5))</f>
        <v>1354</v>
      </c>
      <c r="DS27" s="23">
        <f>IF('New Formula with HB25-1320'!$B$7&lt;4,0,VLOOKUP(DS5,PriorYR_FTE2!$A$3:$E$180,5))</f>
        <v>679.5</v>
      </c>
      <c r="DT27" s="23">
        <f>IF('New Formula with HB25-1320'!$B$7&lt;4,0,VLOOKUP(DT5,PriorYR_FTE2!$A$3:$E$180,5))</f>
        <v>150</v>
      </c>
      <c r="DU27" s="23">
        <f>IF('New Formula with HB25-1320'!$B$7&lt;4,0,VLOOKUP(DU5,PriorYR_FTE2!$A$3:$E$180,5))</f>
        <v>367.5</v>
      </c>
      <c r="DV27" s="23">
        <f>IF('New Formula with HB25-1320'!$B$7&lt;4,0,VLOOKUP(DV5,PriorYR_FTE2!$A$3:$E$180,5))</f>
        <v>217</v>
      </c>
      <c r="DW27" s="23">
        <f>IF('New Formula with HB25-1320'!$B$7&lt;4,0,VLOOKUP(DW5,PriorYR_FTE2!$A$3:$E$180,5))</f>
        <v>311.5</v>
      </c>
      <c r="DX27" s="23">
        <f>IF('New Formula with HB25-1320'!$B$7&lt;4,0,VLOOKUP(DX5,PriorYR_FTE2!$A$3:$E$180,5))</f>
        <v>174</v>
      </c>
      <c r="DY27" s="23">
        <f>IF('New Formula with HB25-1320'!$B$7&lt;4,0,VLOOKUP(DY5,PriorYR_FTE2!$A$3:$E$180,5))</f>
        <v>310.5</v>
      </c>
      <c r="DZ27" s="23">
        <f>IF('New Formula with HB25-1320'!$B$7&lt;4,0,VLOOKUP(DZ5,PriorYR_FTE2!$A$3:$E$180,5))</f>
        <v>759</v>
      </c>
      <c r="EA27" s="23">
        <f>IF('New Formula with HB25-1320'!$B$7&lt;4,0,VLOOKUP(EA5,PriorYR_FTE2!$A$3:$E$180,5))</f>
        <v>525.5</v>
      </c>
      <c r="EB27" s="23">
        <f>IF('New Formula with HB25-1320'!$B$7&lt;4,0,VLOOKUP(EB5,PriorYR_FTE2!$A$3:$E$180,5))</f>
        <v>582</v>
      </c>
      <c r="EC27" s="23">
        <f>IF('New Formula with HB25-1320'!$B$7&lt;4,0,VLOOKUP(EC5,PriorYR_FTE2!$A$3:$E$180,5))</f>
        <v>311</v>
      </c>
      <c r="ED27" s="23">
        <f>IF('New Formula with HB25-1320'!$B$7&lt;4,0,VLOOKUP(ED5,PriorYR_FTE2!$A$3:$E$180,5))</f>
        <v>1635.5</v>
      </c>
      <c r="EE27" s="23">
        <f>IF('New Formula with HB25-1320'!$B$7&lt;4,0,VLOOKUP(EE5,PriorYR_FTE2!$A$3:$E$180,5))</f>
        <v>181</v>
      </c>
      <c r="EF27" s="23">
        <f>IF('New Formula with HB25-1320'!$B$7&lt;4,0,VLOOKUP(EF5,PriorYR_FTE2!$A$3:$E$180,5))</f>
        <v>1471</v>
      </c>
      <c r="EG27" s="23">
        <f>IF('New Formula with HB25-1320'!$B$7&lt;4,0,VLOOKUP(EG5,PriorYR_FTE2!$A$3:$E$180,5))</f>
        <v>247</v>
      </c>
      <c r="EH27" s="23">
        <f>IF('New Formula with HB25-1320'!$B$7&lt;4,0,VLOOKUP(EH5,PriorYR_FTE2!$A$3:$E$180,5))</f>
        <v>242.5</v>
      </c>
      <c r="EI27" s="23">
        <f>IF('New Formula with HB25-1320'!$B$7&lt;4,0,VLOOKUP(EI5,PriorYR_FTE2!$A$3:$E$180,5))</f>
        <v>14421.5</v>
      </c>
      <c r="EJ27" s="23">
        <f>IF('New Formula with HB25-1320'!$B$7&lt;4,0,VLOOKUP(EJ5,PriorYR_FTE2!$A$3:$E$180,5))</f>
        <v>10062.5</v>
      </c>
      <c r="EK27" s="23">
        <f>IF('New Formula with HB25-1320'!$B$7&lt;4,0,VLOOKUP(EK5,PriorYR_FTE2!$A$3:$E$180,5))</f>
        <v>681</v>
      </c>
      <c r="EL27" s="23">
        <f>IF('New Formula with HB25-1320'!$B$7&lt;4,0,VLOOKUP(EL5,PriorYR_FTE2!$A$3:$E$180,5))</f>
        <v>468</v>
      </c>
      <c r="EM27" s="23">
        <f>IF('New Formula with HB25-1320'!$B$7&lt;4,0,VLOOKUP(EM5,PriorYR_FTE2!$A$3:$E$180,5))</f>
        <v>406</v>
      </c>
      <c r="EN27" s="23">
        <f>IF('New Formula with HB25-1320'!$B$7&lt;4,0,VLOOKUP(EN5,PriorYR_FTE2!$A$3:$E$180,5))</f>
        <v>930</v>
      </c>
      <c r="EO27" s="23">
        <f>IF('New Formula with HB25-1320'!$B$7&lt;4,0,VLOOKUP(EO5,PriorYR_FTE2!$A$3:$E$180,5))</f>
        <v>329</v>
      </c>
      <c r="EP27" s="23">
        <f>IF('New Formula with HB25-1320'!$B$7&lt;4,0,VLOOKUP(EP5,PriorYR_FTE2!$A$3:$E$180,5))</f>
        <v>398.5</v>
      </c>
      <c r="EQ27" s="23">
        <f>IF('New Formula with HB25-1320'!$B$7&lt;4,0,VLOOKUP(EQ5,PriorYR_FTE2!$A$3:$E$180,5))</f>
        <v>2589.5</v>
      </c>
      <c r="ER27" s="23">
        <f>IF('New Formula with HB25-1320'!$B$7&lt;4,0,VLOOKUP(ER5,PriorYR_FTE2!$A$3:$E$180,5))</f>
        <v>302</v>
      </c>
      <c r="ES27" s="23">
        <f>IF('New Formula with HB25-1320'!$B$7&lt;4,0,VLOOKUP(ES5,PriorYR_FTE2!$A$3:$E$180,5))</f>
        <v>145.5</v>
      </c>
      <c r="ET27" s="23">
        <f>IF('New Formula with HB25-1320'!$B$7&lt;4,0,VLOOKUP(ET5,PriorYR_FTE2!$A$3:$E$180,5))</f>
        <v>202</v>
      </c>
      <c r="EU27" s="23">
        <f>IF('New Formula with HB25-1320'!$B$7&lt;4,0,VLOOKUP(EU5,PriorYR_FTE2!$A$3:$E$180,5))</f>
        <v>582.5</v>
      </c>
      <c r="EV27" s="23">
        <f>IF('New Formula with HB25-1320'!$B$7&lt;4,0,VLOOKUP(EV5,PriorYR_FTE2!$A$3:$E$180,5))</f>
        <v>74</v>
      </c>
      <c r="EW27" s="23">
        <f>IF('New Formula with HB25-1320'!$B$7&lt;4,0,VLOOKUP(EW5,PriorYR_FTE2!$A$3:$E$180,5))</f>
        <v>879.5</v>
      </c>
      <c r="EX27" s="23">
        <f>IF('New Formula with HB25-1320'!$B$7&lt;4,0,VLOOKUP(EX5,PriorYR_FTE2!$A$3:$E$180,5))</f>
        <v>174.5</v>
      </c>
      <c r="EY27" s="23">
        <f>IF('New Formula with HB25-1320'!$B$7&lt;4,0,VLOOKUP(EY5,PriorYR_FTE2!$A$3:$E$180,5))</f>
        <v>210.5</v>
      </c>
      <c r="EZ27" s="23">
        <f>IF('New Formula with HB25-1320'!$B$7&lt;4,0,VLOOKUP(EZ5,PriorYR_FTE2!$A$3:$E$180,5))</f>
        <v>134.5</v>
      </c>
      <c r="FA27" s="23">
        <f>IF('New Formula with HB25-1320'!$B$7&lt;4,0,VLOOKUP(FA5,PriorYR_FTE2!$A$3:$E$180,5))</f>
        <v>3492</v>
      </c>
      <c r="FB27" s="23">
        <f>IF('New Formula with HB25-1320'!$B$7&lt;4,0,VLOOKUP(FB5,PriorYR_FTE2!$A$3:$E$180,5))</f>
        <v>336</v>
      </c>
      <c r="FC27" s="23">
        <f>IF('New Formula with HB25-1320'!$B$7&lt;4,0,VLOOKUP(FC5,PriorYR_FTE2!$A$3:$E$180,5))</f>
        <v>2023.5</v>
      </c>
      <c r="FD27" s="23">
        <f>IF('New Formula with HB25-1320'!$B$7&lt;4,0,VLOOKUP(FD5,PriorYR_FTE2!$A$3:$E$180,5))</f>
        <v>399.5</v>
      </c>
      <c r="FE27" s="23">
        <f>IF('New Formula with HB25-1320'!$B$7&lt;4,0,VLOOKUP(FE5,PriorYR_FTE2!$A$3:$E$180,5))</f>
        <v>86</v>
      </c>
      <c r="FF27" s="23">
        <f>IF('New Formula with HB25-1320'!$B$7&lt;4,0,VLOOKUP(FF5,PriorYR_FTE2!$A$3:$E$180,5))</f>
        <v>201</v>
      </c>
      <c r="FG27" s="23">
        <f>IF('New Formula with HB25-1320'!$B$7&lt;4,0,VLOOKUP(FG5,PriorYR_FTE2!$A$3:$E$180,5))</f>
        <v>125</v>
      </c>
      <c r="FH27" s="23">
        <f>IF('New Formula with HB25-1320'!$B$7&lt;4,0,VLOOKUP(FH5,PriorYR_FTE2!$A$3:$E$180,5))</f>
        <v>65</v>
      </c>
      <c r="FI27" s="23">
        <f>IF('New Formula with HB25-1320'!$B$7&lt;4,0,VLOOKUP(FI5,PriorYR_FTE2!$A$3:$E$180,5))</f>
        <v>1785</v>
      </c>
      <c r="FJ27" s="23">
        <f>IF('New Formula with HB25-1320'!$B$7&lt;4,0,VLOOKUP(FJ5,PriorYR_FTE2!$A$3:$E$180,5))</f>
        <v>1999.5</v>
      </c>
      <c r="FK27" s="23">
        <f>IF('New Formula with HB25-1320'!$B$7&lt;4,0,VLOOKUP(FK5,PriorYR_FTE2!$A$3:$E$180,5))</f>
        <v>2534</v>
      </c>
      <c r="FL27" s="23">
        <f>IF('New Formula with HB25-1320'!$B$7&lt;4,0,VLOOKUP(FL5,PriorYR_FTE2!$A$3:$E$180,5))</f>
        <v>7895.5</v>
      </c>
      <c r="FM27" s="23">
        <f>IF('New Formula with HB25-1320'!$B$7&lt;4,0,VLOOKUP(FM5,PriorYR_FTE2!$A$3:$E$180,5))</f>
        <v>3662</v>
      </c>
      <c r="FN27" s="23">
        <f>IF('New Formula with HB25-1320'!$B$7&lt;4,0,VLOOKUP(FN5,PriorYR_FTE2!$A$3:$E$180,5))</f>
        <v>21110.5</v>
      </c>
      <c r="FO27" s="23">
        <f>IF('New Formula with HB25-1320'!$B$7&lt;4,0,VLOOKUP(FO5,PriorYR_FTE2!$A$3:$E$180,5))</f>
        <v>1090.5</v>
      </c>
      <c r="FP27" s="23">
        <f>IF('New Formula with HB25-1320'!$B$7&lt;4,0,VLOOKUP(FP5,PriorYR_FTE2!$A$3:$E$180,5))</f>
        <v>2312.5</v>
      </c>
      <c r="FQ27" s="23">
        <f>IF('New Formula with HB25-1320'!$B$7&lt;4,0,VLOOKUP(FQ5,PriorYR_FTE2!$A$3:$E$180,5))</f>
        <v>1016.5</v>
      </c>
      <c r="FR27" s="23">
        <f>IF('New Formula with HB25-1320'!$B$7&lt;4,0,VLOOKUP(FR5,PriorYR_FTE2!$A$3:$E$180,5))</f>
        <v>179</v>
      </c>
      <c r="FS27" s="23">
        <f>IF('New Formula with HB25-1320'!$B$7&lt;4,0,VLOOKUP(FS5,PriorYR_FTE2!$A$3:$E$180,5))</f>
        <v>183</v>
      </c>
      <c r="FT27" s="23">
        <f>IF('New Formula with HB25-1320'!$B$7&lt;4,0,VLOOKUP(FT5,PriorYR_FTE2!$A$3:$E$180,5))</f>
        <v>59.5</v>
      </c>
      <c r="FU27" s="23">
        <f>IF('New Formula with HB25-1320'!$B$7&lt;4,0,VLOOKUP(FU5,PriorYR_FTE2!$A$3:$E$180,5))</f>
        <v>818.5</v>
      </c>
      <c r="FV27" s="23">
        <f>IF('New Formula with HB25-1320'!$B$7&lt;4,0,VLOOKUP(FV5,PriorYR_FTE2!$A$3:$E$180,5))</f>
        <v>700.5</v>
      </c>
      <c r="FW27" s="23">
        <f>IF('New Formula with HB25-1320'!$B$7&lt;4,0,VLOOKUP(FW5,PriorYR_FTE2!$A$3:$E$180,5))</f>
        <v>172.5</v>
      </c>
      <c r="FX27" s="23">
        <f>IF('New Formula with HB25-1320'!$B$7&lt;4,0,VLOOKUP(FX5,PriorYR_FTE2!$A$3:$E$180,5))</f>
        <v>53.5</v>
      </c>
      <c r="FY27" s="23"/>
      <c r="FZ27" s="23">
        <f t="shared" si="7"/>
        <v>801194</v>
      </c>
      <c r="GA27" s="23"/>
      <c r="GB27" s="23"/>
      <c r="GC27" s="23"/>
      <c r="GD27" s="23"/>
      <c r="GE27" s="7"/>
      <c r="GF27" s="7"/>
      <c r="GG27" s="7"/>
      <c r="GH27" s="7"/>
      <c r="GI27" s="7"/>
      <c r="GJ27" s="7"/>
      <c r="GK27" s="7"/>
    </row>
    <row r="28" spans="1:207" ht="15.5" x14ac:dyDescent="0.35">
      <c r="A28" s="92" t="s">
        <v>753</v>
      </c>
      <c r="B28" s="7" t="s">
        <v>486</v>
      </c>
      <c r="C28" s="23">
        <f>'New Formula with HB25-1320'!C27</f>
        <v>0</v>
      </c>
      <c r="D28" s="23">
        <f>'New Formula with HB25-1320'!D27</f>
        <v>268</v>
      </c>
      <c r="E28" s="23">
        <f>'New Formula with HB25-1320'!E27</f>
        <v>49</v>
      </c>
      <c r="F28" s="23">
        <f>'New Formula with HB25-1320'!F27</f>
        <v>0</v>
      </c>
      <c r="G28" s="23">
        <f>'New Formula with HB25-1320'!G27</f>
        <v>0</v>
      </c>
      <c r="H28" s="23">
        <f>'New Formula with HB25-1320'!H27</f>
        <v>0</v>
      </c>
      <c r="I28" s="23">
        <f>'New Formula with HB25-1320'!I27</f>
        <v>0</v>
      </c>
      <c r="J28" s="23">
        <f>'New Formula with HB25-1320'!J27</f>
        <v>555</v>
      </c>
      <c r="K28" s="23">
        <f>'New Formula with HB25-1320'!K27</f>
        <v>0</v>
      </c>
      <c r="L28" s="23">
        <f>'New Formula with HB25-1320'!L27</f>
        <v>0</v>
      </c>
      <c r="M28" s="23">
        <f>'New Formula with HB25-1320'!M27</f>
        <v>0</v>
      </c>
      <c r="N28" s="23">
        <f>'New Formula with HB25-1320'!N27</f>
        <v>131</v>
      </c>
      <c r="O28" s="23">
        <f>'New Formula with HB25-1320'!O27</f>
        <v>37</v>
      </c>
      <c r="P28" s="23">
        <f>'New Formula with HB25-1320'!P27</f>
        <v>0</v>
      </c>
      <c r="Q28" s="23">
        <f>'New Formula with HB25-1320'!Q27</f>
        <v>18</v>
      </c>
      <c r="R28" s="23">
        <f>'New Formula with HB25-1320'!R27</f>
        <v>0</v>
      </c>
      <c r="S28" s="23">
        <f>'New Formula with HB25-1320'!S27</f>
        <v>0</v>
      </c>
      <c r="T28" s="23">
        <f>'New Formula with HB25-1320'!T27</f>
        <v>0</v>
      </c>
      <c r="U28" s="23">
        <f>'New Formula with HB25-1320'!U27</f>
        <v>0</v>
      </c>
      <c r="V28" s="23">
        <f>'New Formula with HB25-1320'!V27</f>
        <v>0</v>
      </c>
      <c r="W28" s="23">
        <f>'New Formula with HB25-1320'!W27</f>
        <v>0</v>
      </c>
      <c r="X28" s="23">
        <f>'New Formula with HB25-1320'!X27</f>
        <v>0</v>
      </c>
      <c r="Y28" s="23">
        <f>'New Formula with HB25-1320'!Y27</f>
        <v>0</v>
      </c>
      <c r="Z28" s="23">
        <f>'New Formula with HB25-1320'!Z27</f>
        <v>0</v>
      </c>
      <c r="AA28" s="23">
        <f>'New Formula with HB25-1320'!AA27</f>
        <v>107</v>
      </c>
      <c r="AB28" s="23">
        <f>'New Formula with HB25-1320'!AB27</f>
        <v>0</v>
      </c>
      <c r="AC28" s="23">
        <f>'New Formula with HB25-1320'!AC27</f>
        <v>0</v>
      </c>
      <c r="AD28" s="23">
        <f>'New Formula with HB25-1320'!AD27</f>
        <v>0</v>
      </c>
      <c r="AE28" s="23">
        <f>'New Formula with HB25-1320'!AE27</f>
        <v>0</v>
      </c>
      <c r="AF28" s="23">
        <f>'New Formula with HB25-1320'!AF27</f>
        <v>0</v>
      </c>
      <c r="AG28" s="23">
        <f>'New Formula with HB25-1320'!AG27</f>
        <v>0</v>
      </c>
      <c r="AH28" s="23">
        <f>'New Formula with HB25-1320'!AH27</f>
        <v>28</v>
      </c>
      <c r="AI28" s="23">
        <f>'New Formula with HB25-1320'!AI27</f>
        <v>0</v>
      </c>
      <c r="AJ28" s="23">
        <f>'New Formula with HB25-1320'!AJ27</f>
        <v>0</v>
      </c>
      <c r="AK28" s="23">
        <f>'New Formula with HB25-1320'!AK27</f>
        <v>0</v>
      </c>
      <c r="AL28" s="23">
        <f>'New Formula with HB25-1320'!AL27</f>
        <v>0</v>
      </c>
      <c r="AM28" s="23">
        <f>'New Formula with HB25-1320'!AM27</f>
        <v>0</v>
      </c>
      <c r="AN28" s="23">
        <f>'New Formula with HB25-1320'!AN27</f>
        <v>0</v>
      </c>
      <c r="AO28" s="23">
        <f>'New Formula with HB25-1320'!AO27</f>
        <v>6</v>
      </c>
      <c r="AP28" s="23">
        <f>'New Formula with HB25-1320'!AP27</f>
        <v>0</v>
      </c>
      <c r="AQ28" s="23">
        <f>'New Formula with HB25-1320'!AQ27</f>
        <v>0</v>
      </c>
      <c r="AR28" s="23">
        <f>'New Formula with HB25-1320'!AR27</f>
        <v>84.5</v>
      </c>
      <c r="AS28" s="23">
        <f>'New Formula with HB25-1320'!AS27</f>
        <v>71.5</v>
      </c>
      <c r="AT28" s="23">
        <f>'New Formula with HB25-1320'!AT27</f>
        <v>0</v>
      </c>
      <c r="AU28" s="23">
        <f>'New Formula with HB25-1320'!AU27</f>
        <v>0</v>
      </c>
      <c r="AV28" s="23">
        <f>'New Formula with HB25-1320'!AV27</f>
        <v>0</v>
      </c>
      <c r="AW28" s="23">
        <f>'New Formula with HB25-1320'!AW27</f>
        <v>0</v>
      </c>
      <c r="AX28" s="23">
        <f>'New Formula with HB25-1320'!AX27</f>
        <v>0</v>
      </c>
      <c r="AY28" s="23">
        <f>'New Formula with HB25-1320'!AY27</f>
        <v>0</v>
      </c>
      <c r="AZ28" s="23">
        <f>'New Formula with HB25-1320'!AZ27</f>
        <v>0</v>
      </c>
      <c r="BA28" s="23">
        <f>'New Formula with HB25-1320'!BA27</f>
        <v>7.5</v>
      </c>
      <c r="BB28" s="23">
        <f>'New Formula with HB25-1320'!BB27</f>
        <v>0</v>
      </c>
      <c r="BC28" s="23">
        <f>'New Formula with HB25-1320'!BC27</f>
        <v>22</v>
      </c>
      <c r="BD28" s="23">
        <f>'New Formula with HB25-1320'!BD27</f>
        <v>0</v>
      </c>
      <c r="BE28" s="23">
        <f>'New Formula with HB25-1320'!BE27</f>
        <v>0</v>
      </c>
      <c r="BF28" s="23">
        <f>'New Formula with HB25-1320'!BF27</f>
        <v>0</v>
      </c>
      <c r="BG28" s="23">
        <f>'New Formula with HB25-1320'!BG27</f>
        <v>0</v>
      </c>
      <c r="BH28" s="23">
        <f>'New Formula with HB25-1320'!BH27</f>
        <v>0</v>
      </c>
      <c r="BI28" s="23">
        <f>'New Formula with HB25-1320'!BI27</f>
        <v>0</v>
      </c>
      <c r="BJ28" s="23">
        <f>'New Formula with HB25-1320'!BJ27</f>
        <v>590.5</v>
      </c>
      <c r="BK28" s="23">
        <f>'New Formula with HB25-1320'!BK27</f>
        <v>0</v>
      </c>
      <c r="BL28" s="23">
        <f>'New Formula with HB25-1320'!BL27</f>
        <v>0</v>
      </c>
      <c r="BM28" s="23">
        <f>'New Formula with HB25-1320'!BM27</f>
        <v>0</v>
      </c>
      <c r="BN28" s="23">
        <f>'New Formula with HB25-1320'!BN27</f>
        <v>0</v>
      </c>
      <c r="BO28" s="23">
        <f>'New Formula with HB25-1320'!BO27</f>
        <v>0</v>
      </c>
      <c r="BP28" s="23">
        <f>'New Formula with HB25-1320'!BP27</f>
        <v>0</v>
      </c>
      <c r="BQ28" s="23">
        <f>'New Formula with HB25-1320'!BQ27</f>
        <v>0</v>
      </c>
      <c r="BR28" s="23">
        <f>'New Formula with HB25-1320'!BR27</f>
        <v>0</v>
      </c>
      <c r="BS28" s="23">
        <f>'New Formula with HB25-1320'!BS27</f>
        <v>0</v>
      </c>
      <c r="BT28" s="23">
        <f>'New Formula with HB25-1320'!BT27</f>
        <v>0</v>
      </c>
      <c r="BU28" s="23">
        <f>'New Formula with HB25-1320'!BU27</f>
        <v>0</v>
      </c>
      <c r="BV28" s="23">
        <f>'New Formula with HB25-1320'!BV27</f>
        <v>0</v>
      </c>
      <c r="BW28" s="23">
        <f>'New Formula with HB25-1320'!BW27</f>
        <v>0</v>
      </c>
      <c r="BX28" s="23">
        <f>'New Formula with HB25-1320'!BX27</f>
        <v>0</v>
      </c>
      <c r="BY28" s="23">
        <f>'New Formula with HB25-1320'!BY27</f>
        <v>0</v>
      </c>
      <c r="BZ28" s="23">
        <f>'New Formula with HB25-1320'!BZ27</f>
        <v>0</v>
      </c>
      <c r="CA28" s="23">
        <f>'New Formula with HB25-1320'!CA27</f>
        <v>0</v>
      </c>
      <c r="CB28" s="23">
        <f>'New Formula with HB25-1320'!CB27</f>
        <v>34</v>
      </c>
      <c r="CC28" s="23">
        <f>'New Formula with HB25-1320'!CC27</f>
        <v>0</v>
      </c>
      <c r="CD28" s="23">
        <f>'New Formula with HB25-1320'!CD27</f>
        <v>0</v>
      </c>
      <c r="CE28" s="23">
        <f>'New Formula with HB25-1320'!CE27</f>
        <v>0</v>
      </c>
      <c r="CF28" s="23">
        <f>'New Formula with HB25-1320'!CF27</f>
        <v>0</v>
      </c>
      <c r="CG28" s="23">
        <f>'New Formula with HB25-1320'!CG27</f>
        <v>0</v>
      </c>
      <c r="CH28" s="23">
        <f>'New Formula with HB25-1320'!CH27</f>
        <v>0</v>
      </c>
      <c r="CI28" s="23">
        <f>'New Formula with HB25-1320'!CI27</f>
        <v>0</v>
      </c>
      <c r="CJ28" s="23">
        <f>'New Formula with HB25-1320'!CJ27</f>
        <v>0</v>
      </c>
      <c r="CK28" s="23">
        <f>'New Formula with HB25-1320'!CK27</f>
        <v>0</v>
      </c>
      <c r="CL28" s="23">
        <f>'New Formula with HB25-1320'!CL27</f>
        <v>0</v>
      </c>
      <c r="CM28" s="23">
        <f>'New Formula with HB25-1320'!CM27</f>
        <v>0</v>
      </c>
      <c r="CN28" s="23">
        <f>'New Formula with HB25-1320'!CN27</f>
        <v>0</v>
      </c>
      <c r="CO28" s="23">
        <f>'New Formula with HB25-1320'!CO27</f>
        <v>8</v>
      </c>
      <c r="CP28" s="23">
        <f>'New Formula with HB25-1320'!CP27</f>
        <v>0</v>
      </c>
      <c r="CQ28" s="23">
        <f>'New Formula with HB25-1320'!CQ27</f>
        <v>0</v>
      </c>
      <c r="CR28" s="23">
        <f>'New Formula with HB25-1320'!CR27</f>
        <v>0</v>
      </c>
      <c r="CS28" s="23">
        <f>'New Formula with HB25-1320'!CS27</f>
        <v>0</v>
      </c>
      <c r="CT28" s="23">
        <f>'New Formula with HB25-1320'!CT27</f>
        <v>0</v>
      </c>
      <c r="CU28" s="23">
        <f>'New Formula with HB25-1320'!CU27</f>
        <v>0</v>
      </c>
      <c r="CV28" s="23">
        <f>'New Formula with HB25-1320'!CV27</f>
        <v>0</v>
      </c>
      <c r="CW28" s="23">
        <f>'New Formula with HB25-1320'!CW27</f>
        <v>0</v>
      </c>
      <c r="CX28" s="23">
        <f>'New Formula with HB25-1320'!CX27</f>
        <v>0</v>
      </c>
      <c r="CY28" s="23">
        <f>'New Formula with HB25-1320'!CY27</f>
        <v>0</v>
      </c>
      <c r="CZ28" s="23">
        <f>'New Formula with HB25-1320'!CZ27</f>
        <v>0</v>
      </c>
      <c r="DA28" s="23">
        <f>'New Formula with HB25-1320'!DA27</f>
        <v>0</v>
      </c>
      <c r="DB28" s="23">
        <f>'New Formula with HB25-1320'!DB27</f>
        <v>0</v>
      </c>
      <c r="DC28" s="23">
        <f>'New Formula with HB25-1320'!DC27</f>
        <v>0</v>
      </c>
      <c r="DD28" s="23">
        <f>'New Formula with HB25-1320'!DD27</f>
        <v>0</v>
      </c>
      <c r="DE28" s="23">
        <f>'New Formula with HB25-1320'!DE27</f>
        <v>0</v>
      </c>
      <c r="DF28" s="23">
        <f>'New Formula with HB25-1320'!DF27</f>
        <v>307</v>
      </c>
      <c r="DG28" s="23">
        <f>'New Formula with HB25-1320'!DG27</f>
        <v>0</v>
      </c>
      <c r="DH28" s="23">
        <f>'New Formula with HB25-1320'!DH27</f>
        <v>0</v>
      </c>
      <c r="DI28" s="23">
        <f>'New Formula with HB25-1320'!DI27</f>
        <v>0</v>
      </c>
      <c r="DJ28" s="23">
        <f>'New Formula with HB25-1320'!DJ27</f>
        <v>0</v>
      </c>
      <c r="DK28" s="23">
        <f>'New Formula with HB25-1320'!DK27</f>
        <v>0</v>
      </c>
      <c r="DL28" s="23">
        <f>'New Formula with HB25-1320'!DL27</f>
        <v>192</v>
      </c>
      <c r="DM28" s="23">
        <f>'New Formula with HB25-1320'!DM27</f>
        <v>0</v>
      </c>
      <c r="DN28" s="23">
        <f>'New Formula with HB25-1320'!DN27</f>
        <v>0</v>
      </c>
      <c r="DO28" s="23">
        <f>'New Formula with HB25-1320'!DO27</f>
        <v>0</v>
      </c>
      <c r="DP28" s="23">
        <f>'New Formula with HB25-1320'!DP27</f>
        <v>0</v>
      </c>
      <c r="DQ28" s="23">
        <f>'New Formula with HB25-1320'!DQ27</f>
        <v>0</v>
      </c>
      <c r="DR28" s="23">
        <f>'New Formula with HB25-1320'!DR27</f>
        <v>0</v>
      </c>
      <c r="DS28" s="23">
        <f>'New Formula with HB25-1320'!DS27</f>
        <v>0</v>
      </c>
      <c r="DT28" s="23">
        <f>'New Formula with HB25-1320'!DT27</f>
        <v>0</v>
      </c>
      <c r="DU28" s="23">
        <f>'New Formula with HB25-1320'!DU27</f>
        <v>0</v>
      </c>
      <c r="DV28" s="23">
        <f>'New Formula with HB25-1320'!DV27</f>
        <v>0</v>
      </c>
      <c r="DW28" s="23">
        <f>'New Formula with HB25-1320'!DW27</f>
        <v>0</v>
      </c>
      <c r="DX28" s="23">
        <f>'New Formula with HB25-1320'!DX27</f>
        <v>0</v>
      </c>
      <c r="DY28" s="23">
        <f>'New Formula with HB25-1320'!DY27</f>
        <v>0</v>
      </c>
      <c r="DZ28" s="23">
        <f>'New Formula with HB25-1320'!DZ27</f>
        <v>0</v>
      </c>
      <c r="EA28" s="23">
        <f>'New Formula with HB25-1320'!EA27</f>
        <v>0</v>
      </c>
      <c r="EB28" s="23">
        <f>'New Formula with HB25-1320'!EB27</f>
        <v>32</v>
      </c>
      <c r="EC28" s="23">
        <f>'New Formula with HB25-1320'!EC27</f>
        <v>0</v>
      </c>
      <c r="ED28" s="23">
        <f>'New Formula with HB25-1320'!ED27</f>
        <v>0</v>
      </c>
      <c r="EE28" s="23">
        <f>'New Formula with HB25-1320'!EE27</f>
        <v>0</v>
      </c>
      <c r="EF28" s="23">
        <f>'New Formula with HB25-1320'!EF27</f>
        <v>0</v>
      </c>
      <c r="EG28" s="23">
        <f>'New Formula with HB25-1320'!EG27</f>
        <v>0</v>
      </c>
      <c r="EH28" s="23">
        <f>'New Formula with HB25-1320'!EH27</f>
        <v>0</v>
      </c>
      <c r="EI28" s="23">
        <f>'New Formula with HB25-1320'!EI27</f>
        <v>272</v>
      </c>
      <c r="EJ28" s="23">
        <f>'New Formula with HB25-1320'!EJ27</f>
        <v>0</v>
      </c>
      <c r="EK28" s="23">
        <f>'New Formula with HB25-1320'!EK27</f>
        <v>0</v>
      </c>
      <c r="EL28" s="23">
        <f>'New Formula with HB25-1320'!EL27</f>
        <v>0</v>
      </c>
      <c r="EM28" s="23">
        <f>'New Formula with HB25-1320'!EM27</f>
        <v>0</v>
      </c>
      <c r="EN28" s="23">
        <f>'New Formula with HB25-1320'!EN27</f>
        <v>0</v>
      </c>
      <c r="EO28" s="23">
        <f>'New Formula with HB25-1320'!EO27</f>
        <v>0</v>
      </c>
      <c r="EP28" s="23">
        <f>'New Formula with HB25-1320'!EP27</f>
        <v>0</v>
      </c>
      <c r="EQ28" s="23">
        <f>'New Formula with HB25-1320'!EQ27</f>
        <v>0</v>
      </c>
      <c r="ER28" s="23">
        <f>'New Formula with HB25-1320'!ER27</f>
        <v>0</v>
      </c>
      <c r="ES28" s="23">
        <f>'New Formula with HB25-1320'!ES27</f>
        <v>0</v>
      </c>
      <c r="ET28" s="23">
        <f>'New Formula with HB25-1320'!ET27</f>
        <v>0</v>
      </c>
      <c r="EU28" s="23">
        <f>'New Formula with HB25-1320'!EU27</f>
        <v>13</v>
      </c>
      <c r="EV28" s="23">
        <f>'New Formula with HB25-1320'!EV27</f>
        <v>0</v>
      </c>
      <c r="EW28" s="23">
        <f>'New Formula with HB25-1320'!EW27</f>
        <v>0</v>
      </c>
      <c r="EX28" s="23">
        <f>'New Formula with HB25-1320'!EX27</f>
        <v>0</v>
      </c>
      <c r="EY28" s="23">
        <f>'New Formula with HB25-1320'!EY27</f>
        <v>0</v>
      </c>
      <c r="EZ28" s="23">
        <f>'New Formula with HB25-1320'!EZ27</f>
        <v>0</v>
      </c>
      <c r="FA28" s="23">
        <f>'New Formula with HB25-1320'!FA27</f>
        <v>0</v>
      </c>
      <c r="FB28" s="23">
        <f>'New Formula with HB25-1320'!FB27</f>
        <v>0</v>
      </c>
      <c r="FC28" s="23">
        <f>'New Formula with HB25-1320'!FC27</f>
        <v>19</v>
      </c>
      <c r="FD28" s="23">
        <f>'New Formula with HB25-1320'!FD27</f>
        <v>0</v>
      </c>
      <c r="FE28" s="23">
        <f>'New Formula with HB25-1320'!FE27</f>
        <v>0</v>
      </c>
      <c r="FF28" s="23">
        <f>'New Formula with HB25-1320'!FF27</f>
        <v>0</v>
      </c>
      <c r="FG28" s="23">
        <f>'New Formula with HB25-1320'!FG27</f>
        <v>0</v>
      </c>
      <c r="FH28" s="23">
        <f>'New Formula with HB25-1320'!FH27</f>
        <v>0</v>
      </c>
      <c r="FI28" s="23">
        <f>'New Formula with HB25-1320'!FI27</f>
        <v>8</v>
      </c>
      <c r="FJ28" s="23">
        <f>'New Formula with HB25-1320'!FJ27</f>
        <v>0</v>
      </c>
      <c r="FK28" s="23">
        <f>'New Formula with HB25-1320'!FK27</f>
        <v>0</v>
      </c>
      <c r="FL28" s="23">
        <f>'New Formula with HB25-1320'!FL27</f>
        <v>600.5</v>
      </c>
      <c r="FM28" s="23">
        <f>'New Formula with HB25-1320'!FM27</f>
        <v>88</v>
      </c>
      <c r="FN28" s="23">
        <f>'New Formula with HB25-1320'!FN27</f>
        <v>0</v>
      </c>
      <c r="FO28" s="23">
        <f>'New Formula with HB25-1320'!FO27</f>
        <v>0</v>
      </c>
      <c r="FP28" s="23">
        <f>'New Formula with HB25-1320'!FP27</f>
        <v>0</v>
      </c>
      <c r="FQ28" s="23">
        <f>'New Formula with HB25-1320'!FQ27</f>
        <v>0</v>
      </c>
      <c r="FR28" s="23">
        <f>'New Formula with HB25-1320'!FR27</f>
        <v>0</v>
      </c>
      <c r="FS28" s="23">
        <f>'New Formula with HB25-1320'!FS27</f>
        <v>0</v>
      </c>
      <c r="FT28" s="23">
        <f>'New Formula with HB25-1320'!FT27</f>
        <v>0</v>
      </c>
      <c r="FU28" s="23">
        <f>'New Formula with HB25-1320'!FU27</f>
        <v>0</v>
      </c>
      <c r="FV28" s="23">
        <f>'New Formula with HB25-1320'!FV27</f>
        <v>0</v>
      </c>
      <c r="FW28" s="23">
        <f>'New Formula with HB25-1320'!FW27</f>
        <v>0</v>
      </c>
      <c r="FX28" s="23">
        <f>'New Formula with HB25-1320'!FX27</f>
        <v>0</v>
      </c>
      <c r="FY28" s="23"/>
      <c r="FZ28" s="23">
        <f t="shared" si="7"/>
        <v>3548.5</v>
      </c>
      <c r="GA28" s="23"/>
      <c r="GB28" s="23"/>
      <c r="GC28" s="23"/>
      <c r="GD28" s="23"/>
      <c r="GE28" s="7"/>
      <c r="GF28" s="7"/>
      <c r="GG28" s="7"/>
      <c r="GH28" s="7"/>
      <c r="GI28" s="7"/>
      <c r="GJ28" s="7"/>
      <c r="GK28" s="7"/>
    </row>
    <row r="29" spans="1:207" ht="15.5" x14ac:dyDescent="0.35">
      <c r="A29" s="12" t="s">
        <v>481</v>
      </c>
      <c r="B29" s="7" t="s">
        <v>488</v>
      </c>
      <c r="C29" s="23">
        <f>IF(C5=DistCalc!$C$4,DistCalc!$D28,'New Formula with HB25-1320'!C28)</f>
        <v>1359</v>
      </c>
      <c r="D29" s="23">
        <f>IF(D5=DistCalc!$C$4,DistCalc!$D28,'New Formula with HB25-1320'!D28)</f>
        <v>4465</v>
      </c>
      <c r="E29" s="23">
        <f>IF(E5=DistCalc!$C$4,DistCalc!$D28,'New Formula with HB25-1320'!E28)</f>
        <v>1525</v>
      </c>
      <c r="F29" s="23">
        <f>IF(F5=DistCalc!$C$4,DistCalc!$D28,'New Formula with HB25-1320'!F28)</f>
        <v>2508</v>
      </c>
      <c r="G29" s="23">
        <f>IF(G5=DistCalc!$C$4,DistCalc!$D28,'New Formula with HB25-1320'!G28)</f>
        <v>207</v>
      </c>
      <c r="H29" s="23">
        <f>IF(H5=DistCalc!$C$4,DistCalc!$D28,'New Formula with HB25-1320'!H28)</f>
        <v>69</v>
      </c>
      <c r="I29" s="23">
        <f>IF(I5=DistCalc!$C$4,DistCalc!$D28,'New Formula with HB25-1320'!I28)</f>
        <v>1835</v>
      </c>
      <c r="J29" s="23">
        <f>IF(J5=DistCalc!$C$4,DistCalc!$D28,'New Formula with HB25-1320'!J28)</f>
        <v>185</v>
      </c>
      <c r="K29" s="23">
        <f>IF(K5=DistCalc!$C$4,DistCalc!$D28,'New Formula with HB25-1320'!K28)</f>
        <v>3</v>
      </c>
      <c r="L29" s="23">
        <f>IF(L5=DistCalc!$C$4,DistCalc!$D28,'New Formula with HB25-1320'!L28)</f>
        <v>184</v>
      </c>
      <c r="M29" s="23">
        <f>IF(M5=DistCalc!$C$4,DistCalc!$D28,'New Formula with HB25-1320'!M28)</f>
        <v>187</v>
      </c>
      <c r="N29" s="23">
        <f>IF(N5=DistCalc!$C$4,DistCalc!$D28,'New Formula with HB25-1320'!N28)</f>
        <v>5452</v>
      </c>
      <c r="O29" s="23">
        <f>IF(O5=DistCalc!$C$4,DistCalc!$D28,'New Formula with HB25-1320'!O28)</f>
        <v>401</v>
      </c>
      <c r="P29" s="23">
        <f>IF(P5=DistCalc!$C$4,DistCalc!$D28,'New Formula with HB25-1320'!P28)</f>
        <v>31</v>
      </c>
      <c r="Q29" s="23">
        <f>IF(Q5=DistCalc!$C$4,DistCalc!$D28,'New Formula with HB25-1320'!Q28)</f>
        <v>11916</v>
      </c>
      <c r="R29" s="23">
        <f>IF(R5=DistCalc!$C$4,DistCalc!$D28,'New Formula with HB25-1320'!R28)</f>
        <v>108</v>
      </c>
      <c r="S29" s="23">
        <f>IF(S5=DistCalc!$C$4,DistCalc!$D28,'New Formula with HB25-1320'!S28)</f>
        <v>50</v>
      </c>
      <c r="T29" s="23">
        <f>IF(T5=DistCalc!$C$4,DistCalc!$D28,'New Formula with HB25-1320'!T28)</f>
        <v>0</v>
      </c>
      <c r="U29" s="23">
        <f>IF(U5=DistCalc!$C$4,DistCalc!$D28,'New Formula with HB25-1320'!U28)</f>
        <v>0</v>
      </c>
      <c r="V29" s="23">
        <f>IF(V5=DistCalc!$C$4,DistCalc!$D28,'New Formula with HB25-1320'!V28)</f>
        <v>0</v>
      </c>
      <c r="W29" s="23">
        <f>IF(W5=DistCalc!$C$4,DistCalc!$D28,'New Formula with HB25-1320'!W28)</f>
        <v>0</v>
      </c>
      <c r="X29" s="23">
        <f>IF(X5=DistCalc!$C$4,DistCalc!$D28,'New Formula with HB25-1320'!X28)</f>
        <v>0</v>
      </c>
      <c r="Y29" s="23">
        <f>IF(Y5=DistCalc!$C$4,DistCalc!$D28,'New Formula with HB25-1320'!Y28)</f>
        <v>4</v>
      </c>
      <c r="Z29" s="23">
        <f>IF(Z5=DistCalc!$C$4,DistCalc!$D28,'New Formula with HB25-1320'!Z28)</f>
        <v>4</v>
      </c>
      <c r="AA29" s="23">
        <f>IF(AA5=DistCalc!$C$4,DistCalc!$D28,'New Formula with HB25-1320'!AA28)</f>
        <v>2041</v>
      </c>
      <c r="AB29" s="23">
        <f>IF(AB5=DistCalc!$C$4,DistCalc!$D28,'New Formula with HB25-1320'!AB28)</f>
        <v>1565</v>
      </c>
      <c r="AC29" s="23">
        <f>IF(AC5=DistCalc!$C$4,DistCalc!$D28,'New Formula with HB25-1320'!AC28)</f>
        <v>32</v>
      </c>
      <c r="AD29" s="23">
        <f>IF(AD5=DistCalc!$C$4,DistCalc!$D28,'New Formula with HB25-1320'!AD28)</f>
        <v>35</v>
      </c>
      <c r="AE29" s="23">
        <f>IF(AE5=DistCalc!$C$4,DistCalc!$D28,'New Formula with HB25-1320'!AE28)</f>
        <v>3</v>
      </c>
      <c r="AF29" s="23">
        <f>IF(AF5=DistCalc!$C$4,DistCalc!$D28,'New Formula with HB25-1320'!AF28)</f>
        <v>6</v>
      </c>
      <c r="AG29" s="23">
        <f>IF(AG5=DistCalc!$C$4,DistCalc!$D28,'New Formula with HB25-1320'!AG28)</f>
        <v>12</v>
      </c>
      <c r="AH29" s="23">
        <f>IF(AH5=DistCalc!$C$4,DistCalc!$D28,'New Formula with HB25-1320'!AH28)</f>
        <v>0</v>
      </c>
      <c r="AI29" s="23">
        <f>IF(AI5=DistCalc!$C$4,DistCalc!$D28,'New Formula with HB25-1320'!AI28)</f>
        <v>3</v>
      </c>
      <c r="AJ29" s="23">
        <f>IF(AJ5=DistCalc!$C$4,DistCalc!$D28,'New Formula with HB25-1320'!AJ28)</f>
        <v>2</v>
      </c>
      <c r="AK29" s="23">
        <f>IF(AK5=DistCalc!$C$4,DistCalc!$D28,'New Formula with HB25-1320'!AK28)</f>
        <v>1</v>
      </c>
      <c r="AL29" s="23">
        <f>IF(AL5=DistCalc!$C$4,DistCalc!$D28,'New Formula with HB25-1320'!AL28)</f>
        <v>21</v>
      </c>
      <c r="AM29" s="23">
        <f>IF(AM5=DistCalc!$C$4,DistCalc!$D28,'New Formula with HB25-1320'!AM28)</f>
        <v>1</v>
      </c>
      <c r="AN29" s="23">
        <f>IF(AN5=DistCalc!$C$4,DistCalc!$D28,'New Formula with HB25-1320'!AN28)</f>
        <v>0</v>
      </c>
      <c r="AO29" s="23">
        <f>IF(AO5=DistCalc!$C$4,DistCalc!$D28,'New Formula with HB25-1320'!AO28)</f>
        <v>117</v>
      </c>
      <c r="AP29" s="23">
        <f>IF(AP5=DistCalc!$C$4,DistCalc!$D28,'New Formula with HB25-1320'!AP28)</f>
        <v>16832</v>
      </c>
      <c r="AQ29" s="23">
        <f>IF(AQ5=DistCalc!$C$4,DistCalc!$D28,'New Formula with HB25-1320'!AQ28)</f>
        <v>0</v>
      </c>
      <c r="AR29" s="23">
        <f>IF(AR5=DistCalc!$C$4,DistCalc!$D28,'New Formula with HB25-1320'!AR28)</f>
        <v>1715</v>
      </c>
      <c r="AS29" s="23">
        <f>IF(AS5=DistCalc!$C$4,DistCalc!$D28,'New Formula with HB25-1320'!AS28)</f>
        <v>1141</v>
      </c>
      <c r="AT29" s="23">
        <f>IF(AT5=DistCalc!$C$4,DistCalc!$D28,'New Formula with HB25-1320'!AT28)</f>
        <v>32</v>
      </c>
      <c r="AU29" s="23">
        <f>IF(AU5=DistCalc!$C$4,DistCalc!$D28,'New Formula with HB25-1320'!AU28)</f>
        <v>4</v>
      </c>
      <c r="AV29" s="23">
        <f>IF(AV5=DistCalc!$C$4,DistCalc!$D28,'New Formula with HB25-1320'!AV28)</f>
        <v>3</v>
      </c>
      <c r="AW29" s="23">
        <f>IF(AW5=DistCalc!$C$4,DistCalc!$D28,'New Formula with HB25-1320'!AW28)</f>
        <v>1</v>
      </c>
      <c r="AX29" s="23">
        <f>IF(AX5=DistCalc!$C$4,DistCalc!$D28,'New Formula with HB25-1320'!AX28)</f>
        <v>5</v>
      </c>
      <c r="AY29" s="23">
        <f>IF(AY5=DistCalc!$C$4,DistCalc!$D28,'New Formula with HB25-1320'!AY28)</f>
        <v>5</v>
      </c>
      <c r="AZ29" s="23">
        <f>IF(AZ5=DistCalc!$C$4,DistCalc!$D28,'New Formula with HB25-1320'!AZ28)</f>
        <v>1133</v>
      </c>
      <c r="BA29" s="23">
        <f>IF(BA5=DistCalc!$C$4,DistCalc!$D28,'New Formula with HB25-1320'!BA28)</f>
        <v>201</v>
      </c>
      <c r="BB29" s="23">
        <f>IF(BB5=DistCalc!$C$4,DistCalc!$D28,'New Formula with HB25-1320'!BB28)</f>
        <v>184</v>
      </c>
      <c r="BC29" s="23">
        <f>IF(BC5=DistCalc!$C$4,DistCalc!$D28,'New Formula with HB25-1320'!BC28)</f>
        <v>1622</v>
      </c>
      <c r="BD29" s="23">
        <f>IF(BD5=DistCalc!$C$4,DistCalc!$D28,'New Formula with HB25-1320'!BD28)</f>
        <v>53</v>
      </c>
      <c r="BE29" s="23">
        <f>IF(BE5=DistCalc!$C$4,DistCalc!$D28,'New Formula with HB25-1320'!BE28)</f>
        <v>3</v>
      </c>
      <c r="BF29" s="23">
        <f>IF(BF5=DistCalc!$C$4,DistCalc!$D28,'New Formula with HB25-1320'!BF28)</f>
        <v>448</v>
      </c>
      <c r="BG29" s="23">
        <f>IF(BG5=DistCalc!$C$4,DistCalc!$D28,'New Formula with HB25-1320'!BG28)</f>
        <v>78</v>
      </c>
      <c r="BH29" s="23">
        <f>IF(BH5=DistCalc!$C$4,DistCalc!$D28,'New Formula with HB25-1320'!BH28)</f>
        <v>6</v>
      </c>
      <c r="BI29" s="23">
        <f>IF(BI5=DistCalc!$C$4,DistCalc!$D28,'New Formula with HB25-1320'!BI28)</f>
        <v>15</v>
      </c>
      <c r="BJ29" s="23">
        <f>IF(BJ5=DistCalc!$C$4,DistCalc!$D28,'New Formula with HB25-1320'!BJ28)</f>
        <v>68</v>
      </c>
      <c r="BK29" s="23">
        <f>IF(BK5=DistCalc!$C$4,DistCalc!$D28,'New Formula with HB25-1320'!BK28)</f>
        <v>681</v>
      </c>
      <c r="BL29" s="23">
        <f>IF(BL5=DistCalc!$C$4,DistCalc!$D28,'New Formula with HB25-1320'!BL28)</f>
        <v>1</v>
      </c>
      <c r="BM29" s="23">
        <f>IF(BM5=DistCalc!$C$4,DistCalc!$D28,'New Formula with HB25-1320'!BM28)</f>
        <v>11</v>
      </c>
      <c r="BN29" s="23">
        <f>IF(BN5=DistCalc!$C$4,DistCalc!$D28,'New Formula with HB25-1320'!BN28)</f>
        <v>11</v>
      </c>
      <c r="BO29" s="23">
        <f>IF(BO5=DistCalc!$C$4,DistCalc!$D28,'New Formula with HB25-1320'!BO28)</f>
        <v>9</v>
      </c>
      <c r="BP29" s="23">
        <f>IF(BP5=DistCalc!$C$4,DistCalc!$D28,'New Formula with HB25-1320'!BP28)</f>
        <v>1</v>
      </c>
      <c r="BQ29" s="23">
        <f>IF(BQ5=DistCalc!$C$4,DistCalc!$D28,'New Formula with HB25-1320'!BQ28)</f>
        <v>1133</v>
      </c>
      <c r="BR29" s="23">
        <f>IF(BR5=DistCalc!$C$4,DistCalc!$D28,'New Formula with HB25-1320'!BR28)</f>
        <v>764</v>
      </c>
      <c r="BS29" s="23">
        <f>IF(BS5=DistCalc!$C$4,DistCalc!$D28,'New Formula with HB25-1320'!BS28)</f>
        <v>207</v>
      </c>
      <c r="BT29" s="23">
        <f>IF(BT5=DistCalc!$C$4,DistCalc!$D28,'New Formula with HB25-1320'!BT28)</f>
        <v>2</v>
      </c>
      <c r="BU29" s="23">
        <f>IF(BU5=DistCalc!$C$4,DistCalc!$D28,'New Formula with HB25-1320'!BU28)</f>
        <v>42</v>
      </c>
      <c r="BV29" s="23">
        <f>IF(BV5=DistCalc!$C$4,DistCalc!$D28,'New Formula with HB25-1320'!BV28)</f>
        <v>85</v>
      </c>
      <c r="BW29" s="23">
        <f>IF(BW5=DistCalc!$C$4,DistCalc!$D28,'New Formula with HB25-1320'!BW28)</f>
        <v>214</v>
      </c>
      <c r="BX29" s="23">
        <f>IF(BX5=DistCalc!$C$4,DistCalc!$D28,'New Formula with HB25-1320'!BX28)</f>
        <v>0</v>
      </c>
      <c r="BY29" s="23">
        <f>IF(BY5=DistCalc!$C$4,DistCalc!$D28,'New Formula with HB25-1320'!BY28)</f>
        <v>0</v>
      </c>
      <c r="BZ29" s="23">
        <f>IF(BZ5=DistCalc!$C$4,DistCalc!$D28,'New Formula with HB25-1320'!BZ28)</f>
        <v>0</v>
      </c>
      <c r="CA29" s="23">
        <f>IF(CA5=DistCalc!$C$4,DistCalc!$D28,'New Formula with HB25-1320'!CA28)</f>
        <v>5</v>
      </c>
      <c r="CB29" s="23">
        <f>IF(CB5=DistCalc!$C$4,DistCalc!$D28,'New Formula with HB25-1320'!CB28)</f>
        <v>2880</v>
      </c>
      <c r="CC29" s="23">
        <f>IF(CC5=DistCalc!$C$4,DistCalc!$D28,'New Formula with HB25-1320'!CC28)</f>
        <v>0</v>
      </c>
      <c r="CD29" s="23">
        <f>IF(CD5=DistCalc!$C$4,DistCalc!$D28,'New Formula with HB25-1320'!CD28)</f>
        <v>1</v>
      </c>
      <c r="CE29" s="23">
        <f>IF(CE5=DistCalc!$C$4,DistCalc!$D28,'New Formula with HB25-1320'!CE28)</f>
        <v>0</v>
      </c>
      <c r="CF29" s="23">
        <f>IF(CF5=DistCalc!$C$4,DistCalc!$D28,'New Formula with HB25-1320'!CF28)</f>
        <v>0</v>
      </c>
      <c r="CG29" s="23">
        <f>IF(CG5=DistCalc!$C$4,DistCalc!$D28,'New Formula with HB25-1320'!CG28)</f>
        <v>11</v>
      </c>
      <c r="CH29" s="23">
        <f>IF(CH5=DistCalc!$C$4,DistCalc!$D28,'New Formula with HB25-1320'!CH28)</f>
        <v>6</v>
      </c>
      <c r="CI29" s="23">
        <f>IF(CI5=DistCalc!$C$4,DistCalc!$D28,'New Formula with HB25-1320'!CI28)</f>
        <v>63</v>
      </c>
      <c r="CJ29" s="23">
        <f>IF(CJ5=DistCalc!$C$4,DistCalc!$D28,'New Formula with HB25-1320'!CJ28)</f>
        <v>158</v>
      </c>
      <c r="CK29" s="23">
        <f>IF(CK5=DistCalc!$C$4,DistCalc!$D28,'New Formula with HB25-1320'!CK28)</f>
        <v>168</v>
      </c>
      <c r="CL29" s="23">
        <f>IF(CL5=DistCalc!$C$4,DistCalc!$D28,'New Formula with HB25-1320'!CL28)</f>
        <v>22</v>
      </c>
      <c r="CM29" s="23">
        <f>IF(CM5=DistCalc!$C$4,DistCalc!$D28,'New Formula with HB25-1320'!CM28)</f>
        <v>8</v>
      </c>
      <c r="CN29" s="23">
        <f>IF(CN5=DistCalc!$C$4,DistCalc!$D28,'New Formula with HB25-1320'!CN28)</f>
        <v>1199</v>
      </c>
      <c r="CO29" s="23">
        <f>IF(CO5=DistCalc!$C$4,DistCalc!$D28,'New Formula with HB25-1320'!CO28)</f>
        <v>377</v>
      </c>
      <c r="CP29" s="23">
        <f>IF(CP5=DistCalc!$C$4,DistCalc!$D28,'New Formula with HB25-1320'!CP28)</f>
        <v>139</v>
      </c>
      <c r="CQ29" s="23">
        <f>IF(CQ5=DistCalc!$C$4,DistCalc!$D28,'New Formula with HB25-1320'!CQ28)</f>
        <v>3</v>
      </c>
      <c r="CR29" s="23">
        <f>IF(CR5=DistCalc!$C$4,DistCalc!$D28,'New Formula with HB25-1320'!CR28)</f>
        <v>0</v>
      </c>
      <c r="CS29" s="23">
        <f>IF(CS5=DistCalc!$C$4,DistCalc!$D28,'New Formula with HB25-1320'!CS28)</f>
        <v>1</v>
      </c>
      <c r="CT29" s="23">
        <f>IF(CT5=DistCalc!$C$4,DistCalc!$D28,'New Formula with HB25-1320'!CT28)</f>
        <v>1</v>
      </c>
      <c r="CU29" s="23">
        <f>IF(CU5=DistCalc!$C$4,DistCalc!$D28,'New Formula with HB25-1320'!CU28)</f>
        <v>3</v>
      </c>
      <c r="CV29" s="23">
        <f>IF(CV5=DistCalc!$C$4,DistCalc!$D28,'New Formula with HB25-1320'!CV28)</f>
        <v>0</v>
      </c>
      <c r="CW29" s="23">
        <f>IF(CW5=DistCalc!$C$4,DistCalc!$D28,'New Formula with HB25-1320'!CW28)</f>
        <v>1</v>
      </c>
      <c r="CX29" s="23">
        <f>IF(CX5=DistCalc!$C$4,DistCalc!$D28,'New Formula with HB25-1320'!CX28)</f>
        <v>12</v>
      </c>
      <c r="CY29" s="23">
        <f>IF(CY5=DistCalc!$C$4,DistCalc!$D28,'New Formula with HB25-1320'!CY28)</f>
        <v>0</v>
      </c>
      <c r="CZ29" s="23">
        <f>IF(CZ5=DistCalc!$C$4,DistCalc!$D28,'New Formula with HB25-1320'!CZ28)</f>
        <v>39</v>
      </c>
      <c r="DA29" s="23">
        <f>IF(DA5=DistCalc!$C$4,DistCalc!$D28,'New Formula with HB25-1320'!DA28)</f>
        <v>0</v>
      </c>
      <c r="DB29" s="23">
        <f>IF(DB5=DistCalc!$C$4,DistCalc!$D28,'New Formula with HB25-1320'!DB28)</f>
        <v>7</v>
      </c>
      <c r="DC29" s="23">
        <f>IF(DC5=DistCalc!$C$4,DistCalc!$D28,'New Formula with HB25-1320'!DC28)</f>
        <v>0</v>
      </c>
      <c r="DD29" s="23">
        <f>IF(DD5=DistCalc!$C$4,DistCalc!$D28,'New Formula with HB25-1320'!DD28)</f>
        <v>7</v>
      </c>
      <c r="DE29" s="23">
        <f>IF(DE5=DistCalc!$C$4,DistCalc!$D28,'New Formula with HB25-1320'!DE28)</f>
        <v>1</v>
      </c>
      <c r="DF29" s="23">
        <f>IF(DF5=DistCalc!$C$4,DistCalc!$D28,'New Formula with HB25-1320'!DF28)</f>
        <v>654</v>
      </c>
      <c r="DG29" s="23">
        <f>IF(DG5=DistCalc!$C$4,DistCalc!$D28,'New Formula with HB25-1320'!DG28)</f>
        <v>0</v>
      </c>
      <c r="DH29" s="23">
        <f>IF(DH5=DistCalc!$C$4,DistCalc!$D28,'New Formula with HB25-1320'!DH28)</f>
        <v>120</v>
      </c>
      <c r="DI29" s="23">
        <f>IF(DI5=DistCalc!$C$4,DistCalc!$D28,'New Formula with HB25-1320'!DI28)</f>
        <v>62</v>
      </c>
      <c r="DJ29" s="23">
        <f>IF(DJ5=DistCalc!$C$4,DistCalc!$D28,'New Formula with HB25-1320'!DJ28)</f>
        <v>9</v>
      </c>
      <c r="DK29" s="23">
        <f>IF(DK5=DistCalc!$C$4,DistCalc!$D28,'New Formula with HB25-1320'!DK28)</f>
        <v>19</v>
      </c>
      <c r="DL29" s="23">
        <f>IF(DL5=DistCalc!$C$4,DistCalc!$D28,'New Formula with HB25-1320'!DL28)</f>
        <v>415</v>
      </c>
      <c r="DM29" s="23">
        <f>IF(DM5=DistCalc!$C$4,DistCalc!$D28,'New Formula with HB25-1320'!DM28)</f>
        <v>0</v>
      </c>
      <c r="DN29" s="23">
        <f>IF(DN5=DistCalc!$C$4,DistCalc!$D28,'New Formula with HB25-1320'!DN28)</f>
        <v>66</v>
      </c>
      <c r="DO29" s="23">
        <f>IF(DO5=DistCalc!$C$4,DistCalc!$D28,'New Formula with HB25-1320'!DO28)</f>
        <v>533</v>
      </c>
      <c r="DP29" s="23">
        <f>IF(DP5=DistCalc!$C$4,DistCalc!$D28,'New Formula with HB25-1320'!DP28)</f>
        <v>0</v>
      </c>
      <c r="DQ29" s="23">
        <f>IF(DQ5=DistCalc!$C$4,DistCalc!$D28,'New Formula with HB25-1320'!DQ28)</f>
        <v>51</v>
      </c>
      <c r="DR29" s="23">
        <f>IF(DR5=DistCalc!$C$4,DistCalc!$D28,'New Formula with HB25-1320'!DR28)</f>
        <v>17</v>
      </c>
      <c r="DS29" s="23">
        <f>IF(DS5=DistCalc!$C$4,DistCalc!$D28,'New Formula with HB25-1320'!DS28)</f>
        <v>32</v>
      </c>
      <c r="DT29" s="23">
        <f>IF(DT5=DistCalc!$C$4,DistCalc!$D28,'New Formula with HB25-1320'!DT28)</f>
        <v>6</v>
      </c>
      <c r="DU29" s="23">
        <f>IF(DU5=DistCalc!$C$4,DistCalc!$D28,'New Formula with HB25-1320'!DU28)</f>
        <v>3</v>
      </c>
      <c r="DV29" s="23">
        <f>IF(DV5=DistCalc!$C$4,DistCalc!$D28,'New Formula with HB25-1320'!DV28)</f>
        <v>1</v>
      </c>
      <c r="DW29" s="23">
        <f>IF(DW5=DistCalc!$C$4,DistCalc!$D28,'New Formula with HB25-1320'!DW28)</f>
        <v>1</v>
      </c>
      <c r="DX29" s="23">
        <f>IF(DX5=DistCalc!$C$4,DistCalc!$D28,'New Formula with HB25-1320'!DX28)</f>
        <v>1</v>
      </c>
      <c r="DY29" s="23">
        <f>IF(DY5=DistCalc!$C$4,DistCalc!$D28,'New Formula with HB25-1320'!DY28)</f>
        <v>4</v>
      </c>
      <c r="DZ29" s="23">
        <f>IF(DZ5=DistCalc!$C$4,DistCalc!$D28,'New Formula with HB25-1320'!DZ28)</f>
        <v>0</v>
      </c>
      <c r="EA29" s="23">
        <f>IF(EA5=DistCalc!$C$4,DistCalc!$D28,'New Formula with HB25-1320'!EA28)</f>
        <v>28</v>
      </c>
      <c r="EB29" s="23">
        <f>IF(EB5=DistCalc!$C$4,DistCalc!$D28,'New Formula with HB25-1320'!EB28)</f>
        <v>62</v>
      </c>
      <c r="EC29" s="23">
        <f>IF(EC5=DistCalc!$C$4,DistCalc!$D28,'New Formula with HB25-1320'!EC28)</f>
        <v>9</v>
      </c>
      <c r="ED29" s="23">
        <f>IF(ED5=DistCalc!$C$4,DistCalc!$D28,'New Formula with HB25-1320'!ED28)</f>
        <v>66</v>
      </c>
      <c r="EE29" s="23">
        <f>IF(EE5=DistCalc!$C$4,DistCalc!$D28,'New Formula with HB25-1320'!EE28)</f>
        <v>19</v>
      </c>
      <c r="EF29" s="23">
        <f>IF(EF5=DistCalc!$C$4,DistCalc!$D28,'New Formula with HB25-1320'!EF28)</f>
        <v>71</v>
      </c>
      <c r="EG29" s="23">
        <f>IF(EG5=DistCalc!$C$4,DistCalc!$D28,'New Formula with HB25-1320'!EG28)</f>
        <v>44</v>
      </c>
      <c r="EH29" s="23">
        <f>IF(EH5=DistCalc!$C$4,DistCalc!$D28,'New Formula with HB25-1320'!EH28)</f>
        <v>14</v>
      </c>
      <c r="EI29" s="23">
        <f>IF(EI5=DistCalc!$C$4,DistCalc!$D28,'New Formula with HB25-1320'!EI28)</f>
        <v>421</v>
      </c>
      <c r="EJ29" s="23">
        <f>IF(EJ5=DistCalc!$C$4,DistCalc!$D28,'New Formula with HB25-1320'!EJ28)</f>
        <v>200</v>
      </c>
      <c r="EK29" s="23">
        <f>IF(EK5=DistCalc!$C$4,DistCalc!$D28,'New Formula with HB25-1320'!EK28)</f>
        <v>17</v>
      </c>
      <c r="EL29" s="23">
        <f>IF(EL5=DistCalc!$C$4,DistCalc!$D28,'New Formula with HB25-1320'!EL28)</f>
        <v>1</v>
      </c>
      <c r="EM29" s="23">
        <f>IF(EM5=DistCalc!$C$4,DistCalc!$D28,'New Formula with HB25-1320'!EM28)</f>
        <v>6</v>
      </c>
      <c r="EN29" s="23">
        <f>IF(EN5=DistCalc!$C$4,DistCalc!$D28,'New Formula with HB25-1320'!EN28)</f>
        <v>10</v>
      </c>
      <c r="EO29" s="23">
        <f>IF(EO5=DistCalc!$C$4,DistCalc!$D28,'New Formula with HB25-1320'!EO28)</f>
        <v>5</v>
      </c>
      <c r="EP29" s="23">
        <f>IF(EP5=DistCalc!$C$4,DistCalc!$D28,'New Formula with HB25-1320'!EP28)</f>
        <v>17</v>
      </c>
      <c r="EQ29" s="23">
        <f>IF(EQ5=DistCalc!$C$4,DistCalc!$D28,'New Formula with HB25-1320'!EQ28)</f>
        <v>184</v>
      </c>
      <c r="ER29" s="23">
        <f>IF(ER5=DistCalc!$C$4,DistCalc!$D28,'New Formula with HB25-1320'!ER28)</f>
        <v>14</v>
      </c>
      <c r="ES29" s="23">
        <f>IF(ES5=DistCalc!$C$4,DistCalc!$D28,'New Formula with HB25-1320'!ES28)</f>
        <v>3</v>
      </c>
      <c r="ET29" s="23">
        <f>IF(ET5=DistCalc!$C$4,DistCalc!$D28,'New Formula with HB25-1320'!ET28)</f>
        <v>5</v>
      </c>
      <c r="EU29" s="23">
        <f>IF(EU5=DistCalc!$C$4,DistCalc!$D28,'New Formula with HB25-1320'!EU28)</f>
        <v>102</v>
      </c>
      <c r="EV29" s="23">
        <f>IF(EV5=DistCalc!$C$4,DistCalc!$D28,'New Formula with HB25-1320'!EV28)</f>
        <v>6</v>
      </c>
      <c r="EW29" s="23">
        <f>IF(EW5=DistCalc!$C$4,DistCalc!$D28,'New Formula with HB25-1320'!EW28)</f>
        <v>59</v>
      </c>
      <c r="EX29" s="23">
        <f>IF(EX5=DistCalc!$C$4,DistCalc!$D28,'New Formula with HB25-1320'!EX28)</f>
        <v>8</v>
      </c>
      <c r="EY29" s="23">
        <f>IF(EY5=DistCalc!$C$4,DistCalc!$D28,'New Formula with HB25-1320'!EY28)</f>
        <v>17</v>
      </c>
      <c r="EZ29" s="23">
        <f>IF(EZ5=DistCalc!$C$4,DistCalc!$D28,'New Formula with HB25-1320'!EZ28)</f>
        <v>0</v>
      </c>
      <c r="FA29" s="23">
        <f>IF(FA5=DistCalc!$C$4,DistCalc!$D28,'New Formula with HB25-1320'!FA28)</f>
        <v>611</v>
      </c>
      <c r="FB29" s="23">
        <f>IF(FB5=DistCalc!$C$4,DistCalc!$D28,'New Formula with HB25-1320'!FB28)</f>
        <v>3</v>
      </c>
      <c r="FC29" s="23">
        <f>IF(FC5=DistCalc!$C$4,DistCalc!$D28,'New Formula with HB25-1320'!FC28)</f>
        <v>32</v>
      </c>
      <c r="FD29" s="23">
        <f>IF(FD5=DistCalc!$C$4,DistCalc!$D28,'New Formula with HB25-1320'!FD28)</f>
        <v>4</v>
      </c>
      <c r="FE29" s="23">
        <f>IF(FE5=DistCalc!$C$4,DistCalc!$D28,'New Formula with HB25-1320'!FE28)</f>
        <v>13</v>
      </c>
      <c r="FF29" s="23">
        <f>IF(FF5=DistCalc!$C$4,DistCalc!$D28,'New Formula with HB25-1320'!FF28)</f>
        <v>2</v>
      </c>
      <c r="FG29" s="23">
        <f>IF(FG5=DistCalc!$C$4,DistCalc!$D28,'New Formula with HB25-1320'!FG28)</f>
        <v>3</v>
      </c>
      <c r="FH29" s="23">
        <f>IF(FH5=DistCalc!$C$4,DistCalc!$D28,'New Formula with HB25-1320'!FH28)</f>
        <v>0</v>
      </c>
      <c r="FI29" s="23">
        <f>IF(FI5=DistCalc!$C$4,DistCalc!$D28,'New Formula with HB25-1320'!FI28)</f>
        <v>182</v>
      </c>
      <c r="FJ29" s="23">
        <f>IF(FJ5=DistCalc!$C$4,DistCalc!$D28,'New Formula with HB25-1320'!FJ28)</f>
        <v>72</v>
      </c>
      <c r="FK29" s="23">
        <f>IF(FK5=DistCalc!$C$4,DistCalc!$D28,'New Formula with HB25-1320'!FK28)</f>
        <v>246</v>
      </c>
      <c r="FL29" s="23">
        <f>IF(FL5=DistCalc!$C$4,DistCalc!$D28,'New Formula with HB25-1320'!FL28)</f>
        <v>195</v>
      </c>
      <c r="FM29" s="23">
        <f>IF(FM5=DistCalc!$C$4,DistCalc!$D28,'New Formula with HB25-1320'!FM28)</f>
        <v>93</v>
      </c>
      <c r="FN29" s="23">
        <f>IF(FN5=DistCalc!$C$4,DistCalc!$D28,'New Formula with HB25-1320'!FN28)</f>
        <v>3402</v>
      </c>
      <c r="FO29" s="23">
        <f>IF(FO5=DistCalc!$C$4,DistCalc!$D28,'New Formula with HB25-1320'!FO28)</f>
        <v>55</v>
      </c>
      <c r="FP29" s="23">
        <f>IF(FP5=DistCalc!$C$4,DistCalc!$D28,'New Formula with HB25-1320'!FP28)</f>
        <v>325</v>
      </c>
      <c r="FQ29" s="23">
        <f>IF(FQ5=DistCalc!$C$4,DistCalc!$D28,'New Formula with HB25-1320'!FQ28)</f>
        <v>60</v>
      </c>
      <c r="FR29" s="23">
        <f>IF(FR5=DistCalc!$C$4,DistCalc!$D28,'New Formula with HB25-1320'!FR28)</f>
        <v>1</v>
      </c>
      <c r="FS29" s="23">
        <f>IF(FS5=DistCalc!$C$4,DistCalc!$D28,'New Formula with HB25-1320'!FS28)</f>
        <v>0</v>
      </c>
      <c r="FT29" s="23" t="e">
        <f ca="1">IF(FT5=DistCalc!$C$4,DistCalc!$D28,'New Formula with HB25-1320'!FT28)</f>
        <v>#NAME?</v>
      </c>
      <c r="FU29" s="23">
        <f>IF(FU5=DistCalc!$C$4,DistCalc!$D28,'New Formula with HB25-1320'!FU28)</f>
        <v>137</v>
      </c>
      <c r="FV29" s="23">
        <f>IF(FV5=DistCalc!$C$4,DistCalc!$D28,'New Formula with HB25-1320'!FV28)</f>
        <v>88</v>
      </c>
      <c r="FW29" s="23">
        <f>IF(FW5=DistCalc!$C$4,DistCalc!$D28,'New Formula with HB25-1320'!FW28)</f>
        <v>5</v>
      </c>
      <c r="FX29" s="23">
        <f>IF(FX5=DistCalc!$C$4,DistCalc!$D28,'New Formula with HB25-1320'!FX28)</f>
        <v>0</v>
      </c>
      <c r="FY29" s="23"/>
      <c r="FZ29" s="23" t="e">
        <f t="shared" ca="1" si="7"/>
        <v>#NAME?</v>
      </c>
      <c r="GA29" s="23"/>
      <c r="GB29" s="23"/>
      <c r="GC29" s="23"/>
      <c r="GD29" s="23"/>
      <c r="GE29" s="7"/>
      <c r="GF29" s="7"/>
      <c r="GG29" s="7"/>
      <c r="GH29" s="7"/>
      <c r="GI29" s="7"/>
      <c r="GJ29" s="7"/>
      <c r="GK29" s="7"/>
    </row>
    <row r="30" spans="1:207" ht="15.5" x14ac:dyDescent="0.35">
      <c r="A30" s="12" t="s">
        <v>483</v>
      </c>
      <c r="B30" s="7" t="s">
        <v>492</v>
      </c>
      <c r="C30" s="27">
        <f>'New Formula with HB25-1320'!C30</f>
        <v>0</v>
      </c>
      <c r="D30" s="26">
        <f>'New Formula with HB25-1320'!D30</f>
        <v>4562.5</v>
      </c>
      <c r="E30" s="26">
        <f>'New Formula with HB25-1320'!E30</f>
        <v>643</v>
      </c>
      <c r="F30" s="26">
        <f>'New Formula with HB25-1320'!F30</f>
        <v>907.5</v>
      </c>
      <c r="G30" s="26">
        <f>'New Formula with HB25-1320'!G30</f>
        <v>0</v>
      </c>
      <c r="H30" s="26">
        <f>'New Formula with HB25-1320'!H30</f>
        <v>0</v>
      </c>
      <c r="I30" s="26">
        <f>'New Formula with HB25-1320'!I30</f>
        <v>748</v>
      </c>
      <c r="J30" s="26">
        <f>'New Formula with HB25-1320'!J30</f>
        <v>0</v>
      </c>
      <c r="K30" s="26">
        <f>'New Formula with HB25-1320'!K30</f>
        <v>0</v>
      </c>
      <c r="L30" s="26">
        <f>'New Formula with HB25-1320'!L30</f>
        <v>0</v>
      </c>
      <c r="M30" s="26">
        <f>'New Formula with HB25-1320'!M30</f>
        <v>0</v>
      </c>
      <c r="N30" s="26">
        <f>'New Formula with HB25-1320'!N30</f>
        <v>90</v>
      </c>
      <c r="O30" s="26">
        <f>'New Formula with HB25-1320'!O30</f>
        <v>0</v>
      </c>
      <c r="P30" s="26">
        <f>'New Formula with HB25-1320'!P30</f>
        <v>0</v>
      </c>
      <c r="Q30" s="26">
        <f>'New Formula with HB25-1320'!Q30</f>
        <v>1920</v>
      </c>
      <c r="R30" s="26">
        <f>'New Formula with HB25-1320'!R30</f>
        <v>0</v>
      </c>
      <c r="S30" s="26">
        <f>'New Formula with HB25-1320'!S30</f>
        <v>0</v>
      </c>
      <c r="T30" s="26">
        <f>'New Formula with HB25-1320'!T30</f>
        <v>0</v>
      </c>
      <c r="U30" s="26">
        <f>'New Formula with HB25-1320'!U30</f>
        <v>0</v>
      </c>
      <c r="V30" s="26">
        <f>'New Formula with HB25-1320'!V30</f>
        <v>0</v>
      </c>
      <c r="W30" s="26">
        <f>'New Formula with HB25-1320'!W30</f>
        <v>0</v>
      </c>
      <c r="X30" s="26">
        <f>'New Formula with HB25-1320'!X30</f>
        <v>0</v>
      </c>
      <c r="Y30" s="26">
        <f>'New Formula with HB25-1320'!Y30</f>
        <v>0</v>
      </c>
      <c r="Z30" s="26">
        <f>'New Formula with HB25-1320'!Z30</f>
        <v>0</v>
      </c>
      <c r="AA30" s="26">
        <f>'New Formula with HB25-1320'!AA30</f>
        <v>0</v>
      </c>
      <c r="AB30" s="26">
        <f>'New Formula with HB25-1320'!AB30</f>
        <v>0</v>
      </c>
      <c r="AC30" s="26">
        <f>'New Formula with HB25-1320'!AC30</f>
        <v>0</v>
      </c>
      <c r="AD30" s="26">
        <f>'New Formula with HB25-1320'!AD30</f>
        <v>154</v>
      </c>
      <c r="AE30" s="26">
        <f>'New Formula with HB25-1320'!AE30</f>
        <v>0</v>
      </c>
      <c r="AF30" s="26">
        <f>'New Formula with HB25-1320'!AF30</f>
        <v>0</v>
      </c>
      <c r="AG30" s="26">
        <f>'New Formula with HB25-1320'!AG30</f>
        <v>0</v>
      </c>
      <c r="AH30" s="26">
        <f>'New Formula with HB25-1320'!AH30</f>
        <v>0</v>
      </c>
      <c r="AI30" s="26">
        <f>'New Formula with HB25-1320'!AI30</f>
        <v>0</v>
      </c>
      <c r="AJ30" s="26">
        <f>'New Formula with HB25-1320'!AJ30</f>
        <v>0</v>
      </c>
      <c r="AK30" s="26">
        <f>'New Formula with HB25-1320'!AK30</f>
        <v>0</v>
      </c>
      <c r="AL30" s="26">
        <f>'New Formula with HB25-1320'!AL30</f>
        <v>0</v>
      </c>
      <c r="AM30" s="26">
        <f>'New Formula with HB25-1320'!AM30</f>
        <v>0</v>
      </c>
      <c r="AN30" s="26">
        <f>'New Formula with HB25-1320'!AN30</f>
        <v>0</v>
      </c>
      <c r="AO30" s="26">
        <f>'New Formula with HB25-1320'!AO30</f>
        <v>0</v>
      </c>
      <c r="AP30" s="26">
        <f>'New Formula with HB25-1320'!AP30</f>
        <v>0</v>
      </c>
      <c r="AQ30" s="26">
        <f>'New Formula with HB25-1320'!AQ30</f>
        <v>0</v>
      </c>
      <c r="AR30" s="26">
        <f>'New Formula with HB25-1320'!AR30</f>
        <v>1987.5</v>
      </c>
      <c r="AS30" s="26">
        <f>'New Formula with HB25-1320'!AS30</f>
        <v>293</v>
      </c>
      <c r="AT30" s="26">
        <f>'New Formula with HB25-1320'!AT30</f>
        <v>0</v>
      </c>
      <c r="AU30" s="26">
        <f>'New Formula with HB25-1320'!AU30</f>
        <v>0</v>
      </c>
      <c r="AV30" s="26">
        <f>'New Formula with HB25-1320'!AV30</f>
        <v>0</v>
      </c>
      <c r="AW30" s="26">
        <f>'New Formula with HB25-1320'!AW30</f>
        <v>0</v>
      </c>
      <c r="AX30" s="26">
        <f>'New Formula with HB25-1320'!AX30</f>
        <v>0</v>
      </c>
      <c r="AY30" s="26">
        <f>'New Formula with HB25-1320'!AY30</f>
        <v>0</v>
      </c>
      <c r="AZ30" s="26">
        <f>'New Formula with HB25-1320'!AZ30</f>
        <v>0</v>
      </c>
      <c r="BA30" s="26">
        <f>'New Formula with HB25-1320'!BA30</f>
        <v>0</v>
      </c>
      <c r="BB30" s="26">
        <f>'New Formula with HB25-1320'!BB30</f>
        <v>0</v>
      </c>
      <c r="BC30" s="26">
        <f>'New Formula with HB25-1320'!BC30</f>
        <v>2883.5</v>
      </c>
      <c r="BD30" s="26">
        <f>'New Formula with HB25-1320'!BD30</f>
        <v>0</v>
      </c>
      <c r="BE30" s="26">
        <f>'New Formula with HB25-1320'!BE30</f>
        <v>0</v>
      </c>
      <c r="BF30" s="26">
        <f>'New Formula with HB25-1320'!BF30</f>
        <v>0</v>
      </c>
      <c r="BG30" s="26">
        <f>'New Formula with HB25-1320'!BG30</f>
        <v>0</v>
      </c>
      <c r="BH30" s="26">
        <f>'New Formula with HB25-1320'!BH30</f>
        <v>0</v>
      </c>
      <c r="BI30" s="26">
        <f>'New Formula with HB25-1320'!BI30</f>
        <v>0</v>
      </c>
      <c r="BJ30" s="26">
        <f>'New Formula with HB25-1320'!BJ30</f>
        <v>0</v>
      </c>
      <c r="BK30" s="26">
        <f>'New Formula with HB25-1320'!BK30</f>
        <v>0</v>
      </c>
      <c r="BL30" s="26">
        <f>'New Formula with HB25-1320'!BL30</f>
        <v>0</v>
      </c>
      <c r="BM30" s="26">
        <f>'New Formula with HB25-1320'!BM30</f>
        <v>0</v>
      </c>
      <c r="BN30" s="26">
        <f>'New Formula with HB25-1320'!BN30</f>
        <v>0</v>
      </c>
      <c r="BO30" s="26">
        <f>'New Formula with HB25-1320'!BO30</f>
        <v>0</v>
      </c>
      <c r="BP30" s="26">
        <f>'New Formula with HB25-1320'!BP30</f>
        <v>0</v>
      </c>
      <c r="BQ30" s="26">
        <f>'New Formula with HB25-1320'!BQ30</f>
        <v>177</v>
      </c>
      <c r="BR30" s="26">
        <f>'New Formula with HB25-1320'!BR30</f>
        <v>0</v>
      </c>
      <c r="BS30" s="26">
        <f>'New Formula with HB25-1320'!BS30</f>
        <v>0</v>
      </c>
      <c r="BT30" s="26">
        <f>'New Formula with HB25-1320'!BT30</f>
        <v>0</v>
      </c>
      <c r="BU30" s="26">
        <f>'New Formula with HB25-1320'!BU30</f>
        <v>0</v>
      </c>
      <c r="BV30" s="26">
        <f>'New Formula with HB25-1320'!BV30</f>
        <v>0</v>
      </c>
      <c r="BW30" s="26">
        <f>'New Formula with HB25-1320'!BW30</f>
        <v>0</v>
      </c>
      <c r="BX30" s="26">
        <f>'New Formula with HB25-1320'!BX30</f>
        <v>0</v>
      </c>
      <c r="BY30" s="26">
        <f>'New Formula with HB25-1320'!BY30</f>
        <v>0</v>
      </c>
      <c r="BZ30" s="26">
        <f>'New Formula with HB25-1320'!BZ30</f>
        <v>0</v>
      </c>
      <c r="CA30" s="26">
        <f>'New Formula with HB25-1320'!CA30</f>
        <v>0</v>
      </c>
      <c r="CB30" s="26">
        <f>'New Formula with HB25-1320'!CB30</f>
        <v>827</v>
      </c>
      <c r="CC30" s="26">
        <f>'New Formula with HB25-1320'!CC30</f>
        <v>0</v>
      </c>
      <c r="CD30" s="26">
        <f>'New Formula with HB25-1320'!CD30</f>
        <v>0</v>
      </c>
      <c r="CE30" s="26">
        <f>'New Formula with HB25-1320'!CE30</f>
        <v>0</v>
      </c>
      <c r="CF30" s="26">
        <f>'New Formula with HB25-1320'!CF30</f>
        <v>0</v>
      </c>
      <c r="CG30" s="26">
        <f>'New Formula with HB25-1320'!CG30</f>
        <v>0</v>
      </c>
      <c r="CH30" s="26">
        <f>'New Formula with HB25-1320'!CH30</f>
        <v>0</v>
      </c>
      <c r="CI30" s="26">
        <f>'New Formula with HB25-1320'!CI30</f>
        <v>0</v>
      </c>
      <c r="CJ30" s="26">
        <f>'New Formula with HB25-1320'!CJ30</f>
        <v>0</v>
      </c>
      <c r="CK30" s="26">
        <f>'New Formula with HB25-1320'!CK30</f>
        <v>577.5</v>
      </c>
      <c r="CL30" s="26">
        <f>'New Formula with HB25-1320'!CL30</f>
        <v>0</v>
      </c>
      <c r="CM30" s="26">
        <f>'New Formula with HB25-1320'!CM30</f>
        <v>0</v>
      </c>
      <c r="CN30" s="26">
        <f>'New Formula with HB25-1320'!CN30</f>
        <v>2256</v>
      </c>
      <c r="CO30" s="26">
        <f>'New Formula with HB25-1320'!CO30</f>
        <v>0</v>
      </c>
      <c r="CP30" s="26">
        <f>'New Formula with HB25-1320'!CP30</f>
        <v>0</v>
      </c>
      <c r="CQ30" s="26">
        <f>'New Formula with HB25-1320'!CQ30</f>
        <v>0</v>
      </c>
      <c r="CR30" s="26">
        <f>'New Formula with HB25-1320'!CR30</f>
        <v>0</v>
      </c>
      <c r="CS30" s="26">
        <f>'New Formula with HB25-1320'!CS30</f>
        <v>0</v>
      </c>
      <c r="CT30" s="26">
        <f>'New Formula with HB25-1320'!CT30</f>
        <v>0</v>
      </c>
      <c r="CU30" s="26">
        <f>'New Formula with HB25-1320'!CU30</f>
        <v>0</v>
      </c>
      <c r="CV30" s="26">
        <f>'New Formula with HB25-1320'!CV30</f>
        <v>0</v>
      </c>
      <c r="CW30" s="26">
        <f>'New Formula with HB25-1320'!CW30</f>
        <v>0</v>
      </c>
      <c r="CX30" s="26">
        <f>'New Formula with HB25-1320'!CX30</f>
        <v>0</v>
      </c>
      <c r="CY30" s="26">
        <f>'New Formula with HB25-1320'!CY30</f>
        <v>0</v>
      </c>
      <c r="CZ30" s="26">
        <f>'New Formula with HB25-1320'!CZ30</f>
        <v>0</v>
      </c>
      <c r="DA30" s="26">
        <f>'New Formula with HB25-1320'!DA30</f>
        <v>0</v>
      </c>
      <c r="DB30" s="26">
        <f>'New Formula with HB25-1320'!DB30</f>
        <v>0</v>
      </c>
      <c r="DC30" s="26">
        <f>'New Formula with HB25-1320'!DC30</f>
        <v>0</v>
      </c>
      <c r="DD30" s="26">
        <f>'New Formula with HB25-1320'!DD30</f>
        <v>0</v>
      </c>
      <c r="DE30" s="26">
        <f>'New Formula with HB25-1320'!DE30</f>
        <v>0</v>
      </c>
      <c r="DF30" s="26">
        <f>'New Formula with HB25-1320'!DF30</f>
        <v>1366</v>
      </c>
      <c r="DG30" s="26">
        <f>'New Formula with HB25-1320'!DG30</f>
        <v>0</v>
      </c>
      <c r="DH30" s="26">
        <f>'New Formula with HB25-1320'!DH30</f>
        <v>0</v>
      </c>
      <c r="DI30" s="26">
        <f>'New Formula with HB25-1320'!DI30</f>
        <v>61</v>
      </c>
      <c r="DJ30" s="26">
        <f>'New Formula with HB25-1320'!DJ30</f>
        <v>0</v>
      </c>
      <c r="DK30" s="26">
        <f>'New Formula with HB25-1320'!DK30</f>
        <v>0</v>
      </c>
      <c r="DL30" s="26">
        <f>'New Formula with HB25-1320'!DL30</f>
        <v>0</v>
      </c>
      <c r="DM30" s="26">
        <f>'New Formula with HB25-1320'!DM30</f>
        <v>0</v>
      </c>
      <c r="DN30" s="26">
        <f>'New Formula with HB25-1320'!DN30</f>
        <v>0</v>
      </c>
      <c r="DO30" s="26">
        <f>'New Formula with HB25-1320'!DO30</f>
        <v>0</v>
      </c>
      <c r="DP30" s="26">
        <f>'New Formula with HB25-1320'!DP30</f>
        <v>0</v>
      </c>
      <c r="DQ30" s="26">
        <f>'New Formula with HB25-1320'!DQ30</f>
        <v>0</v>
      </c>
      <c r="DR30" s="26">
        <f>'New Formula with HB25-1320'!DR30</f>
        <v>0</v>
      </c>
      <c r="DS30" s="26">
        <f>'New Formula with HB25-1320'!DS30</f>
        <v>0</v>
      </c>
      <c r="DT30" s="26">
        <f>'New Formula with HB25-1320'!DT30</f>
        <v>0</v>
      </c>
      <c r="DU30" s="26">
        <f>'New Formula with HB25-1320'!DU30</f>
        <v>0</v>
      </c>
      <c r="DV30" s="26">
        <f>'New Formula with HB25-1320'!DV30</f>
        <v>0</v>
      </c>
      <c r="DW30" s="26">
        <f>'New Formula with HB25-1320'!DW30</f>
        <v>0</v>
      </c>
      <c r="DX30" s="26">
        <f>'New Formula with HB25-1320'!DX30</f>
        <v>0</v>
      </c>
      <c r="DY30" s="26">
        <f>'New Formula with HB25-1320'!DY30</f>
        <v>0</v>
      </c>
      <c r="DZ30" s="26">
        <f>'New Formula with HB25-1320'!DZ30</f>
        <v>0</v>
      </c>
      <c r="EA30" s="26">
        <f>'New Formula with HB25-1320'!EA30</f>
        <v>20</v>
      </c>
      <c r="EB30" s="26">
        <f>'New Formula with HB25-1320'!EB30</f>
        <v>0</v>
      </c>
      <c r="EC30" s="26">
        <f>'New Formula with HB25-1320'!EC30</f>
        <v>0</v>
      </c>
      <c r="ED30" s="26">
        <f>'New Formula with HB25-1320'!ED30</f>
        <v>0</v>
      </c>
      <c r="EE30" s="26">
        <f>'New Formula with HB25-1320'!EE30</f>
        <v>0</v>
      </c>
      <c r="EF30" s="26">
        <f>'New Formula with HB25-1320'!EF30</f>
        <v>0</v>
      </c>
      <c r="EG30" s="26">
        <f>'New Formula with HB25-1320'!EG30</f>
        <v>0</v>
      </c>
      <c r="EH30" s="26">
        <f>'New Formula with HB25-1320'!EH30</f>
        <v>0</v>
      </c>
      <c r="EI30" s="26">
        <f>'New Formula with HB25-1320'!EI30</f>
        <v>0</v>
      </c>
      <c r="EJ30" s="26">
        <f>'New Formula with HB25-1320'!EJ30</f>
        <v>0</v>
      </c>
      <c r="EK30" s="26">
        <f>'New Formula with HB25-1320'!EK30</f>
        <v>0</v>
      </c>
      <c r="EL30" s="26">
        <f>'New Formula with HB25-1320'!EL30</f>
        <v>0</v>
      </c>
      <c r="EM30" s="26">
        <f>'New Formula with HB25-1320'!EM30</f>
        <v>0</v>
      </c>
      <c r="EN30" s="26">
        <f>'New Formula with HB25-1320'!EN30</f>
        <v>0</v>
      </c>
      <c r="EO30" s="26">
        <f>'New Formula with HB25-1320'!EO30</f>
        <v>0</v>
      </c>
      <c r="EP30" s="26">
        <f>'New Formula with HB25-1320'!EP30</f>
        <v>0</v>
      </c>
      <c r="EQ30" s="26">
        <f>'New Formula with HB25-1320'!EQ30</f>
        <v>103</v>
      </c>
      <c r="ER30" s="26">
        <f>'New Formula with HB25-1320'!ER30</f>
        <v>0</v>
      </c>
      <c r="ES30" s="26">
        <f>'New Formula with HB25-1320'!ES30</f>
        <v>0</v>
      </c>
      <c r="ET30" s="26">
        <f>'New Formula with HB25-1320'!ET30</f>
        <v>0</v>
      </c>
      <c r="EU30" s="26">
        <f>'New Formula with HB25-1320'!EU30</f>
        <v>0</v>
      </c>
      <c r="EV30" s="26">
        <f>'New Formula with HB25-1320'!EV30</f>
        <v>0</v>
      </c>
      <c r="EW30" s="26">
        <f>'New Formula with HB25-1320'!EW30</f>
        <v>0</v>
      </c>
      <c r="EX30" s="26">
        <f>'New Formula with HB25-1320'!EX30</f>
        <v>0</v>
      </c>
      <c r="EY30" s="26">
        <f>'New Formula with HB25-1320'!EY30</f>
        <v>0</v>
      </c>
      <c r="EZ30" s="26">
        <f>'New Formula with HB25-1320'!EZ30</f>
        <v>0</v>
      </c>
      <c r="FA30" s="26">
        <f>'New Formula with HB25-1320'!FA30</f>
        <v>0</v>
      </c>
      <c r="FB30" s="26">
        <f>'New Formula with HB25-1320'!FB30</f>
        <v>0</v>
      </c>
      <c r="FC30" s="26">
        <f>'New Formula with HB25-1320'!FC30</f>
        <v>0</v>
      </c>
      <c r="FD30" s="26">
        <f>'New Formula with HB25-1320'!FD30</f>
        <v>0</v>
      </c>
      <c r="FE30" s="26">
        <f>'New Formula with HB25-1320'!FE30</f>
        <v>0</v>
      </c>
      <c r="FF30" s="26">
        <f>'New Formula with HB25-1320'!FF30</f>
        <v>0</v>
      </c>
      <c r="FG30" s="26">
        <f>'New Formula with HB25-1320'!FG30</f>
        <v>0</v>
      </c>
      <c r="FH30" s="26">
        <f>'New Formula with HB25-1320'!FH30</f>
        <v>0</v>
      </c>
      <c r="FI30" s="26">
        <f>'New Formula with HB25-1320'!FI30</f>
        <v>0</v>
      </c>
      <c r="FJ30" s="26">
        <f>'New Formula with HB25-1320'!FJ30</f>
        <v>0</v>
      </c>
      <c r="FK30" s="26">
        <f>'New Formula with HB25-1320'!FK30</f>
        <v>0</v>
      </c>
      <c r="FL30" s="26">
        <f>'New Formula with HB25-1320'!FL30</f>
        <v>0</v>
      </c>
      <c r="FM30" s="26">
        <f>'New Formula with HB25-1320'!FM30</f>
        <v>0</v>
      </c>
      <c r="FN30" s="26">
        <f>'New Formula with HB25-1320'!FN30</f>
        <v>0</v>
      </c>
      <c r="FO30" s="26">
        <f>'New Formula with HB25-1320'!FO30</f>
        <v>0</v>
      </c>
      <c r="FP30" s="26">
        <f>'New Formula with HB25-1320'!FP30</f>
        <v>0</v>
      </c>
      <c r="FQ30" s="26">
        <f>'New Formula with HB25-1320'!FQ30</f>
        <v>0</v>
      </c>
      <c r="FR30" s="26">
        <f>'New Formula with HB25-1320'!FR30</f>
        <v>0</v>
      </c>
      <c r="FS30" s="26">
        <f>'New Formula with HB25-1320'!FS30</f>
        <v>0</v>
      </c>
      <c r="FT30" s="26">
        <f>'New Formula with HB25-1320'!FT30</f>
        <v>0</v>
      </c>
      <c r="FU30" s="26">
        <f>'New Formula with HB25-1320'!FU30</f>
        <v>0</v>
      </c>
      <c r="FV30" s="26">
        <f>'New Formula with HB25-1320'!FV30</f>
        <v>0</v>
      </c>
      <c r="FW30" s="26">
        <f>'New Formula with HB25-1320'!FW30</f>
        <v>0</v>
      </c>
      <c r="FX30" s="26">
        <f>'New Formula with HB25-1320'!FX30</f>
        <v>0</v>
      </c>
      <c r="FY30" s="23"/>
      <c r="FZ30" s="23">
        <f t="shared" si="7"/>
        <v>19576.5</v>
      </c>
      <c r="GA30" s="23"/>
      <c r="GB30" s="23"/>
      <c r="GC30" s="23"/>
      <c r="GD30" s="23"/>
      <c r="GE30" s="7"/>
      <c r="GF30" s="7"/>
      <c r="GG30" s="7"/>
      <c r="GH30" s="7"/>
      <c r="GI30" s="7"/>
      <c r="GJ30" s="7"/>
      <c r="GK30" s="7"/>
    </row>
    <row r="31" spans="1:207" ht="15.5" x14ac:dyDescent="0.35">
      <c r="A31" s="12" t="s">
        <v>754</v>
      </c>
      <c r="B31" s="7" t="s">
        <v>494</v>
      </c>
      <c r="C31" s="37">
        <f>'New Formula with HB25-1320'!C31</f>
        <v>0</v>
      </c>
      <c r="D31" s="23">
        <f>'New Formula with HB25-1320'!D31</f>
        <v>363</v>
      </c>
      <c r="E31" s="23">
        <f>'New Formula with HB25-1320'!E31</f>
        <v>52</v>
      </c>
      <c r="F31" s="23">
        <f>'New Formula with HB25-1320'!F31</f>
        <v>114.5</v>
      </c>
      <c r="G31" s="23">
        <f>'New Formula with HB25-1320'!G31</f>
        <v>0</v>
      </c>
      <c r="H31" s="23">
        <f>'New Formula with HB25-1320'!H31</f>
        <v>0</v>
      </c>
      <c r="I31" s="23">
        <f>'New Formula with HB25-1320'!I31</f>
        <v>71</v>
      </c>
      <c r="J31" s="23">
        <f>'New Formula with HB25-1320'!J31</f>
        <v>0</v>
      </c>
      <c r="K31" s="23">
        <f>'New Formula with HB25-1320'!K31</f>
        <v>0</v>
      </c>
      <c r="L31" s="23">
        <f>'New Formula with HB25-1320'!L31</f>
        <v>0</v>
      </c>
      <c r="M31" s="23">
        <f>'New Formula with HB25-1320'!M31</f>
        <v>0</v>
      </c>
      <c r="N31" s="23">
        <f>'New Formula with HB25-1320'!N31</f>
        <v>0</v>
      </c>
      <c r="O31" s="23">
        <f>'New Formula with HB25-1320'!O31</f>
        <v>0</v>
      </c>
      <c r="P31" s="23">
        <f>'New Formula with HB25-1320'!P31</f>
        <v>0</v>
      </c>
      <c r="Q31" s="23">
        <f>'New Formula with HB25-1320'!Q31</f>
        <v>173</v>
      </c>
      <c r="R31" s="23">
        <f>'New Formula with HB25-1320'!R31</f>
        <v>0</v>
      </c>
      <c r="S31" s="23">
        <f>'New Formula with HB25-1320'!S31</f>
        <v>0</v>
      </c>
      <c r="T31" s="23">
        <f>'New Formula with HB25-1320'!T31</f>
        <v>0</v>
      </c>
      <c r="U31" s="23">
        <f>'New Formula with HB25-1320'!U31</f>
        <v>0</v>
      </c>
      <c r="V31" s="23">
        <f>'New Formula with HB25-1320'!V31</f>
        <v>0</v>
      </c>
      <c r="W31" s="23">
        <f>'New Formula with HB25-1320'!W31</f>
        <v>0</v>
      </c>
      <c r="X31" s="23">
        <f>'New Formula with HB25-1320'!X31</f>
        <v>0</v>
      </c>
      <c r="Y31" s="23">
        <f>'New Formula with HB25-1320'!Y31</f>
        <v>0</v>
      </c>
      <c r="Z31" s="23">
        <f>'New Formula with HB25-1320'!Z31</f>
        <v>0</v>
      </c>
      <c r="AA31" s="23">
        <f>'New Formula with HB25-1320'!AA31</f>
        <v>0</v>
      </c>
      <c r="AB31" s="23">
        <f>'New Formula with HB25-1320'!AB31</f>
        <v>0</v>
      </c>
      <c r="AC31" s="23">
        <f>'New Formula with HB25-1320'!AC31</f>
        <v>0</v>
      </c>
      <c r="AD31" s="23">
        <f>'New Formula with HB25-1320'!AD31</f>
        <v>16</v>
      </c>
      <c r="AE31" s="23">
        <f>'New Formula with HB25-1320'!AE31</f>
        <v>0</v>
      </c>
      <c r="AF31" s="23">
        <f>'New Formula with HB25-1320'!AF31</f>
        <v>0</v>
      </c>
      <c r="AG31" s="23">
        <f>'New Formula with HB25-1320'!AG31</f>
        <v>0</v>
      </c>
      <c r="AH31" s="23">
        <f>'New Formula with HB25-1320'!AH31</f>
        <v>0</v>
      </c>
      <c r="AI31" s="23">
        <f>'New Formula with HB25-1320'!AI31</f>
        <v>0</v>
      </c>
      <c r="AJ31" s="23">
        <f>'New Formula with HB25-1320'!AJ31</f>
        <v>0</v>
      </c>
      <c r="AK31" s="23">
        <f>'New Formula with HB25-1320'!AK31</f>
        <v>0</v>
      </c>
      <c r="AL31" s="23">
        <f>'New Formula with HB25-1320'!AL31</f>
        <v>0</v>
      </c>
      <c r="AM31" s="23">
        <f>'New Formula with HB25-1320'!AM31</f>
        <v>0</v>
      </c>
      <c r="AN31" s="23">
        <f>'New Formula with HB25-1320'!AN31</f>
        <v>0</v>
      </c>
      <c r="AO31" s="23">
        <f>'New Formula with HB25-1320'!AO31</f>
        <v>0</v>
      </c>
      <c r="AP31" s="23">
        <f>'New Formula with HB25-1320'!AP31</f>
        <v>0</v>
      </c>
      <c r="AQ31" s="23">
        <f>'New Formula with HB25-1320'!AQ31</f>
        <v>0</v>
      </c>
      <c r="AR31" s="23">
        <f>'New Formula with HB25-1320'!AR31</f>
        <v>76</v>
      </c>
      <c r="AS31" s="23">
        <f>'New Formula with HB25-1320'!AS31</f>
        <v>23</v>
      </c>
      <c r="AT31" s="23">
        <f>'New Formula with HB25-1320'!AT31</f>
        <v>0</v>
      </c>
      <c r="AU31" s="23">
        <f>'New Formula with HB25-1320'!AU31</f>
        <v>0</v>
      </c>
      <c r="AV31" s="23">
        <f>'New Formula with HB25-1320'!AV31</f>
        <v>0</v>
      </c>
      <c r="AW31" s="23">
        <f>'New Formula with HB25-1320'!AW31</f>
        <v>0</v>
      </c>
      <c r="AX31" s="23">
        <f>'New Formula with HB25-1320'!AX31</f>
        <v>0</v>
      </c>
      <c r="AY31" s="23">
        <f>'New Formula with HB25-1320'!AY31</f>
        <v>0</v>
      </c>
      <c r="AZ31" s="23">
        <f>'New Formula with HB25-1320'!AZ31</f>
        <v>0</v>
      </c>
      <c r="BA31" s="23">
        <f>'New Formula with HB25-1320'!BA31</f>
        <v>0</v>
      </c>
      <c r="BB31" s="23">
        <f>'New Formula with HB25-1320'!BB31</f>
        <v>0</v>
      </c>
      <c r="BC31" s="23">
        <f>'New Formula with HB25-1320'!BC31</f>
        <v>278.5</v>
      </c>
      <c r="BD31" s="23">
        <f>'New Formula with HB25-1320'!BD31</f>
        <v>0</v>
      </c>
      <c r="BE31" s="23">
        <f>'New Formula with HB25-1320'!BE31</f>
        <v>0</v>
      </c>
      <c r="BF31" s="23">
        <f>'New Formula with HB25-1320'!BF31</f>
        <v>0</v>
      </c>
      <c r="BG31" s="23">
        <f>'New Formula with HB25-1320'!BG31</f>
        <v>0</v>
      </c>
      <c r="BH31" s="23">
        <f>'New Formula with HB25-1320'!BH31</f>
        <v>0</v>
      </c>
      <c r="BI31" s="23">
        <f>'New Formula with HB25-1320'!BI31</f>
        <v>0</v>
      </c>
      <c r="BJ31" s="23">
        <f>'New Formula with HB25-1320'!BJ31</f>
        <v>0</v>
      </c>
      <c r="BK31" s="23">
        <f>'New Formula with HB25-1320'!BK31</f>
        <v>0</v>
      </c>
      <c r="BL31" s="23">
        <f>'New Formula with HB25-1320'!BL31</f>
        <v>0</v>
      </c>
      <c r="BM31" s="23">
        <f>'New Formula with HB25-1320'!BM31</f>
        <v>0</v>
      </c>
      <c r="BN31" s="23">
        <f>'New Formula with HB25-1320'!BN31</f>
        <v>0</v>
      </c>
      <c r="BO31" s="23">
        <f>'New Formula with HB25-1320'!BO31</f>
        <v>0</v>
      </c>
      <c r="BP31" s="23">
        <f>'New Formula with HB25-1320'!BP31</f>
        <v>0</v>
      </c>
      <c r="BQ31" s="23">
        <f>'New Formula with HB25-1320'!BQ31</f>
        <v>15</v>
      </c>
      <c r="BR31" s="23">
        <f>'New Formula with HB25-1320'!BR31</f>
        <v>0</v>
      </c>
      <c r="BS31" s="23">
        <f>'New Formula with HB25-1320'!BS31</f>
        <v>0</v>
      </c>
      <c r="BT31" s="23">
        <f>'New Formula with HB25-1320'!BT31</f>
        <v>0</v>
      </c>
      <c r="BU31" s="23">
        <f>'New Formula with HB25-1320'!BU31</f>
        <v>0</v>
      </c>
      <c r="BV31" s="23">
        <f>'New Formula with HB25-1320'!BV31</f>
        <v>0</v>
      </c>
      <c r="BW31" s="23">
        <f>'New Formula with HB25-1320'!BW31</f>
        <v>0</v>
      </c>
      <c r="BX31" s="23">
        <f>'New Formula with HB25-1320'!BX31</f>
        <v>0</v>
      </c>
      <c r="BY31" s="23">
        <f>'New Formula with HB25-1320'!BY31</f>
        <v>0</v>
      </c>
      <c r="BZ31" s="23">
        <f>'New Formula with HB25-1320'!BZ31</f>
        <v>0</v>
      </c>
      <c r="CA31" s="23">
        <f>'New Formula with HB25-1320'!CA31</f>
        <v>0</v>
      </c>
      <c r="CB31" s="23">
        <f>'New Formula with HB25-1320'!CB31</f>
        <v>50</v>
      </c>
      <c r="CC31" s="23">
        <f>'New Formula with HB25-1320'!CC31</f>
        <v>0</v>
      </c>
      <c r="CD31" s="23">
        <f>'New Formula with HB25-1320'!CD31</f>
        <v>0</v>
      </c>
      <c r="CE31" s="23">
        <f>'New Formula with HB25-1320'!CE31</f>
        <v>0</v>
      </c>
      <c r="CF31" s="23">
        <f>'New Formula with HB25-1320'!CF31</f>
        <v>0</v>
      </c>
      <c r="CG31" s="23">
        <f>'New Formula with HB25-1320'!CG31</f>
        <v>0</v>
      </c>
      <c r="CH31" s="23">
        <f>'New Formula with HB25-1320'!CH31</f>
        <v>0</v>
      </c>
      <c r="CI31" s="23">
        <f>'New Formula with HB25-1320'!CI31</f>
        <v>0</v>
      </c>
      <c r="CJ31" s="23">
        <f>'New Formula with HB25-1320'!CJ31</f>
        <v>0</v>
      </c>
      <c r="CK31" s="23">
        <f>'New Formula with HB25-1320'!CK31</f>
        <v>1.5</v>
      </c>
      <c r="CL31" s="23">
        <f>'New Formula with HB25-1320'!CL31</f>
        <v>0</v>
      </c>
      <c r="CM31" s="23">
        <f>'New Formula with HB25-1320'!CM31</f>
        <v>0</v>
      </c>
      <c r="CN31" s="23">
        <f>'New Formula with HB25-1320'!CN31</f>
        <v>125</v>
      </c>
      <c r="CO31" s="23">
        <f>'New Formula with HB25-1320'!CO31</f>
        <v>0</v>
      </c>
      <c r="CP31" s="23">
        <f>'New Formula with HB25-1320'!CP31</f>
        <v>0</v>
      </c>
      <c r="CQ31" s="23">
        <f>'New Formula with HB25-1320'!CQ31</f>
        <v>0</v>
      </c>
      <c r="CR31" s="23">
        <f>'New Formula with HB25-1320'!CR31</f>
        <v>0</v>
      </c>
      <c r="CS31" s="23">
        <f>'New Formula with HB25-1320'!CS31</f>
        <v>0</v>
      </c>
      <c r="CT31" s="23">
        <f>'New Formula with HB25-1320'!CT31</f>
        <v>0</v>
      </c>
      <c r="CU31" s="23">
        <f>'New Formula with HB25-1320'!CU31</f>
        <v>0</v>
      </c>
      <c r="CV31" s="23">
        <f>'New Formula with HB25-1320'!CV31</f>
        <v>0</v>
      </c>
      <c r="CW31" s="23">
        <f>'New Formula with HB25-1320'!CW31</f>
        <v>0</v>
      </c>
      <c r="CX31" s="23">
        <f>'New Formula with HB25-1320'!CX31</f>
        <v>0</v>
      </c>
      <c r="CY31" s="23">
        <f>'New Formula with HB25-1320'!CY31</f>
        <v>0</v>
      </c>
      <c r="CZ31" s="23">
        <f>'New Formula with HB25-1320'!CZ31</f>
        <v>0</v>
      </c>
      <c r="DA31" s="23">
        <f>'New Formula with HB25-1320'!DA31</f>
        <v>0</v>
      </c>
      <c r="DB31" s="23">
        <f>'New Formula with HB25-1320'!DB31</f>
        <v>0</v>
      </c>
      <c r="DC31" s="23">
        <f>'New Formula with HB25-1320'!DC31</f>
        <v>0</v>
      </c>
      <c r="DD31" s="23">
        <f>'New Formula with HB25-1320'!DD31</f>
        <v>0</v>
      </c>
      <c r="DE31" s="23">
        <f>'New Formula with HB25-1320'!DE31</f>
        <v>0</v>
      </c>
      <c r="DF31" s="23">
        <f>'New Formula with HB25-1320'!DF31</f>
        <v>161</v>
      </c>
      <c r="DG31" s="23">
        <f>'New Formula with HB25-1320'!DG31</f>
        <v>0</v>
      </c>
      <c r="DH31" s="23">
        <f>'New Formula with HB25-1320'!DH31</f>
        <v>0</v>
      </c>
      <c r="DI31" s="23">
        <f>'New Formula with HB25-1320'!DI31</f>
        <v>7</v>
      </c>
      <c r="DJ31" s="23">
        <f>'New Formula with HB25-1320'!DJ31</f>
        <v>0</v>
      </c>
      <c r="DK31" s="23">
        <f>'New Formula with HB25-1320'!DK31</f>
        <v>0</v>
      </c>
      <c r="DL31" s="23">
        <f>'New Formula with HB25-1320'!DL31</f>
        <v>0</v>
      </c>
      <c r="DM31" s="23">
        <f>'New Formula with HB25-1320'!DM31</f>
        <v>0</v>
      </c>
      <c r="DN31" s="23">
        <f>'New Formula with HB25-1320'!DN31</f>
        <v>0</v>
      </c>
      <c r="DO31" s="23">
        <f>'New Formula with HB25-1320'!DO31</f>
        <v>0</v>
      </c>
      <c r="DP31" s="23">
        <f>'New Formula with HB25-1320'!DP31</f>
        <v>0</v>
      </c>
      <c r="DQ31" s="23">
        <f>'New Formula with HB25-1320'!DQ31</f>
        <v>0</v>
      </c>
      <c r="DR31" s="23">
        <f>'New Formula with HB25-1320'!DR31</f>
        <v>0</v>
      </c>
      <c r="DS31" s="23">
        <f>'New Formula with HB25-1320'!DS31</f>
        <v>0</v>
      </c>
      <c r="DT31" s="23">
        <f>'New Formula with HB25-1320'!DT31</f>
        <v>0</v>
      </c>
      <c r="DU31" s="23">
        <f>'New Formula with HB25-1320'!DU31</f>
        <v>0</v>
      </c>
      <c r="DV31" s="23">
        <f>'New Formula with HB25-1320'!DV31</f>
        <v>0</v>
      </c>
      <c r="DW31" s="23">
        <f>'New Formula with HB25-1320'!DW31</f>
        <v>0</v>
      </c>
      <c r="DX31" s="23">
        <f>'New Formula with HB25-1320'!DX31</f>
        <v>0</v>
      </c>
      <c r="DY31" s="23">
        <f>'New Formula with HB25-1320'!DY31</f>
        <v>0</v>
      </c>
      <c r="DZ31" s="23">
        <f>'New Formula with HB25-1320'!DZ31</f>
        <v>0</v>
      </c>
      <c r="EA31" s="23">
        <f>'New Formula with HB25-1320'!EA31</f>
        <v>0</v>
      </c>
      <c r="EB31" s="23">
        <f>'New Formula with HB25-1320'!EB31</f>
        <v>0</v>
      </c>
      <c r="EC31" s="23">
        <f>'New Formula with HB25-1320'!EC31</f>
        <v>0</v>
      </c>
      <c r="ED31" s="23">
        <f>'New Formula with HB25-1320'!ED31</f>
        <v>0</v>
      </c>
      <c r="EE31" s="23">
        <f>'New Formula with HB25-1320'!EE31</f>
        <v>0</v>
      </c>
      <c r="EF31" s="23">
        <f>'New Formula with HB25-1320'!EF31</f>
        <v>0</v>
      </c>
      <c r="EG31" s="23">
        <f>'New Formula with HB25-1320'!EG31</f>
        <v>0</v>
      </c>
      <c r="EH31" s="23">
        <f>'New Formula with HB25-1320'!EH31</f>
        <v>0</v>
      </c>
      <c r="EI31" s="23">
        <f>'New Formula with HB25-1320'!EI31</f>
        <v>0</v>
      </c>
      <c r="EJ31" s="23">
        <f>'New Formula with HB25-1320'!EJ31</f>
        <v>0</v>
      </c>
      <c r="EK31" s="23">
        <f>'New Formula with HB25-1320'!EK31</f>
        <v>0</v>
      </c>
      <c r="EL31" s="23">
        <f>'New Formula with HB25-1320'!EL31</f>
        <v>0</v>
      </c>
      <c r="EM31" s="23">
        <f>'New Formula with HB25-1320'!EM31</f>
        <v>0</v>
      </c>
      <c r="EN31" s="23">
        <f>'New Formula with HB25-1320'!EN31</f>
        <v>0</v>
      </c>
      <c r="EO31" s="23">
        <f>'New Formula with HB25-1320'!EO31</f>
        <v>0</v>
      </c>
      <c r="EP31" s="23">
        <f>'New Formula with HB25-1320'!EP31</f>
        <v>0</v>
      </c>
      <c r="EQ31" s="23">
        <f>'New Formula with HB25-1320'!EQ31</f>
        <v>21</v>
      </c>
      <c r="ER31" s="23">
        <f>'New Formula with HB25-1320'!ER31</f>
        <v>0</v>
      </c>
      <c r="ES31" s="23">
        <f>'New Formula with HB25-1320'!ES31</f>
        <v>0</v>
      </c>
      <c r="ET31" s="23">
        <f>'New Formula with HB25-1320'!ET31</f>
        <v>0</v>
      </c>
      <c r="EU31" s="23">
        <f>'New Formula with HB25-1320'!EU31</f>
        <v>0</v>
      </c>
      <c r="EV31" s="23">
        <f>'New Formula with HB25-1320'!EV31</f>
        <v>0</v>
      </c>
      <c r="EW31" s="23">
        <f>'New Formula with HB25-1320'!EW31</f>
        <v>0</v>
      </c>
      <c r="EX31" s="23">
        <f>'New Formula with HB25-1320'!EX31</f>
        <v>0</v>
      </c>
      <c r="EY31" s="23">
        <f>'New Formula with HB25-1320'!EY31</f>
        <v>0</v>
      </c>
      <c r="EZ31" s="23">
        <f>'New Formula with HB25-1320'!EZ31</f>
        <v>0</v>
      </c>
      <c r="FA31" s="23">
        <f>'New Formula with HB25-1320'!FA31</f>
        <v>0</v>
      </c>
      <c r="FB31" s="23">
        <f>'New Formula with HB25-1320'!FB31</f>
        <v>0</v>
      </c>
      <c r="FC31" s="23">
        <f>'New Formula with HB25-1320'!FC31</f>
        <v>0</v>
      </c>
      <c r="FD31" s="23">
        <f>'New Formula with HB25-1320'!FD31</f>
        <v>0</v>
      </c>
      <c r="FE31" s="23">
        <f>'New Formula with HB25-1320'!FE31</f>
        <v>0</v>
      </c>
      <c r="FF31" s="23">
        <f>'New Formula with HB25-1320'!FF31</f>
        <v>0</v>
      </c>
      <c r="FG31" s="23">
        <f>'New Formula with HB25-1320'!FG31</f>
        <v>0</v>
      </c>
      <c r="FH31" s="23">
        <f>'New Formula with HB25-1320'!FH31</f>
        <v>0</v>
      </c>
      <c r="FI31" s="23">
        <f>'New Formula with HB25-1320'!FI31</f>
        <v>0</v>
      </c>
      <c r="FJ31" s="23">
        <f>'New Formula with HB25-1320'!FJ31</f>
        <v>0</v>
      </c>
      <c r="FK31" s="23">
        <f>'New Formula with HB25-1320'!FK31</f>
        <v>0</v>
      </c>
      <c r="FL31" s="23">
        <f>'New Formula with HB25-1320'!FL31</f>
        <v>0</v>
      </c>
      <c r="FM31" s="23">
        <f>'New Formula with HB25-1320'!FM31</f>
        <v>0</v>
      </c>
      <c r="FN31" s="23">
        <f>'New Formula with HB25-1320'!FN31</f>
        <v>0</v>
      </c>
      <c r="FO31" s="23">
        <f>'New Formula with HB25-1320'!FO31</f>
        <v>0</v>
      </c>
      <c r="FP31" s="23">
        <f>'New Formula with HB25-1320'!FP31</f>
        <v>0</v>
      </c>
      <c r="FQ31" s="23">
        <f>'New Formula with HB25-1320'!FQ31</f>
        <v>0</v>
      </c>
      <c r="FR31" s="23">
        <f>'New Formula with HB25-1320'!FR31</f>
        <v>0</v>
      </c>
      <c r="FS31" s="23">
        <f>'New Formula with HB25-1320'!FS31</f>
        <v>0</v>
      </c>
      <c r="FT31" s="23">
        <f>'New Formula with HB25-1320'!FT31</f>
        <v>0</v>
      </c>
      <c r="FU31" s="23">
        <f>'New Formula with HB25-1320'!FU31</f>
        <v>0</v>
      </c>
      <c r="FV31" s="23">
        <f>'New Formula with HB25-1320'!FV31</f>
        <v>0</v>
      </c>
      <c r="FW31" s="23">
        <f>'New Formula with HB25-1320'!FW31</f>
        <v>0</v>
      </c>
      <c r="FX31" s="23">
        <f>'New Formula with HB25-1320'!FX31</f>
        <v>0</v>
      </c>
      <c r="FY31" s="23"/>
      <c r="FZ31" s="23">
        <f t="shared" si="7"/>
        <v>1547.5</v>
      </c>
      <c r="GA31" s="23"/>
      <c r="GB31" s="23"/>
      <c r="GC31" s="23"/>
      <c r="GD31" s="23"/>
      <c r="GE31" s="7"/>
      <c r="GF31" s="7"/>
      <c r="GG31" s="7"/>
      <c r="GH31" s="7"/>
      <c r="GI31" s="7"/>
      <c r="GJ31" s="7"/>
      <c r="GK31" s="7"/>
    </row>
    <row r="32" spans="1:207" ht="15.5" x14ac:dyDescent="0.35">
      <c r="A32" s="12" t="s">
        <v>755</v>
      </c>
      <c r="B32" s="7" t="s">
        <v>496</v>
      </c>
      <c r="C32" s="37">
        <f>'New Formula with HB25-1320'!C32</f>
        <v>0</v>
      </c>
      <c r="D32" s="23">
        <f>'New Formula with HB25-1320'!D32</f>
        <v>0</v>
      </c>
      <c r="E32" s="23">
        <f>'New Formula with HB25-1320'!E32</f>
        <v>0</v>
      </c>
      <c r="F32" s="23">
        <f>'New Formula with HB25-1320'!F32</f>
        <v>0</v>
      </c>
      <c r="G32" s="23">
        <f>'New Formula with HB25-1320'!G32</f>
        <v>0</v>
      </c>
      <c r="H32" s="23">
        <f>'New Formula with HB25-1320'!H32</f>
        <v>0</v>
      </c>
      <c r="I32" s="23">
        <f>'New Formula with HB25-1320'!I32</f>
        <v>0</v>
      </c>
      <c r="J32" s="23">
        <f>'New Formula with HB25-1320'!J32</f>
        <v>0</v>
      </c>
      <c r="K32" s="23">
        <f>'New Formula with HB25-1320'!K32</f>
        <v>0</v>
      </c>
      <c r="L32" s="23">
        <f>'New Formula with HB25-1320'!L32</f>
        <v>0</v>
      </c>
      <c r="M32" s="23">
        <f>'New Formula with HB25-1320'!M32</f>
        <v>0</v>
      </c>
      <c r="N32" s="23">
        <f>'New Formula with HB25-1320'!N32</f>
        <v>0</v>
      </c>
      <c r="O32" s="23">
        <f>'New Formula with HB25-1320'!O32</f>
        <v>0</v>
      </c>
      <c r="P32" s="23">
        <f>'New Formula with HB25-1320'!P32</f>
        <v>0</v>
      </c>
      <c r="Q32" s="23">
        <f>'New Formula with HB25-1320'!Q32</f>
        <v>0</v>
      </c>
      <c r="R32" s="23">
        <f>'New Formula with HB25-1320'!R32</f>
        <v>0</v>
      </c>
      <c r="S32" s="23">
        <f>'New Formula with HB25-1320'!S32</f>
        <v>0</v>
      </c>
      <c r="T32" s="23">
        <f>'New Formula with HB25-1320'!T32</f>
        <v>0</v>
      </c>
      <c r="U32" s="23">
        <f>'New Formula with HB25-1320'!U32</f>
        <v>0</v>
      </c>
      <c r="V32" s="23">
        <f>'New Formula with HB25-1320'!V32</f>
        <v>0</v>
      </c>
      <c r="W32" s="23">
        <f>'New Formula with HB25-1320'!W32</f>
        <v>0</v>
      </c>
      <c r="X32" s="23">
        <f>'New Formula with HB25-1320'!X32</f>
        <v>0</v>
      </c>
      <c r="Y32" s="23">
        <f>'New Formula with HB25-1320'!Y32</f>
        <v>0</v>
      </c>
      <c r="Z32" s="23">
        <f>'New Formula with HB25-1320'!Z32</f>
        <v>0</v>
      </c>
      <c r="AA32" s="23">
        <f>'New Formula with HB25-1320'!AA32</f>
        <v>0</v>
      </c>
      <c r="AB32" s="23">
        <f>'New Formula with HB25-1320'!AB32</f>
        <v>0</v>
      </c>
      <c r="AC32" s="23">
        <f>'New Formula with HB25-1320'!AC32</f>
        <v>0</v>
      </c>
      <c r="AD32" s="23">
        <f>'New Formula with HB25-1320'!AD32</f>
        <v>0</v>
      </c>
      <c r="AE32" s="23">
        <f>'New Formula with HB25-1320'!AE32</f>
        <v>0</v>
      </c>
      <c r="AF32" s="23">
        <f>'New Formula with HB25-1320'!AF32</f>
        <v>0</v>
      </c>
      <c r="AG32" s="23">
        <f>'New Formula with HB25-1320'!AG32</f>
        <v>0</v>
      </c>
      <c r="AH32" s="23">
        <f>'New Formula with HB25-1320'!AH32</f>
        <v>0</v>
      </c>
      <c r="AI32" s="23">
        <f>'New Formula with HB25-1320'!AI32</f>
        <v>0</v>
      </c>
      <c r="AJ32" s="23">
        <f>'New Formula with HB25-1320'!AJ32</f>
        <v>0</v>
      </c>
      <c r="AK32" s="23">
        <f>'New Formula with HB25-1320'!AK32</f>
        <v>0</v>
      </c>
      <c r="AL32" s="23">
        <f>'New Formula with HB25-1320'!AL32</f>
        <v>0</v>
      </c>
      <c r="AM32" s="23">
        <f>'New Formula with HB25-1320'!AM32</f>
        <v>0</v>
      </c>
      <c r="AN32" s="23">
        <f>'New Formula with HB25-1320'!AN32</f>
        <v>0</v>
      </c>
      <c r="AO32" s="23">
        <f>'New Formula with HB25-1320'!AO32</f>
        <v>0</v>
      </c>
      <c r="AP32" s="23">
        <f>'New Formula with HB25-1320'!AP32</f>
        <v>0</v>
      </c>
      <c r="AQ32" s="23">
        <f>'New Formula with HB25-1320'!AQ32</f>
        <v>0</v>
      </c>
      <c r="AR32" s="23">
        <f>'New Formula with HB25-1320'!AR32</f>
        <v>0</v>
      </c>
      <c r="AS32" s="23">
        <f>'New Formula with HB25-1320'!AS32</f>
        <v>0</v>
      </c>
      <c r="AT32" s="23">
        <f>'New Formula with HB25-1320'!AT32</f>
        <v>0</v>
      </c>
      <c r="AU32" s="23">
        <f>'New Formula with HB25-1320'!AU32</f>
        <v>0</v>
      </c>
      <c r="AV32" s="23">
        <f>'New Formula with HB25-1320'!AV32</f>
        <v>0</v>
      </c>
      <c r="AW32" s="23">
        <f>'New Formula with HB25-1320'!AW32</f>
        <v>0</v>
      </c>
      <c r="AX32" s="23">
        <f>'New Formula with HB25-1320'!AX32</f>
        <v>0</v>
      </c>
      <c r="AY32" s="23">
        <f>'New Formula with HB25-1320'!AY32</f>
        <v>0</v>
      </c>
      <c r="AZ32" s="23">
        <f>'New Formula with HB25-1320'!AZ32</f>
        <v>0</v>
      </c>
      <c r="BA32" s="23">
        <f>'New Formula with HB25-1320'!BA32</f>
        <v>0</v>
      </c>
      <c r="BB32" s="23">
        <f>'New Formula with HB25-1320'!BB32</f>
        <v>0</v>
      </c>
      <c r="BC32" s="23">
        <f>'New Formula with HB25-1320'!BC32</f>
        <v>0</v>
      </c>
      <c r="BD32" s="23">
        <f>'New Formula with HB25-1320'!BD32</f>
        <v>0</v>
      </c>
      <c r="BE32" s="23">
        <f>'New Formula with HB25-1320'!BE32</f>
        <v>0</v>
      </c>
      <c r="BF32" s="23">
        <f>'New Formula with HB25-1320'!BF32</f>
        <v>0</v>
      </c>
      <c r="BG32" s="23">
        <f>'New Formula with HB25-1320'!BG32</f>
        <v>0</v>
      </c>
      <c r="BH32" s="23">
        <f>'New Formula with HB25-1320'!BH32</f>
        <v>0</v>
      </c>
      <c r="BI32" s="23">
        <f>'New Formula with HB25-1320'!BI32</f>
        <v>0</v>
      </c>
      <c r="BJ32" s="23">
        <f>'New Formula with HB25-1320'!BJ32</f>
        <v>0</v>
      </c>
      <c r="BK32" s="23">
        <f>'New Formula with HB25-1320'!BK32</f>
        <v>0</v>
      </c>
      <c r="BL32" s="23">
        <f>'New Formula with HB25-1320'!BL32</f>
        <v>0</v>
      </c>
      <c r="BM32" s="23">
        <f>'New Formula with HB25-1320'!BM32</f>
        <v>0</v>
      </c>
      <c r="BN32" s="23">
        <f>'New Formula with HB25-1320'!BN32</f>
        <v>0</v>
      </c>
      <c r="BO32" s="23">
        <f>'New Formula with HB25-1320'!BO32</f>
        <v>0</v>
      </c>
      <c r="BP32" s="23">
        <f>'New Formula with HB25-1320'!BP32</f>
        <v>0</v>
      </c>
      <c r="BQ32" s="23">
        <f>'New Formula with HB25-1320'!BQ32</f>
        <v>0</v>
      </c>
      <c r="BR32" s="23">
        <f>'New Formula with HB25-1320'!BR32</f>
        <v>0</v>
      </c>
      <c r="BS32" s="23">
        <f>'New Formula with HB25-1320'!BS32</f>
        <v>0</v>
      </c>
      <c r="BT32" s="23">
        <f>'New Formula with HB25-1320'!BT32</f>
        <v>0</v>
      </c>
      <c r="BU32" s="23">
        <f>'New Formula with HB25-1320'!BU32</f>
        <v>0</v>
      </c>
      <c r="BV32" s="23">
        <f>'New Formula with HB25-1320'!BV32</f>
        <v>0</v>
      </c>
      <c r="BW32" s="23">
        <f>'New Formula with HB25-1320'!BW32</f>
        <v>0</v>
      </c>
      <c r="BX32" s="23">
        <f>'New Formula with HB25-1320'!BX32</f>
        <v>0</v>
      </c>
      <c r="BY32" s="23">
        <f>'New Formula with HB25-1320'!BY32</f>
        <v>0</v>
      </c>
      <c r="BZ32" s="23">
        <f>'New Formula with HB25-1320'!BZ32</f>
        <v>0</v>
      </c>
      <c r="CA32" s="23">
        <f>'New Formula with HB25-1320'!CA32</f>
        <v>0</v>
      </c>
      <c r="CB32" s="23">
        <f>'New Formula with HB25-1320'!CB32</f>
        <v>0</v>
      </c>
      <c r="CC32" s="23">
        <f>'New Formula with HB25-1320'!CC32</f>
        <v>0</v>
      </c>
      <c r="CD32" s="23">
        <f>'New Formula with HB25-1320'!CD32</f>
        <v>0</v>
      </c>
      <c r="CE32" s="23">
        <f>'New Formula with HB25-1320'!CE32</f>
        <v>0</v>
      </c>
      <c r="CF32" s="23">
        <f>'New Formula with HB25-1320'!CF32</f>
        <v>0</v>
      </c>
      <c r="CG32" s="23">
        <f>'New Formula with HB25-1320'!CG32</f>
        <v>0</v>
      </c>
      <c r="CH32" s="23">
        <f>'New Formula with HB25-1320'!CH32</f>
        <v>0</v>
      </c>
      <c r="CI32" s="23">
        <f>'New Formula with HB25-1320'!CI32</f>
        <v>0</v>
      </c>
      <c r="CJ32" s="23">
        <f>'New Formula with HB25-1320'!CJ32</f>
        <v>0</v>
      </c>
      <c r="CK32" s="23">
        <f>'New Formula with HB25-1320'!CK32</f>
        <v>0</v>
      </c>
      <c r="CL32" s="23">
        <f>'New Formula with HB25-1320'!CL32</f>
        <v>0</v>
      </c>
      <c r="CM32" s="23">
        <f>'New Formula with HB25-1320'!CM32</f>
        <v>0</v>
      </c>
      <c r="CN32" s="23">
        <f>'New Formula with HB25-1320'!CN32</f>
        <v>0</v>
      </c>
      <c r="CO32" s="23">
        <f>'New Formula with HB25-1320'!CO32</f>
        <v>0</v>
      </c>
      <c r="CP32" s="23">
        <f>'New Formula with HB25-1320'!CP32</f>
        <v>0</v>
      </c>
      <c r="CQ32" s="23">
        <f>'New Formula with HB25-1320'!CQ32</f>
        <v>0</v>
      </c>
      <c r="CR32" s="23">
        <f>'New Formula with HB25-1320'!CR32</f>
        <v>0</v>
      </c>
      <c r="CS32" s="23">
        <f>'New Formula with HB25-1320'!CS32</f>
        <v>0</v>
      </c>
      <c r="CT32" s="23">
        <f>'New Formula with HB25-1320'!CT32</f>
        <v>0</v>
      </c>
      <c r="CU32" s="23">
        <f>'New Formula with HB25-1320'!CU32</f>
        <v>0</v>
      </c>
      <c r="CV32" s="23">
        <f>'New Formula with HB25-1320'!CV32</f>
        <v>0</v>
      </c>
      <c r="CW32" s="23">
        <f>'New Formula with HB25-1320'!CW32</f>
        <v>0</v>
      </c>
      <c r="CX32" s="23">
        <f>'New Formula with HB25-1320'!CX32</f>
        <v>0</v>
      </c>
      <c r="CY32" s="23">
        <f>'New Formula with HB25-1320'!CY32</f>
        <v>0</v>
      </c>
      <c r="CZ32" s="23">
        <f>'New Formula with HB25-1320'!CZ32</f>
        <v>0</v>
      </c>
      <c r="DA32" s="23">
        <f>'New Formula with HB25-1320'!DA32</f>
        <v>0</v>
      </c>
      <c r="DB32" s="23">
        <f>'New Formula with HB25-1320'!DB32</f>
        <v>0</v>
      </c>
      <c r="DC32" s="23">
        <f>'New Formula with HB25-1320'!DC32</f>
        <v>0</v>
      </c>
      <c r="DD32" s="23">
        <f>'New Formula with HB25-1320'!DD32</f>
        <v>0</v>
      </c>
      <c r="DE32" s="23">
        <f>'New Formula with HB25-1320'!DE32</f>
        <v>0</v>
      </c>
      <c r="DF32" s="23">
        <f>'New Formula with HB25-1320'!DF32</f>
        <v>0</v>
      </c>
      <c r="DG32" s="23">
        <f>'New Formula with HB25-1320'!DG32</f>
        <v>0</v>
      </c>
      <c r="DH32" s="23">
        <f>'New Formula with HB25-1320'!DH32</f>
        <v>0</v>
      </c>
      <c r="DI32" s="23">
        <f>'New Formula with HB25-1320'!DI32</f>
        <v>0</v>
      </c>
      <c r="DJ32" s="23">
        <f>'New Formula with HB25-1320'!DJ32</f>
        <v>0</v>
      </c>
      <c r="DK32" s="23">
        <f>'New Formula with HB25-1320'!DK32</f>
        <v>0</v>
      </c>
      <c r="DL32" s="23">
        <f>'New Formula with HB25-1320'!DL32</f>
        <v>0</v>
      </c>
      <c r="DM32" s="23">
        <f>'New Formula with HB25-1320'!DM32</f>
        <v>0</v>
      </c>
      <c r="DN32" s="23">
        <f>'New Formula with HB25-1320'!DN32</f>
        <v>0</v>
      </c>
      <c r="DO32" s="23">
        <f>'New Formula with HB25-1320'!DO32</f>
        <v>0</v>
      </c>
      <c r="DP32" s="23">
        <f>'New Formula with HB25-1320'!DP32</f>
        <v>0</v>
      </c>
      <c r="DQ32" s="23">
        <f>'New Formula with HB25-1320'!DQ32</f>
        <v>0</v>
      </c>
      <c r="DR32" s="23">
        <f>'New Formula with HB25-1320'!DR32</f>
        <v>0</v>
      </c>
      <c r="DS32" s="23">
        <f>'New Formula with HB25-1320'!DS32</f>
        <v>0</v>
      </c>
      <c r="DT32" s="23">
        <f>'New Formula with HB25-1320'!DT32</f>
        <v>0</v>
      </c>
      <c r="DU32" s="23">
        <f>'New Formula with HB25-1320'!DU32</f>
        <v>0</v>
      </c>
      <c r="DV32" s="23">
        <f>'New Formula with HB25-1320'!DV32</f>
        <v>0</v>
      </c>
      <c r="DW32" s="23">
        <f>'New Formula with HB25-1320'!DW32</f>
        <v>0</v>
      </c>
      <c r="DX32" s="23">
        <f>'New Formula with HB25-1320'!DX32</f>
        <v>0</v>
      </c>
      <c r="DY32" s="23">
        <f>'New Formula with HB25-1320'!DY32</f>
        <v>0</v>
      </c>
      <c r="DZ32" s="23">
        <f>'New Formula with HB25-1320'!DZ32</f>
        <v>0</v>
      </c>
      <c r="EA32" s="23">
        <f>'New Formula with HB25-1320'!EA32</f>
        <v>0</v>
      </c>
      <c r="EB32" s="23">
        <f>'New Formula with HB25-1320'!EB32</f>
        <v>0</v>
      </c>
      <c r="EC32" s="23">
        <f>'New Formula with HB25-1320'!EC32</f>
        <v>0</v>
      </c>
      <c r="ED32" s="23">
        <f>'New Formula with HB25-1320'!ED32</f>
        <v>0</v>
      </c>
      <c r="EE32" s="23">
        <f>'New Formula with HB25-1320'!EE32</f>
        <v>0</v>
      </c>
      <c r="EF32" s="23">
        <f>'New Formula with HB25-1320'!EF32</f>
        <v>0</v>
      </c>
      <c r="EG32" s="23">
        <f>'New Formula with HB25-1320'!EG32</f>
        <v>0</v>
      </c>
      <c r="EH32" s="23">
        <f>'New Formula with HB25-1320'!EH32</f>
        <v>0</v>
      </c>
      <c r="EI32" s="23">
        <f>'New Formula with HB25-1320'!EI32</f>
        <v>0</v>
      </c>
      <c r="EJ32" s="23">
        <f>'New Formula with HB25-1320'!EJ32</f>
        <v>0</v>
      </c>
      <c r="EK32" s="23">
        <f>'New Formula with HB25-1320'!EK32</f>
        <v>0</v>
      </c>
      <c r="EL32" s="23">
        <f>'New Formula with HB25-1320'!EL32</f>
        <v>0</v>
      </c>
      <c r="EM32" s="23">
        <f>'New Formula with HB25-1320'!EM32</f>
        <v>0</v>
      </c>
      <c r="EN32" s="23">
        <f>'New Formula with HB25-1320'!EN32</f>
        <v>0</v>
      </c>
      <c r="EO32" s="23">
        <f>'New Formula with HB25-1320'!EO32</f>
        <v>0</v>
      </c>
      <c r="EP32" s="23">
        <f>'New Formula with HB25-1320'!EP32</f>
        <v>0</v>
      </c>
      <c r="EQ32" s="23">
        <f>'New Formula with HB25-1320'!EQ32</f>
        <v>0</v>
      </c>
      <c r="ER32" s="23">
        <f>'New Formula with HB25-1320'!ER32</f>
        <v>0</v>
      </c>
      <c r="ES32" s="23">
        <f>'New Formula with HB25-1320'!ES32</f>
        <v>0</v>
      </c>
      <c r="ET32" s="23">
        <f>'New Formula with HB25-1320'!ET32</f>
        <v>0</v>
      </c>
      <c r="EU32" s="23">
        <f>'New Formula with HB25-1320'!EU32</f>
        <v>0</v>
      </c>
      <c r="EV32" s="23">
        <f>'New Formula with HB25-1320'!EV32</f>
        <v>0</v>
      </c>
      <c r="EW32" s="23">
        <f>'New Formula with HB25-1320'!EW32</f>
        <v>0</v>
      </c>
      <c r="EX32" s="23">
        <f>'New Formula with HB25-1320'!EX32</f>
        <v>0</v>
      </c>
      <c r="EY32" s="23">
        <f>'New Formula with HB25-1320'!EY32</f>
        <v>0</v>
      </c>
      <c r="EZ32" s="23">
        <f>'New Formula with HB25-1320'!EZ32</f>
        <v>0</v>
      </c>
      <c r="FA32" s="23">
        <f>'New Formula with HB25-1320'!FA32</f>
        <v>0</v>
      </c>
      <c r="FB32" s="23">
        <f>'New Formula with HB25-1320'!FB32</f>
        <v>0</v>
      </c>
      <c r="FC32" s="23">
        <f>'New Formula with HB25-1320'!FC32</f>
        <v>0</v>
      </c>
      <c r="FD32" s="23">
        <f>'New Formula with HB25-1320'!FD32</f>
        <v>0</v>
      </c>
      <c r="FE32" s="23">
        <f>'New Formula with HB25-1320'!FE32</f>
        <v>0</v>
      </c>
      <c r="FF32" s="23">
        <f>'New Formula with HB25-1320'!FF32</f>
        <v>0</v>
      </c>
      <c r="FG32" s="23">
        <f>'New Formula with HB25-1320'!FG32</f>
        <v>0</v>
      </c>
      <c r="FH32" s="23">
        <f>'New Formula with HB25-1320'!FH32</f>
        <v>0</v>
      </c>
      <c r="FI32" s="23">
        <f>'New Formula with HB25-1320'!FI32</f>
        <v>0</v>
      </c>
      <c r="FJ32" s="23">
        <f>'New Formula with HB25-1320'!FJ32</f>
        <v>0</v>
      </c>
      <c r="FK32" s="23">
        <f>'New Formula with HB25-1320'!FK32</f>
        <v>0</v>
      </c>
      <c r="FL32" s="23">
        <f>'New Formula with HB25-1320'!FL32</f>
        <v>0</v>
      </c>
      <c r="FM32" s="23">
        <f>'New Formula with HB25-1320'!FM32</f>
        <v>0</v>
      </c>
      <c r="FN32" s="23">
        <f>'New Formula with HB25-1320'!FN32</f>
        <v>0</v>
      </c>
      <c r="FO32" s="23">
        <f>'New Formula with HB25-1320'!FO32</f>
        <v>0</v>
      </c>
      <c r="FP32" s="23">
        <f>'New Formula with HB25-1320'!FP32</f>
        <v>0</v>
      </c>
      <c r="FQ32" s="23">
        <f>'New Formula with HB25-1320'!FQ32</f>
        <v>0</v>
      </c>
      <c r="FR32" s="23">
        <f>'New Formula with HB25-1320'!FR32</f>
        <v>0</v>
      </c>
      <c r="FS32" s="23">
        <f>'New Formula with HB25-1320'!FS32</f>
        <v>0</v>
      </c>
      <c r="FT32" s="23">
        <f>'New Formula with HB25-1320'!FT32</f>
        <v>0</v>
      </c>
      <c r="FU32" s="23">
        <f>'New Formula with HB25-1320'!FU32</f>
        <v>0</v>
      </c>
      <c r="FV32" s="23">
        <f>'New Formula with HB25-1320'!FV32</f>
        <v>0</v>
      </c>
      <c r="FW32" s="23">
        <f>'New Formula with HB25-1320'!FW32</f>
        <v>0</v>
      </c>
      <c r="FX32" s="23">
        <f>'New Formula with HB25-1320'!FX32</f>
        <v>0</v>
      </c>
      <c r="FY32" s="23"/>
      <c r="FZ32" s="23">
        <f t="shared" si="7"/>
        <v>0</v>
      </c>
      <c r="GA32" s="23"/>
      <c r="GB32" s="23"/>
      <c r="GC32" s="23"/>
      <c r="GD32" s="23"/>
      <c r="GE32" s="7"/>
      <c r="GF32" s="7"/>
      <c r="GG32" s="7"/>
      <c r="GH32" s="7"/>
      <c r="GI32" s="7"/>
      <c r="GJ32" s="7"/>
      <c r="GK32" s="7"/>
    </row>
    <row r="33" spans="1:207" ht="15.5" x14ac:dyDescent="0.35">
      <c r="A33" s="12" t="s">
        <v>485</v>
      </c>
      <c r="B33" s="7" t="s">
        <v>498</v>
      </c>
      <c r="C33" s="26">
        <f>'New Formula with HB25-1320'!C33</f>
        <v>0</v>
      </c>
      <c r="D33" s="26">
        <f>'New Formula with HB25-1320'!D33</f>
        <v>0</v>
      </c>
      <c r="E33" s="26">
        <f>'New Formula with HB25-1320'!E33</f>
        <v>0</v>
      </c>
      <c r="F33" s="26">
        <f>'New Formula with HB25-1320'!F33</f>
        <v>0</v>
      </c>
      <c r="G33" s="26">
        <f>'New Formula with HB25-1320'!G33</f>
        <v>0</v>
      </c>
      <c r="H33" s="26">
        <f>'New Formula with HB25-1320'!H33</f>
        <v>0</v>
      </c>
      <c r="I33" s="26">
        <f>'New Formula with HB25-1320'!I33</f>
        <v>0</v>
      </c>
      <c r="J33" s="26">
        <f>'New Formula with HB25-1320'!J33</f>
        <v>0</v>
      </c>
      <c r="K33" s="26">
        <f>'New Formula with HB25-1320'!K33</f>
        <v>0</v>
      </c>
      <c r="L33" s="26">
        <f>'New Formula with HB25-1320'!L33</f>
        <v>0</v>
      </c>
      <c r="M33" s="26">
        <f>'New Formula with HB25-1320'!M33</f>
        <v>0</v>
      </c>
      <c r="N33" s="26">
        <f>'New Formula with HB25-1320'!N33</f>
        <v>0</v>
      </c>
      <c r="O33" s="26">
        <f>'New Formula with HB25-1320'!O33</f>
        <v>0</v>
      </c>
      <c r="P33" s="26">
        <f>'New Formula with HB25-1320'!P33</f>
        <v>0</v>
      </c>
      <c r="Q33" s="26">
        <f>'New Formula with HB25-1320'!Q33</f>
        <v>0</v>
      </c>
      <c r="R33" s="26">
        <f>'New Formula with HB25-1320'!R33</f>
        <v>0</v>
      </c>
      <c r="S33" s="26">
        <f>'New Formula with HB25-1320'!S33</f>
        <v>0</v>
      </c>
      <c r="T33" s="26">
        <f>'New Formula with HB25-1320'!T33</f>
        <v>0</v>
      </c>
      <c r="U33" s="26">
        <f>'New Formula with HB25-1320'!U33</f>
        <v>0</v>
      </c>
      <c r="V33" s="26">
        <f>'New Formula with HB25-1320'!V33</f>
        <v>0</v>
      </c>
      <c r="W33" s="26">
        <f>'New Formula with HB25-1320'!W33</f>
        <v>0</v>
      </c>
      <c r="X33" s="26">
        <f>'New Formula with HB25-1320'!X33</f>
        <v>0</v>
      </c>
      <c r="Y33" s="26">
        <f>'New Formula with HB25-1320'!Y33</f>
        <v>0</v>
      </c>
      <c r="Z33" s="26">
        <f>'New Formula with HB25-1320'!Z33</f>
        <v>0</v>
      </c>
      <c r="AA33" s="26">
        <f>'New Formula with HB25-1320'!AA33</f>
        <v>0</v>
      </c>
      <c r="AB33" s="26">
        <f>'New Formula with HB25-1320'!AB33</f>
        <v>0</v>
      </c>
      <c r="AC33" s="26">
        <f>'New Formula with HB25-1320'!AC33</f>
        <v>0</v>
      </c>
      <c r="AD33" s="26">
        <f>'New Formula with HB25-1320'!AD33</f>
        <v>0</v>
      </c>
      <c r="AE33" s="26">
        <f>'New Formula with HB25-1320'!AE33</f>
        <v>0</v>
      </c>
      <c r="AF33" s="26">
        <f>'New Formula with HB25-1320'!AF33</f>
        <v>0</v>
      </c>
      <c r="AG33" s="26">
        <f>'New Formula with HB25-1320'!AG33</f>
        <v>0</v>
      </c>
      <c r="AH33" s="26">
        <f>'New Formula with HB25-1320'!AH33</f>
        <v>0</v>
      </c>
      <c r="AI33" s="26">
        <f>'New Formula with HB25-1320'!AI33</f>
        <v>0</v>
      </c>
      <c r="AJ33" s="26">
        <f>'New Formula with HB25-1320'!AJ33</f>
        <v>0</v>
      </c>
      <c r="AK33" s="26">
        <f>'New Formula with HB25-1320'!AK33</f>
        <v>0</v>
      </c>
      <c r="AL33" s="26">
        <f>'New Formula with HB25-1320'!AL33</f>
        <v>0</v>
      </c>
      <c r="AM33" s="26">
        <f>'New Formula with HB25-1320'!AM33</f>
        <v>0</v>
      </c>
      <c r="AN33" s="26">
        <f>'New Formula with HB25-1320'!AN33</f>
        <v>0</v>
      </c>
      <c r="AO33" s="26">
        <f>'New Formula with HB25-1320'!AO33</f>
        <v>0</v>
      </c>
      <c r="AP33" s="26">
        <f>'New Formula with HB25-1320'!AP33</f>
        <v>0</v>
      </c>
      <c r="AQ33" s="26">
        <f>'New Formula with HB25-1320'!AQ33</f>
        <v>0</v>
      </c>
      <c r="AR33" s="26">
        <f>'New Formula with HB25-1320'!AR33</f>
        <v>0</v>
      </c>
      <c r="AS33" s="26">
        <f>'New Formula with HB25-1320'!AS33</f>
        <v>0</v>
      </c>
      <c r="AT33" s="26">
        <f>'New Formula with HB25-1320'!AT33</f>
        <v>0</v>
      </c>
      <c r="AU33" s="26">
        <f>'New Formula with HB25-1320'!AU33</f>
        <v>0</v>
      </c>
      <c r="AV33" s="26">
        <f>'New Formula with HB25-1320'!AV33</f>
        <v>0</v>
      </c>
      <c r="AW33" s="26">
        <f>'New Formula with HB25-1320'!AW33</f>
        <v>0</v>
      </c>
      <c r="AX33" s="26">
        <f>'New Formula with HB25-1320'!AX33</f>
        <v>0</v>
      </c>
      <c r="AY33" s="26">
        <f>'New Formula with HB25-1320'!AY33</f>
        <v>0</v>
      </c>
      <c r="AZ33" s="26">
        <f>'New Formula with HB25-1320'!AZ33</f>
        <v>0</v>
      </c>
      <c r="BA33" s="26">
        <f>'New Formula with HB25-1320'!BA33</f>
        <v>0</v>
      </c>
      <c r="BB33" s="26">
        <f>'New Formula with HB25-1320'!BB33</f>
        <v>0</v>
      </c>
      <c r="BC33" s="26">
        <f>'New Formula with HB25-1320'!BC33</f>
        <v>0</v>
      </c>
      <c r="BD33" s="26">
        <f>'New Formula with HB25-1320'!BD33</f>
        <v>0</v>
      </c>
      <c r="BE33" s="26">
        <f>'New Formula with HB25-1320'!BE33</f>
        <v>0</v>
      </c>
      <c r="BF33" s="26">
        <f>'New Formula with HB25-1320'!BF33</f>
        <v>0</v>
      </c>
      <c r="BG33" s="26">
        <f>'New Formula with HB25-1320'!BG33</f>
        <v>0</v>
      </c>
      <c r="BH33" s="26">
        <f>'New Formula with HB25-1320'!BH33</f>
        <v>0</v>
      </c>
      <c r="BI33" s="26">
        <f>'New Formula with HB25-1320'!BI33</f>
        <v>0</v>
      </c>
      <c r="BJ33" s="26">
        <f>'New Formula with HB25-1320'!BJ33</f>
        <v>0</v>
      </c>
      <c r="BK33" s="26">
        <f>'New Formula with HB25-1320'!BK33</f>
        <v>0</v>
      </c>
      <c r="BL33" s="26">
        <f>'New Formula with HB25-1320'!BL33</f>
        <v>0</v>
      </c>
      <c r="BM33" s="26">
        <f>'New Formula with HB25-1320'!BM33</f>
        <v>0</v>
      </c>
      <c r="BN33" s="26">
        <f>'New Formula with HB25-1320'!BN33</f>
        <v>0</v>
      </c>
      <c r="BO33" s="26">
        <f>'New Formula with HB25-1320'!BO33</f>
        <v>0</v>
      </c>
      <c r="BP33" s="26">
        <f>'New Formula with HB25-1320'!BP33</f>
        <v>0</v>
      </c>
      <c r="BQ33" s="26">
        <f>'New Formula with HB25-1320'!BQ33</f>
        <v>0</v>
      </c>
      <c r="BR33" s="26">
        <f>'New Formula with HB25-1320'!BR33</f>
        <v>0</v>
      </c>
      <c r="BS33" s="26">
        <f>'New Formula with HB25-1320'!BS33</f>
        <v>0</v>
      </c>
      <c r="BT33" s="26">
        <f>'New Formula with HB25-1320'!BT33</f>
        <v>0</v>
      </c>
      <c r="BU33" s="26">
        <f>'New Formula with HB25-1320'!BU33</f>
        <v>0</v>
      </c>
      <c r="BV33" s="26">
        <f>'New Formula with HB25-1320'!BV33</f>
        <v>0</v>
      </c>
      <c r="BW33" s="26">
        <f>'New Formula with HB25-1320'!BW33</f>
        <v>0</v>
      </c>
      <c r="BX33" s="26">
        <f>'New Formula with HB25-1320'!BX33</f>
        <v>0</v>
      </c>
      <c r="BY33" s="26">
        <f>'New Formula with HB25-1320'!BY33</f>
        <v>0</v>
      </c>
      <c r="BZ33" s="26">
        <f>'New Formula with HB25-1320'!BZ33</f>
        <v>0</v>
      </c>
      <c r="CA33" s="26">
        <f>'New Formula with HB25-1320'!CA33</f>
        <v>0</v>
      </c>
      <c r="CB33" s="26">
        <f>'New Formula with HB25-1320'!CB33</f>
        <v>0</v>
      </c>
      <c r="CC33" s="26">
        <f>'New Formula with HB25-1320'!CC33</f>
        <v>0</v>
      </c>
      <c r="CD33" s="26">
        <f>'New Formula with HB25-1320'!CD33</f>
        <v>0</v>
      </c>
      <c r="CE33" s="26">
        <f>'New Formula with HB25-1320'!CE33</f>
        <v>0</v>
      </c>
      <c r="CF33" s="26">
        <f>'New Formula with HB25-1320'!CF33</f>
        <v>0</v>
      </c>
      <c r="CG33" s="26">
        <f>'New Formula with HB25-1320'!CG33</f>
        <v>0</v>
      </c>
      <c r="CH33" s="26">
        <f>'New Formula with HB25-1320'!CH33</f>
        <v>0</v>
      </c>
      <c r="CI33" s="26">
        <f>'New Formula with HB25-1320'!CI33</f>
        <v>0</v>
      </c>
      <c r="CJ33" s="26">
        <f>'New Formula with HB25-1320'!CJ33</f>
        <v>0</v>
      </c>
      <c r="CK33" s="26">
        <f>'New Formula with HB25-1320'!CK33</f>
        <v>0</v>
      </c>
      <c r="CL33" s="26">
        <f>'New Formula with HB25-1320'!CL33</f>
        <v>0</v>
      </c>
      <c r="CM33" s="26">
        <f>'New Formula with HB25-1320'!CM33</f>
        <v>0</v>
      </c>
      <c r="CN33" s="26">
        <f>'New Formula with HB25-1320'!CN33</f>
        <v>408</v>
      </c>
      <c r="CO33" s="26">
        <f>'New Formula with HB25-1320'!CO33</f>
        <v>0</v>
      </c>
      <c r="CP33" s="26">
        <f>'New Formula with HB25-1320'!CP33</f>
        <v>0</v>
      </c>
      <c r="CQ33" s="26">
        <f>'New Formula with HB25-1320'!CQ33</f>
        <v>0</v>
      </c>
      <c r="CR33" s="26">
        <f>'New Formula with HB25-1320'!CR33</f>
        <v>0</v>
      </c>
      <c r="CS33" s="26">
        <f>'New Formula with HB25-1320'!CS33</f>
        <v>0</v>
      </c>
      <c r="CT33" s="26">
        <f>'New Formula with HB25-1320'!CT33</f>
        <v>0</v>
      </c>
      <c r="CU33" s="26">
        <f>'New Formula with HB25-1320'!CU33</f>
        <v>0</v>
      </c>
      <c r="CV33" s="26">
        <f>'New Formula with HB25-1320'!CV33</f>
        <v>0</v>
      </c>
      <c r="CW33" s="26">
        <f>'New Formula with HB25-1320'!CW33</f>
        <v>0</v>
      </c>
      <c r="CX33" s="26">
        <f>'New Formula with HB25-1320'!CX33</f>
        <v>0</v>
      </c>
      <c r="CY33" s="26">
        <f>'New Formula with HB25-1320'!CY33</f>
        <v>0</v>
      </c>
      <c r="CZ33" s="26">
        <f>'New Formula with HB25-1320'!CZ33</f>
        <v>0</v>
      </c>
      <c r="DA33" s="26">
        <f>'New Formula with HB25-1320'!DA33</f>
        <v>0</v>
      </c>
      <c r="DB33" s="26">
        <f>'New Formula with HB25-1320'!DB33</f>
        <v>0</v>
      </c>
      <c r="DC33" s="26">
        <f>'New Formula with HB25-1320'!DC33</f>
        <v>0</v>
      </c>
      <c r="DD33" s="26">
        <f>'New Formula with HB25-1320'!DD33</f>
        <v>0</v>
      </c>
      <c r="DE33" s="26">
        <f>'New Formula with HB25-1320'!DE33</f>
        <v>0</v>
      </c>
      <c r="DF33" s="26">
        <f>'New Formula with HB25-1320'!DF33</f>
        <v>0</v>
      </c>
      <c r="DG33" s="26">
        <f>'New Formula with HB25-1320'!DG33</f>
        <v>0</v>
      </c>
      <c r="DH33" s="26">
        <f>'New Formula with HB25-1320'!DH33</f>
        <v>0</v>
      </c>
      <c r="DI33" s="26">
        <f>'New Formula with HB25-1320'!DI33</f>
        <v>0</v>
      </c>
      <c r="DJ33" s="26">
        <f>'New Formula with HB25-1320'!DJ33</f>
        <v>0</v>
      </c>
      <c r="DK33" s="26">
        <f>'New Formula with HB25-1320'!DK33</f>
        <v>0</v>
      </c>
      <c r="DL33" s="26">
        <f>'New Formula with HB25-1320'!DL33</f>
        <v>0</v>
      </c>
      <c r="DM33" s="26">
        <f>'New Formula with HB25-1320'!DM33</f>
        <v>0</v>
      </c>
      <c r="DN33" s="26">
        <f>'New Formula with HB25-1320'!DN33</f>
        <v>0</v>
      </c>
      <c r="DO33" s="26">
        <f>'New Formula with HB25-1320'!DO33</f>
        <v>0</v>
      </c>
      <c r="DP33" s="26">
        <f>'New Formula with HB25-1320'!DP33</f>
        <v>0</v>
      </c>
      <c r="DQ33" s="26">
        <f>'New Formula with HB25-1320'!DQ33</f>
        <v>0</v>
      </c>
      <c r="DR33" s="26">
        <f>'New Formula with HB25-1320'!DR33</f>
        <v>0</v>
      </c>
      <c r="DS33" s="26">
        <f>'New Formula with HB25-1320'!DS33</f>
        <v>0</v>
      </c>
      <c r="DT33" s="26">
        <f>'New Formula with HB25-1320'!DT33</f>
        <v>0</v>
      </c>
      <c r="DU33" s="26">
        <f>'New Formula with HB25-1320'!DU33</f>
        <v>0</v>
      </c>
      <c r="DV33" s="26">
        <f>'New Formula with HB25-1320'!DV33</f>
        <v>0</v>
      </c>
      <c r="DW33" s="26">
        <f>'New Formula with HB25-1320'!DW33</f>
        <v>0</v>
      </c>
      <c r="DX33" s="26">
        <f>'New Formula with HB25-1320'!DX33</f>
        <v>0</v>
      </c>
      <c r="DY33" s="26">
        <f>'New Formula with HB25-1320'!DY33</f>
        <v>0</v>
      </c>
      <c r="DZ33" s="26">
        <f>'New Formula with HB25-1320'!DZ33</f>
        <v>0</v>
      </c>
      <c r="EA33" s="26">
        <f>'New Formula with HB25-1320'!EA33</f>
        <v>0</v>
      </c>
      <c r="EB33" s="26">
        <f>'New Formula with HB25-1320'!EB33</f>
        <v>0</v>
      </c>
      <c r="EC33" s="26">
        <f>'New Formula with HB25-1320'!EC33</f>
        <v>0</v>
      </c>
      <c r="ED33" s="26">
        <f>'New Formula with HB25-1320'!ED33</f>
        <v>0</v>
      </c>
      <c r="EE33" s="26">
        <f>'New Formula with HB25-1320'!EE33</f>
        <v>0</v>
      </c>
      <c r="EF33" s="26">
        <f>'New Formula with HB25-1320'!EF33</f>
        <v>0</v>
      </c>
      <c r="EG33" s="26">
        <f>'New Formula with HB25-1320'!EG33</f>
        <v>0</v>
      </c>
      <c r="EH33" s="26">
        <f>'New Formula with HB25-1320'!EH33</f>
        <v>0</v>
      </c>
      <c r="EI33" s="26">
        <f>'New Formula with HB25-1320'!EI33</f>
        <v>0</v>
      </c>
      <c r="EJ33" s="26">
        <f>'New Formula with HB25-1320'!EJ33</f>
        <v>0</v>
      </c>
      <c r="EK33" s="26">
        <f>'New Formula with HB25-1320'!EK33</f>
        <v>0</v>
      </c>
      <c r="EL33" s="26">
        <f>'New Formula with HB25-1320'!EL33</f>
        <v>0</v>
      </c>
      <c r="EM33" s="26">
        <f>'New Formula with HB25-1320'!EM33</f>
        <v>0</v>
      </c>
      <c r="EN33" s="26">
        <f>'New Formula with HB25-1320'!EN33</f>
        <v>0</v>
      </c>
      <c r="EO33" s="26">
        <f>'New Formula with HB25-1320'!EO33</f>
        <v>0</v>
      </c>
      <c r="EP33" s="26">
        <f>'New Formula with HB25-1320'!EP33</f>
        <v>0</v>
      </c>
      <c r="EQ33" s="26">
        <f>'New Formula with HB25-1320'!EQ33</f>
        <v>0</v>
      </c>
      <c r="ER33" s="26">
        <f>'New Formula with HB25-1320'!ER33</f>
        <v>0</v>
      </c>
      <c r="ES33" s="26">
        <f>'New Formula with HB25-1320'!ES33</f>
        <v>0</v>
      </c>
      <c r="ET33" s="26">
        <f>'New Formula with HB25-1320'!ET33</f>
        <v>0</v>
      </c>
      <c r="EU33" s="26">
        <f>'New Formula with HB25-1320'!EU33</f>
        <v>0</v>
      </c>
      <c r="EV33" s="26">
        <f>'New Formula with HB25-1320'!EV33</f>
        <v>0</v>
      </c>
      <c r="EW33" s="26">
        <f>'New Formula with HB25-1320'!EW33</f>
        <v>0</v>
      </c>
      <c r="EX33" s="26">
        <f>'New Formula with HB25-1320'!EX33</f>
        <v>0</v>
      </c>
      <c r="EY33" s="26">
        <f>'New Formula with HB25-1320'!EY33</f>
        <v>0</v>
      </c>
      <c r="EZ33" s="26">
        <f>'New Formula with HB25-1320'!EZ33</f>
        <v>0</v>
      </c>
      <c r="FA33" s="26">
        <f>'New Formula with HB25-1320'!FA33</f>
        <v>0</v>
      </c>
      <c r="FB33" s="26">
        <f>'New Formula with HB25-1320'!FB33</f>
        <v>0</v>
      </c>
      <c r="FC33" s="26">
        <f>'New Formula with HB25-1320'!FC33</f>
        <v>0</v>
      </c>
      <c r="FD33" s="26">
        <f>'New Formula with HB25-1320'!FD33</f>
        <v>0</v>
      </c>
      <c r="FE33" s="26">
        <f>'New Formula with HB25-1320'!FE33</f>
        <v>0</v>
      </c>
      <c r="FF33" s="26">
        <f>'New Formula with HB25-1320'!FF33</f>
        <v>0</v>
      </c>
      <c r="FG33" s="26">
        <f>'New Formula with HB25-1320'!FG33</f>
        <v>0</v>
      </c>
      <c r="FH33" s="26">
        <f>'New Formula with HB25-1320'!FH33</f>
        <v>0</v>
      </c>
      <c r="FI33" s="26">
        <f>'New Formula with HB25-1320'!FI33</f>
        <v>0</v>
      </c>
      <c r="FJ33" s="26">
        <f>'New Formula with HB25-1320'!FJ33</f>
        <v>0</v>
      </c>
      <c r="FK33" s="26">
        <f>'New Formula with HB25-1320'!FK33</f>
        <v>0</v>
      </c>
      <c r="FL33" s="26">
        <f>'New Formula with HB25-1320'!FL33</f>
        <v>0</v>
      </c>
      <c r="FM33" s="26">
        <f>'New Formula with HB25-1320'!FM33</f>
        <v>0</v>
      </c>
      <c r="FN33" s="26">
        <f>'New Formula with HB25-1320'!FN33</f>
        <v>0</v>
      </c>
      <c r="FO33" s="26">
        <f>'New Formula with HB25-1320'!FO33</f>
        <v>0</v>
      </c>
      <c r="FP33" s="26">
        <f>'New Formula with HB25-1320'!FP33</f>
        <v>0</v>
      </c>
      <c r="FQ33" s="26">
        <f>'New Formula with HB25-1320'!FQ33</f>
        <v>0</v>
      </c>
      <c r="FR33" s="26">
        <f>'New Formula with HB25-1320'!FR33</f>
        <v>0</v>
      </c>
      <c r="FS33" s="26">
        <f>'New Formula with HB25-1320'!FS33</f>
        <v>0</v>
      </c>
      <c r="FT33" s="26">
        <f>'New Formula with HB25-1320'!FT33</f>
        <v>0</v>
      </c>
      <c r="FU33" s="26">
        <f>'New Formula with HB25-1320'!FU33</f>
        <v>0</v>
      </c>
      <c r="FV33" s="26">
        <f>'New Formula with HB25-1320'!FV33</f>
        <v>0</v>
      </c>
      <c r="FW33" s="26">
        <f>'New Formula with HB25-1320'!FW33</f>
        <v>0</v>
      </c>
      <c r="FX33" s="26">
        <f>'New Formula with HB25-1320'!FX33</f>
        <v>0</v>
      </c>
      <c r="FY33" s="26">
        <v>0</v>
      </c>
      <c r="FZ33" s="23">
        <f t="shared" si="7"/>
        <v>408</v>
      </c>
      <c r="GA33" s="26"/>
      <c r="GB33" s="23"/>
      <c r="GC33" s="23"/>
      <c r="GD33" s="23"/>
      <c r="GE33" s="7"/>
      <c r="GF33" s="7"/>
      <c r="GG33" s="7"/>
      <c r="GH33" s="7"/>
      <c r="GI33" s="7"/>
      <c r="GJ33" s="7"/>
      <c r="GK33" s="7"/>
    </row>
    <row r="34" spans="1:207" ht="15.5" x14ac:dyDescent="0.35">
      <c r="A34" s="12" t="s">
        <v>756</v>
      </c>
      <c r="B34" s="7" t="s">
        <v>757</v>
      </c>
      <c r="C34" s="26">
        <f>'New Formula with HB25-1320'!C34</f>
        <v>0</v>
      </c>
      <c r="D34" s="26">
        <f>'New Formula with HB25-1320'!D34</f>
        <v>0</v>
      </c>
      <c r="E34" s="26">
        <f>'New Formula with HB25-1320'!E34</f>
        <v>0</v>
      </c>
      <c r="F34" s="26">
        <f>'New Formula with HB25-1320'!F34</f>
        <v>0</v>
      </c>
      <c r="G34" s="26">
        <f>'New Formula with HB25-1320'!G34</f>
        <v>0</v>
      </c>
      <c r="H34" s="26">
        <f>'New Formula with HB25-1320'!H34</f>
        <v>0</v>
      </c>
      <c r="I34" s="26">
        <f>'New Formula with HB25-1320'!I34</f>
        <v>0</v>
      </c>
      <c r="J34" s="26">
        <f>'New Formula with HB25-1320'!J34</f>
        <v>0</v>
      </c>
      <c r="K34" s="26">
        <f>'New Formula with HB25-1320'!K34</f>
        <v>0</v>
      </c>
      <c r="L34" s="26">
        <f>'New Formula with HB25-1320'!L34</f>
        <v>0</v>
      </c>
      <c r="M34" s="26">
        <f>'New Formula with HB25-1320'!M34</f>
        <v>0</v>
      </c>
      <c r="N34" s="26">
        <f>'New Formula with HB25-1320'!N34</f>
        <v>0</v>
      </c>
      <c r="O34" s="26">
        <f>'New Formula with HB25-1320'!O34</f>
        <v>0</v>
      </c>
      <c r="P34" s="26">
        <f>'New Formula with HB25-1320'!P34</f>
        <v>0</v>
      </c>
      <c r="Q34" s="26">
        <f>'New Formula with HB25-1320'!Q34</f>
        <v>1</v>
      </c>
      <c r="R34" s="26">
        <f>'New Formula with HB25-1320'!R34</f>
        <v>0</v>
      </c>
      <c r="S34" s="26">
        <f>'New Formula with HB25-1320'!S34</f>
        <v>0</v>
      </c>
      <c r="T34" s="26">
        <f>'New Formula with HB25-1320'!T34</f>
        <v>0</v>
      </c>
      <c r="U34" s="26">
        <f>'New Formula with HB25-1320'!U34</f>
        <v>0</v>
      </c>
      <c r="V34" s="26">
        <f>'New Formula with HB25-1320'!V34</f>
        <v>0</v>
      </c>
      <c r="W34" s="26">
        <f>'New Formula with HB25-1320'!W34</f>
        <v>0</v>
      </c>
      <c r="X34" s="26">
        <f>'New Formula with HB25-1320'!X34</f>
        <v>0</v>
      </c>
      <c r="Y34" s="26">
        <f>'New Formula with HB25-1320'!Y34</f>
        <v>0</v>
      </c>
      <c r="Z34" s="26">
        <f>'New Formula with HB25-1320'!Z34</f>
        <v>0</v>
      </c>
      <c r="AA34" s="26">
        <f>'New Formula with HB25-1320'!AA34</f>
        <v>0</v>
      </c>
      <c r="AB34" s="26">
        <f>'New Formula with HB25-1320'!AB34</f>
        <v>0</v>
      </c>
      <c r="AC34" s="26">
        <f>'New Formula with HB25-1320'!AC34</f>
        <v>0</v>
      </c>
      <c r="AD34" s="26">
        <f>'New Formula with HB25-1320'!AD34</f>
        <v>0</v>
      </c>
      <c r="AE34" s="26">
        <f>'New Formula with HB25-1320'!AE34</f>
        <v>0</v>
      </c>
      <c r="AF34" s="26">
        <f>'New Formula with HB25-1320'!AF34</f>
        <v>0</v>
      </c>
      <c r="AG34" s="26">
        <f>'New Formula with HB25-1320'!AG34</f>
        <v>0</v>
      </c>
      <c r="AH34" s="26">
        <f>'New Formula with HB25-1320'!AH34</f>
        <v>0</v>
      </c>
      <c r="AI34" s="26">
        <f>'New Formula with HB25-1320'!AI34</f>
        <v>0</v>
      </c>
      <c r="AJ34" s="26">
        <f>'New Formula with HB25-1320'!AJ34</f>
        <v>0</v>
      </c>
      <c r="AK34" s="26">
        <f>'New Formula with HB25-1320'!AK34</f>
        <v>0</v>
      </c>
      <c r="AL34" s="26">
        <f>'New Formula with HB25-1320'!AL34</f>
        <v>0</v>
      </c>
      <c r="AM34" s="26">
        <f>'New Formula with HB25-1320'!AM34</f>
        <v>0</v>
      </c>
      <c r="AN34" s="26">
        <f>'New Formula with HB25-1320'!AN34</f>
        <v>0</v>
      </c>
      <c r="AO34" s="26">
        <f>'New Formula with HB25-1320'!AO34</f>
        <v>0</v>
      </c>
      <c r="AP34" s="26">
        <f>'New Formula with HB25-1320'!AP34</f>
        <v>0</v>
      </c>
      <c r="AQ34" s="26">
        <f>'New Formula with HB25-1320'!AQ34</f>
        <v>0</v>
      </c>
      <c r="AR34" s="26">
        <f>'New Formula with HB25-1320'!AR34</f>
        <v>0</v>
      </c>
      <c r="AS34" s="26">
        <f>'New Formula with HB25-1320'!AS34</f>
        <v>0</v>
      </c>
      <c r="AT34" s="26">
        <f>'New Formula with HB25-1320'!AT34</f>
        <v>0</v>
      </c>
      <c r="AU34" s="26">
        <f>'New Formula with HB25-1320'!AU34</f>
        <v>0</v>
      </c>
      <c r="AV34" s="26">
        <f>'New Formula with HB25-1320'!AV34</f>
        <v>0</v>
      </c>
      <c r="AW34" s="26">
        <f>'New Formula with HB25-1320'!AW34</f>
        <v>0</v>
      </c>
      <c r="AX34" s="26">
        <f>'New Formula with HB25-1320'!AX34</f>
        <v>0</v>
      </c>
      <c r="AY34" s="26">
        <f>'New Formula with HB25-1320'!AY34</f>
        <v>0</v>
      </c>
      <c r="AZ34" s="26">
        <f>'New Formula with HB25-1320'!AZ34</f>
        <v>0</v>
      </c>
      <c r="BA34" s="26">
        <f>'New Formula with HB25-1320'!BA34</f>
        <v>0</v>
      </c>
      <c r="BB34" s="26">
        <f>'New Formula with HB25-1320'!BB34</f>
        <v>0</v>
      </c>
      <c r="BC34" s="26">
        <f>'New Formula with HB25-1320'!BC34</f>
        <v>0</v>
      </c>
      <c r="BD34" s="26">
        <f>'New Formula with HB25-1320'!BD34</f>
        <v>0</v>
      </c>
      <c r="BE34" s="26">
        <f>'New Formula with HB25-1320'!BE34</f>
        <v>0</v>
      </c>
      <c r="BF34" s="26">
        <f>'New Formula with HB25-1320'!BF34</f>
        <v>0</v>
      </c>
      <c r="BG34" s="26">
        <f>'New Formula with HB25-1320'!BG34</f>
        <v>0</v>
      </c>
      <c r="BH34" s="26">
        <f>'New Formula with HB25-1320'!BH34</f>
        <v>0</v>
      </c>
      <c r="BI34" s="26">
        <f>'New Formula with HB25-1320'!BI34</f>
        <v>0</v>
      </c>
      <c r="BJ34" s="26">
        <f>'New Formula with HB25-1320'!BJ34</f>
        <v>0</v>
      </c>
      <c r="BK34" s="26">
        <f>'New Formula with HB25-1320'!BK34</f>
        <v>0</v>
      </c>
      <c r="BL34" s="26">
        <f>'New Formula with HB25-1320'!BL34</f>
        <v>0</v>
      </c>
      <c r="BM34" s="26">
        <f>'New Formula with HB25-1320'!BM34</f>
        <v>0</v>
      </c>
      <c r="BN34" s="26">
        <f>'New Formula with HB25-1320'!BN34</f>
        <v>0</v>
      </c>
      <c r="BO34" s="26">
        <f>'New Formula with HB25-1320'!BO34</f>
        <v>0</v>
      </c>
      <c r="BP34" s="26">
        <f>'New Formula with HB25-1320'!BP34</f>
        <v>0</v>
      </c>
      <c r="BQ34" s="26">
        <f>'New Formula with HB25-1320'!BQ34</f>
        <v>0</v>
      </c>
      <c r="BR34" s="26">
        <f>'New Formula with HB25-1320'!BR34</f>
        <v>0</v>
      </c>
      <c r="BS34" s="26">
        <f>'New Formula with HB25-1320'!BS34</f>
        <v>0</v>
      </c>
      <c r="BT34" s="26">
        <f>'New Formula with HB25-1320'!BT34</f>
        <v>0</v>
      </c>
      <c r="BU34" s="26">
        <f>'New Formula with HB25-1320'!BU34</f>
        <v>0</v>
      </c>
      <c r="BV34" s="26">
        <f>'New Formula with HB25-1320'!BV34</f>
        <v>0</v>
      </c>
      <c r="BW34" s="26">
        <f>'New Formula with HB25-1320'!BW34</f>
        <v>0</v>
      </c>
      <c r="BX34" s="26">
        <f>'New Formula with HB25-1320'!BX34</f>
        <v>0</v>
      </c>
      <c r="BY34" s="26">
        <f>'New Formula with HB25-1320'!BY34</f>
        <v>0</v>
      </c>
      <c r="BZ34" s="26">
        <f>'New Formula with HB25-1320'!BZ34</f>
        <v>0</v>
      </c>
      <c r="CA34" s="26">
        <f>'New Formula with HB25-1320'!CA34</f>
        <v>0</v>
      </c>
      <c r="CB34" s="26">
        <f>'New Formula with HB25-1320'!CB34</f>
        <v>0</v>
      </c>
      <c r="CC34" s="26">
        <f>'New Formula with HB25-1320'!CC34</f>
        <v>0</v>
      </c>
      <c r="CD34" s="26">
        <f>'New Formula with HB25-1320'!CD34</f>
        <v>0</v>
      </c>
      <c r="CE34" s="26">
        <f>'New Formula with HB25-1320'!CE34</f>
        <v>0</v>
      </c>
      <c r="CF34" s="26">
        <f>'New Formula with HB25-1320'!CF34</f>
        <v>0</v>
      </c>
      <c r="CG34" s="26">
        <f>'New Formula with HB25-1320'!CG34</f>
        <v>0</v>
      </c>
      <c r="CH34" s="26">
        <f>'New Formula with HB25-1320'!CH34</f>
        <v>0</v>
      </c>
      <c r="CI34" s="26">
        <f>'New Formula with HB25-1320'!CI34</f>
        <v>0</v>
      </c>
      <c r="CJ34" s="26">
        <f>'New Formula with HB25-1320'!CJ34</f>
        <v>0</v>
      </c>
      <c r="CK34" s="26">
        <f>'New Formula with HB25-1320'!CK34</f>
        <v>0</v>
      </c>
      <c r="CL34" s="26">
        <f>'New Formula with HB25-1320'!CL34</f>
        <v>0</v>
      </c>
      <c r="CM34" s="26">
        <f>'New Formula with HB25-1320'!CM34</f>
        <v>0</v>
      </c>
      <c r="CN34" s="26">
        <f>'New Formula with HB25-1320'!CN34</f>
        <v>0</v>
      </c>
      <c r="CO34" s="26">
        <f>'New Formula with HB25-1320'!CO34</f>
        <v>0</v>
      </c>
      <c r="CP34" s="26">
        <f>'New Formula with HB25-1320'!CP34</f>
        <v>0</v>
      </c>
      <c r="CQ34" s="26">
        <f>'New Formula with HB25-1320'!CQ34</f>
        <v>0</v>
      </c>
      <c r="CR34" s="26">
        <f>'New Formula with HB25-1320'!CR34</f>
        <v>0</v>
      </c>
      <c r="CS34" s="26">
        <f>'New Formula with HB25-1320'!CS34</f>
        <v>0</v>
      </c>
      <c r="CT34" s="26">
        <f>'New Formula with HB25-1320'!CT34</f>
        <v>0</v>
      </c>
      <c r="CU34" s="26">
        <f>'New Formula with HB25-1320'!CU34</f>
        <v>0</v>
      </c>
      <c r="CV34" s="26">
        <f>'New Formula with HB25-1320'!CV34</f>
        <v>0</v>
      </c>
      <c r="CW34" s="26">
        <f>'New Formula with HB25-1320'!CW34</f>
        <v>0</v>
      </c>
      <c r="CX34" s="26">
        <f>'New Formula with HB25-1320'!CX34</f>
        <v>0</v>
      </c>
      <c r="CY34" s="26">
        <f>'New Formula with HB25-1320'!CY34</f>
        <v>0</v>
      </c>
      <c r="CZ34" s="26">
        <f>'New Formula with HB25-1320'!CZ34</f>
        <v>0</v>
      </c>
      <c r="DA34" s="26">
        <f>'New Formula with HB25-1320'!DA34</f>
        <v>0</v>
      </c>
      <c r="DB34" s="26">
        <f>'New Formula with HB25-1320'!DB34</f>
        <v>0</v>
      </c>
      <c r="DC34" s="26">
        <f>'New Formula with HB25-1320'!DC34</f>
        <v>0</v>
      </c>
      <c r="DD34" s="26">
        <f>'New Formula with HB25-1320'!DD34</f>
        <v>0</v>
      </c>
      <c r="DE34" s="26">
        <f>'New Formula with HB25-1320'!DE34</f>
        <v>0</v>
      </c>
      <c r="DF34" s="26">
        <f>'New Formula with HB25-1320'!DF34</f>
        <v>0</v>
      </c>
      <c r="DG34" s="26">
        <f>'New Formula with HB25-1320'!DG34</f>
        <v>0</v>
      </c>
      <c r="DH34" s="26">
        <f>'New Formula with HB25-1320'!DH34</f>
        <v>0</v>
      </c>
      <c r="DI34" s="26">
        <f>'New Formula with HB25-1320'!DI34</f>
        <v>0</v>
      </c>
      <c r="DJ34" s="26">
        <f>'New Formula with HB25-1320'!DJ34</f>
        <v>0</v>
      </c>
      <c r="DK34" s="26">
        <f>'New Formula with HB25-1320'!DK34</f>
        <v>0</v>
      </c>
      <c r="DL34" s="26">
        <f>'New Formula with HB25-1320'!DL34</f>
        <v>0</v>
      </c>
      <c r="DM34" s="26">
        <f>'New Formula with HB25-1320'!DM34</f>
        <v>0</v>
      </c>
      <c r="DN34" s="26">
        <f>'New Formula with HB25-1320'!DN34</f>
        <v>0</v>
      </c>
      <c r="DO34" s="26">
        <f>'New Formula with HB25-1320'!DO34</f>
        <v>0</v>
      </c>
      <c r="DP34" s="26">
        <f>'New Formula with HB25-1320'!DP34</f>
        <v>0</v>
      </c>
      <c r="DQ34" s="26">
        <f>'New Formula with HB25-1320'!DQ34</f>
        <v>0</v>
      </c>
      <c r="DR34" s="26">
        <f>'New Formula with HB25-1320'!DR34</f>
        <v>0</v>
      </c>
      <c r="DS34" s="26">
        <f>'New Formula with HB25-1320'!DS34</f>
        <v>0</v>
      </c>
      <c r="DT34" s="26">
        <f>'New Formula with HB25-1320'!DT34</f>
        <v>0</v>
      </c>
      <c r="DU34" s="26">
        <f>'New Formula with HB25-1320'!DU34</f>
        <v>0</v>
      </c>
      <c r="DV34" s="26">
        <f>'New Formula with HB25-1320'!DV34</f>
        <v>0</v>
      </c>
      <c r="DW34" s="26">
        <f>'New Formula with HB25-1320'!DW34</f>
        <v>0</v>
      </c>
      <c r="DX34" s="26">
        <f>'New Formula with HB25-1320'!DX34</f>
        <v>0</v>
      </c>
      <c r="DY34" s="26">
        <f>'New Formula with HB25-1320'!DY34</f>
        <v>0</v>
      </c>
      <c r="DZ34" s="26">
        <f>'New Formula with HB25-1320'!DZ34</f>
        <v>0</v>
      </c>
      <c r="EA34" s="26">
        <f>'New Formula with HB25-1320'!EA34</f>
        <v>0</v>
      </c>
      <c r="EB34" s="26">
        <f>'New Formula with HB25-1320'!EB34</f>
        <v>0</v>
      </c>
      <c r="EC34" s="26">
        <f>'New Formula with HB25-1320'!EC34</f>
        <v>0</v>
      </c>
      <c r="ED34" s="26">
        <f>'New Formula with HB25-1320'!ED34</f>
        <v>0</v>
      </c>
      <c r="EE34" s="26">
        <f>'New Formula with HB25-1320'!EE34</f>
        <v>0</v>
      </c>
      <c r="EF34" s="26">
        <f>'New Formula with HB25-1320'!EF34</f>
        <v>0</v>
      </c>
      <c r="EG34" s="26">
        <f>'New Formula with HB25-1320'!EG34</f>
        <v>0</v>
      </c>
      <c r="EH34" s="26">
        <f>'New Formula with HB25-1320'!EH34</f>
        <v>0</v>
      </c>
      <c r="EI34" s="26">
        <f>'New Formula with HB25-1320'!EI34</f>
        <v>0</v>
      </c>
      <c r="EJ34" s="26">
        <f>'New Formula with HB25-1320'!EJ34</f>
        <v>0</v>
      </c>
      <c r="EK34" s="26">
        <f>'New Formula with HB25-1320'!EK34</f>
        <v>0</v>
      </c>
      <c r="EL34" s="26">
        <f>'New Formula with HB25-1320'!EL34</f>
        <v>0</v>
      </c>
      <c r="EM34" s="26">
        <f>'New Formula with HB25-1320'!EM34</f>
        <v>0</v>
      </c>
      <c r="EN34" s="26">
        <f>'New Formula with HB25-1320'!EN34</f>
        <v>0</v>
      </c>
      <c r="EO34" s="26">
        <f>'New Formula with HB25-1320'!EO34</f>
        <v>0</v>
      </c>
      <c r="EP34" s="26">
        <f>'New Formula with HB25-1320'!EP34</f>
        <v>0</v>
      </c>
      <c r="EQ34" s="26">
        <f>'New Formula with HB25-1320'!EQ34</f>
        <v>0</v>
      </c>
      <c r="ER34" s="26">
        <f>'New Formula with HB25-1320'!ER34</f>
        <v>0</v>
      </c>
      <c r="ES34" s="26">
        <f>'New Formula with HB25-1320'!ES34</f>
        <v>0</v>
      </c>
      <c r="ET34" s="26">
        <f>'New Formula with HB25-1320'!ET34</f>
        <v>0</v>
      </c>
      <c r="EU34" s="26">
        <f>'New Formula with HB25-1320'!EU34</f>
        <v>0</v>
      </c>
      <c r="EV34" s="26">
        <f>'New Formula with HB25-1320'!EV34</f>
        <v>0</v>
      </c>
      <c r="EW34" s="26">
        <f>'New Formula with HB25-1320'!EW34</f>
        <v>0</v>
      </c>
      <c r="EX34" s="26">
        <f>'New Formula with HB25-1320'!EX34</f>
        <v>0</v>
      </c>
      <c r="EY34" s="26">
        <f>'New Formula with HB25-1320'!EY34</f>
        <v>0</v>
      </c>
      <c r="EZ34" s="26">
        <f>'New Formula with HB25-1320'!EZ34</f>
        <v>0</v>
      </c>
      <c r="FA34" s="26">
        <f>'New Formula with HB25-1320'!FA34</f>
        <v>0</v>
      </c>
      <c r="FB34" s="26">
        <f>'New Formula with HB25-1320'!FB34</f>
        <v>0</v>
      </c>
      <c r="FC34" s="26">
        <f>'New Formula with HB25-1320'!FC34</f>
        <v>0</v>
      </c>
      <c r="FD34" s="26">
        <f>'New Formula with HB25-1320'!FD34</f>
        <v>0</v>
      </c>
      <c r="FE34" s="26">
        <f>'New Formula with HB25-1320'!FE34</f>
        <v>0</v>
      </c>
      <c r="FF34" s="26">
        <f>'New Formula with HB25-1320'!FF34</f>
        <v>0</v>
      </c>
      <c r="FG34" s="26">
        <f>'New Formula with HB25-1320'!FG34</f>
        <v>0</v>
      </c>
      <c r="FH34" s="26">
        <f>'New Formula with HB25-1320'!FH34</f>
        <v>0</v>
      </c>
      <c r="FI34" s="26">
        <f>'New Formula with HB25-1320'!FI34</f>
        <v>0</v>
      </c>
      <c r="FJ34" s="26">
        <f>'New Formula with HB25-1320'!FJ34</f>
        <v>0</v>
      </c>
      <c r="FK34" s="26">
        <f>'New Formula with HB25-1320'!FK34</f>
        <v>0</v>
      </c>
      <c r="FL34" s="26">
        <f>'New Formula with HB25-1320'!FL34</f>
        <v>0</v>
      </c>
      <c r="FM34" s="26">
        <f>'New Formula with HB25-1320'!FM34</f>
        <v>0</v>
      </c>
      <c r="FN34" s="26">
        <f>'New Formula with HB25-1320'!FN34</f>
        <v>0</v>
      </c>
      <c r="FO34" s="26">
        <f>'New Formula with HB25-1320'!FO34</f>
        <v>0</v>
      </c>
      <c r="FP34" s="26">
        <f>'New Formula with HB25-1320'!FP34</f>
        <v>0</v>
      </c>
      <c r="FQ34" s="26">
        <f>'New Formula with HB25-1320'!FQ34</f>
        <v>0</v>
      </c>
      <c r="FR34" s="26">
        <f>'New Formula with HB25-1320'!FR34</f>
        <v>0</v>
      </c>
      <c r="FS34" s="26">
        <f>'New Formula with HB25-1320'!FS34</f>
        <v>0</v>
      </c>
      <c r="FT34" s="26">
        <f>'New Formula with HB25-1320'!FT34</f>
        <v>0</v>
      </c>
      <c r="FU34" s="26">
        <f>'New Formula with HB25-1320'!FU34</f>
        <v>0</v>
      </c>
      <c r="FV34" s="26">
        <f>'New Formula with HB25-1320'!FV34</f>
        <v>0</v>
      </c>
      <c r="FW34" s="26">
        <f>'New Formula with HB25-1320'!FW34</f>
        <v>0</v>
      </c>
      <c r="FX34" s="26">
        <f>'New Formula with HB25-1320'!FX34</f>
        <v>0</v>
      </c>
      <c r="FY34" s="26"/>
      <c r="FZ34" s="23">
        <f t="shared" si="7"/>
        <v>1</v>
      </c>
      <c r="GA34" s="26"/>
      <c r="GB34" s="23"/>
      <c r="GC34" s="23"/>
      <c r="GD34" s="23"/>
      <c r="GE34" s="7"/>
      <c r="GF34" s="7"/>
      <c r="GG34" s="7"/>
      <c r="GH34" s="7"/>
      <c r="GI34" s="7"/>
      <c r="GJ34" s="7"/>
      <c r="GK34" s="7"/>
    </row>
    <row r="35" spans="1:207" ht="15.5" x14ac:dyDescent="0.35">
      <c r="A35" s="12" t="s">
        <v>758</v>
      </c>
      <c r="B35" s="7" t="s">
        <v>502</v>
      </c>
      <c r="C35" s="23">
        <f>'New Formula with HB25-1320'!C35</f>
        <v>0</v>
      </c>
      <c r="D35" s="23">
        <f>'New Formula with HB25-1320'!D35</f>
        <v>23</v>
      </c>
      <c r="E35" s="23">
        <f>'New Formula with HB25-1320'!E35</f>
        <v>0</v>
      </c>
      <c r="F35" s="23">
        <f>'New Formula with HB25-1320'!F35</f>
        <v>0</v>
      </c>
      <c r="G35" s="23">
        <f>'New Formula with HB25-1320'!G35</f>
        <v>0</v>
      </c>
      <c r="H35" s="23">
        <f>'New Formula with HB25-1320'!H35</f>
        <v>0</v>
      </c>
      <c r="I35" s="23">
        <f>'New Formula with HB25-1320'!I35</f>
        <v>0</v>
      </c>
      <c r="J35" s="23">
        <f>'New Formula with HB25-1320'!J35</f>
        <v>0</v>
      </c>
      <c r="K35" s="23">
        <f>'New Formula with HB25-1320'!K35</f>
        <v>0</v>
      </c>
      <c r="L35" s="23">
        <f>'New Formula with HB25-1320'!L35</f>
        <v>0</v>
      </c>
      <c r="M35" s="23">
        <f>'New Formula with HB25-1320'!M35</f>
        <v>0</v>
      </c>
      <c r="N35" s="23">
        <f>'New Formula with HB25-1320'!N35</f>
        <v>0</v>
      </c>
      <c r="O35" s="23">
        <f>'New Formula with HB25-1320'!O35</f>
        <v>0</v>
      </c>
      <c r="P35" s="23">
        <f>'New Formula with HB25-1320'!P35</f>
        <v>0</v>
      </c>
      <c r="Q35" s="23">
        <f>'New Formula with HB25-1320'!Q35</f>
        <v>0</v>
      </c>
      <c r="R35" s="23">
        <f>'New Formula with HB25-1320'!R35</f>
        <v>0</v>
      </c>
      <c r="S35" s="23">
        <f>'New Formula with HB25-1320'!S35</f>
        <v>0</v>
      </c>
      <c r="T35" s="23">
        <f>'New Formula with HB25-1320'!T35</f>
        <v>0</v>
      </c>
      <c r="U35" s="23">
        <f>'New Formula with HB25-1320'!U35</f>
        <v>0</v>
      </c>
      <c r="V35" s="23">
        <f>'New Formula with HB25-1320'!V35</f>
        <v>0</v>
      </c>
      <c r="W35" s="23">
        <f>'New Formula with HB25-1320'!W35</f>
        <v>0</v>
      </c>
      <c r="X35" s="23">
        <f>'New Formula with HB25-1320'!X35</f>
        <v>0</v>
      </c>
      <c r="Y35" s="23">
        <f>'New Formula with HB25-1320'!Y35</f>
        <v>0</v>
      </c>
      <c r="Z35" s="23">
        <f>'New Formula with HB25-1320'!Z35</f>
        <v>0</v>
      </c>
      <c r="AA35" s="23">
        <f>'New Formula with HB25-1320'!AA35</f>
        <v>0</v>
      </c>
      <c r="AB35" s="23">
        <f>'New Formula with HB25-1320'!AB35</f>
        <v>0</v>
      </c>
      <c r="AC35" s="23">
        <f>'New Formula with HB25-1320'!AC35</f>
        <v>0</v>
      </c>
      <c r="AD35" s="23">
        <f>'New Formula with HB25-1320'!AD35</f>
        <v>0</v>
      </c>
      <c r="AE35" s="23">
        <f>'New Formula with HB25-1320'!AE35</f>
        <v>0</v>
      </c>
      <c r="AF35" s="23">
        <f>'New Formula with HB25-1320'!AF35</f>
        <v>0</v>
      </c>
      <c r="AG35" s="23">
        <f>'New Formula with HB25-1320'!AG35</f>
        <v>0</v>
      </c>
      <c r="AH35" s="23">
        <f>'New Formula with HB25-1320'!AH35</f>
        <v>0</v>
      </c>
      <c r="AI35" s="23">
        <f>'New Formula with HB25-1320'!AI35</f>
        <v>0</v>
      </c>
      <c r="AJ35" s="23">
        <f>'New Formula with HB25-1320'!AJ35</f>
        <v>0</v>
      </c>
      <c r="AK35" s="23">
        <f>'New Formula with HB25-1320'!AK35</f>
        <v>0</v>
      </c>
      <c r="AL35" s="23">
        <f>'New Formula with HB25-1320'!AL35</f>
        <v>0</v>
      </c>
      <c r="AM35" s="23">
        <f>'New Formula with HB25-1320'!AM35</f>
        <v>0</v>
      </c>
      <c r="AN35" s="23">
        <f>'New Formula with HB25-1320'!AN35</f>
        <v>0</v>
      </c>
      <c r="AO35" s="23">
        <f>'New Formula with HB25-1320'!AO35</f>
        <v>0</v>
      </c>
      <c r="AP35" s="23">
        <f>'New Formula with HB25-1320'!AP35</f>
        <v>0</v>
      </c>
      <c r="AQ35" s="23">
        <f>'New Formula with HB25-1320'!AQ35</f>
        <v>0</v>
      </c>
      <c r="AR35" s="23">
        <f>'New Formula with HB25-1320'!AR35</f>
        <v>0</v>
      </c>
      <c r="AS35" s="23">
        <f>'New Formula with HB25-1320'!AS35</f>
        <v>0</v>
      </c>
      <c r="AT35" s="23">
        <f>'New Formula with HB25-1320'!AT35</f>
        <v>0</v>
      </c>
      <c r="AU35" s="23">
        <f>'New Formula with HB25-1320'!AU35</f>
        <v>0</v>
      </c>
      <c r="AV35" s="23">
        <f>'New Formula with HB25-1320'!AV35</f>
        <v>0</v>
      </c>
      <c r="AW35" s="23">
        <f>'New Formula with HB25-1320'!AW35</f>
        <v>0</v>
      </c>
      <c r="AX35" s="23">
        <f>'New Formula with HB25-1320'!AX35</f>
        <v>0</v>
      </c>
      <c r="AY35" s="23">
        <f>'New Formula with HB25-1320'!AY35</f>
        <v>0</v>
      </c>
      <c r="AZ35" s="23">
        <f>'New Formula with HB25-1320'!AZ35</f>
        <v>0</v>
      </c>
      <c r="BA35" s="23">
        <f>'New Formula with HB25-1320'!BA35</f>
        <v>0</v>
      </c>
      <c r="BB35" s="23">
        <f>'New Formula with HB25-1320'!BB35</f>
        <v>0</v>
      </c>
      <c r="BC35" s="23">
        <f>'New Formula with HB25-1320'!BC35</f>
        <v>0</v>
      </c>
      <c r="BD35" s="23">
        <f>'New Formula with HB25-1320'!BD35</f>
        <v>0</v>
      </c>
      <c r="BE35" s="23">
        <f>'New Formula with HB25-1320'!BE35</f>
        <v>0</v>
      </c>
      <c r="BF35" s="23">
        <f>'New Formula with HB25-1320'!BF35</f>
        <v>0</v>
      </c>
      <c r="BG35" s="23">
        <f>'New Formula with HB25-1320'!BG35</f>
        <v>0</v>
      </c>
      <c r="BH35" s="23">
        <f>'New Formula with HB25-1320'!BH35</f>
        <v>0</v>
      </c>
      <c r="BI35" s="23">
        <f>'New Formula with HB25-1320'!BI35</f>
        <v>0</v>
      </c>
      <c r="BJ35" s="23">
        <f>'New Formula with HB25-1320'!BJ35</f>
        <v>0</v>
      </c>
      <c r="BK35" s="23">
        <f>'New Formula with HB25-1320'!BK35</f>
        <v>0</v>
      </c>
      <c r="BL35" s="23">
        <f>'New Formula with HB25-1320'!BL35</f>
        <v>0</v>
      </c>
      <c r="BM35" s="23">
        <f>'New Formula with HB25-1320'!BM35</f>
        <v>0</v>
      </c>
      <c r="BN35" s="23">
        <f>'New Formula with HB25-1320'!BN35</f>
        <v>0</v>
      </c>
      <c r="BO35" s="23">
        <f>'New Formula with HB25-1320'!BO35</f>
        <v>0</v>
      </c>
      <c r="BP35" s="23">
        <f>'New Formula with HB25-1320'!BP35</f>
        <v>0</v>
      </c>
      <c r="BQ35" s="23">
        <f>'New Formula with HB25-1320'!BQ35</f>
        <v>0</v>
      </c>
      <c r="BR35" s="23">
        <f>'New Formula with HB25-1320'!BR35</f>
        <v>0</v>
      </c>
      <c r="BS35" s="23">
        <f>'New Formula with HB25-1320'!BS35</f>
        <v>0</v>
      </c>
      <c r="BT35" s="23">
        <f>'New Formula with HB25-1320'!BT35</f>
        <v>0</v>
      </c>
      <c r="BU35" s="23">
        <f>'New Formula with HB25-1320'!BU35</f>
        <v>0</v>
      </c>
      <c r="BV35" s="23">
        <f>'New Formula with HB25-1320'!BV35</f>
        <v>0</v>
      </c>
      <c r="BW35" s="23">
        <f>'New Formula with HB25-1320'!BW35</f>
        <v>0</v>
      </c>
      <c r="BX35" s="23">
        <f>'New Formula with HB25-1320'!BX35</f>
        <v>0</v>
      </c>
      <c r="BY35" s="23">
        <f>'New Formula with HB25-1320'!BY35</f>
        <v>0</v>
      </c>
      <c r="BZ35" s="23">
        <f>'New Formula with HB25-1320'!BZ35</f>
        <v>0</v>
      </c>
      <c r="CA35" s="23">
        <f>'New Formula with HB25-1320'!CA35</f>
        <v>0</v>
      </c>
      <c r="CB35" s="23">
        <f>'New Formula with HB25-1320'!CB35</f>
        <v>0</v>
      </c>
      <c r="CC35" s="23">
        <f>'New Formula with HB25-1320'!CC35</f>
        <v>0</v>
      </c>
      <c r="CD35" s="23">
        <f>'New Formula with HB25-1320'!CD35</f>
        <v>0</v>
      </c>
      <c r="CE35" s="23">
        <f>'New Formula with HB25-1320'!CE35</f>
        <v>0</v>
      </c>
      <c r="CF35" s="23">
        <f>'New Formula with HB25-1320'!CF35</f>
        <v>0</v>
      </c>
      <c r="CG35" s="23">
        <f>'New Formula with HB25-1320'!CG35</f>
        <v>0</v>
      </c>
      <c r="CH35" s="23">
        <f>'New Formula with HB25-1320'!CH35</f>
        <v>0</v>
      </c>
      <c r="CI35" s="23">
        <f>'New Formula with HB25-1320'!CI35</f>
        <v>0</v>
      </c>
      <c r="CJ35" s="23">
        <f>'New Formula with HB25-1320'!CJ35</f>
        <v>0</v>
      </c>
      <c r="CK35" s="23">
        <f>'New Formula with HB25-1320'!CK35</f>
        <v>0</v>
      </c>
      <c r="CL35" s="23">
        <f>'New Formula with HB25-1320'!CL35</f>
        <v>0</v>
      </c>
      <c r="CM35" s="23">
        <f>'New Formula with HB25-1320'!CM35</f>
        <v>0</v>
      </c>
      <c r="CN35" s="23">
        <f>'New Formula with HB25-1320'!CN35</f>
        <v>0</v>
      </c>
      <c r="CO35" s="23">
        <f>'New Formula with HB25-1320'!CO35</f>
        <v>0</v>
      </c>
      <c r="CP35" s="23">
        <f>'New Formula with HB25-1320'!CP35</f>
        <v>0</v>
      </c>
      <c r="CQ35" s="23">
        <f>'New Formula with HB25-1320'!CQ35</f>
        <v>0</v>
      </c>
      <c r="CR35" s="23">
        <f>'New Formula with HB25-1320'!CR35</f>
        <v>0</v>
      </c>
      <c r="CS35" s="23">
        <f>'New Formula with HB25-1320'!CS35</f>
        <v>0</v>
      </c>
      <c r="CT35" s="23">
        <f>'New Formula with HB25-1320'!CT35</f>
        <v>0</v>
      </c>
      <c r="CU35" s="23">
        <f>'New Formula with HB25-1320'!CU35</f>
        <v>0</v>
      </c>
      <c r="CV35" s="23">
        <f>'New Formula with HB25-1320'!CV35</f>
        <v>0</v>
      </c>
      <c r="CW35" s="23">
        <f>'New Formula with HB25-1320'!CW35</f>
        <v>0</v>
      </c>
      <c r="CX35" s="23">
        <f>'New Formula with HB25-1320'!CX35</f>
        <v>0</v>
      </c>
      <c r="CY35" s="23">
        <f>'New Formula with HB25-1320'!CY35</f>
        <v>0</v>
      </c>
      <c r="CZ35" s="23">
        <f>'New Formula with HB25-1320'!CZ35</f>
        <v>0</v>
      </c>
      <c r="DA35" s="23">
        <f>'New Formula with HB25-1320'!DA35</f>
        <v>0</v>
      </c>
      <c r="DB35" s="23">
        <f>'New Formula with HB25-1320'!DB35</f>
        <v>0</v>
      </c>
      <c r="DC35" s="23">
        <f>'New Formula with HB25-1320'!DC35</f>
        <v>0</v>
      </c>
      <c r="DD35" s="23">
        <f>'New Formula with HB25-1320'!DD35</f>
        <v>0</v>
      </c>
      <c r="DE35" s="23">
        <f>'New Formula with HB25-1320'!DE35</f>
        <v>0</v>
      </c>
      <c r="DF35" s="23">
        <f>'New Formula with HB25-1320'!DF35</f>
        <v>0</v>
      </c>
      <c r="DG35" s="23">
        <f>'New Formula with HB25-1320'!DG35</f>
        <v>0</v>
      </c>
      <c r="DH35" s="23">
        <f>'New Formula with HB25-1320'!DH35</f>
        <v>0</v>
      </c>
      <c r="DI35" s="23">
        <f>'New Formula with HB25-1320'!DI35</f>
        <v>0</v>
      </c>
      <c r="DJ35" s="23">
        <f>'New Formula with HB25-1320'!DJ35</f>
        <v>0</v>
      </c>
      <c r="DK35" s="23">
        <f>'New Formula with HB25-1320'!DK35</f>
        <v>0</v>
      </c>
      <c r="DL35" s="23">
        <f>'New Formula with HB25-1320'!DL35</f>
        <v>0</v>
      </c>
      <c r="DM35" s="23">
        <f>'New Formula with HB25-1320'!DM35</f>
        <v>0</v>
      </c>
      <c r="DN35" s="23">
        <f>'New Formula with HB25-1320'!DN35</f>
        <v>0</v>
      </c>
      <c r="DO35" s="23">
        <f>'New Formula with HB25-1320'!DO35</f>
        <v>0</v>
      </c>
      <c r="DP35" s="23">
        <f>'New Formula with HB25-1320'!DP35</f>
        <v>0</v>
      </c>
      <c r="DQ35" s="23">
        <f>'New Formula with HB25-1320'!DQ35</f>
        <v>0</v>
      </c>
      <c r="DR35" s="23">
        <f>'New Formula with HB25-1320'!DR35</f>
        <v>0</v>
      </c>
      <c r="DS35" s="23">
        <f>'New Formula with HB25-1320'!DS35</f>
        <v>0</v>
      </c>
      <c r="DT35" s="23">
        <f>'New Formula with HB25-1320'!DT35</f>
        <v>0</v>
      </c>
      <c r="DU35" s="23">
        <f>'New Formula with HB25-1320'!DU35</f>
        <v>0</v>
      </c>
      <c r="DV35" s="23">
        <f>'New Formula with HB25-1320'!DV35</f>
        <v>0</v>
      </c>
      <c r="DW35" s="23">
        <f>'New Formula with HB25-1320'!DW35</f>
        <v>0</v>
      </c>
      <c r="DX35" s="23">
        <f>'New Formula with HB25-1320'!DX35</f>
        <v>0</v>
      </c>
      <c r="DY35" s="23">
        <f>'New Formula with HB25-1320'!DY35</f>
        <v>0</v>
      </c>
      <c r="DZ35" s="23">
        <f>'New Formula with HB25-1320'!DZ35</f>
        <v>0</v>
      </c>
      <c r="EA35" s="23">
        <f>'New Formula with HB25-1320'!EA35</f>
        <v>0</v>
      </c>
      <c r="EB35" s="23">
        <f>'New Formula with HB25-1320'!EB35</f>
        <v>0</v>
      </c>
      <c r="EC35" s="23">
        <f>'New Formula with HB25-1320'!EC35</f>
        <v>0</v>
      </c>
      <c r="ED35" s="23">
        <f>'New Formula with HB25-1320'!ED35</f>
        <v>0</v>
      </c>
      <c r="EE35" s="23">
        <f>'New Formula with HB25-1320'!EE35</f>
        <v>0</v>
      </c>
      <c r="EF35" s="23">
        <f>'New Formula with HB25-1320'!EF35</f>
        <v>0</v>
      </c>
      <c r="EG35" s="23">
        <f>'New Formula with HB25-1320'!EG35</f>
        <v>0</v>
      </c>
      <c r="EH35" s="23">
        <f>'New Formula with HB25-1320'!EH35</f>
        <v>0</v>
      </c>
      <c r="EI35" s="23">
        <f>'New Formula with HB25-1320'!EI35</f>
        <v>0</v>
      </c>
      <c r="EJ35" s="23">
        <f>'New Formula with HB25-1320'!EJ35</f>
        <v>0</v>
      </c>
      <c r="EK35" s="23">
        <f>'New Formula with HB25-1320'!EK35</f>
        <v>0</v>
      </c>
      <c r="EL35" s="23">
        <f>'New Formula with HB25-1320'!EL35</f>
        <v>0</v>
      </c>
      <c r="EM35" s="23">
        <f>'New Formula with HB25-1320'!EM35</f>
        <v>0</v>
      </c>
      <c r="EN35" s="23">
        <f>'New Formula with HB25-1320'!EN35</f>
        <v>0</v>
      </c>
      <c r="EO35" s="23">
        <f>'New Formula with HB25-1320'!EO35</f>
        <v>0</v>
      </c>
      <c r="EP35" s="23">
        <f>'New Formula with HB25-1320'!EP35</f>
        <v>0</v>
      </c>
      <c r="EQ35" s="23">
        <f>'New Formula with HB25-1320'!EQ35</f>
        <v>0</v>
      </c>
      <c r="ER35" s="23">
        <f>'New Formula with HB25-1320'!ER35</f>
        <v>0</v>
      </c>
      <c r="ES35" s="23">
        <f>'New Formula with HB25-1320'!ES35</f>
        <v>0</v>
      </c>
      <c r="ET35" s="23">
        <f>'New Formula with HB25-1320'!ET35</f>
        <v>0</v>
      </c>
      <c r="EU35" s="23">
        <f>'New Formula with HB25-1320'!EU35</f>
        <v>0</v>
      </c>
      <c r="EV35" s="23">
        <f>'New Formula with HB25-1320'!EV35</f>
        <v>0</v>
      </c>
      <c r="EW35" s="23">
        <f>'New Formula with HB25-1320'!EW35</f>
        <v>0</v>
      </c>
      <c r="EX35" s="23">
        <f>'New Formula with HB25-1320'!EX35</f>
        <v>0</v>
      </c>
      <c r="EY35" s="23">
        <f>'New Formula with HB25-1320'!EY35</f>
        <v>0</v>
      </c>
      <c r="EZ35" s="23">
        <f>'New Formula with HB25-1320'!EZ35</f>
        <v>0</v>
      </c>
      <c r="FA35" s="23">
        <f>'New Formula with HB25-1320'!FA35</f>
        <v>0</v>
      </c>
      <c r="FB35" s="23">
        <f>'New Formula with HB25-1320'!FB35</f>
        <v>0</v>
      </c>
      <c r="FC35" s="23">
        <f>'New Formula with HB25-1320'!FC35</f>
        <v>0</v>
      </c>
      <c r="FD35" s="23">
        <f>'New Formula with HB25-1320'!FD35</f>
        <v>0</v>
      </c>
      <c r="FE35" s="23">
        <f>'New Formula with HB25-1320'!FE35</f>
        <v>0</v>
      </c>
      <c r="FF35" s="23">
        <f>'New Formula with HB25-1320'!FF35</f>
        <v>0</v>
      </c>
      <c r="FG35" s="23">
        <f>'New Formula with HB25-1320'!FG35</f>
        <v>0</v>
      </c>
      <c r="FH35" s="23">
        <f>'New Formula with HB25-1320'!FH35</f>
        <v>0</v>
      </c>
      <c r="FI35" s="23">
        <f>'New Formula with HB25-1320'!FI35</f>
        <v>0</v>
      </c>
      <c r="FJ35" s="23">
        <f>'New Formula with HB25-1320'!FJ35</f>
        <v>0</v>
      </c>
      <c r="FK35" s="23">
        <f>'New Formula with HB25-1320'!FK35</f>
        <v>0</v>
      </c>
      <c r="FL35" s="23">
        <f>'New Formula with HB25-1320'!FL35</f>
        <v>0</v>
      </c>
      <c r="FM35" s="23">
        <f>'New Formula with HB25-1320'!FM35</f>
        <v>0</v>
      </c>
      <c r="FN35" s="23">
        <f>'New Formula with HB25-1320'!FN35</f>
        <v>0</v>
      </c>
      <c r="FO35" s="23">
        <f>'New Formula with HB25-1320'!FO35</f>
        <v>0</v>
      </c>
      <c r="FP35" s="23">
        <f>'New Formula with HB25-1320'!FP35</f>
        <v>0</v>
      </c>
      <c r="FQ35" s="23">
        <f>'New Formula with HB25-1320'!FQ35</f>
        <v>0</v>
      </c>
      <c r="FR35" s="23">
        <f>'New Formula with HB25-1320'!FR35</f>
        <v>0</v>
      </c>
      <c r="FS35" s="23">
        <f>'New Formula with HB25-1320'!FS35</f>
        <v>0</v>
      </c>
      <c r="FT35" s="23">
        <f>'New Formula with HB25-1320'!FT35</f>
        <v>0</v>
      </c>
      <c r="FU35" s="23">
        <f>'New Formula with HB25-1320'!FU35</f>
        <v>0</v>
      </c>
      <c r="FV35" s="23">
        <f>'New Formula with HB25-1320'!FV35</f>
        <v>0</v>
      </c>
      <c r="FW35" s="23">
        <f>'New Formula with HB25-1320'!FW35</f>
        <v>0</v>
      </c>
      <c r="FX35" s="23">
        <f>'New Formula with HB25-1320'!FX35</f>
        <v>0</v>
      </c>
      <c r="FY35" s="23">
        <v>0</v>
      </c>
      <c r="FZ35" s="23">
        <f t="shared" si="7"/>
        <v>23</v>
      </c>
      <c r="GA35" s="23"/>
      <c r="GB35" s="23"/>
      <c r="GC35" s="23"/>
      <c r="GD35" s="23"/>
      <c r="GE35" s="7"/>
      <c r="GF35" s="7"/>
      <c r="GG35" s="7"/>
      <c r="GH35" s="7"/>
      <c r="GI35" s="7"/>
      <c r="GJ35" s="7"/>
      <c r="GK35" s="7"/>
    </row>
    <row r="36" spans="1:207" ht="15.5" x14ac:dyDescent="0.35">
      <c r="A36" s="12" t="s">
        <v>487</v>
      </c>
      <c r="B36" s="7" t="s">
        <v>759</v>
      </c>
      <c r="C36" s="23">
        <f>FY26SFA1994!C36</f>
        <v>0</v>
      </c>
      <c r="D36" s="23">
        <f>FY26SFA1994!D36</f>
        <v>110.40000000000009</v>
      </c>
      <c r="E36" s="23">
        <f>FY26SFA1994!E36</f>
        <v>19.700000000000045</v>
      </c>
      <c r="F36" s="23">
        <f>FY26SFA1994!F36</f>
        <v>25.799999999999955</v>
      </c>
      <c r="G36" s="23">
        <f>FY26SFA1994!G36</f>
        <v>0</v>
      </c>
      <c r="H36" s="23">
        <f>FY26SFA1994!H36</f>
        <v>0</v>
      </c>
      <c r="I36" s="23">
        <f>FY26SFA1994!I36</f>
        <v>2.1999999999999886</v>
      </c>
      <c r="J36" s="23">
        <f>FY26SFA1994!J36</f>
        <v>0</v>
      </c>
      <c r="K36" s="23">
        <f>FY26SFA1994!K36</f>
        <v>0</v>
      </c>
      <c r="L36" s="23">
        <f>FY26SFA1994!L36</f>
        <v>0</v>
      </c>
      <c r="M36" s="23">
        <f>FY26SFA1994!M36</f>
        <v>0</v>
      </c>
      <c r="N36" s="23">
        <f>FY26SFA1994!N36</f>
        <v>0</v>
      </c>
      <c r="O36" s="23">
        <f>FY26SFA1994!O36</f>
        <v>0</v>
      </c>
      <c r="P36" s="23">
        <f>FY26SFA1994!P36</f>
        <v>0</v>
      </c>
      <c r="Q36" s="23">
        <f>FY26SFA1994!Q36</f>
        <v>41.3</v>
      </c>
      <c r="R36" s="23">
        <f>FY26SFA1994!R36</f>
        <v>0</v>
      </c>
      <c r="S36" s="23">
        <f>FY26SFA1994!S36</f>
        <v>0</v>
      </c>
      <c r="T36" s="23">
        <f>FY26SFA1994!T36</f>
        <v>0</v>
      </c>
      <c r="U36" s="23">
        <f>FY26SFA1994!U36</f>
        <v>0</v>
      </c>
      <c r="V36" s="23">
        <f>FY26SFA1994!V36</f>
        <v>0</v>
      </c>
      <c r="W36" s="23">
        <f>FY26SFA1994!W36</f>
        <v>0</v>
      </c>
      <c r="X36" s="23">
        <f>FY26SFA1994!X36</f>
        <v>0</v>
      </c>
      <c r="Y36" s="23">
        <f>FY26SFA1994!Y36</f>
        <v>0</v>
      </c>
      <c r="Z36" s="23">
        <f>FY26SFA1994!Z36</f>
        <v>0</v>
      </c>
      <c r="AA36" s="23">
        <f>FY26SFA1994!AA36</f>
        <v>0</v>
      </c>
      <c r="AB36" s="23">
        <f>FY26SFA1994!AB36</f>
        <v>0</v>
      </c>
      <c r="AC36" s="23">
        <f>FY26SFA1994!AC36</f>
        <v>0</v>
      </c>
      <c r="AD36" s="23">
        <f>FY26SFA1994!AD36</f>
        <v>0</v>
      </c>
      <c r="AE36" s="23">
        <f>FY26SFA1994!AE36</f>
        <v>0</v>
      </c>
      <c r="AF36" s="23">
        <f>FY26SFA1994!AF36</f>
        <v>0</v>
      </c>
      <c r="AG36" s="23">
        <f>FY26SFA1994!AG36</f>
        <v>0</v>
      </c>
      <c r="AH36" s="23">
        <f>FY26SFA1994!AH36</f>
        <v>0</v>
      </c>
      <c r="AI36" s="23">
        <f>FY26SFA1994!AI36</f>
        <v>0</v>
      </c>
      <c r="AJ36" s="23">
        <f>FY26SFA1994!AJ36</f>
        <v>0</v>
      </c>
      <c r="AK36" s="23">
        <f>FY26SFA1994!AK36</f>
        <v>0</v>
      </c>
      <c r="AL36" s="23">
        <f>FY26SFA1994!AL36</f>
        <v>0</v>
      </c>
      <c r="AM36" s="23">
        <f>FY26SFA1994!AM36</f>
        <v>0</v>
      </c>
      <c r="AN36" s="23">
        <f>FY26SFA1994!AN36</f>
        <v>0</v>
      </c>
      <c r="AO36" s="23">
        <f>FY26SFA1994!AO36</f>
        <v>0</v>
      </c>
      <c r="AP36" s="23">
        <f>FY26SFA1994!AP36</f>
        <v>0</v>
      </c>
      <c r="AQ36" s="23">
        <f>FY26SFA1994!AQ36</f>
        <v>0</v>
      </c>
      <c r="AR36" s="23">
        <f>FY26SFA1994!AR36</f>
        <v>19.799999999999955</v>
      </c>
      <c r="AS36" s="23">
        <f>FY26SFA1994!AS36</f>
        <v>7.3000000000000114</v>
      </c>
      <c r="AT36" s="23">
        <f>FY26SFA1994!AT36</f>
        <v>0</v>
      </c>
      <c r="AU36" s="23">
        <f>FY26SFA1994!AU36</f>
        <v>0</v>
      </c>
      <c r="AV36" s="23">
        <f>FY26SFA1994!AV36</f>
        <v>0</v>
      </c>
      <c r="AW36" s="23">
        <f>FY26SFA1994!AW36</f>
        <v>0</v>
      </c>
      <c r="AX36" s="23">
        <f>FY26SFA1994!AX36</f>
        <v>0</v>
      </c>
      <c r="AY36" s="23">
        <f>FY26SFA1994!AY36</f>
        <v>0</v>
      </c>
      <c r="AZ36" s="23">
        <f>FY26SFA1994!AZ36</f>
        <v>0</v>
      </c>
      <c r="BA36" s="23">
        <f>FY26SFA1994!BA36</f>
        <v>0</v>
      </c>
      <c r="BB36" s="23">
        <f>FY26SFA1994!BB36</f>
        <v>0</v>
      </c>
      <c r="BC36" s="23">
        <f>FY26SFA1994!BC36</f>
        <v>81.599999999999966</v>
      </c>
      <c r="BD36" s="23">
        <f>FY26SFA1994!BD36</f>
        <v>0</v>
      </c>
      <c r="BE36" s="23">
        <f>FY26SFA1994!BE36</f>
        <v>0</v>
      </c>
      <c r="BF36" s="23">
        <f>FY26SFA1994!BF36</f>
        <v>0</v>
      </c>
      <c r="BG36" s="23">
        <f>FY26SFA1994!BG36</f>
        <v>0</v>
      </c>
      <c r="BH36" s="23">
        <f>FY26SFA1994!BH36</f>
        <v>0</v>
      </c>
      <c r="BI36" s="23">
        <f>FY26SFA1994!BI36</f>
        <v>0</v>
      </c>
      <c r="BJ36" s="23">
        <f>FY26SFA1994!BJ36</f>
        <v>0</v>
      </c>
      <c r="BK36" s="23">
        <f>FY26SFA1994!BK36</f>
        <v>0</v>
      </c>
      <c r="BL36" s="23">
        <f>FY26SFA1994!BL36</f>
        <v>0</v>
      </c>
      <c r="BM36" s="23">
        <f>FY26SFA1994!BM36</f>
        <v>0</v>
      </c>
      <c r="BN36" s="23">
        <f>FY26SFA1994!BN36</f>
        <v>0</v>
      </c>
      <c r="BO36" s="23">
        <f>FY26SFA1994!BO36</f>
        <v>0</v>
      </c>
      <c r="BP36" s="23">
        <f>FY26SFA1994!BP36</f>
        <v>0</v>
      </c>
      <c r="BQ36" s="23">
        <f>FY26SFA1994!BQ36</f>
        <v>75.599999999999994</v>
      </c>
      <c r="BR36" s="23">
        <f>FY26SFA1994!BR36</f>
        <v>0</v>
      </c>
      <c r="BS36" s="23">
        <f>FY26SFA1994!BS36</f>
        <v>0</v>
      </c>
      <c r="BT36" s="23">
        <f>FY26SFA1994!BT36</f>
        <v>0</v>
      </c>
      <c r="BU36" s="23">
        <f>FY26SFA1994!BU36</f>
        <v>0</v>
      </c>
      <c r="BV36" s="23">
        <f>FY26SFA1994!BV36</f>
        <v>0</v>
      </c>
      <c r="BW36" s="23">
        <f>FY26SFA1994!BW36</f>
        <v>0</v>
      </c>
      <c r="BX36" s="23">
        <f>FY26SFA1994!BX36</f>
        <v>0</v>
      </c>
      <c r="BY36" s="23">
        <f>FY26SFA1994!BY36</f>
        <v>0</v>
      </c>
      <c r="BZ36" s="23">
        <f>FY26SFA1994!BZ36</f>
        <v>0</v>
      </c>
      <c r="CA36" s="23">
        <f>FY26SFA1994!CA36</f>
        <v>0</v>
      </c>
      <c r="CB36" s="23">
        <f>FY26SFA1994!CB36</f>
        <v>7.7999999999999545</v>
      </c>
      <c r="CC36" s="23">
        <f>FY26SFA1994!CC36</f>
        <v>0</v>
      </c>
      <c r="CD36" s="23">
        <f>FY26SFA1994!CD36</f>
        <v>0</v>
      </c>
      <c r="CE36" s="23">
        <f>FY26SFA1994!CE36</f>
        <v>0</v>
      </c>
      <c r="CF36" s="23">
        <f>FY26SFA1994!CF36</f>
        <v>0</v>
      </c>
      <c r="CG36" s="23">
        <f>FY26SFA1994!CG36</f>
        <v>0</v>
      </c>
      <c r="CH36" s="23">
        <f>FY26SFA1994!CH36</f>
        <v>0</v>
      </c>
      <c r="CI36" s="23">
        <f>FY26SFA1994!CI36</f>
        <v>0</v>
      </c>
      <c r="CJ36" s="23">
        <f>FY26SFA1994!CJ36</f>
        <v>0</v>
      </c>
      <c r="CK36" s="23">
        <f>FY26SFA1994!CK36</f>
        <v>4.6999999999999886</v>
      </c>
      <c r="CL36" s="23">
        <f>FY26SFA1994!CL36</f>
        <v>0</v>
      </c>
      <c r="CM36" s="23">
        <f>FY26SFA1994!CM36</f>
        <v>0</v>
      </c>
      <c r="CN36" s="23">
        <f>FY26SFA1994!CN36</f>
        <v>99.000000000000114</v>
      </c>
      <c r="CO36" s="23">
        <f>FY26SFA1994!CO36</f>
        <v>0</v>
      </c>
      <c r="CP36" s="23">
        <f>FY26SFA1994!CP36</f>
        <v>0</v>
      </c>
      <c r="CQ36" s="23">
        <f>FY26SFA1994!CQ36</f>
        <v>0</v>
      </c>
      <c r="CR36" s="23">
        <f>FY26SFA1994!CR36</f>
        <v>0</v>
      </c>
      <c r="CS36" s="23">
        <f>FY26SFA1994!CS36</f>
        <v>0</v>
      </c>
      <c r="CT36" s="23">
        <f>FY26SFA1994!CT36</f>
        <v>0</v>
      </c>
      <c r="CU36" s="23">
        <f>FY26SFA1994!CU36</f>
        <v>0</v>
      </c>
      <c r="CV36" s="23">
        <f>FY26SFA1994!CV36</f>
        <v>0</v>
      </c>
      <c r="CW36" s="23">
        <f>FY26SFA1994!CW36</f>
        <v>0</v>
      </c>
      <c r="CX36" s="23">
        <f>FY26SFA1994!CX36</f>
        <v>0</v>
      </c>
      <c r="CY36" s="23">
        <f>FY26SFA1994!CY36</f>
        <v>0</v>
      </c>
      <c r="CZ36" s="23">
        <f>FY26SFA1994!CZ36</f>
        <v>0</v>
      </c>
      <c r="DA36" s="23">
        <f>FY26SFA1994!DA36</f>
        <v>0</v>
      </c>
      <c r="DB36" s="23">
        <f>FY26SFA1994!DB36</f>
        <v>0</v>
      </c>
      <c r="DC36" s="23">
        <f>FY26SFA1994!DC36</f>
        <v>0</v>
      </c>
      <c r="DD36" s="23">
        <f>FY26SFA1994!DD36</f>
        <v>0</v>
      </c>
      <c r="DE36" s="23">
        <f>FY26SFA1994!DE36</f>
        <v>0</v>
      </c>
      <c r="DF36" s="23">
        <f>FY26SFA1994!DF36</f>
        <v>17</v>
      </c>
      <c r="DG36" s="23">
        <f>FY26SFA1994!DG36</f>
        <v>0</v>
      </c>
      <c r="DH36" s="23">
        <f>FY26SFA1994!DH36</f>
        <v>0</v>
      </c>
      <c r="DI36" s="23">
        <f>FY26SFA1994!DI36</f>
        <v>18.200000000000003</v>
      </c>
      <c r="DJ36" s="23">
        <f>FY26SFA1994!DJ36</f>
        <v>0</v>
      </c>
      <c r="DK36" s="23">
        <f>FY26SFA1994!DK36</f>
        <v>0</v>
      </c>
      <c r="DL36" s="23">
        <f>FY26SFA1994!DL36</f>
        <v>0</v>
      </c>
      <c r="DM36" s="23">
        <f>FY26SFA1994!DM36</f>
        <v>0</v>
      </c>
      <c r="DN36" s="23">
        <f>FY26SFA1994!DN36</f>
        <v>0</v>
      </c>
      <c r="DO36" s="23">
        <f>FY26SFA1994!DO36</f>
        <v>0</v>
      </c>
      <c r="DP36" s="23">
        <f>FY26SFA1994!DP36</f>
        <v>0</v>
      </c>
      <c r="DQ36" s="23">
        <f>FY26SFA1994!DQ36</f>
        <v>0</v>
      </c>
      <c r="DR36" s="23">
        <f>FY26SFA1994!DR36</f>
        <v>0</v>
      </c>
      <c r="DS36" s="23">
        <f>FY26SFA1994!DS36</f>
        <v>0</v>
      </c>
      <c r="DT36" s="23">
        <f>FY26SFA1994!DT36</f>
        <v>0</v>
      </c>
      <c r="DU36" s="23">
        <f>FY26SFA1994!DU36</f>
        <v>0</v>
      </c>
      <c r="DV36" s="23">
        <f>FY26SFA1994!DV36</f>
        <v>0</v>
      </c>
      <c r="DW36" s="23">
        <f>FY26SFA1994!DW36</f>
        <v>0</v>
      </c>
      <c r="DX36" s="23">
        <f>FY26SFA1994!DX36</f>
        <v>0</v>
      </c>
      <c r="DY36" s="23">
        <f>FY26SFA1994!DY36</f>
        <v>0</v>
      </c>
      <c r="DZ36" s="23">
        <f>FY26SFA1994!DZ36</f>
        <v>0</v>
      </c>
      <c r="EA36" s="23">
        <f>FY26SFA1994!EA36</f>
        <v>0</v>
      </c>
      <c r="EB36" s="23">
        <f>FY26SFA1994!EB36</f>
        <v>0</v>
      </c>
      <c r="EC36" s="23">
        <f>FY26SFA1994!EC36</f>
        <v>0</v>
      </c>
      <c r="ED36" s="23">
        <f>FY26SFA1994!ED36</f>
        <v>0</v>
      </c>
      <c r="EE36" s="23">
        <f>FY26SFA1994!EE36</f>
        <v>0</v>
      </c>
      <c r="EF36" s="23">
        <f>FY26SFA1994!EF36</f>
        <v>0</v>
      </c>
      <c r="EG36" s="23">
        <f>FY26SFA1994!EG36</f>
        <v>0</v>
      </c>
      <c r="EH36" s="23">
        <f>FY26SFA1994!EH36</f>
        <v>0</v>
      </c>
      <c r="EI36" s="23">
        <f>FY26SFA1994!EI36</f>
        <v>0</v>
      </c>
      <c r="EJ36" s="23">
        <f>FY26SFA1994!EJ36</f>
        <v>0</v>
      </c>
      <c r="EK36" s="23">
        <f>FY26SFA1994!EK36</f>
        <v>0</v>
      </c>
      <c r="EL36" s="23">
        <f>FY26SFA1994!EL36</f>
        <v>0</v>
      </c>
      <c r="EM36" s="23">
        <f>FY26SFA1994!EM36</f>
        <v>0</v>
      </c>
      <c r="EN36" s="23">
        <f>FY26SFA1994!EN36</f>
        <v>0</v>
      </c>
      <c r="EO36" s="23">
        <f>FY26SFA1994!EO36</f>
        <v>0</v>
      </c>
      <c r="EP36" s="23">
        <f>FY26SFA1994!EP36</f>
        <v>0</v>
      </c>
      <c r="EQ36" s="23">
        <f>FY26SFA1994!EQ36</f>
        <v>0</v>
      </c>
      <c r="ER36" s="23">
        <f>FY26SFA1994!ER36</f>
        <v>0</v>
      </c>
      <c r="ES36" s="23">
        <f>FY26SFA1994!ES36</f>
        <v>0</v>
      </c>
      <c r="ET36" s="23">
        <f>FY26SFA1994!ET36</f>
        <v>0</v>
      </c>
      <c r="EU36" s="23">
        <f>FY26SFA1994!EU36</f>
        <v>0</v>
      </c>
      <c r="EV36" s="23">
        <f>FY26SFA1994!EV36</f>
        <v>0</v>
      </c>
      <c r="EW36" s="23">
        <f>FY26SFA1994!EW36</f>
        <v>0</v>
      </c>
      <c r="EX36" s="23">
        <f>FY26SFA1994!EX36</f>
        <v>0</v>
      </c>
      <c r="EY36" s="23">
        <f>FY26SFA1994!EY36</f>
        <v>0</v>
      </c>
      <c r="EZ36" s="23">
        <f>FY26SFA1994!EZ36</f>
        <v>0</v>
      </c>
      <c r="FA36" s="23">
        <f>FY26SFA1994!FA36</f>
        <v>0</v>
      </c>
      <c r="FB36" s="23">
        <f>FY26SFA1994!FB36</f>
        <v>0</v>
      </c>
      <c r="FC36" s="23">
        <f>FY26SFA1994!FC36</f>
        <v>0</v>
      </c>
      <c r="FD36" s="23">
        <f>FY26SFA1994!FD36</f>
        <v>0</v>
      </c>
      <c r="FE36" s="23">
        <f>FY26SFA1994!FE36</f>
        <v>0</v>
      </c>
      <c r="FF36" s="23">
        <f>FY26SFA1994!FF36</f>
        <v>0</v>
      </c>
      <c r="FG36" s="23">
        <f>FY26SFA1994!FG36</f>
        <v>0</v>
      </c>
      <c r="FH36" s="23">
        <f>FY26SFA1994!FH36</f>
        <v>0</v>
      </c>
      <c r="FI36" s="23">
        <f>FY26SFA1994!FI36</f>
        <v>0</v>
      </c>
      <c r="FJ36" s="23">
        <f>FY26SFA1994!FJ36</f>
        <v>0</v>
      </c>
      <c r="FK36" s="23">
        <f>FY26SFA1994!FK36</f>
        <v>0</v>
      </c>
      <c r="FL36" s="23">
        <f>FY26SFA1994!FL36</f>
        <v>0</v>
      </c>
      <c r="FM36" s="23">
        <f>FY26SFA1994!FM36</f>
        <v>0</v>
      </c>
      <c r="FN36" s="23">
        <f>FY26SFA1994!FN36</f>
        <v>0</v>
      </c>
      <c r="FO36" s="23">
        <f>FY26SFA1994!FO36</f>
        <v>0</v>
      </c>
      <c r="FP36" s="23">
        <f>FY26SFA1994!FP36</f>
        <v>0</v>
      </c>
      <c r="FQ36" s="23">
        <f>FY26SFA1994!FQ36</f>
        <v>0</v>
      </c>
      <c r="FR36" s="23">
        <f>FY26SFA1994!FR36</f>
        <v>0</v>
      </c>
      <c r="FS36" s="23">
        <f>FY26SFA1994!FS36</f>
        <v>0</v>
      </c>
      <c r="FT36" s="23">
        <f>FY26SFA1994!FT36</f>
        <v>0</v>
      </c>
      <c r="FU36" s="23">
        <f>FY26SFA1994!FU36</f>
        <v>0</v>
      </c>
      <c r="FV36" s="23">
        <f>FY26SFA1994!FV36</f>
        <v>0</v>
      </c>
      <c r="FW36" s="23">
        <f>FY26SFA1994!FW36</f>
        <v>0</v>
      </c>
      <c r="FX36" s="23">
        <f>FY26SFA1994!FX36</f>
        <v>0</v>
      </c>
      <c r="FY36" s="23"/>
      <c r="FZ36" s="23">
        <f t="shared" si="7"/>
        <v>530.40000000000009</v>
      </c>
      <c r="GA36" s="23"/>
      <c r="GB36" s="23"/>
      <c r="GC36" s="23"/>
      <c r="GD36" s="23"/>
      <c r="GE36" s="7"/>
      <c r="GF36" s="7"/>
      <c r="GG36" s="7"/>
      <c r="GH36" s="7"/>
      <c r="GI36" s="7"/>
      <c r="GJ36" s="7"/>
      <c r="GK36" s="7"/>
    </row>
    <row r="37" spans="1:207" ht="15.5" x14ac:dyDescent="0.35">
      <c r="A37" s="12"/>
      <c r="B37" s="7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23"/>
      <c r="FZ37" s="23"/>
      <c r="GA37" s="23"/>
      <c r="GB37" s="23"/>
      <c r="GC37" s="23"/>
      <c r="GD37" s="23"/>
      <c r="GE37" s="7"/>
      <c r="GF37" s="7"/>
      <c r="GG37" s="7"/>
      <c r="GH37" s="7"/>
      <c r="GI37" s="7"/>
      <c r="GJ37" s="7"/>
      <c r="GK37" s="7"/>
    </row>
    <row r="38" spans="1:207" ht="15.5" x14ac:dyDescent="0.35">
      <c r="A38" s="45"/>
      <c r="B38" s="5" t="s">
        <v>760</v>
      </c>
      <c r="C38" s="94" t="e">
        <f ca="1">GA337</f>
        <v>#NAME?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23"/>
      <c r="GA38" s="23"/>
      <c r="GB38" s="23"/>
      <c r="GC38" s="23"/>
      <c r="GD38" s="23"/>
      <c r="GE38" s="7"/>
      <c r="GF38" s="7"/>
      <c r="GG38" s="7"/>
      <c r="GH38" s="7"/>
      <c r="GI38" s="7"/>
      <c r="GJ38" s="7"/>
      <c r="GK38" s="7"/>
    </row>
    <row r="39" spans="1:207" ht="15.5" x14ac:dyDescent="0.35">
      <c r="A39" s="12" t="s">
        <v>487</v>
      </c>
      <c r="B39" s="7" t="s">
        <v>761</v>
      </c>
      <c r="C39" s="7">
        <f>B4</f>
        <v>8691.7999999999993</v>
      </c>
      <c r="D39" s="7">
        <f t="shared" ref="D39:FX39" si="8">$C$39</f>
        <v>8691.7999999999993</v>
      </c>
      <c r="E39" s="7">
        <f t="shared" si="8"/>
        <v>8691.7999999999993</v>
      </c>
      <c r="F39" s="7">
        <f t="shared" si="8"/>
        <v>8691.7999999999993</v>
      </c>
      <c r="G39" s="7">
        <f t="shared" si="8"/>
        <v>8691.7999999999993</v>
      </c>
      <c r="H39" s="7">
        <f t="shared" si="8"/>
        <v>8691.7999999999993</v>
      </c>
      <c r="I39" s="7">
        <f t="shared" si="8"/>
        <v>8691.7999999999993</v>
      </c>
      <c r="J39" s="7">
        <f t="shared" si="8"/>
        <v>8691.7999999999993</v>
      </c>
      <c r="K39" s="7">
        <f t="shared" si="8"/>
        <v>8691.7999999999993</v>
      </c>
      <c r="L39" s="7">
        <f t="shared" si="8"/>
        <v>8691.7999999999993</v>
      </c>
      <c r="M39" s="7">
        <f t="shared" si="8"/>
        <v>8691.7999999999993</v>
      </c>
      <c r="N39" s="7">
        <f t="shared" si="8"/>
        <v>8691.7999999999993</v>
      </c>
      <c r="O39" s="7">
        <f t="shared" si="8"/>
        <v>8691.7999999999993</v>
      </c>
      <c r="P39" s="7">
        <f t="shared" si="8"/>
        <v>8691.7999999999993</v>
      </c>
      <c r="Q39" s="7">
        <f t="shared" si="8"/>
        <v>8691.7999999999993</v>
      </c>
      <c r="R39" s="7">
        <f t="shared" si="8"/>
        <v>8691.7999999999993</v>
      </c>
      <c r="S39" s="7">
        <f t="shared" si="8"/>
        <v>8691.7999999999993</v>
      </c>
      <c r="T39" s="7">
        <f t="shared" si="8"/>
        <v>8691.7999999999993</v>
      </c>
      <c r="U39" s="7">
        <f t="shared" si="8"/>
        <v>8691.7999999999993</v>
      </c>
      <c r="V39" s="7">
        <f t="shared" si="8"/>
        <v>8691.7999999999993</v>
      </c>
      <c r="W39" s="7">
        <f t="shared" si="8"/>
        <v>8691.7999999999993</v>
      </c>
      <c r="X39" s="7">
        <f t="shared" si="8"/>
        <v>8691.7999999999993</v>
      </c>
      <c r="Y39" s="7">
        <f t="shared" si="8"/>
        <v>8691.7999999999993</v>
      </c>
      <c r="Z39" s="7">
        <f t="shared" si="8"/>
        <v>8691.7999999999993</v>
      </c>
      <c r="AA39" s="7">
        <f t="shared" si="8"/>
        <v>8691.7999999999993</v>
      </c>
      <c r="AB39" s="7">
        <f t="shared" si="8"/>
        <v>8691.7999999999993</v>
      </c>
      <c r="AC39" s="7">
        <f t="shared" si="8"/>
        <v>8691.7999999999993</v>
      </c>
      <c r="AD39" s="7">
        <f t="shared" si="8"/>
        <v>8691.7999999999993</v>
      </c>
      <c r="AE39" s="7">
        <f t="shared" si="8"/>
        <v>8691.7999999999993</v>
      </c>
      <c r="AF39" s="7">
        <f t="shared" si="8"/>
        <v>8691.7999999999993</v>
      </c>
      <c r="AG39" s="7">
        <f t="shared" si="8"/>
        <v>8691.7999999999993</v>
      </c>
      <c r="AH39" s="7">
        <f t="shared" si="8"/>
        <v>8691.7999999999993</v>
      </c>
      <c r="AI39" s="7">
        <f t="shared" si="8"/>
        <v>8691.7999999999993</v>
      </c>
      <c r="AJ39" s="7">
        <f t="shared" si="8"/>
        <v>8691.7999999999993</v>
      </c>
      <c r="AK39" s="7">
        <f t="shared" si="8"/>
        <v>8691.7999999999993</v>
      </c>
      <c r="AL39" s="7">
        <f t="shared" si="8"/>
        <v>8691.7999999999993</v>
      </c>
      <c r="AM39" s="7">
        <f t="shared" si="8"/>
        <v>8691.7999999999993</v>
      </c>
      <c r="AN39" s="7">
        <f t="shared" si="8"/>
        <v>8691.7999999999993</v>
      </c>
      <c r="AO39" s="7">
        <f t="shared" si="8"/>
        <v>8691.7999999999993</v>
      </c>
      <c r="AP39" s="7">
        <f t="shared" si="8"/>
        <v>8691.7999999999993</v>
      </c>
      <c r="AQ39" s="7">
        <f t="shared" si="8"/>
        <v>8691.7999999999993</v>
      </c>
      <c r="AR39" s="7">
        <f t="shared" si="8"/>
        <v>8691.7999999999993</v>
      </c>
      <c r="AS39" s="7">
        <f t="shared" si="8"/>
        <v>8691.7999999999993</v>
      </c>
      <c r="AT39" s="7">
        <f t="shared" si="8"/>
        <v>8691.7999999999993</v>
      </c>
      <c r="AU39" s="7">
        <f t="shared" si="8"/>
        <v>8691.7999999999993</v>
      </c>
      <c r="AV39" s="7">
        <f t="shared" si="8"/>
        <v>8691.7999999999993</v>
      </c>
      <c r="AW39" s="7">
        <f t="shared" si="8"/>
        <v>8691.7999999999993</v>
      </c>
      <c r="AX39" s="7">
        <f t="shared" si="8"/>
        <v>8691.7999999999993</v>
      </c>
      <c r="AY39" s="7">
        <f t="shared" si="8"/>
        <v>8691.7999999999993</v>
      </c>
      <c r="AZ39" s="7">
        <f t="shared" si="8"/>
        <v>8691.7999999999993</v>
      </c>
      <c r="BA39" s="7">
        <f t="shared" si="8"/>
        <v>8691.7999999999993</v>
      </c>
      <c r="BB39" s="7">
        <f t="shared" si="8"/>
        <v>8691.7999999999993</v>
      </c>
      <c r="BC39" s="7">
        <f t="shared" si="8"/>
        <v>8691.7999999999993</v>
      </c>
      <c r="BD39" s="7">
        <f t="shared" si="8"/>
        <v>8691.7999999999993</v>
      </c>
      <c r="BE39" s="7">
        <f t="shared" si="8"/>
        <v>8691.7999999999993</v>
      </c>
      <c r="BF39" s="7">
        <f t="shared" si="8"/>
        <v>8691.7999999999993</v>
      </c>
      <c r="BG39" s="7">
        <f t="shared" si="8"/>
        <v>8691.7999999999993</v>
      </c>
      <c r="BH39" s="7">
        <f t="shared" si="8"/>
        <v>8691.7999999999993</v>
      </c>
      <c r="BI39" s="7">
        <f t="shared" si="8"/>
        <v>8691.7999999999993</v>
      </c>
      <c r="BJ39" s="7">
        <f t="shared" si="8"/>
        <v>8691.7999999999993</v>
      </c>
      <c r="BK39" s="7">
        <f t="shared" si="8"/>
        <v>8691.7999999999993</v>
      </c>
      <c r="BL39" s="7">
        <f t="shared" si="8"/>
        <v>8691.7999999999993</v>
      </c>
      <c r="BM39" s="7">
        <f t="shared" si="8"/>
        <v>8691.7999999999993</v>
      </c>
      <c r="BN39" s="7">
        <f t="shared" si="8"/>
        <v>8691.7999999999993</v>
      </c>
      <c r="BO39" s="7">
        <f t="shared" si="8"/>
        <v>8691.7999999999993</v>
      </c>
      <c r="BP39" s="7">
        <f t="shared" si="8"/>
        <v>8691.7999999999993</v>
      </c>
      <c r="BQ39" s="7">
        <f t="shared" si="8"/>
        <v>8691.7999999999993</v>
      </c>
      <c r="BR39" s="7">
        <f t="shared" si="8"/>
        <v>8691.7999999999993</v>
      </c>
      <c r="BS39" s="7">
        <f t="shared" si="8"/>
        <v>8691.7999999999993</v>
      </c>
      <c r="BT39" s="7">
        <f t="shared" si="8"/>
        <v>8691.7999999999993</v>
      </c>
      <c r="BU39" s="7">
        <f t="shared" si="8"/>
        <v>8691.7999999999993</v>
      </c>
      <c r="BV39" s="7">
        <f t="shared" si="8"/>
        <v>8691.7999999999993</v>
      </c>
      <c r="BW39" s="7">
        <f t="shared" si="8"/>
        <v>8691.7999999999993</v>
      </c>
      <c r="BX39" s="7">
        <f t="shared" si="8"/>
        <v>8691.7999999999993</v>
      </c>
      <c r="BY39" s="7">
        <f t="shared" si="8"/>
        <v>8691.7999999999993</v>
      </c>
      <c r="BZ39" s="7">
        <f t="shared" si="8"/>
        <v>8691.7999999999993</v>
      </c>
      <c r="CA39" s="7">
        <f t="shared" si="8"/>
        <v>8691.7999999999993</v>
      </c>
      <c r="CB39" s="7">
        <f t="shared" si="8"/>
        <v>8691.7999999999993</v>
      </c>
      <c r="CC39" s="7">
        <f t="shared" si="8"/>
        <v>8691.7999999999993</v>
      </c>
      <c r="CD39" s="7">
        <f t="shared" si="8"/>
        <v>8691.7999999999993</v>
      </c>
      <c r="CE39" s="7">
        <f t="shared" si="8"/>
        <v>8691.7999999999993</v>
      </c>
      <c r="CF39" s="7">
        <f t="shared" si="8"/>
        <v>8691.7999999999993</v>
      </c>
      <c r="CG39" s="7">
        <f t="shared" si="8"/>
        <v>8691.7999999999993</v>
      </c>
      <c r="CH39" s="7">
        <f t="shared" si="8"/>
        <v>8691.7999999999993</v>
      </c>
      <c r="CI39" s="7">
        <f t="shared" si="8"/>
        <v>8691.7999999999993</v>
      </c>
      <c r="CJ39" s="7">
        <f t="shared" si="8"/>
        <v>8691.7999999999993</v>
      </c>
      <c r="CK39" s="7">
        <f t="shared" si="8"/>
        <v>8691.7999999999993</v>
      </c>
      <c r="CL39" s="7">
        <f t="shared" si="8"/>
        <v>8691.7999999999993</v>
      </c>
      <c r="CM39" s="7">
        <f t="shared" si="8"/>
        <v>8691.7999999999993</v>
      </c>
      <c r="CN39" s="7">
        <f t="shared" si="8"/>
        <v>8691.7999999999993</v>
      </c>
      <c r="CO39" s="7">
        <f t="shared" si="8"/>
        <v>8691.7999999999993</v>
      </c>
      <c r="CP39" s="7">
        <f t="shared" si="8"/>
        <v>8691.7999999999993</v>
      </c>
      <c r="CQ39" s="7">
        <f t="shared" si="8"/>
        <v>8691.7999999999993</v>
      </c>
      <c r="CR39" s="7">
        <f t="shared" si="8"/>
        <v>8691.7999999999993</v>
      </c>
      <c r="CS39" s="7">
        <f t="shared" si="8"/>
        <v>8691.7999999999993</v>
      </c>
      <c r="CT39" s="7">
        <f t="shared" si="8"/>
        <v>8691.7999999999993</v>
      </c>
      <c r="CU39" s="7">
        <f t="shared" si="8"/>
        <v>8691.7999999999993</v>
      </c>
      <c r="CV39" s="7">
        <f t="shared" si="8"/>
        <v>8691.7999999999993</v>
      </c>
      <c r="CW39" s="7">
        <f t="shared" si="8"/>
        <v>8691.7999999999993</v>
      </c>
      <c r="CX39" s="7">
        <f t="shared" si="8"/>
        <v>8691.7999999999993</v>
      </c>
      <c r="CY39" s="7">
        <f t="shared" si="8"/>
        <v>8691.7999999999993</v>
      </c>
      <c r="CZ39" s="7">
        <f t="shared" si="8"/>
        <v>8691.7999999999993</v>
      </c>
      <c r="DA39" s="7">
        <f t="shared" si="8"/>
        <v>8691.7999999999993</v>
      </c>
      <c r="DB39" s="7">
        <f t="shared" si="8"/>
        <v>8691.7999999999993</v>
      </c>
      <c r="DC39" s="7">
        <f t="shared" si="8"/>
        <v>8691.7999999999993</v>
      </c>
      <c r="DD39" s="7">
        <f t="shared" si="8"/>
        <v>8691.7999999999993</v>
      </c>
      <c r="DE39" s="7">
        <f t="shared" si="8"/>
        <v>8691.7999999999993</v>
      </c>
      <c r="DF39" s="7">
        <f t="shared" si="8"/>
        <v>8691.7999999999993</v>
      </c>
      <c r="DG39" s="7">
        <f t="shared" si="8"/>
        <v>8691.7999999999993</v>
      </c>
      <c r="DH39" s="7">
        <f t="shared" si="8"/>
        <v>8691.7999999999993</v>
      </c>
      <c r="DI39" s="7">
        <f t="shared" si="8"/>
        <v>8691.7999999999993</v>
      </c>
      <c r="DJ39" s="7">
        <f t="shared" si="8"/>
        <v>8691.7999999999993</v>
      </c>
      <c r="DK39" s="7">
        <f t="shared" si="8"/>
        <v>8691.7999999999993</v>
      </c>
      <c r="DL39" s="7">
        <f t="shared" si="8"/>
        <v>8691.7999999999993</v>
      </c>
      <c r="DM39" s="7">
        <f t="shared" si="8"/>
        <v>8691.7999999999993</v>
      </c>
      <c r="DN39" s="7">
        <f t="shared" si="8"/>
        <v>8691.7999999999993</v>
      </c>
      <c r="DO39" s="7">
        <f t="shared" si="8"/>
        <v>8691.7999999999993</v>
      </c>
      <c r="DP39" s="7">
        <f t="shared" si="8"/>
        <v>8691.7999999999993</v>
      </c>
      <c r="DQ39" s="7">
        <f t="shared" si="8"/>
        <v>8691.7999999999993</v>
      </c>
      <c r="DR39" s="7">
        <f t="shared" si="8"/>
        <v>8691.7999999999993</v>
      </c>
      <c r="DS39" s="7">
        <f t="shared" si="8"/>
        <v>8691.7999999999993</v>
      </c>
      <c r="DT39" s="7">
        <f t="shared" si="8"/>
        <v>8691.7999999999993</v>
      </c>
      <c r="DU39" s="7">
        <f t="shared" si="8"/>
        <v>8691.7999999999993</v>
      </c>
      <c r="DV39" s="7">
        <f t="shared" si="8"/>
        <v>8691.7999999999993</v>
      </c>
      <c r="DW39" s="7">
        <f t="shared" si="8"/>
        <v>8691.7999999999993</v>
      </c>
      <c r="DX39" s="7">
        <f t="shared" si="8"/>
        <v>8691.7999999999993</v>
      </c>
      <c r="DY39" s="7">
        <f t="shared" si="8"/>
        <v>8691.7999999999993</v>
      </c>
      <c r="DZ39" s="7">
        <f t="shared" si="8"/>
        <v>8691.7999999999993</v>
      </c>
      <c r="EA39" s="7">
        <f t="shared" si="8"/>
        <v>8691.7999999999993</v>
      </c>
      <c r="EB39" s="7">
        <f t="shared" si="8"/>
        <v>8691.7999999999993</v>
      </c>
      <c r="EC39" s="7">
        <f t="shared" si="8"/>
        <v>8691.7999999999993</v>
      </c>
      <c r="ED39" s="7">
        <f t="shared" si="8"/>
        <v>8691.7999999999993</v>
      </c>
      <c r="EE39" s="7">
        <f t="shared" si="8"/>
        <v>8691.7999999999993</v>
      </c>
      <c r="EF39" s="7">
        <f t="shared" si="8"/>
        <v>8691.7999999999993</v>
      </c>
      <c r="EG39" s="7">
        <f t="shared" si="8"/>
        <v>8691.7999999999993</v>
      </c>
      <c r="EH39" s="7">
        <f t="shared" si="8"/>
        <v>8691.7999999999993</v>
      </c>
      <c r="EI39" s="7">
        <f t="shared" si="8"/>
        <v>8691.7999999999993</v>
      </c>
      <c r="EJ39" s="7">
        <f t="shared" si="8"/>
        <v>8691.7999999999993</v>
      </c>
      <c r="EK39" s="7">
        <f t="shared" si="8"/>
        <v>8691.7999999999993</v>
      </c>
      <c r="EL39" s="7">
        <f t="shared" si="8"/>
        <v>8691.7999999999993</v>
      </c>
      <c r="EM39" s="7">
        <f t="shared" si="8"/>
        <v>8691.7999999999993</v>
      </c>
      <c r="EN39" s="7">
        <f t="shared" si="8"/>
        <v>8691.7999999999993</v>
      </c>
      <c r="EO39" s="7">
        <f t="shared" si="8"/>
        <v>8691.7999999999993</v>
      </c>
      <c r="EP39" s="7">
        <f t="shared" si="8"/>
        <v>8691.7999999999993</v>
      </c>
      <c r="EQ39" s="7">
        <f t="shared" si="8"/>
        <v>8691.7999999999993</v>
      </c>
      <c r="ER39" s="7">
        <f t="shared" si="8"/>
        <v>8691.7999999999993</v>
      </c>
      <c r="ES39" s="7">
        <f t="shared" si="8"/>
        <v>8691.7999999999993</v>
      </c>
      <c r="ET39" s="7">
        <f t="shared" si="8"/>
        <v>8691.7999999999993</v>
      </c>
      <c r="EU39" s="7">
        <f t="shared" si="8"/>
        <v>8691.7999999999993</v>
      </c>
      <c r="EV39" s="7">
        <f t="shared" si="8"/>
        <v>8691.7999999999993</v>
      </c>
      <c r="EW39" s="7">
        <f t="shared" si="8"/>
        <v>8691.7999999999993</v>
      </c>
      <c r="EX39" s="7">
        <f t="shared" si="8"/>
        <v>8691.7999999999993</v>
      </c>
      <c r="EY39" s="7">
        <f t="shared" si="8"/>
        <v>8691.7999999999993</v>
      </c>
      <c r="EZ39" s="7">
        <f t="shared" si="8"/>
        <v>8691.7999999999993</v>
      </c>
      <c r="FA39" s="7">
        <f t="shared" si="8"/>
        <v>8691.7999999999993</v>
      </c>
      <c r="FB39" s="7">
        <f t="shared" si="8"/>
        <v>8691.7999999999993</v>
      </c>
      <c r="FC39" s="7">
        <f t="shared" si="8"/>
        <v>8691.7999999999993</v>
      </c>
      <c r="FD39" s="7">
        <f t="shared" si="8"/>
        <v>8691.7999999999993</v>
      </c>
      <c r="FE39" s="7">
        <f t="shared" si="8"/>
        <v>8691.7999999999993</v>
      </c>
      <c r="FF39" s="7">
        <f t="shared" si="8"/>
        <v>8691.7999999999993</v>
      </c>
      <c r="FG39" s="7">
        <f t="shared" si="8"/>
        <v>8691.7999999999993</v>
      </c>
      <c r="FH39" s="7">
        <f t="shared" si="8"/>
        <v>8691.7999999999993</v>
      </c>
      <c r="FI39" s="7">
        <f t="shared" si="8"/>
        <v>8691.7999999999993</v>
      </c>
      <c r="FJ39" s="7">
        <f t="shared" si="8"/>
        <v>8691.7999999999993</v>
      </c>
      <c r="FK39" s="7">
        <f t="shared" si="8"/>
        <v>8691.7999999999993</v>
      </c>
      <c r="FL39" s="7">
        <f t="shared" si="8"/>
        <v>8691.7999999999993</v>
      </c>
      <c r="FM39" s="7">
        <f t="shared" si="8"/>
        <v>8691.7999999999993</v>
      </c>
      <c r="FN39" s="7">
        <f t="shared" si="8"/>
        <v>8691.7999999999993</v>
      </c>
      <c r="FO39" s="7">
        <f t="shared" si="8"/>
        <v>8691.7999999999993</v>
      </c>
      <c r="FP39" s="7">
        <f t="shared" si="8"/>
        <v>8691.7999999999993</v>
      </c>
      <c r="FQ39" s="7">
        <f t="shared" si="8"/>
        <v>8691.7999999999993</v>
      </c>
      <c r="FR39" s="7">
        <f t="shared" si="8"/>
        <v>8691.7999999999993</v>
      </c>
      <c r="FS39" s="7">
        <f t="shared" si="8"/>
        <v>8691.7999999999993</v>
      </c>
      <c r="FT39" s="7">
        <f t="shared" si="8"/>
        <v>8691.7999999999993</v>
      </c>
      <c r="FU39" s="7">
        <f t="shared" si="8"/>
        <v>8691.7999999999993</v>
      </c>
      <c r="FV39" s="7">
        <f t="shared" si="8"/>
        <v>8691.7999999999993</v>
      </c>
      <c r="FW39" s="7">
        <f t="shared" si="8"/>
        <v>8691.7999999999993</v>
      </c>
      <c r="FX39" s="7">
        <f t="shared" si="8"/>
        <v>8691.7999999999993</v>
      </c>
      <c r="FY39" s="7"/>
      <c r="FZ39" s="23"/>
      <c r="GA39" s="23"/>
      <c r="GB39" s="23"/>
      <c r="GC39" s="23"/>
      <c r="GD39" s="23"/>
      <c r="GE39" s="7"/>
      <c r="GF39" s="7"/>
      <c r="GG39" s="7"/>
      <c r="GH39" s="7"/>
      <c r="GI39" s="7"/>
      <c r="GJ39" s="7"/>
      <c r="GK39" s="7"/>
    </row>
    <row r="40" spans="1:207" ht="15.5" x14ac:dyDescent="0.35">
      <c r="A40" s="12" t="s">
        <v>489</v>
      </c>
      <c r="B40" s="7" t="s">
        <v>762</v>
      </c>
      <c r="C40" s="94">
        <v>11028.65</v>
      </c>
      <c r="D40" s="7">
        <f t="shared" ref="D40:FX40" si="9">$C$40</f>
        <v>11028.65</v>
      </c>
      <c r="E40" s="7">
        <f t="shared" si="9"/>
        <v>11028.65</v>
      </c>
      <c r="F40" s="7">
        <f t="shared" si="9"/>
        <v>11028.65</v>
      </c>
      <c r="G40" s="7">
        <f t="shared" si="9"/>
        <v>11028.65</v>
      </c>
      <c r="H40" s="7">
        <f t="shared" si="9"/>
        <v>11028.65</v>
      </c>
      <c r="I40" s="7">
        <f t="shared" si="9"/>
        <v>11028.65</v>
      </c>
      <c r="J40" s="7">
        <f t="shared" si="9"/>
        <v>11028.65</v>
      </c>
      <c r="K40" s="7">
        <f t="shared" si="9"/>
        <v>11028.65</v>
      </c>
      <c r="L40" s="7">
        <f t="shared" si="9"/>
        <v>11028.65</v>
      </c>
      <c r="M40" s="7">
        <f t="shared" si="9"/>
        <v>11028.65</v>
      </c>
      <c r="N40" s="7">
        <f t="shared" si="9"/>
        <v>11028.65</v>
      </c>
      <c r="O40" s="7">
        <f t="shared" si="9"/>
        <v>11028.65</v>
      </c>
      <c r="P40" s="7">
        <f t="shared" si="9"/>
        <v>11028.65</v>
      </c>
      <c r="Q40" s="7">
        <f t="shared" si="9"/>
        <v>11028.65</v>
      </c>
      <c r="R40" s="7">
        <f t="shared" si="9"/>
        <v>11028.65</v>
      </c>
      <c r="S40" s="7">
        <f t="shared" si="9"/>
        <v>11028.65</v>
      </c>
      <c r="T40" s="7">
        <f t="shared" si="9"/>
        <v>11028.65</v>
      </c>
      <c r="U40" s="7">
        <f t="shared" si="9"/>
        <v>11028.65</v>
      </c>
      <c r="V40" s="7">
        <f t="shared" si="9"/>
        <v>11028.65</v>
      </c>
      <c r="W40" s="7">
        <f t="shared" si="9"/>
        <v>11028.65</v>
      </c>
      <c r="X40" s="7">
        <f t="shared" si="9"/>
        <v>11028.65</v>
      </c>
      <c r="Y40" s="7">
        <f t="shared" si="9"/>
        <v>11028.65</v>
      </c>
      <c r="Z40" s="7">
        <f t="shared" si="9"/>
        <v>11028.65</v>
      </c>
      <c r="AA40" s="7">
        <f t="shared" si="9"/>
        <v>11028.65</v>
      </c>
      <c r="AB40" s="7">
        <f t="shared" si="9"/>
        <v>11028.65</v>
      </c>
      <c r="AC40" s="7">
        <f t="shared" si="9"/>
        <v>11028.65</v>
      </c>
      <c r="AD40" s="7">
        <f t="shared" si="9"/>
        <v>11028.65</v>
      </c>
      <c r="AE40" s="7">
        <f t="shared" si="9"/>
        <v>11028.65</v>
      </c>
      <c r="AF40" s="7">
        <f t="shared" si="9"/>
        <v>11028.65</v>
      </c>
      <c r="AG40" s="7">
        <f t="shared" si="9"/>
        <v>11028.65</v>
      </c>
      <c r="AH40" s="7">
        <f t="shared" si="9"/>
        <v>11028.65</v>
      </c>
      <c r="AI40" s="7">
        <f t="shared" si="9"/>
        <v>11028.65</v>
      </c>
      <c r="AJ40" s="7">
        <f t="shared" si="9"/>
        <v>11028.65</v>
      </c>
      <c r="AK40" s="7">
        <f t="shared" si="9"/>
        <v>11028.65</v>
      </c>
      <c r="AL40" s="7">
        <f t="shared" si="9"/>
        <v>11028.65</v>
      </c>
      <c r="AM40" s="7">
        <f t="shared" si="9"/>
        <v>11028.65</v>
      </c>
      <c r="AN40" s="7">
        <f t="shared" si="9"/>
        <v>11028.65</v>
      </c>
      <c r="AO40" s="7">
        <f t="shared" si="9"/>
        <v>11028.65</v>
      </c>
      <c r="AP40" s="7">
        <f t="shared" si="9"/>
        <v>11028.65</v>
      </c>
      <c r="AQ40" s="7">
        <f t="shared" si="9"/>
        <v>11028.65</v>
      </c>
      <c r="AR40" s="7">
        <f t="shared" si="9"/>
        <v>11028.65</v>
      </c>
      <c r="AS40" s="7">
        <f t="shared" si="9"/>
        <v>11028.65</v>
      </c>
      <c r="AT40" s="7">
        <f t="shared" si="9"/>
        <v>11028.65</v>
      </c>
      <c r="AU40" s="7">
        <f t="shared" si="9"/>
        <v>11028.65</v>
      </c>
      <c r="AV40" s="7">
        <f t="shared" si="9"/>
        <v>11028.65</v>
      </c>
      <c r="AW40" s="7">
        <f t="shared" si="9"/>
        <v>11028.65</v>
      </c>
      <c r="AX40" s="7">
        <f t="shared" si="9"/>
        <v>11028.65</v>
      </c>
      <c r="AY40" s="7">
        <f t="shared" si="9"/>
        <v>11028.65</v>
      </c>
      <c r="AZ40" s="7">
        <f t="shared" si="9"/>
        <v>11028.65</v>
      </c>
      <c r="BA40" s="7">
        <f t="shared" si="9"/>
        <v>11028.65</v>
      </c>
      <c r="BB40" s="7">
        <f t="shared" si="9"/>
        <v>11028.65</v>
      </c>
      <c r="BC40" s="7">
        <f t="shared" si="9"/>
        <v>11028.65</v>
      </c>
      <c r="BD40" s="7">
        <f t="shared" si="9"/>
        <v>11028.65</v>
      </c>
      <c r="BE40" s="7">
        <f t="shared" si="9"/>
        <v>11028.65</v>
      </c>
      <c r="BF40" s="7">
        <f t="shared" si="9"/>
        <v>11028.65</v>
      </c>
      <c r="BG40" s="7">
        <f t="shared" si="9"/>
        <v>11028.65</v>
      </c>
      <c r="BH40" s="7">
        <f t="shared" si="9"/>
        <v>11028.65</v>
      </c>
      <c r="BI40" s="7">
        <f t="shared" si="9"/>
        <v>11028.65</v>
      </c>
      <c r="BJ40" s="7">
        <f t="shared" si="9"/>
        <v>11028.65</v>
      </c>
      <c r="BK40" s="7">
        <f t="shared" si="9"/>
        <v>11028.65</v>
      </c>
      <c r="BL40" s="7">
        <f t="shared" si="9"/>
        <v>11028.65</v>
      </c>
      <c r="BM40" s="7">
        <f t="shared" si="9"/>
        <v>11028.65</v>
      </c>
      <c r="BN40" s="7">
        <f t="shared" si="9"/>
        <v>11028.65</v>
      </c>
      <c r="BO40" s="7">
        <f t="shared" si="9"/>
        <v>11028.65</v>
      </c>
      <c r="BP40" s="7">
        <f t="shared" si="9"/>
        <v>11028.65</v>
      </c>
      <c r="BQ40" s="7">
        <f t="shared" si="9"/>
        <v>11028.65</v>
      </c>
      <c r="BR40" s="7">
        <f t="shared" si="9"/>
        <v>11028.65</v>
      </c>
      <c r="BS40" s="7">
        <f t="shared" si="9"/>
        <v>11028.65</v>
      </c>
      <c r="BT40" s="7">
        <f t="shared" si="9"/>
        <v>11028.65</v>
      </c>
      <c r="BU40" s="7">
        <f t="shared" si="9"/>
        <v>11028.65</v>
      </c>
      <c r="BV40" s="7">
        <f t="shared" si="9"/>
        <v>11028.65</v>
      </c>
      <c r="BW40" s="7">
        <f t="shared" si="9"/>
        <v>11028.65</v>
      </c>
      <c r="BX40" s="7">
        <f t="shared" si="9"/>
        <v>11028.65</v>
      </c>
      <c r="BY40" s="7">
        <f t="shared" si="9"/>
        <v>11028.65</v>
      </c>
      <c r="BZ40" s="7">
        <f t="shared" si="9"/>
        <v>11028.65</v>
      </c>
      <c r="CA40" s="7">
        <f t="shared" si="9"/>
        <v>11028.65</v>
      </c>
      <c r="CB40" s="7">
        <f t="shared" si="9"/>
        <v>11028.65</v>
      </c>
      <c r="CC40" s="7">
        <f t="shared" si="9"/>
        <v>11028.65</v>
      </c>
      <c r="CD40" s="7">
        <f t="shared" si="9"/>
        <v>11028.65</v>
      </c>
      <c r="CE40" s="7">
        <f t="shared" si="9"/>
        <v>11028.65</v>
      </c>
      <c r="CF40" s="7">
        <f t="shared" si="9"/>
        <v>11028.65</v>
      </c>
      <c r="CG40" s="7">
        <f t="shared" si="9"/>
        <v>11028.65</v>
      </c>
      <c r="CH40" s="7">
        <f t="shared" si="9"/>
        <v>11028.65</v>
      </c>
      <c r="CI40" s="7">
        <f t="shared" si="9"/>
        <v>11028.65</v>
      </c>
      <c r="CJ40" s="7">
        <f t="shared" si="9"/>
        <v>11028.65</v>
      </c>
      <c r="CK40" s="7">
        <f t="shared" si="9"/>
        <v>11028.65</v>
      </c>
      <c r="CL40" s="7">
        <f t="shared" si="9"/>
        <v>11028.65</v>
      </c>
      <c r="CM40" s="7">
        <f t="shared" si="9"/>
        <v>11028.65</v>
      </c>
      <c r="CN40" s="7">
        <f t="shared" si="9"/>
        <v>11028.65</v>
      </c>
      <c r="CO40" s="7">
        <f t="shared" si="9"/>
        <v>11028.65</v>
      </c>
      <c r="CP40" s="7">
        <f t="shared" si="9"/>
        <v>11028.65</v>
      </c>
      <c r="CQ40" s="7">
        <f t="shared" si="9"/>
        <v>11028.65</v>
      </c>
      <c r="CR40" s="7">
        <f t="shared" si="9"/>
        <v>11028.65</v>
      </c>
      <c r="CS40" s="7">
        <f t="shared" si="9"/>
        <v>11028.65</v>
      </c>
      <c r="CT40" s="7">
        <f t="shared" si="9"/>
        <v>11028.65</v>
      </c>
      <c r="CU40" s="7">
        <f t="shared" si="9"/>
        <v>11028.65</v>
      </c>
      <c r="CV40" s="7">
        <f t="shared" si="9"/>
        <v>11028.65</v>
      </c>
      <c r="CW40" s="7">
        <f t="shared" si="9"/>
        <v>11028.65</v>
      </c>
      <c r="CX40" s="7">
        <f t="shared" si="9"/>
        <v>11028.65</v>
      </c>
      <c r="CY40" s="7">
        <f t="shared" si="9"/>
        <v>11028.65</v>
      </c>
      <c r="CZ40" s="7">
        <f t="shared" si="9"/>
        <v>11028.65</v>
      </c>
      <c r="DA40" s="7">
        <f t="shared" si="9"/>
        <v>11028.65</v>
      </c>
      <c r="DB40" s="7">
        <f t="shared" si="9"/>
        <v>11028.65</v>
      </c>
      <c r="DC40" s="7">
        <f t="shared" si="9"/>
        <v>11028.65</v>
      </c>
      <c r="DD40" s="7">
        <f t="shared" si="9"/>
        <v>11028.65</v>
      </c>
      <c r="DE40" s="7">
        <f t="shared" si="9"/>
        <v>11028.65</v>
      </c>
      <c r="DF40" s="7">
        <f t="shared" si="9"/>
        <v>11028.65</v>
      </c>
      <c r="DG40" s="7">
        <f t="shared" si="9"/>
        <v>11028.65</v>
      </c>
      <c r="DH40" s="7">
        <f t="shared" si="9"/>
        <v>11028.65</v>
      </c>
      <c r="DI40" s="7">
        <f t="shared" si="9"/>
        <v>11028.65</v>
      </c>
      <c r="DJ40" s="7">
        <f t="shared" si="9"/>
        <v>11028.65</v>
      </c>
      <c r="DK40" s="7">
        <f t="shared" si="9"/>
        <v>11028.65</v>
      </c>
      <c r="DL40" s="7">
        <f t="shared" si="9"/>
        <v>11028.65</v>
      </c>
      <c r="DM40" s="7">
        <f t="shared" si="9"/>
        <v>11028.65</v>
      </c>
      <c r="DN40" s="7">
        <f t="shared" si="9"/>
        <v>11028.65</v>
      </c>
      <c r="DO40" s="7">
        <f t="shared" si="9"/>
        <v>11028.65</v>
      </c>
      <c r="DP40" s="7">
        <f t="shared" si="9"/>
        <v>11028.65</v>
      </c>
      <c r="DQ40" s="7">
        <f t="shared" si="9"/>
        <v>11028.65</v>
      </c>
      <c r="DR40" s="7">
        <f t="shared" si="9"/>
        <v>11028.65</v>
      </c>
      <c r="DS40" s="7">
        <f t="shared" si="9"/>
        <v>11028.65</v>
      </c>
      <c r="DT40" s="7">
        <f t="shared" si="9"/>
        <v>11028.65</v>
      </c>
      <c r="DU40" s="7">
        <f t="shared" si="9"/>
        <v>11028.65</v>
      </c>
      <c r="DV40" s="7">
        <f t="shared" si="9"/>
        <v>11028.65</v>
      </c>
      <c r="DW40" s="7">
        <f t="shared" si="9"/>
        <v>11028.65</v>
      </c>
      <c r="DX40" s="7">
        <f t="shared" si="9"/>
        <v>11028.65</v>
      </c>
      <c r="DY40" s="7">
        <f t="shared" si="9"/>
        <v>11028.65</v>
      </c>
      <c r="DZ40" s="7">
        <f t="shared" si="9"/>
        <v>11028.65</v>
      </c>
      <c r="EA40" s="7">
        <f t="shared" si="9"/>
        <v>11028.65</v>
      </c>
      <c r="EB40" s="7">
        <f t="shared" si="9"/>
        <v>11028.65</v>
      </c>
      <c r="EC40" s="7">
        <f t="shared" si="9"/>
        <v>11028.65</v>
      </c>
      <c r="ED40" s="7">
        <f t="shared" si="9"/>
        <v>11028.65</v>
      </c>
      <c r="EE40" s="7">
        <f t="shared" si="9"/>
        <v>11028.65</v>
      </c>
      <c r="EF40" s="7">
        <f t="shared" si="9"/>
        <v>11028.65</v>
      </c>
      <c r="EG40" s="7">
        <f t="shared" si="9"/>
        <v>11028.65</v>
      </c>
      <c r="EH40" s="7">
        <f t="shared" si="9"/>
        <v>11028.65</v>
      </c>
      <c r="EI40" s="7">
        <f t="shared" si="9"/>
        <v>11028.65</v>
      </c>
      <c r="EJ40" s="7">
        <f t="shared" si="9"/>
        <v>11028.65</v>
      </c>
      <c r="EK40" s="7">
        <f t="shared" si="9"/>
        <v>11028.65</v>
      </c>
      <c r="EL40" s="7">
        <f t="shared" si="9"/>
        <v>11028.65</v>
      </c>
      <c r="EM40" s="7">
        <f t="shared" si="9"/>
        <v>11028.65</v>
      </c>
      <c r="EN40" s="7">
        <f t="shared" si="9"/>
        <v>11028.65</v>
      </c>
      <c r="EO40" s="7">
        <f t="shared" si="9"/>
        <v>11028.65</v>
      </c>
      <c r="EP40" s="7">
        <f t="shared" si="9"/>
        <v>11028.65</v>
      </c>
      <c r="EQ40" s="7">
        <f t="shared" si="9"/>
        <v>11028.65</v>
      </c>
      <c r="ER40" s="7">
        <f t="shared" si="9"/>
        <v>11028.65</v>
      </c>
      <c r="ES40" s="7">
        <f t="shared" si="9"/>
        <v>11028.65</v>
      </c>
      <c r="ET40" s="7">
        <f t="shared" si="9"/>
        <v>11028.65</v>
      </c>
      <c r="EU40" s="7">
        <f t="shared" si="9"/>
        <v>11028.65</v>
      </c>
      <c r="EV40" s="7">
        <f t="shared" si="9"/>
        <v>11028.65</v>
      </c>
      <c r="EW40" s="7">
        <f t="shared" si="9"/>
        <v>11028.65</v>
      </c>
      <c r="EX40" s="7">
        <f t="shared" si="9"/>
        <v>11028.65</v>
      </c>
      <c r="EY40" s="7">
        <f t="shared" si="9"/>
        <v>11028.65</v>
      </c>
      <c r="EZ40" s="7">
        <f t="shared" si="9"/>
        <v>11028.65</v>
      </c>
      <c r="FA40" s="7">
        <f t="shared" si="9"/>
        <v>11028.65</v>
      </c>
      <c r="FB40" s="7">
        <f t="shared" si="9"/>
        <v>11028.65</v>
      </c>
      <c r="FC40" s="7">
        <f t="shared" si="9"/>
        <v>11028.65</v>
      </c>
      <c r="FD40" s="7">
        <f t="shared" si="9"/>
        <v>11028.65</v>
      </c>
      <c r="FE40" s="7">
        <f t="shared" si="9"/>
        <v>11028.65</v>
      </c>
      <c r="FF40" s="7">
        <f t="shared" si="9"/>
        <v>11028.65</v>
      </c>
      <c r="FG40" s="7">
        <f t="shared" si="9"/>
        <v>11028.65</v>
      </c>
      <c r="FH40" s="7">
        <f t="shared" si="9"/>
        <v>11028.65</v>
      </c>
      <c r="FI40" s="7">
        <f t="shared" si="9"/>
        <v>11028.65</v>
      </c>
      <c r="FJ40" s="7">
        <f t="shared" si="9"/>
        <v>11028.65</v>
      </c>
      <c r="FK40" s="7">
        <f t="shared" si="9"/>
        <v>11028.65</v>
      </c>
      <c r="FL40" s="7">
        <f t="shared" si="9"/>
        <v>11028.65</v>
      </c>
      <c r="FM40" s="7">
        <f t="shared" si="9"/>
        <v>11028.65</v>
      </c>
      <c r="FN40" s="7">
        <f t="shared" si="9"/>
        <v>11028.65</v>
      </c>
      <c r="FO40" s="7">
        <f t="shared" si="9"/>
        <v>11028.65</v>
      </c>
      <c r="FP40" s="7">
        <f t="shared" si="9"/>
        <v>11028.65</v>
      </c>
      <c r="FQ40" s="7">
        <f t="shared" si="9"/>
        <v>11028.65</v>
      </c>
      <c r="FR40" s="7">
        <f t="shared" si="9"/>
        <v>11028.65</v>
      </c>
      <c r="FS40" s="7">
        <f t="shared" si="9"/>
        <v>11028.65</v>
      </c>
      <c r="FT40" s="7">
        <f t="shared" si="9"/>
        <v>11028.65</v>
      </c>
      <c r="FU40" s="7">
        <f t="shared" si="9"/>
        <v>11028.65</v>
      </c>
      <c r="FV40" s="7">
        <f t="shared" si="9"/>
        <v>11028.65</v>
      </c>
      <c r="FW40" s="7">
        <f t="shared" si="9"/>
        <v>11028.65</v>
      </c>
      <c r="FX40" s="7">
        <f t="shared" si="9"/>
        <v>11028.65</v>
      </c>
      <c r="FY40" s="7"/>
      <c r="FZ40" s="53">
        <f t="shared" ref="FZ40:FZ41" si="10">AVERAGE(C40:FX40)</f>
        <v>11028.649999999965</v>
      </c>
      <c r="GA40" s="23"/>
      <c r="GB40" s="23"/>
      <c r="GC40" s="23"/>
      <c r="GD40" s="23"/>
      <c r="GE40" s="7"/>
      <c r="GF40" s="7"/>
      <c r="GG40" s="7"/>
      <c r="GH40" s="7"/>
      <c r="GI40" s="7"/>
      <c r="GJ40" s="7"/>
      <c r="GK40" s="7"/>
    </row>
    <row r="41" spans="1:207" ht="15.5" x14ac:dyDescent="0.35">
      <c r="A41" s="12" t="s">
        <v>763</v>
      </c>
      <c r="B41" s="7" t="s">
        <v>764</v>
      </c>
      <c r="C41" s="94">
        <f>B5</f>
        <v>10480</v>
      </c>
      <c r="D41" s="7">
        <f t="shared" ref="D41:FX41" si="11">$C$41</f>
        <v>10480</v>
      </c>
      <c r="E41" s="7">
        <f t="shared" si="11"/>
        <v>10480</v>
      </c>
      <c r="F41" s="7">
        <f t="shared" si="11"/>
        <v>10480</v>
      </c>
      <c r="G41" s="7">
        <f t="shared" si="11"/>
        <v>10480</v>
      </c>
      <c r="H41" s="7">
        <f t="shared" si="11"/>
        <v>10480</v>
      </c>
      <c r="I41" s="7">
        <f t="shared" si="11"/>
        <v>10480</v>
      </c>
      <c r="J41" s="7">
        <f t="shared" si="11"/>
        <v>10480</v>
      </c>
      <c r="K41" s="7">
        <f t="shared" si="11"/>
        <v>10480</v>
      </c>
      <c r="L41" s="7">
        <f t="shared" si="11"/>
        <v>10480</v>
      </c>
      <c r="M41" s="7">
        <f t="shared" si="11"/>
        <v>10480</v>
      </c>
      <c r="N41" s="7">
        <f t="shared" si="11"/>
        <v>10480</v>
      </c>
      <c r="O41" s="7">
        <f t="shared" si="11"/>
        <v>10480</v>
      </c>
      <c r="P41" s="7">
        <f t="shared" si="11"/>
        <v>10480</v>
      </c>
      <c r="Q41" s="7">
        <f t="shared" si="11"/>
        <v>10480</v>
      </c>
      <c r="R41" s="7">
        <f t="shared" si="11"/>
        <v>10480</v>
      </c>
      <c r="S41" s="7">
        <f t="shared" si="11"/>
        <v>10480</v>
      </c>
      <c r="T41" s="7">
        <f t="shared" si="11"/>
        <v>10480</v>
      </c>
      <c r="U41" s="7">
        <f t="shared" si="11"/>
        <v>10480</v>
      </c>
      <c r="V41" s="7">
        <f t="shared" si="11"/>
        <v>10480</v>
      </c>
      <c r="W41" s="7">
        <f t="shared" si="11"/>
        <v>10480</v>
      </c>
      <c r="X41" s="7">
        <f t="shared" si="11"/>
        <v>10480</v>
      </c>
      <c r="Y41" s="7">
        <f t="shared" si="11"/>
        <v>10480</v>
      </c>
      <c r="Z41" s="7">
        <f t="shared" si="11"/>
        <v>10480</v>
      </c>
      <c r="AA41" s="7">
        <f t="shared" si="11"/>
        <v>10480</v>
      </c>
      <c r="AB41" s="7">
        <f t="shared" si="11"/>
        <v>10480</v>
      </c>
      <c r="AC41" s="7">
        <f t="shared" si="11"/>
        <v>10480</v>
      </c>
      <c r="AD41" s="7">
        <f t="shared" si="11"/>
        <v>10480</v>
      </c>
      <c r="AE41" s="7">
        <f t="shared" si="11"/>
        <v>10480</v>
      </c>
      <c r="AF41" s="7">
        <f t="shared" si="11"/>
        <v>10480</v>
      </c>
      <c r="AG41" s="7">
        <f t="shared" si="11"/>
        <v>10480</v>
      </c>
      <c r="AH41" s="7">
        <f t="shared" si="11"/>
        <v>10480</v>
      </c>
      <c r="AI41" s="7">
        <f t="shared" si="11"/>
        <v>10480</v>
      </c>
      <c r="AJ41" s="7">
        <f t="shared" si="11"/>
        <v>10480</v>
      </c>
      <c r="AK41" s="7">
        <f t="shared" si="11"/>
        <v>10480</v>
      </c>
      <c r="AL41" s="7">
        <f t="shared" si="11"/>
        <v>10480</v>
      </c>
      <c r="AM41" s="7">
        <f t="shared" si="11"/>
        <v>10480</v>
      </c>
      <c r="AN41" s="7">
        <f t="shared" si="11"/>
        <v>10480</v>
      </c>
      <c r="AO41" s="7">
        <f t="shared" si="11"/>
        <v>10480</v>
      </c>
      <c r="AP41" s="7">
        <f t="shared" si="11"/>
        <v>10480</v>
      </c>
      <c r="AQ41" s="7">
        <f t="shared" si="11"/>
        <v>10480</v>
      </c>
      <c r="AR41" s="7">
        <f t="shared" si="11"/>
        <v>10480</v>
      </c>
      <c r="AS41" s="7">
        <f t="shared" si="11"/>
        <v>10480</v>
      </c>
      <c r="AT41" s="7">
        <f t="shared" si="11"/>
        <v>10480</v>
      </c>
      <c r="AU41" s="7">
        <f t="shared" si="11"/>
        <v>10480</v>
      </c>
      <c r="AV41" s="7">
        <f t="shared" si="11"/>
        <v>10480</v>
      </c>
      <c r="AW41" s="7">
        <f t="shared" si="11"/>
        <v>10480</v>
      </c>
      <c r="AX41" s="7">
        <f t="shared" si="11"/>
        <v>10480</v>
      </c>
      <c r="AY41" s="7">
        <f t="shared" si="11"/>
        <v>10480</v>
      </c>
      <c r="AZ41" s="7">
        <f t="shared" si="11"/>
        <v>10480</v>
      </c>
      <c r="BA41" s="7">
        <f t="shared" si="11"/>
        <v>10480</v>
      </c>
      <c r="BB41" s="7">
        <f t="shared" si="11"/>
        <v>10480</v>
      </c>
      <c r="BC41" s="7">
        <f t="shared" si="11"/>
        <v>10480</v>
      </c>
      <c r="BD41" s="7">
        <f t="shared" si="11"/>
        <v>10480</v>
      </c>
      <c r="BE41" s="7">
        <f t="shared" si="11"/>
        <v>10480</v>
      </c>
      <c r="BF41" s="7">
        <f t="shared" si="11"/>
        <v>10480</v>
      </c>
      <c r="BG41" s="7">
        <f t="shared" si="11"/>
        <v>10480</v>
      </c>
      <c r="BH41" s="7">
        <f t="shared" si="11"/>
        <v>10480</v>
      </c>
      <c r="BI41" s="7">
        <f t="shared" si="11"/>
        <v>10480</v>
      </c>
      <c r="BJ41" s="7">
        <f t="shared" si="11"/>
        <v>10480</v>
      </c>
      <c r="BK41" s="7">
        <f t="shared" si="11"/>
        <v>10480</v>
      </c>
      <c r="BL41" s="7">
        <f t="shared" si="11"/>
        <v>10480</v>
      </c>
      <c r="BM41" s="7">
        <f t="shared" si="11"/>
        <v>10480</v>
      </c>
      <c r="BN41" s="7">
        <f t="shared" si="11"/>
        <v>10480</v>
      </c>
      <c r="BO41" s="7">
        <f t="shared" si="11"/>
        <v>10480</v>
      </c>
      <c r="BP41" s="7">
        <f t="shared" si="11"/>
        <v>10480</v>
      </c>
      <c r="BQ41" s="7">
        <f t="shared" si="11"/>
        <v>10480</v>
      </c>
      <c r="BR41" s="7">
        <f t="shared" si="11"/>
        <v>10480</v>
      </c>
      <c r="BS41" s="7">
        <f t="shared" si="11"/>
        <v>10480</v>
      </c>
      <c r="BT41" s="7">
        <f t="shared" si="11"/>
        <v>10480</v>
      </c>
      <c r="BU41" s="7">
        <f t="shared" si="11"/>
        <v>10480</v>
      </c>
      <c r="BV41" s="7">
        <f t="shared" si="11"/>
        <v>10480</v>
      </c>
      <c r="BW41" s="7">
        <f t="shared" si="11"/>
        <v>10480</v>
      </c>
      <c r="BX41" s="7">
        <f t="shared" si="11"/>
        <v>10480</v>
      </c>
      <c r="BY41" s="7">
        <f t="shared" si="11"/>
        <v>10480</v>
      </c>
      <c r="BZ41" s="7">
        <f t="shared" si="11"/>
        <v>10480</v>
      </c>
      <c r="CA41" s="7">
        <f t="shared" si="11"/>
        <v>10480</v>
      </c>
      <c r="CB41" s="7">
        <f t="shared" si="11"/>
        <v>10480</v>
      </c>
      <c r="CC41" s="7">
        <f t="shared" si="11"/>
        <v>10480</v>
      </c>
      <c r="CD41" s="7">
        <f t="shared" si="11"/>
        <v>10480</v>
      </c>
      <c r="CE41" s="7">
        <f t="shared" si="11"/>
        <v>10480</v>
      </c>
      <c r="CF41" s="7">
        <f t="shared" si="11"/>
        <v>10480</v>
      </c>
      <c r="CG41" s="7">
        <f t="shared" si="11"/>
        <v>10480</v>
      </c>
      <c r="CH41" s="7">
        <f t="shared" si="11"/>
        <v>10480</v>
      </c>
      <c r="CI41" s="7">
        <f t="shared" si="11"/>
        <v>10480</v>
      </c>
      <c r="CJ41" s="7">
        <f t="shared" si="11"/>
        <v>10480</v>
      </c>
      <c r="CK41" s="7">
        <f t="shared" si="11"/>
        <v>10480</v>
      </c>
      <c r="CL41" s="7">
        <f t="shared" si="11"/>
        <v>10480</v>
      </c>
      <c r="CM41" s="7">
        <f t="shared" si="11"/>
        <v>10480</v>
      </c>
      <c r="CN41" s="7">
        <f t="shared" si="11"/>
        <v>10480</v>
      </c>
      <c r="CO41" s="7">
        <f t="shared" si="11"/>
        <v>10480</v>
      </c>
      <c r="CP41" s="7">
        <f t="shared" si="11"/>
        <v>10480</v>
      </c>
      <c r="CQ41" s="7">
        <f t="shared" si="11"/>
        <v>10480</v>
      </c>
      <c r="CR41" s="7">
        <f t="shared" si="11"/>
        <v>10480</v>
      </c>
      <c r="CS41" s="7">
        <f t="shared" si="11"/>
        <v>10480</v>
      </c>
      <c r="CT41" s="7">
        <f t="shared" si="11"/>
        <v>10480</v>
      </c>
      <c r="CU41" s="7">
        <f t="shared" si="11"/>
        <v>10480</v>
      </c>
      <c r="CV41" s="7">
        <f t="shared" si="11"/>
        <v>10480</v>
      </c>
      <c r="CW41" s="7">
        <f t="shared" si="11"/>
        <v>10480</v>
      </c>
      <c r="CX41" s="7">
        <f t="shared" si="11"/>
        <v>10480</v>
      </c>
      <c r="CY41" s="7">
        <f t="shared" si="11"/>
        <v>10480</v>
      </c>
      <c r="CZ41" s="7">
        <f t="shared" si="11"/>
        <v>10480</v>
      </c>
      <c r="DA41" s="7">
        <f t="shared" si="11"/>
        <v>10480</v>
      </c>
      <c r="DB41" s="7">
        <f t="shared" si="11"/>
        <v>10480</v>
      </c>
      <c r="DC41" s="7">
        <f t="shared" si="11"/>
        <v>10480</v>
      </c>
      <c r="DD41" s="7">
        <f t="shared" si="11"/>
        <v>10480</v>
      </c>
      <c r="DE41" s="7">
        <f t="shared" si="11"/>
        <v>10480</v>
      </c>
      <c r="DF41" s="7">
        <f t="shared" si="11"/>
        <v>10480</v>
      </c>
      <c r="DG41" s="7">
        <f t="shared" si="11"/>
        <v>10480</v>
      </c>
      <c r="DH41" s="7">
        <f t="shared" si="11"/>
        <v>10480</v>
      </c>
      <c r="DI41" s="7">
        <f t="shared" si="11"/>
        <v>10480</v>
      </c>
      <c r="DJ41" s="7">
        <f t="shared" si="11"/>
        <v>10480</v>
      </c>
      <c r="DK41" s="7">
        <f t="shared" si="11"/>
        <v>10480</v>
      </c>
      <c r="DL41" s="7">
        <f t="shared" si="11"/>
        <v>10480</v>
      </c>
      <c r="DM41" s="7">
        <f t="shared" si="11"/>
        <v>10480</v>
      </c>
      <c r="DN41" s="7">
        <f t="shared" si="11"/>
        <v>10480</v>
      </c>
      <c r="DO41" s="7">
        <f t="shared" si="11"/>
        <v>10480</v>
      </c>
      <c r="DP41" s="7">
        <f t="shared" si="11"/>
        <v>10480</v>
      </c>
      <c r="DQ41" s="7">
        <f t="shared" si="11"/>
        <v>10480</v>
      </c>
      <c r="DR41" s="7">
        <f t="shared" si="11"/>
        <v>10480</v>
      </c>
      <c r="DS41" s="7">
        <f t="shared" si="11"/>
        <v>10480</v>
      </c>
      <c r="DT41" s="7">
        <f t="shared" si="11"/>
        <v>10480</v>
      </c>
      <c r="DU41" s="7">
        <f t="shared" si="11"/>
        <v>10480</v>
      </c>
      <c r="DV41" s="7">
        <f t="shared" si="11"/>
        <v>10480</v>
      </c>
      <c r="DW41" s="7">
        <f t="shared" si="11"/>
        <v>10480</v>
      </c>
      <c r="DX41" s="7">
        <f t="shared" si="11"/>
        <v>10480</v>
      </c>
      <c r="DY41" s="7">
        <f t="shared" si="11"/>
        <v>10480</v>
      </c>
      <c r="DZ41" s="7">
        <f t="shared" si="11"/>
        <v>10480</v>
      </c>
      <c r="EA41" s="7">
        <f t="shared" si="11"/>
        <v>10480</v>
      </c>
      <c r="EB41" s="7">
        <f t="shared" si="11"/>
        <v>10480</v>
      </c>
      <c r="EC41" s="7">
        <f t="shared" si="11"/>
        <v>10480</v>
      </c>
      <c r="ED41" s="7">
        <f t="shared" si="11"/>
        <v>10480</v>
      </c>
      <c r="EE41" s="7">
        <f t="shared" si="11"/>
        <v>10480</v>
      </c>
      <c r="EF41" s="7">
        <f t="shared" si="11"/>
        <v>10480</v>
      </c>
      <c r="EG41" s="7">
        <f t="shared" si="11"/>
        <v>10480</v>
      </c>
      <c r="EH41" s="7">
        <f t="shared" si="11"/>
        <v>10480</v>
      </c>
      <c r="EI41" s="7">
        <f t="shared" si="11"/>
        <v>10480</v>
      </c>
      <c r="EJ41" s="7">
        <f t="shared" si="11"/>
        <v>10480</v>
      </c>
      <c r="EK41" s="7">
        <f t="shared" si="11"/>
        <v>10480</v>
      </c>
      <c r="EL41" s="7">
        <f t="shared" si="11"/>
        <v>10480</v>
      </c>
      <c r="EM41" s="7">
        <f t="shared" si="11"/>
        <v>10480</v>
      </c>
      <c r="EN41" s="7">
        <f t="shared" si="11"/>
        <v>10480</v>
      </c>
      <c r="EO41" s="7">
        <f t="shared" si="11"/>
        <v>10480</v>
      </c>
      <c r="EP41" s="7">
        <f t="shared" si="11"/>
        <v>10480</v>
      </c>
      <c r="EQ41" s="7">
        <f t="shared" si="11"/>
        <v>10480</v>
      </c>
      <c r="ER41" s="7">
        <f t="shared" si="11"/>
        <v>10480</v>
      </c>
      <c r="ES41" s="7">
        <f t="shared" si="11"/>
        <v>10480</v>
      </c>
      <c r="ET41" s="7">
        <f t="shared" si="11"/>
        <v>10480</v>
      </c>
      <c r="EU41" s="7">
        <f t="shared" si="11"/>
        <v>10480</v>
      </c>
      <c r="EV41" s="7">
        <f t="shared" si="11"/>
        <v>10480</v>
      </c>
      <c r="EW41" s="7">
        <f t="shared" si="11"/>
        <v>10480</v>
      </c>
      <c r="EX41" s="7">
        <f t="shared" si="11"/>
        <v>10480</v>
      </c>
      <c r="EY41" s="7">
        <f t="shared" si="11"/>
        <v>10480</v>
      </c>
      <c r="EZ41" s="7">
        <f t="shared" si="11"/>
        <v>10480</v>
      </c>
      <c r="FA41" s="7">
        <f t="shared" si="11"/>
        <v>10480</v>
      </c>
      <c r="FB41" s="7">
        <f t="shared" si="11"/>
        <v>10480</v>
      </c>
      <c r="FC41" s="7">
        <f t="shared" si="11"/>
        <v>10480</v>
      </c>
      <c r="FD41" s="7">
        <f t="shared" si="11"/>
        <v>10480</v>
      </c>
      <c r="FE41" s="7">
        <f t="shared" si="11"/>
        <v>10480</v>
      </c>
      <c r="FF41" s="7">
        <f t="shared" si="11"/>
        <v>10480</v>
      </c>
      <c r="FG41" s="7">
        <f t="shared" si="11"/>
        <v>10480</v>
      </c>
      <c r="FH41" s="7">
        <f t="shared" si="11"/>
        <v>10480</v>
      </c>
      <c r="FI41" s="7">
        <f t="shared" si="11"/>
        <v>10480</v>
      </c>
      <c r="FJ41" s="7">
        <f t="shared" si="11"/>
        <v>10480</v>
      </c>
      <c r="FK41" s="7">
        <f t="shared" si="11"/>
        <v>10480</v>
      </c>
      <c r="FL41" s="7">
        <f t="shared" si="11"/>
        <v>10480</v>
      </c>
      <c r="FM41" s="7">
        <f t="shared" si="11"/>
        <v>10480</v>
      </c>
      <c r="FN41" s="7">
        <f t="shared" si="11"/>
        <v>10480</v>
      </c>
      <c r="FO41" s="7">
        <f t="shared" si="11"/>
        <v>10480</v>
      </c>
      <c r="FP41" s="7">
        <f t="shared" si="11"/>
        <v>10480</v>
      </c>
      <c r="FQ41" s="7">
        <f t="shared" si="11"/>
        <v>10480</v>
      </c>
      <c r="FR41" s="7">
        <f t="shared" si="11"/>
        <v>10480</v>
      </c>
      <c r="FS41" s="7">
        <f t="shared" si="11"/>
        <v>10480</v>
      </c>
      <c r="FT41" s="7">
        <f t="shared" si="11"/>
        <v>10480</v>
      </c>
      <c r="FU41" s="7">
        <f t="shared" si="11"/>
        <v>10480</v>
      </c>
      <c r="FV41" s="7">
        <f t="shared" si="11"/>
        <v>10480</v>
      </c>
      <c r="FW41" s="7">
        <f t="shared" si="11"/>
        <v>10480</v>
      </c>
      <c r="FX41" s="7">
        <f t="shared" si="11"/>
        <v>10480</v>
      </c>
      <c r="FY41" s="7"/>
      <c r="FZ41" s="53">
        <f t="shared" si="10"/>
        <v>10480</v>
      </c>
      <c r="GA41" s="23"/>
      <c r="GB41" s="23"/>
      <c r="GC41" s="23"/>
      <c r="GD41" s="23"/>
      <c r="GE41" s="7"/>
      <c r="GF41" s="7"/>
      <c r="GG41" s="7"/>
      <c r="GH41" s="7"/>
      <c r="GI41" s="7"/>
      <c r="GJ41" s="7"/>
      <c r="GK41" s="7"/>
    </row>
    <row r="42" spans="1:207" ht="15.5" x14ac:dyDescent="0.35">
      <c r="A42" s="12" t="s">
        <v>491</v>
      </c>
      <c r="B42" s="7" t="s">
        <v>765</v>
      </c>
      <c r="C42" s="95">
        <v>1.226</v>
      </c>
      <c r="D42" s="95">
        <v>1.226</v>
      </c>
      <c r="E42" s="95">
        <v>1.2150000000000001</v>
      </c>
      <c r="F42" s="95">
        <v>1.216</v>
      </c>
      <c r="G42" s="95">
        <v>1.2170000000000001</v>
      </c>
      <c r="H42" s="95">
        <v>1.208</v>
      </c>
      <c r="I42" s="95">
        <v>1.216</v>
      </c>
      <c r="J42" s="95">
        <v>1.1319999999999999</v>
      </c>
      <c r="K42" s="95">
        <v>1.111</v>
      </c>
      <c r="L42" s="95">
        <v>1.244</v>
      </c>
      <c r="M42" s="95">
        <v>1.244</v>
      </c>
      <c r="N42" s="95">
        <v>1.266</v>
      </c>
      <c r="O42" s="95">
        <v>1.236</v>
      </c>
      <c r="P42" s="95">
        <v>1.216</v>
      </c>
      <c r="Q42" s="95">
        <v>1.2450000000000001</v>
      </c>
      <c r="R42" s="95">
        <v>1.216</v>
      </c>
      <c r="S42" s="95">
        <v>1.1839999999999999</v>
      </c>
      <c r="T42" s="95">
        <v>1.0840000000000001</v>
      </c>
      <c r="U42" s="95">
        <v>1.075</v>
      </c>
      <c r="V42" s="95">
        <v>1.083</v>
      </c>
      <c r="W42" s="95">
        <v>1.075</v>
      </c>
      <c r="X42" s="95">
        <v>1.0740000000000001</v>
      </c>
      <c r="Y42" s="95">
        <v>1.073</v>
      </c>
      <c r="Z42" s="95">
        <v>1.054</v>
      </c>
      <c r="AA42" s="95">
        <v>1.2350000000000001</v>
      </c>
      <c r="AB42" s="95">
        <v>1.2649999999999999</v>
      </c>
      <c r="AC42" s="95">
        <v>1.177</v>
      </c>
      <c r="AD42" s="95">
        <v>1.157</v>
      </c>
      <c r="AE42" s="95">
        <v>1.0669999999999999</v>
      </c>
      <c r="AF42" s="95">
        <v>1.121</v>
      </c>
      <c r="AG42" s="95">
        <v>1.216</v>
      </c>
      <c r="AH42" s="95">
        <v>1.111</v>
      </c>
      <c r="AI42" s="95">
        <v>1.1020000000000001</v>
      </c>
      <c r="AJ42" s="95">
        <v>1.115</v>
      </c>
      <c r="AK42" s="95">
        <v>1.091</v>
      </c>
      <c r="AL42" s="95">
        <v>1.103</v>
      </c>
      <c r="AM42" s="95">
        <v>1.113</v>
      </c>
      <c r="AN42" s="95">
        <v>1.1459999999999999</v>
      </c>
      <c r="AO42" s="95">
        <v>1.194</v>
      </c>
      <c r="AP42" s="95">
        <v>1.246</v>
      </c>
      <c r="AQ42" s="95">
        <v>1.17</v>
      </c>
      <c r="AR42" s="95">
        <v>1.246</v>
      </c>
      <c r="AS42" s="95">
        <v>1.32</v>
      </c>
      <c r="AT42" s="95">
        <v>1.248</v>
      </c>
      <c r="AU42" s="95">
        <v>1.216</v>
      </c>
      <c r="AV42" s="95">
        <v>1.2030000000000001</v>
      </c>
      <c r="AW42" s="95">
        <v>1.2050000000000001</v>
      </c>
      <c r="AX42" s="95">
        <v>1.1739999999999999</v>
      </c>
      <c r="AY42" s="95">
        <v>1.2050000000000001</v>
      </c>
      <c r="AZ42" s="95">
        <v>1.2090000000000001</v>
      </c>
      <c r="BA42" s="95">
        <v>1.18</v>
      </c>
      <c r="BB42" s="95">
        <v>1.19</v>
      </c>
      <c r="BC42" s="95">
        <v>1.208</v>
      </c>
      <c r="BD42" s="95">
        <v>1.2110000000000001</v>
      </c>
      <c r="BE42" s="95">
        <v>1.2090000000000001</v>
      </c>
      <c r="BF42" s="95">
        <v>1.218</v>
      </c>
      <c r="BG42" s="95">
        <v>1.196</v>
      </c>
      <c r="BH42" s="95">
        <v>1.2070000000000001</v>
      </c>
      <c r="BI42" s="95">
        <v>1.18</v>
      </c>
      <c r="BJ42" s="95">
        <v>1.23</v>
      </c>
      <c r="BK42" s="95">
        <v>1.21</v>
      </c>
      <c r="BL42" s="95">
        <v>1.165</v>
      </c>
      <c r="BM42" s="95">
        <v>1.1679999999999999</v>
      </c>
      <c r="BN42" s="95">
        <v>1.155</v>
      </c>
      <c r="BO42" s="95">
        <v>1.139</v>
      </c>
      <c r="BP42" s="95">
        <v>1.1259999999999999</v>
      </c>
      <c r="BQ42" s="95">
        <v>1.3089999999999999</v>
      </c>
      <c r="BR42" s="95">
        <v>1.206</v>
      </c>
      <c r="BS42" s="95">
        <v>1.2150000000000001</v>
      </c>
      <c r="BT42" s="95">
        <v>1.236</v>
      </c>
      <c r="BU42" s="95">
        <v>1.238</v>
      </c>
      <c r="BV42" s="95">
        <v>1.19</v>
      </c>
      <c r="BW42" s="95">
        <v>1.2190000000000001</v>
      </c>
      <c r="BX42" s="95">
        <v>1.2170000000000001</v>
      </c>
      <c r="BY42" s="95">
        <v>1.085</v>
      </c>
      <c r="BZ42" s="95">
        <v>1.0669999999999999</v>
      </c>
      <c r="CA42" s="95">
        <v>1.165</v>
      </c>
      <c r="CB42" s="95">
        <v>1.234</v>
      </c>
      <c r="CC42" s="95">
        <v>1.0649999999999999</v>
      </c>
      <c r="CD42" s="95">
        <v>1.0449999999999999</v>
      </c>
      <c r="CE42" s="95">
        <v>1.0760000000000001</v>
      </c>
      <c r="CF42" s="95">
        <v>1.0369999999999999</v>
      </c>
      <c r="CG42" s="95">
        <v>1.077</v>
      </c>
      <c r="CH42" s="95">
        <v>1.077</v>
      </c>
      <c r="CI42" s="95">
        <v>1.0780000000000001</v>
      </c>
      <c r="CJ42" s="95">
        <v>1.1890000000000001</v>
      </c>
      <c r="CK42" s="95">
        <v>1.256</v>
      </c>
      <c r="CL42" s="95">
        <v>1.236</v>
      </c>
      <c r="CM42" s="95">
        <v>1.2250000000000001</v>
      </c>
      <c r="CN42" s="95">
        <v>1.1859999999999999</v>
      </c>
      <c r="CO42" s="95">
        <v>1.1870000000000001</v>
      </c>
      <c r="CP42" s="95">
        <v>1.224</v>
      </c>
      <c r="CQ42" s="95">
        <v>1.1619999999999999</v>
      </c>
      <c r="CR42" s="95">
        <v>1.113</v>
      </c>
      <c r="CS42" s="95">
        <v>1.1220000000000001</v>
      </c>
      <c r="CT42" s="95">
        <v>1.073</v>
      </c>
      <c r="CU42" s="95">
        <v>1.016</v>
      </c>
      <c r="CV42" s="95">
        <v>1.0149999999999999</v>
      </c>
      <c r="CW42" s="95">
        <v>1.1160000000000001</v>
      </c>
      <c r="CX42" s="95">
        <v>1.1459999999999999</v>
      </c>
      <c r="CY42" s="95">
        <v>1.0860000000000001</v>
      </c>
      <c r="CZ42" s="95">
        <v>1.161</v>
      </c>
      <c r="DA42" s="95">
        <v>1.1220000000000001</v>
      </c>
      <c r="DB42" s="95">
        <v>1.1519999999999999</v>
      </c>
      <c r="DC42" s="95">
        <v>1.133</v>
      </c>
      <c r="DD42" s="95">
        <v>1.1279999999999999</v>
      </c>
      <c r="DE42" s="95">
        <v>1.1459999999999999</v>
      </c>
      <c r="DF42" s="95">
        <v>1.1459999999999999</v>
      </c>
      <c r="DG42" s="95">
        <v>1.153</v>
      </c>
      <c r="DH42" s="95">
        <v>1.1359999999999999</v>
      </c>
      <c r="DI42" s="95">
        <v>1.1499999999999999</v>
      </c>
      <c r="DJ42" s="95">
        <v>1.1599999999999999</v>
      </c>
      <c r="DK42" s="95">
        <v>1.1479999999999999</v>
      </c>
      <c r="DL42" s="95">
        <v>1.2270000000000001</v>
      </c>
      <c r="DM42" s="95">
        <v>1.2030000000000001</v>
      </c>
      <c r="DN42" s="95">
        <v>1.1890000000000001</v>
      </c>
      <c r="DO42" s="95">
        <v>1.196</v>
      </c>
      <c r="DP42" s="95">
        <v>1.1759999999999999</v>
      </c>
      <c r="DQ42" s="95">
        <v>1.1719999999999999</v>
      </c>
      <c r="DR42" s="95">
        <v>1.145</v>
      </c>
      <c r="DS42" s="95">
        <v>1.1339999999999999</v>
      </c>
      <c r="DT42" s="95">
        <v>1.133</v>
      </c>
      <c r="DU42" s="95">
        <v>1.125</v>
      </c>
      <c r="DV42" s="95">
        <v>1.1220000000000001</v>
      </c>
      <c r="DW42" s="95">
        <v>1.133</v>
      </c>
      <c r="DX42" s="95">
        <v>1.3109999999999999</v>
      </c>
      <c r="DY42" s="95">
        <v>1.2869999999999999</v>
      </c>
      <c r="DZ42" s="95">
        <v>1.2390000000000001</v>
      </c>
      <c r="EA42" s="95">
        <v>1.2150000000000001</v>
      </c>
      <c r="EB42" s="95">
        <v>1.1180000000000001</v>
      </c>
      <c r="EC42" s="95">
        <v>1.075</v>
      </c>
      <c r="ED42" s="95">
        <v>1.6519999999999999</v>
      </c>
      <c r="EE42" s="95">
        <v>1.0740000000000001</v>
      </c>
      <c r="EF42" s="95">
        <v>1.133</v>
      </c>
      <c r="EG42" s="95">
        <v>1.0429999999999999</v>
      </c>
      <c r="EH42" s="95">
        <v>1.073</v>
      </c>
      <c r="EI42" s="95">
        <v>1.1779999999999999</v>
      </c>
      <c r="EJ42" s="95">
        <v>1.1659999999999999</v>
      </c>
      <c r="EK42" s="95">
        <v>1.1279999999999999</v>
      </c>
      <c r="EL42" s="95">
        <v>1.105</v>
      </c>
      <c r="EM42" s="95">
        <v>1.1220000000000001</v>
      </c>
      <c r="EN42" s="95">
        <v>1.123</v>
      </c>
      <c r="EO42" s="95">
        <v>1.113</v>
      </c>
      <c r="EP42" s="95">
        <v>1.2490000000000001</v>
      </c>
      <c r="EQ42" s="95">
        <v>1.272</v>
      </c>
      <c r="ER42" s="95">
        <v>1.248</v>
      </c>
      <c r="ES42" s="95">
        <v>1.0820000000000001</v>
      </c>
      <c r="ET42" s="95">
        <v>1.1060000000000001</v>
      </c>
      <c r="EU42" s="95">
        <v>1.0920000000000001</v>
      </c>
      <c r="EV42" s="95">
        <v>1.18</v>
      </c>
      <c r="EW42" s="95">
        <v>1.5960000000000001</v>
      </c>
      <c r="EX42" s="95">
        <v>1.232</v>
      </c>
      <c r="EY42" s="95">
        <v>1.117</v>
      </c>
      <c r="EZ42" s="95">
        <v>1.1040000000000001</v>
      </c>
      <c r="FA42" s="95">
        <v>1.321</v>
      </c>
      <c r="FB42" s="95">
        <v>1.1459999999999999</v>
      </c>
      <c r="FC42" s="95">
        <v>1.1950000000000001</v>
      </c>
      <c r="FD42" s="95">
        <v>1.145</v>
      </c>
      <c r="FE42" s="95">
        <v>1.1160000000000001</v>
      </c>
      <c r="FF42" s="95">
        <v>1.1339999999999999</v>
      </c>
      <c r="FG42" s="95">
        <v>1.1439999999999999</v>
      </c>
      <c r="FH42" s="95">
        <v>1.1080000000000001</v>
      </c>
      <c r="FI42" s="95">
        <v>1.1759999999999999</v>
      </c>
      <c r="FJ42" s="95">
        <v>1.167</v>
      </c>
      <c r="FK42" s="95">
        <v>1.1870000000000001</v>
      </c>
      <c r="FL42" s="95">
        <v>1.175</v>
      </c>
      <c r="FM42" s="95">
        <v>1.177</v>
      </c>
      <c r="FN42" s="95">
        <v>1.1850000000000001</v>
      </c>
      <c r="FO42" s="95">
        <v>1.177</v>
      </c>
      <c r="FP42" s="95">
        <v>1.206</v>
      </c>
      <c r="FQ42" s="95">
        <v>1.167</v>
      </c>
      <c r="FR42" s="95">
        <v>1.149</v>
      </c>
      <c r="FS42" s="95">
        <v>1.145</v>
      </c>
      <c r="FT42" s="95">
        <v>1.1459999999999999</v>
      </c>
      <c r="FU42" s="95">
        <v>1.1950000000000001</v>
      </c>
      <c r="FV42" s="95">
        <v>1.147</v>
      </c>
      <c r="FW42" s="95">
        <v>1.147</v>
      </c>
      <c r="FX42" s="95">
        <v>1.196</v>
      </c>
      <c r="FY42" s="65"/>
      <c r="FZ42" s="23"/>
      <c r="GA42" s="23"/>
      <c r="GB42" s="23"/>
      <c r="GC42" s="23"/>
      <c r="GD42" s="23"/>
      <c r="GE42" s="7"/>
      <c r="GF42" s="7"/>
      <c r="GG42" s="7"/>
      <c r="GH42" s="7"/>
      <c r="GI42" s="7"/>
      <c r="GJ42" s="7"/>
      <c r="GK42" s="7"/>
    </row>
    <row r="43" spans="1:207" ht="15.5" x14ac:dyDescent="0.35">
      <c r="A43" s="12" t="s">
        <v>493</v>
      </c>
      <c r="B43" s="7" t="s">
        <v>766</v>
      </c>
      <c r="C43" s="65">
        <v>0.12</v>
      </c>
      <c r="D43" s="65">
        <v>0.12</v>
      </c>
      <c r="E43" s="65">
        <v>0.12</v>
      </c>
      <c r="F43" s="65">
        <v>0.12</v>
      </c>
      <c r="G43" s="65">
        <v>0.12</v>
      </c>
      <c r="H43" s="65">
        <v>0.12</v>
      </c>
      <c r="I43" s="65">
        <v>0.12</v>
      </c>
      <c r="J43" s="65">
        <v>0.12</v>
      </c>
      <c r="K43" s="65">
        <v>0.12</v>
      </c>
      <c r="L43" s="65">
        <v>0.12</v>
      </c>
      <c r="M43" s="65">
        <v>0.12</v>
      </c>
      <c r="N43" s="65">
        <v>0.12</v>
      </c>
      <c r="O43" s="65">
        <v>0.12</v>
      </c>
      <c r="P43" s="65">
        <v>0.12</v>
      </c>
      <c r="Q43" s="65">
        <v>0.12</v>
      </c>
      <c r="R43" s="65">
        <v>0.12</v>
      </c>
      <c r="S43" s="65">
        <v>0.12</v>
      </c>
      <c r="T43" s="65">
        <v>0.12</v>
      </c>
      <c r="U43" s="65">
        <v>0.12</v>
      </c>
      <c r="V43" s="65">
        <v>0.12</v>
      </c>
      <c r="W43" s="65">
        <v>0.12</v>
      </c>
      <c r="X43" s="65">
        <v>0.12</v>
      </c>
      <c r="Y43" s="65">
        <v>0.12</v>
      </c>
      <c r="Z43" s="65">
        <v>0.12</v>
      </c>
      <c r="AA43" s="65">
        <v>0.12</v>
      </c>
      <c r="AB43" s="65">
        <v>0.12</v>
      </c>
      <c r="AC43" s="65">
        <v>0.12</v>
      </c>
      <c r="AD43" s="65">
        <v>0.12</v>
      </c>
      <c r="AE43" s="65">
        <v>0.12</v>
      </c>
      <c r="AF43" s="65">
        <v>0.12</v>
      </c>
      <c r="AG43" s="65">
        <v>0.12</v>
      </c>
      <c r="AH43" s="65">
        <v>0.12</v>
      </c>
      <c r="AI43" s="65">
        <v>0.12</v>
      </c>
      <c r="AJ43" s="65">
        <v>0.12</v>
      </c>
      <c r="AK43" s="65">
        <v>0.12</v>
      </c>
      <c r="AL43" s="65">
        <v>0.12</v>
      </c>
      <c r="AM43" s="65">
        <v>0.12</v>
      </c>
      <c r="AN43" s="65">
        <v>0.12</v>
      </c>
      <c r="AO43" s="65">
        <v>0.12</v>
      </c>
      <c r="AP43" s="65">
        <v>0.12</v>
      </c>
      <c r="AQ43" s="65">
        <v>0.12</v>
      </c>
      <c r="AR43" s="65">
        <v>0.12</v>
      </c>
      <c r="AS43" s="65">
        <v>0.12</v>
      </c>
      <c r="AT43" s="65">
        <v>0.12</v>
      </c>
      <c r="AU43" s="65">
        <v>0.12</v>
      </c>
      <c r="AV43" s="65">
        <v>0.12</v>
      </c>
      <c r="AW43" s="65">
        <v>0.12</v>
      </c>
      <c r="AX43" s="65">
        <v>0.12</v>
      </c>
      <c r="AY43" s="65">
        <v>0.12</v>
      </c>
      <c r="AZ43" s="65">
        <v>0.12</v>
      </c>
      <c r="BA43" s="65">
        <v>0.12</v>
      </c>
      <c r="BB43" s="65">
        <v>0.12</v>
      </c>
      <c r="BC43" s="65">
        <v>0.12</v>
      </c>
      <c r="BD43" s="65">
        <v>0.12</v>
      </c>
      <c r="BE43" s="65">
        <v>0.12</v>
      </c>
      <c r="BF43" s="65">
        <v>0.12</v>
      </c>
      <c r="BG43" s="65">
        <v>0.12</v>
      </c>
      <c r="BH43" s="65">
        <v>0.12</v>
      </c>
      <c r="BI43" s="65">
        <v>0.12</v>
      </c>
      <c r="BJ43" s="65">
        <v>0.12</v>
      </c>
      <c r="BK43" s="65">
        <v>0.12</v>
      </c>
      <c r="BL43" s="65">
        <v>0.12</v>
      </c>
      <c r="BM43" s="65">
        <v>0.12</v>
      </c>
      <c r="BN43" s="65">
        <v>0.12</v>
      </c>
      <c r="BO43" s="65">
        <v>0.12</v>
      </c>
      <c r="BP43" s="65">
        <v>0.12</v>
      </c>
      <c r="BQ43" s="65">
        <v>0.12</v>
      </c>
      <c r="BR43" s="65">
        <v>0.12</v>
      </c>
      <c r="BS43" s="65">
        <v>0.12</v>
      </c>
      <c r="BT43" s="65">
        <v>0.12</v>
      </c>
      <c r="BU43" s="65">
        <v>0.12</v>
      </c>
      <c r="BV43" s="65">
        <v>0.12</v>
      </c>
      <c r="BW43" s="65">
        <v>0.12</v>
      </c>
      <c r="BX43" s="65">
        <v>0.12</v>
      </c>
      <c r="BY43" s="65">
        <v>0.12</v>
      </c>
      <c r="BZ43" s="65">
        <v>0.12</v>
      </c>
      <c r="CA43" s="65">
        <v>0.12</v>
      </c>
      <c r="CB43" s="65">
        <v>0.12</v>
      </c>
      <c r="CC43" s="65">
        <v>0.12</v>
      </c>
      <c r="CD43" s="65">
        <v>0.12</v>
      </c>
      <c r="CE43" s="65">
        <v>0.12</v>
      </c>
      <c r="CF43" s="65">
        <v>0.12</v>
      </c>
      <c r="CG43" s="65">
        <v>0.12</v>
      </c>
      <c r="CH43" s="65">
        <v>0.12</v>
      </c>
      <c r="CI43" s="65">
        <v>0.12</v>
      </c>
      <c r="CJ43" s="65">
        <v>0.12</v>
      </c>
      <c r="CK43" s="65">
        <v>0.12</v>
      </c>
      <c r="CL43" s="65">
        <v>0.12</v>
      </c>
      <c r="CM43" s="65">
        <v>0.12</v>
      </c>
      <c r="CN43" s="65">
        <v>0.12</v>
      </c>
      <c r="CO43" s="65">
        <v>0.12</v>
      </c>
      <c r="CP43" s="65">
        <v>0.12</v>
      </c>
      <c r="CQ43" s="65">
        <v>0.12</v>
      </c>
      <c r="CR43" s="65">
        <v>0.12</v>
      </c>
      <c r="CS43" s="65">
        <v>0.12</v>
      </c>
      <c r="CT43" s="65">
        <v>0.12</v>
      </c>
      <c r="CU43" s="65">
        <v>0.12</v>
      </c>
      <c r="CV43" s="65">
        <v>0.12</v>
      </c>
      <c r="CW43" s="65">
        <v>0.12</v>
      </c>
      <c r="CX43" s="65">
        <v>0.12</v>
      </c>
      <c r="CY43" s="65">
        <v>0.12</v>
      </c>
      <c r="CZ43" s="65">
        <v>0.12</v>
      </c>
      <c r="DA43" s="65">
        <v>0.12</v>
      </c>
      <c r="DB43" s="65">
        <v>0.12</v>
      </c>
      <c r="DC43" s="65">
        <v>0.12</v>
      </c>
      <c r="DD43" s="65">
        <v>0.12</v>
      </c>
      <c r="DE43" s="65">
        <v>0.12</v>
      </c>
      <c r="DF43" s="65">
        <v>0.12</v>
      </c>
      <c r="DG43" s="65">
        <v>0.12</v>
      </c>
      <c r="DH43" s="65">
        <v>0.12</v>
      </c>
      <c r="DI43" s="65">
        <v>0.12</v>
      </c>
      <c r="DJ43" s="65">
        <v>0.12</v>
      </c>
      <c r="DK43" s="65">
        <v>0.12</v>
      </c>
      <c r="DL43" s="65">
        <v>0.12</v>
      </c>
      <c r="DM43" s="65">
        <v>0.12</v>
      </c>
      <c r="DN43" s="65">
        <v>0.12</v>
      </c>
      <c r="DO43" s="65">
        <v>0.12</v>
      </c>
      <c r="DP43" s="65">
        <v>0.12</v>
      </c>
      <c r="DQ43" s="65">
        <v>0.12</v>
      </c>
      <c r="DR43" s="65">
        <v>0.12</v>
      </c>
      <c r="DS43" s="65">
        <v>0.12</v>
      </c>
      <c r="DT43" s="65">
        <v>0.12</v>
      </c>
      <c r="DU43" s="65">
        <v>0.12</v>
      </c>
      <c r="DV43" s="65">
        <v>0.12</v>
      </c>
      <c r="DW43" s="65">
        <v>0.12</v>
      </c>
      <c r="DX43" s="65">
        <v>0.12</v>
      </c>
      <c r="DY43" s="65">
        <v>0.12</v>
      </c>
      <c r="DZ43" s="65">
        <v>0.12</v>
      </c>
      <c r="EA43" s="65">
        <v>0.12</v>
      </c>
      <c r="EB43" s="65">
        <v>0.12</v>
      </c>
      <c r="EC43" s="65">
        <v>0.12</v>
      </c>
      <c r="ED43" s="65">
        <v>0.12</v>
      </c>
      <c r="EE43" s="65">
        <v>0.12</v>
      </c>
      <c r="EF43" s="65">
        <v>0.12</v>
      </c>
      <c r="EG43" s="65">
        <v>0.12</v>
      </c>
      <c r="EH43" s="65">
        <v>0.12</v>
      </c>
      <c r="EI43" s="65">
        <v>0.12</v>
      </c>
      <c r="EJ43" s="65">
        <v>0.12</v>
      </c>
      <c r="EK43" s="65">
        <v>0.12</v>
      </c>
      <c r="EL43" s="65">
        <v>0.12</v>
      </c>
      <c r="EM43" s="65">
        <v>0.12</v>
      </c>
      <c r="EN43" s="65">
        <v>0.12</v>
      </c>
      <c r="EO43" s="65">
        <v>0.12</v>
      </c>
      <c r="EP43" s="65">
        <v>0.12</v>
      </c>
      <c r="EQ43" s="65">
        <v>0.12</v>
      </c>
      <c r="ER43" s="65">
        <v>0.12</v>
      </c>
      <c r="ES43" s="65">
        <v>0.12</v>
      </c>
      <c r="ET43" s="65">
        <v>0.12</v>
      </c>
      <c r="EU43" s="65">
        <v>0.12</v>
      </c>
      <c r="EV43" s="65">
        <v>0.12</v>
      </c>
      <c r="EW43" s="65">
        <v>0.12</v>
      </c>
      <c r="EX43" s="65">
        <v>0.12</v>
      </c>
      <c r="EY43" s="65">
        <v>0.12</v>
      </c>
      <c r="EZ43" s="65">
        <v>0.12</v>
      </c>
      <c r="FA43" s="65">
        <v>0.12</v>
      </c>
      <c r="FB43" s="65">
        <v>0.12</v>
      </c>
      <c r="FC43" s="65">
        <v>0.12</v>
      </c>
      <c r="FD43" s="65">
        <v>0.12</v>
      </c>
      <c r="FE43" s="65">
        <v>0.12</v>
      </c>
      <c r="FF43" s="65">
        <v>0.12</v>
      </c>
      <c r="FG43" s="65">
        <v>0.12</v>
      </c>
      <c r="FH43" s="65">
        <v>0.12</v>
      </c>
      <c r="FI43" s="65">
        <v>0.12</v>
      </c>
      <c r="FJ43" s="65">
        <v>0.12</v>
      </c>
      <c r="FK43" s="65">
        <v>0.12</v>
      </c>
      <c r="FL43" s="65">
        <v>0.12</v>
      </c>
      <c r="FM43" s="65">
        <v>0.12</v>
      </c>
      <c r="FN43" s="65">
        <v>0.12</v>
      </c>
      <c r="FO43" s="65">
        <v>0.12</v>
      </c>
      <c r="FP43" s="65">
        <v>0.12</v>
      </c>
      <c r="FQ43" s="65">
        <v>0.12</v>
      </c>
      <c r="FR43" s="65">
        <v>0.12</v>
      </c>
      <c r="FS43" s="65">
        <v>0.12</v>
      </c>
      <c r="FT43" s="65">
        <v>0.12</v>
      </c>
      <c r="FU43" s="65">
        <v>0.12</v>
      </c>
      <c r="FV43" s="65">
        <v>0.12</v>
      </c>
      <c r="FW43" s="65">
        <v>0.12</v>
      </c>
      <c r="FX43" s="65">
        <v>0.12</v>
      </c>
      <c r="FY43" s="65"/>
      <c r="FZ43" s="23"/>
      <c r="GA43" s="23"/>
      <c r="GB43" s="23"/>
      <c r="GC43" s="23"/>
      <c r="GD43" s="23"/>
      <c r="GE43" s="7"/>
      <c r="GF43" s="7"/>
      <c r="GG43" s="7"/>
      <c r="GH43" s="7"/>
      <c r="GI43" s="7"/>
      <c r="GJ43" s="7"/>
      <c r="GK43" s="7"/>
    </row>
    <row r="44" spans="1:207" ht="15.5" x14ac:dyDescent="0.35">
      <c r="A44" s="12" t="s">
        <v>497</v>
      </c>
      <c r="B44" s="7" t="s">
        <v>767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0</v>
      </c>
      <c r="BX44" s="7">
        <v>0</v>
      </c>
      <c r="BY44" s="7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0</v>
      </c>
      <c r="EY44" s="7">
        <v>0</v>
      </c>
      <c r="EZ44" s="7">
        <v>0</v>
      </c>
      <c r="FA44" s="7">
        <v>0</v>
      </c>
      <c r="FB44" s="7">
        <v>0</v>
      </c>
      <c r="FC44" s="7">
        <v>0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0</v>
      </c>
      <c r="FN44" s="7">
        <v>0</v>
      </c>
      <c r="FO44" s="7">
        <v>0</v>
      </c>
      <c r="FP44" s="7">
        <v>0</v>
      </c>
      <c r="FQ44" s="7">
        <v>0</v>
      </c>
      <c r="FR44" s="7">
        <v>0</v>
      </c>
      <c r="FS44" s="7">
        <v>0</v>
      </c>
      <c r="FT44" s="7">
        <v>0</v>
      </c>
      <c r="FU44" s="7">
        <v>0</v>
      </c>
      <c r="FV44" s="7">
        <v>0</v>
      </c>
      <c r="FW44" s="7">
        <v>0</v>
      </c>
      <c r="FX44" s="7">
        <v>0</v>
      </c>
      <c r="FY44" s="7"/>
      <c r="FZ44" s="23"/>
      <c r="GA44" s="23"/>
      <c r="GB44" s="23"/>
      <c r="GC44" s="23"/>
      <c r="GD44" s="23"/>
      <c r="GE44" s="7"/>
      <c r="GF44" s="7"/>
      <c r="GG44" s="7"/>
      <c r="GH44" s="7"/>
      <c r="GI44" s="7"/>
      <c r="GJ44" s="7"/>
      <c r="GK44" s="7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</row>
    <row r="45" spans="1:207" ht="15.5" x14ac:dyDescent="0.35">
      <c r="A45" s="7"/>
      <c r="B45" s="7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39"/>
      <c r="GA45" s="39"/>
      <c r="GB45" s="23"/>
      <c r="GC45" s="23"/>
      <c r="GD45" s="23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</row>
    <row r="46" spans="1:207" ht="15.5" x14ac:dyDescent="0.35">
      <c r="A46" s="7"/>
      <c r="B46" s="5" t="s">
        <v>505</v>
      </c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7"/>
      <c r="FZ46" s="39"/>
      <c r="GA46" s="40"/>
      <c r="GB46" s="23"/>
      <c r="GC46" s="23"/>
      <c r="GD46" s="23"/>
      <c r="GE46" s="7"/>
      <c r="GF46" s="7"/>
      <c r="GG46" s="7"/>
      <c r="GH46" s="7"/>
      <c r="GI46" s="7"/>
      <c r="GJ46" s="7"/>
      <c r="GK46" s="7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</row>
    <row r="47" spans="1:207" ht="15.5" x14ac:dyDescent="0.35">
      <c r="A47" s="41" t="s">
        <v>509</v>
      </c>
      <c r="B47" s="40" t="s">
        <v>1157</v>
      </c>
      <c r="C47" s="42">
        <f>'New Formula with HB25-1320'!C40</f>
        <v>2560686.85</v>
      </c>
      <c r="D47" s="43">
        <v>6068580.4500000002</v>
      </c>
      <c r="E47" s="43">
        <v>1444121.25</v>
      </c>
      <c r="F47" s="43">
        <v>2186086.4300000002</v>
      </c>
      <c r="G47" s="43">
        <v>428862.04</v>
      </c>
      <c r="H47" s="43">
        <v>184982.61</v>
      </c>
      <c r="I47" s="43">
        <v>1809421.81</v>
      </c>
      <c r="J47" s="43">
        <v>600359.41</v>
      </c>
      <c r="K47" s="43">
        <v>149409.51999999999</v>
      </c>
      <c r="L47" s="43">
        <v>1285932.06</v>
      </c>
      <c r="M47" s="43">
        <v>495734.92</v>
      </c>
      <c r="N47" s="43">
        <v>12893543.369999999</v>
      </c>
      <c r="O47" s="43">
        <v>5184910.91</v>
      </c>
      <c r="P47" s="43">
        <v>98033.26</v>
      </c>
      <c r="Q47" s="43">
        <v>6984070.2400000002</v>
      </c>
      <c r="R47" s="43">
        <v>117387.96</v>
      </c>
      <c r="S47" s="43">
        <v>941027.17</v>
      </c>
      <c r="T47" s="43">
        <v>50774.68</v>
      </c>
      <c r="U47" s="43">
        <v>51513.32</v>
      </c>
      <c r="V47" s="43">
        <v>91452.54</v>
      </c>
      <c r="W47" s="43">
        <v>20485.07</v>
      </c>
      <c r="X47" s="43">
        <v>23503.47</v>
      </c>
      <c r="Y47" s="43">
        <v>145352.82</v>
      </c>
      <c r="Z47" s="43">
        <v>63731.5</v>
      </c>
      <c r="AA47" s="43">
        <v>6802241.46</v>
      </c>
      <c r="AB47" s="43">
        <v>12251040.92</v>
      </c>
      <c r="AC47" s="43">
        <v>578302.21</v>
      </c>
      <c r="AD47" s="43">
        <v>703196.53</v>
      </c>
      <c r="AE47" s="43">
        <v>48617.120000000003</v>
      </c>
      <c r="AF47" s="43">
        <v>86811.59</v>
      </c>
      <c r="AG47" s="43">
        <v>322958.38</v>
      </c>
      <c r="AH47" s="43">
        <v>172657.77</v>
      </c>
      <c r="AI47" s="43">
        <v>53122.47</v>
      </c>
      <c r="AJ47" s="43">
        <v>128163.01</v>
      </c>
      <c r="AK47" s="43">
        <v>74603.09</v>
      </c>
      <c r="AL47" s="43">
        <v>98388.41</v>
      </c>
      <c r="AM47" s="43">
        <v>115377.55</v>
      </c>
      <c r="AN47" s="43">
        <v>413990.07</v>
      </c>
      <c r="AO47" s="43">
        <v>1676936.43</v>
      </c>
      <c r="AP47" s="43">
        <v>37700132.310000002</v>
      </c>
      <c r="AQ47" s="43">
        <v>97428.55</v>
      </c>
      <c r="AR47" s="43">
        <v>21880966.199999999</v>
      </c>
      <c r="AS47" s="43">
        <v>2513262.4</v>
      </c>
      <c r="AT47" s="43">
        <v>1167107.3600000001</v>
      </c>
      <c r="AU47" s="43">
        <v>178802.57</v>
      </c>
      <c r="AV47" s="43">
        <v>179035.75</v>
      </c>
      <c r="AW47" s="43">
        <v>102589.94</v>
      </c>
      <c r="AX47" s="43">
        <v>78396.2</v>
      </c>
      <c r="AY47" s="43">
        <v>127245.96</v>
      </c>
      <c r="AZ47" s="43">
        <v>1512386.73</v>
      </c>
      <c r="BA47" s="43">
        <v>2187937.56</v>
      </c>
      <c r="BB47" s="43">
        <v>485771.55</v>
      </c>
      <c r="BC47" s="43">
        <v>8539684.5500000007</v>
      </c>
      <c r="BD47" s="43">
        <v>1409316.74</v>
      </c>
      <c r="BE47" s="43">
        <v>425098.36</v>
      </c>
      <c r="BF47" s="43">
        <v>6979427.0599999996</v>
      </c>
      <c r="BG47" s="43">
        <v>115579.55</v>
      </c>
      <c r="BH47" s="43">
        <v>147663.12</v>
      </c>
      <c r="BI47" s="43">
        <v>55868.160000000003</v>
      </c>
      <c r="BJ47" s="43">
        <v>1934186.26</v>
      </c>
      <c r="BK47" s="43">
        <v>1031173.03</v>
      </c>
      <c r="BL47" s="43">
        <v>18195.330000000002</v>
      </c>
      <c r="BM47" s="43">
        <v>91995.89</v>
      </c>
      <c r="BN47" s="43">
        <v>1139858.77</v>
      </c>
      <c r="BO47" s="43">
        <v>396388.6</v>
      </c>
      <c r="BP47" s="43">
        <v>245997.25</v>
      </c>
      <c r="BQ47" s="43">
        <v>1733716.34</v>
      </c>
      <c r="BR47" s="43">
        <v>459017.22</v>
      </c>
      <c r="BS47" s="43">
        <v>258944.15</v>
      </c>
      <c r="BT47" s="43">
        <v>149392.14000000001</v>
      </c>
      <c r="BU47" s="43">
        <v>109362.84</v>
      </c>
      <c r="BV47" s="43">
        <v>817601.21</v>
      </c>
      <c r="BW47" s="43">
        <v>711654.23</v>
      </c>
      <c r="BX47" s="43">
        <v>99943.77</v>
      </c>
      <c r="BY47" s="43">
        <v>193396.48000000001</v>
      </c>
      <c r="BZ47" s="43">
        <v>99867.18</v>
      </c>
      <c r="CA47" s="43">
        <v>394616.81</v>
      </c>
      <c r="CB47" s="43">
        <v>24768877.350000001</v>
      </c>
      <c r="CC47" s="43">
        <v>91062.73</v>
      </c>
      <c r="CD47" s="43">
        <v>72919.69</v>
      </c>
      <c r="CE47" s="43">
        <v>104487.79</v>
      </c>
      <c r="CF47" s="43">
        <v>86249.23</v>
      </c>
      <c r="CG47" s="43">
        <v>74426.7</v>
      </c>
      <c r="CH47" s="43">
        <v>33444.1</v>
      </c>
      <c r="CI47" s="43">
        <v>320790.64</v>
      </c>
      <c r="CJ47" s="43">
        <v>313858.84000000003</v>
      </c>
      <c r="CK47" s="43">
        <v>1519908.61</v>
      </c>
      <c r="CL47" s="43">
        <v>233618.03</v>
      </c>
      <c r="CM47" s="43">
        <v>113893.58</v>
      </c>
      <c r="CN47" s="43">
        <v>8605084.4100000001</v>
      </c>
      <c r="CO47" s="43">
        <v>5153394.09</v>
      </c>
      <c r="CP47" s="43">
        <v>734189.06</v>
      </c>
      <c r="CQ47" s="43">
        <v>386426.67</v>
      </c>
      <c r="CR47" s="43">
        <v>80485.73</v>
      </c>
      <c r="CS47" s="43">
        <v>248224.67</v>
      </c>
      <c r="CT47" s="43">
        <v>85958.85</v>
      </c>
      <c r="CU47" s="43">
        <v>58359.59</v>
      </c>
      <c r="CV47" s="43">
        <v>47858.69</v>
      </c>
      <c r="CW47" s="7">
        <v>134115.63</v>
      </c>
      <c r="CX47" s="43">
        <v>243713.34</v>
      </c>
      <c r="CY47" s="43">
        <v>18970.75</v>
      </c>
      <c r="CZ47" s="43">
        <v>629899.39</v>
      </c>
      <c r="DA47" s="43">
        <v>123499.93</v>
      </c>
      <c r="DB47" s="43">
        <v>101395.44</v>
      </c>
      <c r="DC47" s="43">
        <v>112080.46</v>
      </c>
      <c r="DD47" s="43">
        <v>97944.92</v>
      </c>
      <c r="DE47" s="43">
        <v>288400.14</v>
      </c>
      <c r="DF47" s="43">
        <v>7817551.8200000003</v>
      </c>
      <c r="DG47" s="43">
        <v>118174.05</v>
      </c>
      <c r="DH47" s="43">
        <v>1002544.97</v>
      </c>
      <c r="DI47" s="43">
        <v>1169415.45</v>
      </c>
      <c r="DJ47" s="43">
        <v>169846.5</v>
      </c>
      <c r="DK47" s="43">
        <v>88144.5</v>
      </c>
      <c r="DL47" s="43">
        <v>2420056.54</v>
      </c>
      <c r="DM47" s="43">
        <v>77790.55</v>
      </c>
      <c r="DN47" s="43">
        <v>628414.66</v>
      </c>
      <c r="DO47" s="43">
        <v>761258.72</v>
      </c>
      <c r="DP47" s="43">
        <v>77422.7</v>
      </c>
      <c r="DQ47" s="43">
        <v>409714.16</v>
      </c>
      <c r="DR47" s="43">
        <v>475735.48</v>
      </c>
      <c r="DS47" s="43">
        <v>198489</v>
      </c>
      <c r="DT47" s="43">
        <v>53085.02</v>
      </c>
      <c r="DU47" s="43">
        <v>128255.13</v>
      </c>
      <c r="DV47" s="43">
        <v>49041.63</v>
      </c>
      <c r="DW47" s="43">
        <v>105819.77</v>
      </c>
      <c r="DX47" s="43">
        <v>165524.42000000001</v>
      </c>
      <c r="DY47" s="43">
        <v>211849.28</v>
      </c>
      <c r="DZ47" s="43">
        <v>440337.14</v>
      </c>
      <c r="EA47" s="43">
        <v>606678.97</v>
      </c>
      <c r="EB47" s="43">
        <v>264983.83</v>
      </c>
      <c r="EC47" s="43">
        <v>112196.29</v>
      </c>
      <c r="ED47" s="43">
        <v>606490.69999999995</v>
      </c>
      <c r="EE47" s="43">
        <v>69368.460000000006</v>
      </c>
      <c r="EF47" s="43">
        <v>327633.84999999998</v>
      </c>
      <c r="EG47" s="43">
        <v>120677.96</v>
      </c>
      <c r="EH47" s="43">
        <v>51207.78</v>
      </c>
      <c r="EI47" s="43">
        <v>3323220.8</v>
      </c>
      <c r="EJ47" s="43">
        <v>2056399.34</v>
      </c>
      <c r="EK47" s="43">
        <v>137117.85</v>
      </c>
      <c r="EL47" s="43">
        <v>36713.550000000003</v>
      </c>
      <c r="EM47" s="43">
        <v>247634.55</v>
      </c>
      <c r="EN47" s="43">
        <v>285190.57</v>
      </c>
      <c r="EO47" s="43">
        <v>144936.91</v>
      </c>
      <c r="EP47" s="43">
        <v>223170.3</v>
      </c>
      <c r="EQ47" s="43">
        <v>1024267.5</v>
      </c>
      <c r="ER47" s="43">
        <v>209171.85</v>
      </c>
      <c r="ES47" s="43">
        <v>106678.02</v>
      </c>
      <c r="ET47" s="43">
        <v>133939.82999999999</v>
      </c>
      <c r="EU47" s="43">
        <v>189375.43</v>
      </c>
      <c r="EV47" s="43">
        <v>43464.959999999999</v>
      </c>
      <c r="EW47" s="43">
        <v>341846.47</v>
      </c>
      <c r="EX47" s="43">
        <v>19788.41</v>
      </c>
      <c r="EY47" s="43">
        <v>106184.84</v>
      </c>
      <c r="EZ47" s="43">
        <v>92250.34</v>
      </c>
      <c r="FA47" s="43">
        <v>1567984.63</v>
      </c>
      <c r="FB47" s="43">
        <v>469609.63</v>
      </c>
      <c r="FC47" s="43">
        <v>926616</v>
      </c>
      <c r="FD47" s="43">
        <v>157711.57</v>
      </c>
      <c r="FE47" s="43">
        <v>64813.09</v>
      </c>
      <c r="FF47" s="43">
        <v>70542.399999999994</v>
      </c>
      <c r="FG47" s="43">
        <v>71488.67</v>
      </c>
      <c r="FH47" s="43">
        <v>112198.64</v>
      </c>
      <c r="FI47" s="43">
        <v>558618.73</v>
      </c>
      <c r="FJ47" s="43">
        <v>861473.15</v>
      </c>
      <c r="FK47" s="43">
        <v>927120.98</v>
      </c>
      <c r="FL47" s="43">
        <v>1829177.87</v>
      </c>
      <c r="FM47" s="43">
        <v>532404.37</v>
      </c>
      <c r="FN47" s="43">
        <v>3532207.73</v>
      </c>
      <c r="FO47" s="43">
        <v>629176.46</v>
      </c>
      <c r="FP47" s="43">
        <v>752042.46</v>
      </c>
      <c r="FQ47" s="43">
        <v>409839.03</v>
      </c>
      <c r="FR47" s="43">
        <v>177143.45</v>
      </c>
      <c r="FS47" s="43">
        <v>72860.350000000006</v>
      </c>
      <c r="FT47" s="43">
        <v>109456.97</v>
      </c>
      <c r="FU47" s="43">
        <v>297429.19</v>
      </c>
      <c r="FV47" s="43">
        <v>195022.78</v>
      </c>
      <c r="FW47" s="43">
        <v>48430.720000000001</v>
      </c>
      <c r="FX47" s="43">
        <v>39107.11</v>
      </c>
      <c r="FY47" s="40"/>
      <c r="FZ47" s="39">
        <f t="shared" ref="FZ47:FZ48" si="12">SUM(C47:FX47)</f>
        <v>249920454.66999993</v>
      </c>
      <c r="GA47" s="7"/>
      <c r="GB47" s="40"/>
      <c r="GC47" s="40"/>
      <c r="GD47" s="40"/>
      <c r="GE47" s="40"/>
      <c r="GF47" s="40"/>
      <c r="GG47" s="40"/>
      <c r="GH47" s="40"/>
      <c r="GI47" s="40"/>
      <c r="GJ47" s="40"/>
      <c r="GK47" s="40"/>
    </row>
    <row r="48" spans="1:207" ht="15.5" x14ac:dyDescent="0.35">
      <c r="A48" s="12" t="s">
        <v>511</v>
      </c>
      <c r="B48" s="7" t="s">
        <v>508</v>
      </c>
      <c r="C48" s="42">
        <f>'New Formula with HB25-1320'!C41</f>
        <v>1243601606.6496468</v>
      </c>
      <c r="D48" s="43">
        <v>4520376063.8174219</v>
      </c>
      <c r="E48" s="43">
        <v>1224119509.3321149</v>
      </c>
      <c r="F48" s="43">
        <v>3308074988.8981552</v>
      </c>
      <c r="G48" s="43">
        <v>573852597.72417617</v>
      </c>
      <c r="H48" s="43">
        <v>145655715.13624379</v>
      </c>
      <c r="I48" s="43">
        <v>1182351464.602762</v>
      </c>
      <c r="J48" s="43">
        <v>194881997.34144619</v>
      </c>
      <c r="K48" s="43">
        <v>51576022.11863175</v>
      </c>
      <c r="L48" s="43">
        <v>892187374.23643827</v>
      </c>
      <c r="M48" s="43">
        <v>327433433.58006012</v>
      </c>
      <c r="N48" s="43">
        <v>9590444923.7217064</v>
      </c>
      <c r="O48" s="43">
        <v>2732456943.5970211</v>
      </c>
      <c r="P48" s="43">
        <v>57259418.744442552</v>
      </c>
      <c r="Q48" s="43">
        <v>5762916876.5843554</v>
      </c>
      <c r="R48" s="43">
        <v>75923079.148940355</v>
      </c>
      <c r="S48" s="43">
        <v>607579178.51332831</v>
      </c>
      <c r="T48" s="43">
        <v>27185477.323791571</v>
      </c>
      <c r="U48" s="43">
        <v>31073581.949525453</v>
      </c>
      <c r="V48" s="43">
        <v>39213012.957507208</v>
      </c>
      <c r="W48" s="43">
        <v>6811214.997656187</v>
      </c>
      <c r="X48" s="43">
        <v>19031044.297738973</v>
      </c>
      <c r="Y48" s="43">
        <v>78909991.043457299</v>
      </c>
      <c r="Z48" s="43">
        <v>27835170.455760274</v>
      </c>
      <c r="AA48" s="43">
        <v>6865975746.7975941</v>
      </c>
      <c r="AB48" s="43">
        <v>10498646608.118092</v>
      </c>
      <c r="AC48" s="43">
        <v>478699598.15389931</v>
      </c>
      <c r="AD48" s="43">
        <v>512928524.46546149</v>
      </c>
      <c r="AE48" s="43">
        <v>51356787.445066139</v>
      </c>
      <c r="AF48" s="43">
        <v>98356638.067512855</v>
      </c>
      <c r="AG48" s="43">
        <v>383778622.32343137</v>
      </c>
      <c r="AH48" s="43">
        <v>47610818.377289474</v>
      </c>
      <c r="AI48" s="43">
        <v>12287826.755423428</v>
      </c>
      <c r="AJ48" s="43">
        <v>41680225.545014247</v>
      </c>
      <c r="AK48" s="43">
        <v>68026706.149202496</v>
      </c>
      <c r="AL48" s="43">
        <v>93124544.563597113</v>
      </c>
      <c r="AM48" s="43">
        <v>62011689.93829307</v>
      </c>
      <c r="AN48" s="43">
        <v>176665382.74765393</v>
      </c>
      <c r="AO48" s="43">
        <v>602392918.21131992</v>
      </c>
      <c r="AP48" s="43">
        <v>24966021135.429543</v>
      </c>
      <c r="AQ48" s="43">
        <v>95669538.197285175</v>
      </c>
      <c r="AR48" s="43">
        <v>10768814789.878386</v>
      </c>
      <c r="AS48" s="43">
        <v>4867127425.3747005</v>
      </c>
      <c r="AT48" s="43">
        <v>408183992.65006876</v>
      </c>
      <c r="AU48" s="43">
        <v>71885674.39792572</v>
      </c>
      <c r="AV48" s="43">
        <v>46303396.261848018</v>
      </c>
      <c r="AW48" s="43">
        <v>39259964.131445587</v>
      </c>
      <c r="AX48" s="43">
        <v>30483498.489724554</v>
      </c>
      <c r="AY48" s="43">
        <v>61843898.422990702</v>
      </c>
      <c r="AZ48" s="43">
        <v>1114831203.3171828</v>
      </c>
      <c r="BA48" s="43">
        <v>974585423.77318358</v>
      </c>
      <c r="BB48" s="43">
        <v>288422979.72040212</v>
      </c>
      <c r="BC48" s="43">
        <v>4702934007.5028353</v>
      </c>
      <c r="BD48" s="43">
        <v>631299446.8221693</v>
      </c>
      <c r="BE48" s="43">
        <v>209661517.61996523</v>
      </c>
      <c r="BF48" s="43">
        <v>3043732732.5291886</v>
      </c>
      <c r="BG48" s="43">
        <v>69172966.590302154</v>
      </c>
      <c r="BH48" s="43">
        <v>85278110.863035381</v>
      </c>
      <c r="BI48" s="43">
        <v>55323886.024676353</v>
      </c>
      <c r="BJ48" s="43">
        <v>1031567215.8844934</v>
      </c>
      <c r="BK48" s="43">
        <v>2003210325.5806057</v>
      </c>
      <c r="BL48" s="43">
        <v>8046441.8876479268</v>
      </c>
      <c r="BM48" s="43">
        <v>43909529.706827812</v>
      </c>
      <c r="BN48" s="43">
        <v>400914386.33701766</v>
      </c>
      <c r="BO48" s="43">
        <v>214827158.02866638</v>
      </c>
      <c r="BP48" s="43">
        <v>104969090.65814769</v>
      </c>
      <c r="BQ48" s="43">
        <v>2153016991.603569</v>
      </c>
      <c r="BR48" s="43">
        <v>1214292086.2726393</v>
      </c>
      <c r="BS48" s="43">
        <v>927458449.2157985</v>
      </c>
      <c r="BT48" s="43">
        <v>464218802.46572447</v>
      </c>
      <c r="BU48" s="43">
        <v>176869885.40160304</v>
      </c>
      <c r="BV48" s="43">
        <v>1480072171.6236086</v>
      </c>
      <c r="BW48" s="43">
        <v>1183991135.1934788</v>
      </c>
      <c r="BX48" s="43">
        <v>71521146.246909052</v>
      </c>
      <c r="BY48" s="43">
        <v>138809825.32344174</v>
      </c>
      <c r="BZ48" s="43">
        <v>45060755.806848407</v>
      </c>
      <c r="CA48" s="43">
        <v>109677560.66631818</v>
      </c>
      <c r="CB48" s="43">
        <v>14769614386.159739</v>
      </c>
      <c r="CC48" s="43">
        <v>21701990.459990714</v>
      </c>
      <c r="CD48" s="43">
        <v>19851531.418078423</v>
      </c>
      <c r="CE48" s="43">
        <v>46081985.739354208</v>
      </c>
      <c r="CF48" s="43">
        <v>32237521.699186254</v>
      </c>
      <c r="CG48" s="43">
        <v>26155301.761280842</v>
      </c>
      <c r="CH48" s="43">
        <v>18679472.449156404</v>
      </c>
      <c r="CI48" s="43">
        <v>125858608.64781278</v>
      </c>
      <c r="CJ48" s="43">
        <v>441849646.04811555</v>
      </c>
      <c r="CK48" s="43">
        <v>1747204888.5024419</v>
      </c>
      <c r="CL48" s="43">
        <v>273214570.89100206</v>
      </c>
      <c r="CM48" s="43">
        <v>290171407.75407547</v>
      </c>
      <c r="CN48" s="43">
        <v>5386177640.3771019</v>
      </c>
      <c r="CO48" s="43">
        <v>3603985348.7036753</v>
      </c>
      <c r="CP48" s="43">
        <v>681922581.10146487</v>
      </c>
      <c r="CQ48" s="43">
        <v>183615251.31194037</v>
      </c>
      <c r="CR48" s="43">
        <v>164142406.18911654</v>
      </c>
      <c r="CS48" s="43">
        <v>58377627.248269588</v>
      </c>
      <c r="CT48" s="43">
        <v>65810430.384387761</v>
      </c>
      <c r="CU48" s="43">
        <v>19837347.339996941</v>
      </c>
      <c r="CV48" s="43">
        <v>24677913.673428282</v>
      </c>
      <c r="CW48" s="43">
        <v>78285305.618246719</v>
      </c>
      <c r="CX48" s="43">
        <v>90783034.236693919</v>
      </c>
      <c r="CY48" s="43">
        <v>6801420.9230567478</v>
      </c>
      <c r="CZ48" s="43">
        <v>257017791.56822336</v>
      </c>
      <c r="DA48" s="43">
        <v>48608404.218467735</v>
      </c>
      <c r="DB48" s="43">
        <v>43656174.635990135</v>
      </c>
      <c r="DC48" s="43">
        <v>61483727.075588316</v>
      </c>
      <c r="DD48" s="43">
        <v>292472042.1601609</v>
      </c>
      <c r="DE48" s="43">
        <v>172788404.28346723</v>
      </c>
      <c r="DF48" s="43">
        <v>2870377669.3239503</v>
      </c>
      <c r="DG48" s="43">
        <v>65851246.085055798</v>
      </c>
      <c r="DH48" s="43">
        <v>403442625.31019509</v>
      </c>
      <c r="DI48" s="43">
        <v>606389617.79085207</v>
      </c>
      <c r="DJ48" s="43">
        <v>68697298.949765757</v>
      </c>
      <c r="DK48" s="43">
        <v>64758094.618681282</v>
      </c>
      <c r="DL48" s="43">
        <v>917617038.13353014</v>
      </c>
      <c r="DM48" s="43">
        <v>27786177.4488305</v>
      </c>
      <c r="DN48" s="43">
        <v>282346995.50179762</v>
      </c>
      <c r="DO48" s="43">
        <v>383517038.42762721</v>
      </c>
      <c r="DP48" s="43">
        <v>33982318.923972666</v>
      </c>
      <c r="DQ48" s="43">
        <v>500729907.73105943</v>
      </c>
      <c r="DR48" s="43">
        <v>98211401.544237897</v>
      </c>
      <c r="DS48" s="43">
        <v>44999645.49927409</v>
      </c>
      <c r="DT48" s="43">
        <v>12232408.199637603</v>
      </c>
      <c r="DU48" s="43">
        <v>32219955.877370033</v>
      </c>
      <c r="DV48" s="43">
        <v>9769939.1602580957</v>
      </c>
      <c r="DW48" s="43">
        <v>24289938.669203855</v>
      </c>
      <c r="DX48" s="43">
        <v>116793538.51075755</v>
      </c>
      <c r="DY48" s="43">
        <v>222794683.51370659</v>
      </c>
      <c r="DZ48" s="43">
        <v>258350921.04087114</v>
      </c>
      <c r="EA48" s="43">
        <v>657631433.43917203</v>
      </c>
      <c r="EB48" s="43">
        <v>92085525.386901975</v>
      </c>
      <c r="EC48" s="43">
        <v>40055896.724444717</v>
      </c>
      <c r="ED48" s="43">
        <v>5848857376.5394392</v>
      </c>
      <c r="EE48" s="43">
        <v>18795476.860822272</v>
      </c>
      <c r="EF48" s="43">
        <v>108811216.89612466</v>
      </c>
      <c r="EG48" s="43">
        <v>32765384.586948305</v>
      </c>
      <c r="EH48" s="43">
        <v>15488049.816499911</v>
      </c>
      <c r="EI48" s="43">
        <v>1525472323.7714865</v>
      </c>
      <c r="EJ48" s="43">
        <v>1227682218.9221635</v>
      </c>
      <c r="EK48" s="43">
        <v>603151832.62965918</v>
      </c>
      <c r="EL48" s="43">
        <v>289083709.12088758</v>
      </c>
      <c r="EM48" s="43">
        <v>134968441.49054235</v>
      </c>
      <c r="EN48" s="43">
        <v>85767392.217089459</v>
      </c>
      <c r="EO48" s="43">
        <v>47458799.049318895</v>
      </c>
      <c r="EP48" s="43">
        <v>155420519.02642387</v>
      </c>
      <c r="EQ48" s="43">
        <v>1952667604.5762377</v>
      </c>
      <c r="ER48" s="43">
        <v>148649597.61913192</v>
      </c>
      <c r="ES48" s="43">
        <v>38133942.487097889</v>
      </c>
      <c r="ET48" s="43">
        <v>56136170.391549945</v>
      </c>
      <c r="EU48" s="43">
        <v>47835982.666799545</v>
      </c>
      <c r="EV48" s="43">
        <v>82064596.997917801</v>
      </c>
      <c r="EW48" s="43">
        <v>1341850585.5802636</v>
      </c>
      <c r="EX48" s="43">
        <v>58374856.038202748</v>
      </c>
      <c r="EY48" s="43">
        <v>34605578.951935172</v>
      </c>
      <c r="EZ48" s="43">
        <v>30171090.409678221</v>
      </c>
      <c r="FA48" s="43">
        <v>3825563881.5272274</v>
      </c>
      <c r="FB48" s="43">
        <v>491012308.05544251</v>
      </c>
      <c r="FC48" s="43">
        <v>476656111.48539859</v>
      </c>
      <c r="FD48" s="43">
        <v>55554082.287299022</v>
      </c>
      <c r="FE48" s="43">
        <v>33765594.349984318</v>
      </c>
      <c r="FF48" s="43">
        <v>25027026.345334936</v>
      </c>
      <c r="FG48" s="43">
        <v>30831811.073802233</v>
      </c>
      <c r="FH48" s="43">
        <v>37805154.436736263</v>
      </c>
      <c r="FI48" s="43">
        <v>1426641986.7923536</v>
      </c>
      <c r="FJ48" s="43">
        <v>993645198.75942469</v>
      </c>
      <c r="FK48" s="43">
        <v>2165574789.6435361</v>
      </c>
      <c r="FL48" s="43">
        <v>2295824507.7683549</v>
      </c>
      <c r="FM48" s="43">
        <v>1183180101.7270384</v>
      </c>
      <c r="FN48" s="43">
        <v>3033094084.0116987</v>
      </c>
      <c r="FO48" s="43">
        <v>3230530770.1718392</v>
      </c>
      <c r="FP48" s="43">
        <v>1542258695.8623762</v>
      </c>
      <c r="FQ48" s="43">
        <v>540314278.95524025</v>
      </c>
      <c r="FR48" s="43">
        <v>572092832.60842597</v>
      </c>
      <c r="FS48" s="43">
        <v>444874547.97797352</v>
      </c>
      <c r="FT48" s="43">
        <v>459191083.79550272</v>
      </c>
      <c r="FU48" s="43">
        <v>173032976.83335775</v>
      </c>
      <c r="FV48" s="43">
        <v>144356065.18024024</v>
      </c>
      <c r="FW48" s="43">
        <v>20994871.744153053</v>
      </c>
      <c r="FX48" s="43">
        <v>17611628.339902677</v>
      </c>
      <c r="FY48" s="40"/>
      <c r="FZ48" s="40">
        <f t="shared" si="12"/>
        <v>191009204485.10086</v>
      </c>
      <c r="GA48" s="40"/>
      <c r="GB48" s="40"/>
      <c r="GC48" s="40"/>
      <c r="GD48" s="40"/>
      <c r="GE48" s="7"/>
      <c r="GF48" s="7"/>
      <c r="GG48" s="7"/>
      <c r="GH48" s="7"/>
      <c r="GI48" s="7"/>
      <c r="GJ48" s="7"/>
      <c r="GK48" s="7"/>
    </row>
    <row r="49" spans="1:207" ht="15.5" x14ac:dyDescent="0.35">
      <c r="A49" s="12" t="s">
        <v>514</v>
      </c>
      <c r="B49" s="32" t="s">
        <v>768</v>
      </c>
      <c r="C49" s="44">
        <v>2.7E-2</v>
      </c>
      <c r="D49" s="45">
        <v>2.7E-2</v>
      </c>
      <c r="E49" s="45">
        <v>2.7E-2</v>
      </c>
      <c r="F49" s="45">
        <v>2.7E-2</v>
      </c>
      <c r="G49" s="45">
        <v>2.5264999999999999E-2</v>
      </c>
      <c r="H49" s="45">
        <v>2.7E-2</v>
      </c>
      <c r="I49" s="45">
        <v>2.7E-2</v>
      </c>
      <c r="J49" s="45">
        <v>2.7E-2</v>
      </c>
      <c r="K49" s="45">
        <v>2.7E-2</v>
      </c>
      <c r="L49" s="45">
        <v>2.6894999999999999E-2</v>
      </c>
      <c r="M49" s="45">
        <v>2.5946999999999998E-2</v>
      </c>
      <c r="N49" s="45">
        <v>1.8756000000000002E-2</v>
      </c>
      <c r="O49" s="45">
        <v>2.7E-2</v>
      </c>
      <c r="P49" s="45">
        <v>2.7E-2</v>
      </c>
      <c r="Q49" s="45">
        <v>2.7E-2</v>
      </c>
      <c r="R49" s="45">
        <v>2.7E-2</v>
      </c>
      <c r="S49" s="45">
        <v>2.6013999999999999E-2</v>
      </c>
      <c r="T49" s="45">
        <v>2.4301E-2</v>
      </c>
      <c r="U49" s="45">
        <v>2.3800999999999999E-2</v>
      </c>
      <c r="V49" s="45">
        <v>2.7E-2</v>
      </c>
      <c r="W49" s="45">
        <v>2.7E-2</v>
      </c>
      <c r="X49" s="45">
        <v>1.5755999999999999E-2</v>
      </c>
      <c r="Y49" s="45">
        <v>2.4498000000000002E-2</v>
      </c>
      <c r="Z49" s="45">
        <v>2.359E-2</v>
      </c>
      <c r="AA49" s="45">
        <v>2.7E-2</v>
      </c>
      <c r="AB49" s="45">
        <v>2.7E-2</v>
      </c>
      <c r="AC49" s="45">
        <v>2.0982000000000001E-2</v>
      </c>
      <c r="AD49" s="45">
        <v>1.9693000000000002E-2</v>
      </c>
      <c r="AE49" s="45">
        <v>1.2814000000000001E-2</v>
      </c>
      <c r="AF49" s="45">
        <v>1.1674E-2</v>
      </c>
      <c r="AG49" s="45">
        <v>1.2485E-2</v>
      </c>
      <c r="AH49" s="45">
        <v>2.2123E-2</v>
      </c>
      <c r="AI49" s="45">
        <v>2.7E-2</v>
      </c>
      <c r="AJ49" s="45">
        <v>2.3788E-2</v>
      </c>
      <c r="AK49" s="45">
        <v>2.128E-2</v>
      </c>
      <c r="AL49" s="45">
        <v>2.7E-2</v>
      </c>
      <c r="AM49" s="45">
        <v>2.1449000000000003E-2</v>
      </c>
      <c r="AN49" s="45">
        <v>2.7E-2</v>
      </c>
      <c r="AO49" s="45">
        <v>2.7E-2</v>
      </c>
      <c r="AP49" s="45">
        <v>2.7E-2</v>
      </c>
      <c r="AQ49" s="45">
        <v>1.8685E-2</v>
      </c>
      <c r="AR49" s="45">
        <v>2.7E-2</v>
      </c>
      <c r="AS49" s="45">
        <v>1.2137999999999999E-2</v>
      </c>
      <c r="AT49" s="45">
        <v>2.7E-2</v>
      </c>
      <c r="AU49" s="45">
        <v>2.4187999999999998E-2</v>
      </c>
      <c r="AV49" s="45">
        <v>2.7E-2</v>
      </c>
      <c r="AW49" s="45">
        <v>2.4431000000000001E-2</v>
      </c>
      <c r="AX49" s="45">
        <v>2.1797999999999998E-2</v>
      </c>
      <c r="AY49" s="45">
        <v>2.7E-2</v>
      </c>
      <c r="AZ49" s="45">
        <v>1.5720000000000001E-2</v>
      </c>
      <c r="BA49" s="45">
        <v>2.6893999999999998E-2</v>
      </c>
      <c r="BB49" s="45">
        <v>2.4684000000000001E-2</v>
      </c>
      <c r="BC49" s="45">
        <v>2.0715000000000001E-2</v>
      </c>
      <c r="BD49" s="45">
        <v>2.7E-2</v>
      </c>
      <c r="BE49" s="45">
        <v>2.7E-2</v>
      </c>
      <c r="BF49" s="45">
        <v>2.7E-2</v>
      </c>
      <c r="BG49" s="45">
        <v>2.7E-2</v>
      </c>
      <c r="BH49" s="45">
        <v>2.6419000000000002E-2</v>
      </c>
      <c r="BI49" s="45">
        <v>1.3433E-2</v>
      </c>
      <c r="BJ49" s="45">
        <v>2.7E-2</v>
      </c>
      <c r="BK49" s="45">
        <v>2.7E-2</v>
      </c>
      <c r="BL49" s="45">
        <v>2.7E-2</v>
      </c>
      <c r="BM49" s="45">
        <v>2.5833999999999999E-2</v>
      </c>
      <c r="BN49" s="45">
        <v>2.7E-2</v>
      </c>
      <c r="BO49" s="45">
        <v>2.0202999999999999E-2</v>
      </c>
      <c r="BP49" s="45">
        <v>2.6702E-2</v>
      </c>
      <c r="BQ49" s="45">
        <v>2.6759000000000002E-2</v>
      </c>
      <c r="BR49" s="45">
        <v>9.6999999999999986E-3</v>
      </c>
      <c r="BS49" s="45">
        <v>4.3949999999999996E-3</v>
      </c>
      <c r="BT49" s="45">
        <v>6.6509999999999998E-3</v>
      </c>
      <c r="BU49" s="45">
        <v>1.3811E-2</v>
      </c>
      <c r="BV49" s="45">
        <v>1.0330000000000001E-2</v>
      </c>
      <c r="BW49" s="45">
        <v>1.5736E-2</v>
      </c>
      <c r="BX49" s="45">
        <v>1.9067000000000001E-2</v>
      </c>
      <c r="BY49" s="45">
        <v>2.7E-2</v>
      </c>
      <c r="BZ49" s="45">
        <v>2.7E-2</v>
      </c>
      <c r="CA49" s="45">
        <v>2.3040999999999999E-2</v>
      </c>
      <c r="CB49" s="45">
        <v>2.7E-2</v>
      </c>
      <c r="CC49" s="45">
        <v>2.7E-2</v>
      </c>
      <c r="CD49" s="45">
        <v>2.452E-2</v>
      </c>
      <c r="CE49" s="45">
        <v>2.7E-2</v>
      </c>
      <c r="CF49" s="45">
        <v>2.4333999999999998E-2</v>
      </c>
      <c r="CG49" s="45">
        <v>2.7E-2</v>
      </c>
      <c r="CH49" s="45">
        <v>2.7E-2</v>
      </c>
      <c r="CI49" s="45">
        <v>2.7E-2</v>
      </c>
      <c r="CJ49" s="45">
        <v>2.6513999999999999E-2</v>
      </c>
      <c r="CK49" s="45">
        <v>1.1601E-2</v>
      </c>
      <c r="CL49" s="45">
        <v>1.3228999999999999E-2</v>
      </c>
      <c r="CM49" s="45">
        <v>7.2740000000000001E-3</v>
      </c>
      <c r="CN49" s="45">
        <v>2.7E-2</v>
      </c>
      <c r="CO49" s="45">
        <v>2.7E-2</v>
      </c>
      <c r="CP49" s="45">
        <v>1.8135999999999999E-2</v>
      </c>
      <c r="CQ49" s="45">
        <v>1.7426999999999998E-2</v>
      </c>
      <c r="CR49" s="45">
        <v>4.169E-3</v>
      </c>
      <c r="CS49" s="45">
        <v>2.7E-2</v>
      </c>
      <c r="CT49" s="45">
        <v>1.3519999999999999E-2</v>
      </c>
      <c r="CU49" s="45">
        <v>2.4615999999999999E-2</v>
      </c>
      <c r="CV49" s="45">
        <v>1.5979E-2</v>
      </c>
      <c r="CW49" s="45">
        <v>1.7379000000000002E-2</v>
      </c>
      <c r="CX49" s="45">
        <v>2.6824000000000001E-2</v>
      </c>
      <c r="CY49" s="45">
        <v>2.7E-2</v>
      </c>
      <c r="CZ49" s="45">
        <v>2.7E-2</v>
      </c>
      <c r="DA49" s="45">
        <v>2.7E-2</v>
      </c>
      <c r="DB49" s="45">
        <v>2.7E-2</v>
      </c>
      <c r="DC49" s="45">
        <v>2.2418E-2</v>
      </c>
      <c r="DD49" s="45">
        <v>3.4300000000000003E-3</v>
      </c>
      <c r="DE49" s="45">
        <v>1.1894999999999999E-2</v>
      </c>
      <c r="DF49" s="45">
        <v>2.7E-2</v>
      </c>
      <c r="DG49" s="45">
        <v>2.5453E-2</v>
      </c>
      <c r="DH49" s="45">
        <v>2.5515999999999997E-2</v>
      </c>
      <c r="DI49" s="45">
        <v>2.3844999999999998E-2</v>
      </c>
      <c r="DJ49" s="45">
        <v>2.5883E-2</v>
      </c>
      <c r="DK49" s="45">
        <v>2.0658000000000003E-2</v>
      </c>
      <c r="DL49" s="45">
        <v>2.6966999999999998E-2</v>
      </c>
      <c r="DM49" s="45">
        <v>2.4899000000000001E-2</v>
      </c>
      <c r="DN49" s="45">
        <v>2.7E-2</v>
      </c>
      <c r="DO49" s="45">
        <v>2.7E-2</v>
      </c>
      <c r="DP49" s="45">
        <v>2.7E-2</v>
      </c>
      <c r="DQ49" s="45">
        <v>2.2202000000000003E-2</v>
      </c>
      <c r="DR49" s="45">
        <v>2.7E-2</v>
      </c>
      <c r="DS49" s="45">
        <v>2.7E-2</v>
      </c>
      <c r="DT49" s="45">
        <v>2.6728999999999999E-2</v>
      </c>
      <c r="DU49" s="45">
        <v>2.7E-2</v>
      </c>
      <c r="DV49" s="45">
        <v>2.7E-2</v>
      </c>
      <c r="DW49" s="45">
        <v>2.6997E-2</v>
      </c>
      <c r="DX49" s="45">
        <v>2.3931000000000001E-2</v>
      </c>
      <c r="DY49" s="45">
        <v>1.7927999999999999E-2</v>
      </c>
      <c r="DZ49" s="45">
        <v>2.2661999999999998E-2</v>
      </c>
      <c r="EA49" s="45">
        <v>1.1192000000000001E-2</v>
      </c>
      <c r="EB49" s="45">
        <v>2.7E-2</v>
      </c>
      <c r="EC49" s="45">
        <v>2.7E-2</v>
      </c>
      <c r="ED49" s="45">
        <v>4.084E-3</v>
      </c>
      <c r="EE49" s="45">
        <v>2.7E-2</v>
      </c>
      <c r="EF49" s="45">
        <v>2.4594999999999999E-2</v>
      </c>
      <c r="EG49" s="45">
        <v>2.7E-2</v>
      </c>
      <c r="EH49" s="45">
        <v>2.7E-2</v>
      </c>
      <c r="EI49" s="45">
        <v>2.7E-2</v>
      </c>
      <c r="EJ49" s="45">
        <v>2.7E-2</v>
      </c>
      <c r="EK49" s="45">
        <v>5.7670000000000004E-3</v>
      </c>
      <c r="EL49" s="45">
        <v>6.143E-3</v>
      </c>
      <c r="EM49" s="45">
        <v>2.1308000000000001E-2</v>
      </c>
      <c r="EN49" s="45">
        <v>2.7E-2</v>
      </c>
      <c r="EO49" s="45">
        <v>2.7E-2</v>
      </c>
      <c r="EP49" s="45">
        <v>2.5585999999999998E-2</v>
      </c>
      <c r="EQ49" s="45">
        <v>5.5929999999999999E-3</v>
      </c>
      <c r="ER49" s="45">
        <v>2.1283E-2</v>
      </c>
      <c r="ES49" s="45">
        <v>2.7E-2</v>
      </c>
      <c r="ET49" s="45">
        <v>2.7E-2</v>
      </c>
      <c r="EU49" s="45">
        <v>2.7E-2</v>
      </c>
      <c r="EV49" s="45">
        <v>1.5009E-2</v>
      </c>
      <c r="EW49" s="45">
        <v>7.2809999999999993E-3</v>
      </c>
      <c r="EX49" s="45">
        <v>8.9099999999999995E-3</v>
      </c>
      <c r="EY49" s="45">
        <v>2.7E-2</v>
      </c>
      <c r="EZ49" s="45">
        <v>2.7E-2</v>
      </c>
      <c r="FA49" s="45">
        <v>1.0666E-2</v>
      </c>
      <c r="FB49" s="45">
        <v>9.6240000000000006E-3</v>
      </c>
      <c r="FC49" s="45">
        <v>2.7E-2</v>
      </c>
      <c r="FD49" s="45">
        <v>2.7E-2</v>
      </c>
      <c r="FE49" s="45">
        <v>1.9181E-2</v>
      </c>
      <c r="FF49" s="45">
        <v>2.7E-2</v>
      </c>
      <c r="FG49" s="45">
        <v>2.7E-2</v>
      </c>
      <c r="FH49" s="45">
        <v>2.4771999999999999E-2</v>
      </c>
      <c r="FI49" s="45">
        <v>9.639E-3</v>
      </c>
      <c r="FJ49" s="45">
        <v>2.2207999999999999E-2</v>
      </c>
      <c r="FK49" s="45">
        <v>1.0845E-2</v>
      </c>
      <c r="FL49" s="45">
        <v>2.7E-2</v>
      </c>
      <c r="FM49" s="45">
        <v>2.3414000000000001E-2</v>
      </c>
      <c r="FN49" s="45">
        <v>2.7E-2</v>
      </c>
      <c r="FO49" s="45">
        <v>4.2009999999999999E-3</v>
      </c>
      <c r="FP49" s="45">
        <v>1.2143000000000001E-2</v>
      </c>
      <c r="FQ49" s="45">
        <v>2.188E-2</v>
      </c>
      <c r="FR49" s="45">
        <v>5.9360000000000003E-3</v>
      </c>
      <c r="FS49" s="45">
        <v>5.0679999999999996E-3</v>
      </c>
      <c r="FT49" s="45">
        <v>3.3940000000000003E-3</v>
      </c>
      <c r="FU49" s="45">
        <v>2.3344999999999998E-2</v>
      </c>
      <c r="FV49" s="45">
        <v>2.0032000000000001E-2</v>
      </c>
      <c r="FW49" s="45">
        <v>2.6498000000000001E-2</v>
      </c>
      <c r="FX49" s="45">
        <v>2.4674999999999999E-2</v>
      </c>
      <c r="FY49" s="45"/>
      <c r="FZ49" s="96">
        <f>SUM(C49:FX49)*1000</f>
        <v>3915.652000000005</v>
      </c>
      <c r="GA49" s="7"/>
      <c r="GB49" s="7"/>
      <c r="GC49" s="7"/>
      <c r="GD49" s="7"/>
      <c r="GE49" s="47"/>
      <c r="GF49" s="32"/>
      <c r="GG49" s="32"/>
      <c r="GH49" s="32"/>
      <c r="GI49" s="32"/>
      <c r="GJ49" s="32"/>
      <c r="GK49" s="32"/>
    </row>
    <row r="50" spans="1:207" ht="15.5" x14ac:dyDescent="0.35">
      <c r="A50" s="97" t="s">
        <v>516</v>
      </c>
      <c r="B50" s="7" t="s">
        <v>769</v>
      </c>
      <c r="C50" s="48">
        <v>999999999</v>
      </c>
      <c r="D50" s="7">
        <v>999999999</v>
      </c>
      <c r="E50" s="7">
        <v>999999999</v>
      </c>
      <c r="F50" s="7">
        <v>999999999</v>
      </c>
      <c r="G50" s="7">
        <v>999999999</v>
      </c>
      <c r="H50" s="7">
        <v>999999999</v>
      </c>
      <c r="I50" s="7">
        <v>999999999</v>
      </c>
      <c r="J50" s="7">
        <v>999999999</v>
      </c>
      <c r="K50" s="7">
        <v>999999999</v>
      </c>
      <c r="L50" s="7">
        <v>999999999</v>
      </c>
      <c r="M50" s="7">
        <v>999999999</v>
      </c>
      <c r="N50" s="7">
        <v>999999999</v>
      </c>
      <c r="O50" s="7">
        <v>999999999</v>
      </c>
      <c r="P50" s="7">
        <v>999999999</v>
      </c>
      <c r="Q50" s="7">
        <v>999999999</v>
      </c>
      <c r="R50" s="7">
        <v>999999999</v>
      </c>
      <c r="S50" s="7">
        <v>999999999</v>
      </c>
      <c r="T50" s="7">
        <v>999999999</v>
      </c>
      <c r="U50" s="7">
        <v>999999999</v>
      </c>
      <c r="V50" s="7">
        <v>999999999</v>
      </c>
      <c r="W50" s="7">
        <v>999999999</v>
      </c>
      <c r="X50" s="7">
        <v>999999999</v>
      </c>
      <c r="Y50" s="7">
        <v>999999999</v>
      </c>
      <c r="Z50" s="7">
        <v>999999999</v>
      </c>
      <c r="AA50" s="7">
        <v>999999999</v>
      </c>
      <c r="AB50" s="7">
        <v>999999999</v>
      </c>
      <c r="AC50" s="7">
        <v>999999999</v>
      </c>
      <c r="AD50" s="7">
        <v>999999999</v>
      </c>
      <c r="AE50" s="7">
        <v>999999999</v>
      </c>
      <c r="AF50" s="7">
        <v>999999999</v>
      </c>
      <c r="AG50" s="7">
        <v>999999999</v>
      </c>
      <c r="AH50" s="7">
        <v>999999999</v>
      </c>
      <c r="AI50" s="7">
        <v>999999999</v>
      </c>
      <c r="AJ50" s="7">
        <v>999999999</v>
      </c>
      <c r="AK50" s="7">
        <v>999999999</v>
      </c>
      <c r="AL50" s="7">
        <v>999999999</v>
      </c>
      <c r="AM50" s="7">
        <v>999999999</v>
      </c>
      <c r="AN50" s="7">
        <v>999999999</v>
      </c>
      <c r="AO50" s="7">
        <v>999999999</v>
      </c>
      <c r="AP50" s="7">
        <v>999999999</v>
      </c>
      <c r="AQ50" s="7">
        <v>999999999</v>
      </c>
      <c r="AR50" s="7">
        <v>999999999</v>
      </c>
      <c r="AS50" s="7">
        <v>999999999</v>
      </c>
      <c r="AT50" s="7">
        <v>999999999</v>
      </c>
      <c r="AU50" s="7">
        <v>999999999</v>
      </c>
      <c r="AV50" s="7">
        <v>999999999</v>
      </c>
      <c r="AW50" s="7">
        <v>999999999</v>
      </c>
      <c r="AX50" s="7">
        <v>999999999</v>
      </c>
      <c r="AY50" s="7">
        <v>999999999</v>
      </c>
      <c r="AZ50" s="7">
        <v>10783078.660301581</v>
      </c>
      <c r="BA50" s="7">
        <v>999999999</v>
      </c>
      <c r="BB50" s="7">
        <v>999999999</v>
      </c>
      <c r="BC50" s="7">
        <v>999999999</v>
      </c>
      <c r="BD50" s="7">
        <v>999999999</v>
      </c>
      <c r="BE50" s="7">
        <v>999999999</v>
      </c>
      <c r="BF50" s="7">
        <v>999999999</v>
      </c>
      <c r="BG50" s="7">
        <v>999999999</v>
      </c>
      <c r="BH50" s="7">
        <v>999999999</v>
      </c>
      <c r="BI50" s="7">
        <v>999999999</v>
      </c>
      <c r="BJ50" s="7">
        <v>999999999</v>
      </c>
      <c r="BK50" s="7">
        <v>999999999</v>
      </c>
      <c r="BL50" s="7">
        <v>999999999</v>
      </c>
      <c r="BM50" s="7">
        <v>999999999</v>
      </c>
      <c r="BN50" s="7">
        <v>999999999</v>
      </c>
      <c r="BO50" s="7">
        <v>999999999</v>
      </c>
      <c r="BP50" s="7">
        <v>999999999</v>
      </c>
      <c r="BQ50" s="7">
        <v>999999999</v>
      </c>
      <c r="BR50" s="7">
        <v>999999999</v>
      </c>
      <c r="BS50" s="7">
        <v>999999999</v>
      </c>
      <c r="BT50" s="7">
        <v>999999999</v>
      </c>
      <c r="BU50" s="7">
        <v>999999999</v>
      </c>
      <c r="BV50" s="7">
        <v>999999999</v>
      </c>
      <c r="BW50" s="7">
        <v>999999999</v>
      </c>
      <c r="BX50" s="7">
        <v>999999999</v>
      </c>
      <c r="BY50" s="7">
        <v>999999999</v>
      </c>
      <c r="BZ50" s="7">
        <v>999999999</v>
      </c>
      <c r="CA50" s="7">
        <v>999999999</v>
      </c>
      <c r="CB50" s="7">
        <v>999999999</v>
      </c>
      <c r="CC50" s="7">
        <v>999999999</v>
      </c>
      <c r="CD50" s="7">
        <v>999999999</v>
      </c>
      <c r="CE50" s="7">
        <v>999999999</v>
      </c>
      <c r="CF50" s="7">
        <v>999999999</v>
      </c>
      <c r="CG50" s="7">
        <v>999999999</v>
      </c>
      <c r="CH50" s="7">
        <v>999999999</v>
      </c>
      <c r="CI50" s="7">
        <v>999999999</v>
      </c>
      <c r="CJ50" s="7">
        <v>999999999</v>
      </c>
      <c r="CK50" s="7">
        <v>999999999</v>
      </c>
      <c r="CL50" s="7">
        <v>999999999</v>
      </c>
      <c r="CM50" s="7">
        <v>999999999</v>
      </c>
      <c r="CN50" s="7">
        <v>999999999</v>
      </c>
      <c r="CO50" s="7">
        <v>999999999</v>
      </c>
      <c r="CP50" s="7">
        <v>999999999</v>
      </c>
      <c r="CQ50" s="7">
        <v>999999999</v>
      </c>
      <c r="CR50" s="7">
        <v>999999999</v>
      </c>
      <c r="CS50" s="7">
        <v>999999999</v>
      </c>
      <c r="CT50" s="7">
        <v>999999999</v>
      </c>
      <c r="CU50" s="7">
        <v>999999999</v>
      </c>
      <c r="CV50" s="7">
        <v>999999999</v>
      </c>
      <c r="CW50" s="7">
        <v>999999999</v>
      </c>
      <c r="CX50" s="7">
        <v>999999999</v>
      </c>
      <c r="CY50" s="7">
        <v>999999999</v>
      </c>
      <c r="CZ50" s="7">
        <v>999999999</v>
      </c>
      <c r="DA50" s="7">
        <v>999999999</v>
      </c>
      <c r="DB50" s="7">
        <v>999999999</v>
      </c>
      <c r="DC50" s="7">
        <v>999999999</v>
      </c>
      <c r="DD50" s="7">
        <v>999999999</v>
      </c>
      <c r="DE50" s="7">
        <v>999999999</v>
      </c>
      <c r="DF50" s="7">
        <v>999999999</v>
      </c>
      <c r="DG50" s="7">
        <v>999999999</v>
      </c>
      <c r="DH50" s="7">
        <v>999999999</v>
      </c>
      <c r="DI50" s="7">
        <v>999999999</v>
      </c>
      <c r="DJ50" s="7">
        <v>999999999</v>
      </c>
      <c r="DK50" s="7">
        <v>999999999</v>
      </c>
      <c r="DL50" s="7">
        <v>999999999</v>
      </c>
      <c r="DM50" s="7">
        <v>999999999</v>
      </c>
      <c r="DN50" s="7">
        <v>999999999</v>
      </c>
      <c r="DO50" s="7">
        <v>999999999</v>
      </c>
      <c r="DP50" s="7">
        <v>999999999</v>
      </c>
      <c r="DQ50" s="7">
        <v>999999999</v>
      </c>
      <c r="DR50" s="7">
        <v>999999999</v>
      </c>
      <c r="DS50" s="7">
        <v>999999999</v>
      </c>
      <c r="DT50" s="7">
        <v>999999999</v>
      </c>
      <c r="DU50" s="7">
        <v>999999999</v>
      </c>
      <c r="DV50" s="7">
        <v>999999999</v>
      </c>
      <c r="DW50" s="7">
        <v>999999999</v>
      </c>
      <c r="DX50" s="7">
        <v>999999999</v>
      </c>
      <c r="DY50" s="7">
        <v>999999999</v>
      </c>
      <c r="DZ50" s="7">
        <v>999999999</v>
      </c>
      <c r="EA50" s="7">
        <v>999999999</v>
      </c>
      <c r="EB50" s="7">
        <v>999999999</v>
      </c>
      <c r="EC50" s="7">
        <v>999999999</v>
      </c>
      <c r="ED50" s="7">
        <v>999999999</v>
      </c>
      <c r="EE50" s="7">
        <v>999999999</v>
      </c>
      <c r="EF50" s="7">
        <v>999999999</v>
      </c>
      <c r="EG50" s="7">
        <v>999999999</v>
      </c>
      <c r="EH50" s="7">
        <v>999999999</v>
      </c>
      <c r="EI50" s="7">
        <v>999999999</v>
      </c>
      <c r="EJ50" s="7">
        <v>999999999</v>
      </c>
      <c r="EK50" s="7">
        <v>999999999</v>
      </c>
      <c r="EL50" s="7">
        <v>999999999</v>
      </c>
      <c r="EM50" s="7">
        <v>999999999</v>
      </c>
      <c r="EN50" s="7">
        <v>999999999</v>
      </c>
      <c r="EO50" s="7">
        <v>999999999</v>
      </c>
      <c r="EP50" s="7">
        <v>999999999</v>
      </c>
      <c r="EQ50" s="7">
        <v>9909825.1697521377</v>
      </c>
      <c r="ER50" s="7">
        <v>999999999</v>
      </c>
      <c r="ES50" s="7">
        <v>999999999</v>
      </c>
      <c r="ET50" s="7">
        <v>999999999</v>
      </c>
      <c r="EU50" s="7">
        <v>999999999</v>
      </c>
      <c r="EV50" s="7">
        <v>999999999</v>
      </c>
      <c r="EW50" s="7">
        <v>999999999</v>
      </c>
      <c r="EX50" s="7">
        <v>999999999</v>
      </c>
      <c r="EY50" s="7">
        <v>999999999</v>
      </c>
      <c r="EZ50" s="7">
        <v>999999999</v>
      </c>
      <c r="FA50" s="7">
        <v>999999999</v>
      </c>
      <c r="FB50" s="7">
        <v>999999999</v>
      </c>
      <c r="FC50" s="7">
        <v>999999999</v>
      </c>
      <c r="FD50" s="7">
        <v>999999999</v>
      </c>
      <c r="FE50" s="7">
        <v>999999999</v>
      </c>
      <c r="FF50" s="7">
        <v>999999999</v>
      </c>
      <c r="FG50" s="7">
        <v>999999999</v>
      </c>
      <c r="FH50" s="7">
        <v>999999999</v>
      </c>
      <c r="FI50" s="7">
        <v>999999999</v>
      </c>
      <c r="FJ50" s="7">
        <v>999999999</v>
      </c>
      <c r="FK50" s="7">
        <v>999999999</v>
      </c>
      <c r="FL50" s="7">
        <v>999999999</v>
      </c>
      <c r="FM50" s="7">
        <v>999999999</v>
      </c>
      <c r="FN50" s="7">
        <v>999999999</v>
      </c>
      <c r="FO50" s="7">
        <v>999999999</v>
      </c>
      <c r="FP50" s="7">
        <v>999999999</v>
      </c>
      <c r="FQ50" s="7">
        <v>999999999</v>
      </c>
      <c r="FR50" s="7">
        <v>999999999</v>
      </c>
      <c r="FS50" s="7">
        <v>999999999</v>
      </c>
      <c r="FT50" s="7">
        <v>999999999</v>
      </c>
      <c r="FU50" s="7">
        <v>999999999</v>
      </c>
      <c r="FV50" s="7">
        <v>999999999</v>
      </c>
      <c r="FW50" s="7">
        <v>999999999</v>
      </c>
      <c r="FX50" s="7">
        <v>999999999</v>
      </c>
      <c r="FY50" s="7"/>
      <c r="FZ50" s="40">
        <f>SUM(C50:FX50)</f>
        <v>176020692727.83005</v>
      </c>
      <c r="GA50" s="7"/>
      <c r="GB50" s="40"/>
      <c r="GC50" s="40"/>
      <c r="GD50" s="40"/>
      <c r="GE50" s="7"/>
      <c r="GF50" s="7"/>
      <c r="GG50" s="7"/>
      <c r="GH50" s="7"/>
      <c r="GI50" s="7"/>
      <c r="GJ50" s="7"/>
      <c r="GK50" s="7"/>
    </row>
    <row r="51" spans="1:207" ht="15.5" x14ac:dyDescent="0.3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 t="s">
        <v>739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81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 t="s">
        <v>739</v>
      </c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</row>
    <row r="52" spans="1:207" ht="15.5" x14ac:dyDescent="0.35">
      <c r="A52" s="7"/>
      <c r="B52" s="5" t="s">
        <v>770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</row>
    <row r="53" spans="1:207" ht="15.5" x14ac:dyDescent="0.35">
      <c r="A53" s="12" t="s">
        <v>771</v>
      </c>
      <c r="B53" s="7" t="s">
        <v>772</v>
      </c>
      <c r="C53" s="48">
        <v>78280270.659999996</v>
      </c>
      <c r="D53" s="7">
        <v>441513334.77999997</v>
      </c>
      <c r="E53" s="7">
        <v>72811077.909999996</v>
      </c>
      <c r="F53" s="7">
        <v>263130617.96000001</v>
      </c>
      <c r="G53" s="7">
        <v>18268979.879999999</v>
      </c>
      <c r="H53" s="7">
        <v>13280033.189999999</v>
      </c>
      <c r="I53" s="7">
        <v>99149017.739999995</v>
      </c>
      <c r="J53" s="7">
        <v>24020317.789999999</v>
      </c>
      <c r="K53" s="7">
        <v>4376133.2699999996</v>
      </c>
      <c r="L53" s="7">
        <v>26180456.030000001</v>
      </c>
      <c r="M53" s="7">
        <v>13493657.890000001</v>
      </c>
      <c r="N53" s="7">
        <v>581402832.08000004</v>
      </c>
      <c r="O53" s="7">
        <v>143543356.31</v>
      </c>
      <c r="P53" s="7">
        <v>5486815.5099999998</v>
      </c>
      <c r="Q53" s="7">
        <v>468203554.43000001</v>
      </c>
      <c r="R53" s="7">
        <v>67965527.079999998</v>
      </c>
      <c r="S53" s="7">
        <v>18924881.170000002</v>
      </c>
      <c r="T53" s="7">
        <v>3280571.47</v>
      </c>
      <c r="U53" s="7">
        <v>1310359.06</v>
      </c>
      <c r="V53" s="7">
        <v>4233931.0599999996</v>
      </c>
      <c r="W53" s="7">
        <v>3688375.04</v>
      </c>
      <c r="X53" s="7">
        <v>1219109.24</v>
      </c>
      <c r="Y53" s="7">
        <v>11502733.689999999</v>
      </c>
      <c r="Z53" s="7">
        <v>3811891.54</v>
      </c>
      <c r="AA53" s="7">
        <v>344043292.07999998</v>
      </c>
      <c r="AB53" s="7">
        <v>307281236.79000002</v>
      </c>
      <c r="AC53" s="7">
        <v>11287823.91</v>
      </c>
      <c r="AD53" s="7">
        <v>15912790.710000001</v>
      </c>
      <c r="AE53" s="7">
        <v>2102521.44</v>
      </c>
      <c r="AF53" s="7">
        <v>3417701.57</v>
      </c>
      <c r="AG53" s="7">
        <v>7967358</v>
      </c>
      <c r="AH53" s="7">
        <v>11672985.890000001</v>
      </c>
      <c r="AI53" s="7">
        <v>5504284.8300000001</v>
      </c>
      <c r="AJ53" s="7">
        <v>3421162.94</v>
      </c>
      <c r="AK53" s="7">
        <v>3437264.26</v>
      </c>
      <c r="AL53" s="7">
        <v>4531542.67</v>
      </c>
      <c r="AM53" s="7">
        <v>5326794.29</v>
      </c>
      <c r="AN53" s="7">
        <v>4853828.37</v>
      </c>
      <c r="AO53" s="7">
        <v>49181610.969999999</v>
      </c>
      <c r="AP53" s="7">
        <v>984476347.71000004</v>
      </c>
      <c r="AQ53" s="7">
        <v>4254035.1900000004</v>
      </c>
      <c r="AR53" s="7">
        <v>688335848.28999996</v>
      </c>
      <c r="AS53" s="7">
        <v>78787121.939999998</v>
      </c>
      <c r="AT53" s="7">
        <v>29995630.32</v>
      </c>
      <c r="AU53" s="7">
        <v>4940563.0599999996</v>
      </c>
      <c r="AV53" s="7">
        <v>5000518.68</v>
      </c>
      <c r="AW53" s="7">
        <v>4415981.21</v>
      </c>
      <c r="AX53" s="7">
        <v>1697596.48</v>
      </c>
      <c r="AY53" s="7">
        <v>6058557.2300000004</v>
      </c>
      <c r="AZ53" s="7">
        <v>142156367.77000001</v>
      </c>
      <c r="BA53" s="7">
        <v>99155079.230000004</v>
      </c>
      <c r="BB53" s="7">
        <v>82432730.719999999</v>
      </c>
      <c r="BC53" s="7">
        <v>290262662.54000002</v>
      </c>
      <c r="BD53" s="7">
        <v>39221665.799999997</v>
      </c>
      <c r="BE53" s="7">
        <v>14653499.359999999</v>
      </c>
      <c r="BF53" s="7">
        <v>276304553.99000001</v>
      </c>
      <c r="BG53" s="7">
        <v>11571564.07</v>
      </c>
      <c r="BH53" s="7">
        <v>7661196.2699999996</v>
      </c>
      <c r="BI53" s="7">
        <v>4534185.93</v>
      </c>
      <c r="BJ53" s="7">
        <v>67995494.640000001</v>
      </c>
      <c r="BK53" s="7">
        <v>337189436.94</v>
      </c>
      <c r="BL53" s="7">
        <v>2201677.9700000002</v>
      </c>
      <c r="BM53" s="7">
        <v>5933143.3499999996</v>
      </c>
      <c r="BN53" s="7">
        <v>35417030.710000001</v>
      </c>
      <c r="BO53" s="7">
        <v>14738253.41</v>
      </c>
      <c r="BP53" s="7">
        <v>3427045.16</v>
      </c>
      <c r="BQ53" s="7">
        <v>72689800.590000004</v>
      </c>
      <c r="BR53" s="7">
        <v>49902027.479999997</v>
      </c>
      <c r="BS53" s="7">
        <v>14128786.939999999</v>
      </c>
      <c r="BT53" s="7">
        <v>5768967.6399999997</v>
      </c>
      <c r="BU53" s="7">
        <v>6049478.0800000001</v>
      </c>
      <c r="BV53" s="7">
        <v>14351929.449999999</v>
      </c>
      <c r="BW53" s="7">
        <v>22872366.5</v>
      </c>
      <c r="BX53" s="7">
        <v>1793810.78</v>
      </c>
      <c r="BY53" s="7">
        <v>5897243.5499999998</v>
      </c>
      <c r="BZ53" s="7">
        <v>3670222.23</v>
      </c>
      <c r="CA53" s="7">
        <v>3155462.16</v>
      </c>
      <c r="CB53" s="7">
        <v>825753541.15999997</v>
      </c>
      <c r="CC53" s="7">
        <v>3503040.55</v>
      </c>
      <c r="CD53" s="7">
        <v>3475014.13</v>
      </c>
      <c r="CE53" s="7">
        <v>3031667.9</v>
      </c>
      <c r="CF53" s="7">
        <v>2337551.13</v>
      </c>
      <c r="CG53" s="7">
        <v>3663065.84</v>
      </c>
      <c r="CH53" s="7">
        <v>2312645.7799999998</v>
      </c>
      <c r="CI53" s="7">
        <v>8594395.4700000007</v>
      </c>
      <c r="CJ53" s="7">
        <v>11370701.359999999</v>
      </c>
      <c r="CK53" s="7">
        <v>64493594.609999999</v>
      </c>
      <c r="CL53" s="7">
        <v>15439886.310000001</v>
      </c>
      <c r="CM53" s="7">
        <v>9715933.3699999992</v>
      </c>
      <c r="CN53" s="7">
        <v>351056724.08999997</v>
      </c>
      <c r="CO53" s="7">
        <v>156849964.21000001</v>
      </c>
      <c r="CP53" s="7">
        <v>12350467.810000001</v>
      </c>
      <c r="CQ53" s="7">
        <v>10314109.210000001</v>
      </c>
      <c r="CR53" s="7">
        <v>4056706.95</v>
      </c>
      <c r="CS53" s="7">
        <v>4594320.78</v>
      </c>
      <c r="CT53" s="7">
        <v>2341807.96</v>
      </c>
      <c r="CU53" s="7">
        <v>4687694.54</v>
      </c>
      <c r="CV53" s="7">
        <v>1148275.01</v>
      </c>
      <c r="CW53" s="7">
        <v>3787358.23</v>
      </c>
      <c r="CX53" s="7">
        <v>6036047.8799999999</v>
      </c>
      <c r="CY53" s="7">
        <v>1239684.8999999999</v>
      </c>
      <c r="CZ53" s="7">
        <v>21057356.120000001</v>
      </c>
      <c r="DA53" s="7">
        <v>3612368.75</v>
      </c>
      <c r="DB53" s="7">
        <v>4839800.6399999997</v>
      </c>
      <c r="DC53" s="7">
        <v>3462885.21</v>
      </c>
      <c r="DD53" s="7">
        <v>3271844.17</v>
      </c>
      <c r="DE53" s="7">
        <v>4618149.7699999996</v>
      </c>
      <c r="DF53" s="7">
        <v>227288961.69</v>
      </c>
      <c r="DG53" s="7">
        <v>2423573.89</v>
      </c>
      <c r="DH53" s="7">
        <v>20886839.41</v>
      </c>
      <c r="DI53" s="7">
        <v>27709961.460000001</v>
      </c>
      <c r="DJ53" s="7">
        <v>8149616.6600000001</v>
      </c>
      <c r="DK53" s="7">
        <v>6532518.4000000004</v>
      </c>
      <c r="DL53" s="7">
        <v>66129697.740000002</v>
      </c>
      <c r="DM53" s="7">
        <v>4324956.21</v>
      </c>
      <c r="DN53" s="7">
        <v>16054629.26</v>
      </c>
      <c r="DO53" s="7">
        <v>37791858.009999998</v>
      </c>
      <c r="DP53" s="7">
        <v>3823507.1</v>
      </c>
      <c r="DQ53" s="7">
        <v>10302616.720000001</v>
      </c>
      <c r="DR53" s="7">
        <v>16267957.550000001</v>
      </c>
      <c r="DS53" s="7">
        <v>8493099.7400000002</v>
      </c>
      <c r="DT53" s="7">
        <v>3605217.69</v>
      </c>
      <c r="DU53" s="7">
        <v>5250957.58</v>
      </c>
      <c r="DV53" s="7">
        <v>3878489.81</v>
      </c>
      <c r="DW53" s="7">
        <v>4751412.07</v>
      </c>
      <c r="DX53" s="7">
        <v>3671409.73</v>
      </c>
      <c r="DY53" s="7">
        <v>5085104.34</v>
      </c>
      <c r="DZ53" s="7">
        <v>9347377.2300000004</v>
      </c>
      <c r="EA53" s="7">
        <v>7100248.3300000001</v>
      </c>
      <c r="EB53" s="7">
        <v>7337063.96</v>
      </c>
      <c r="EC53" s="7">
        <v>4337598.04</v>
      </c>
      <c r="ED53" s="7">
        <v>23147062.68</v>
      </c>
      <c r="EE53" s="7">
        <v>3588701.8</v>
      </c>
      <c r="EF53" s="7">
        <v>16640420.609999999</v>
      </c>
      <c r="EG53" s="7">
        <v>4049993.17</v>
      </c>
      <c r="EH53" s="7">
        <v>4055923.04</v>
      </c>
      <c r="EI53" s="7">
        <v>164608124.28999999</v>
      </c>
      <c r="EJ53" s="7">
        <v>110814645.64</v>
      </c>
      <c r="EK53" s="7">
        <v>8358286.3700000001</v>
      </c>
      <c r="EL53" s="7">
        <v>5973275.9500000002</v>
      </c>
      <c r="EM53" s="7">
        <v>5539638.6200000001</v>
      </c>
      <c r="EN53" s="7">
        <v>11951057.869999999</v>
      </c>
      <c r="EO53" s="7">
        <v>4720810.3</v>
      </c>
      <c r="EP53" s="7">
        <v>6002523.3200000003</v>
      </c>
      <c r="EQ53" s="7">
        <v>30565460.550000001</v>
      </c>
      <c r="ER53" s="7">
        <v>5084806.1399999997</v>
      </c>
      <c r="ES53" s="7">
        <v>3508977.85</v>
      </c>
      <c r="ET53" s="7">
        <v>4095070.51</v>
      </c>
      <c r="EU53" s="7">
        <v>7749917.6200000001</v>
      </c>
      <c r="EV53" s="7">
        <v>1928227.33</v>
      </c>
      <c r="EW53" s="7">
        <v>13218618.970000001</v>
      </c>
      <c r="EX53" s="7">
        <v>3623072.51</v>
      </c>
      <c r="EY53" s="7">
        <v>8997897.1199999992</v>
      </c>
      <c r="EZ53" s="7">
        <v>2751725.07</v>
      </c>
      <c r="FA53" s="7">
        <v>42110223.619999997</v>
      </c>
      <c r="FB53" s="7">
        <v>4735112.4400000004</v>
      </c>
      <c r="FC53" s="7">
        <v>22078486.780000001</v>
      </c>
      <c r="FD53" s="7">
        <v>5671783.54</v>
      </c>
      <c r="FE53" s="7">
        <v>2003245.54</v>
      </c>
      <c r="FF53" s="7">
        <v>3739006.87</v>
      </c>
      <c r="FG53" s="7">
        <v>2791667.9</v>
      </c>
      <c r="FH53" s="7">
        <v>1687641.15</v>
      </c>
      <c r="FI53" s="7">
        <v>20073193.170000002</v>
      </c>
      <c r="FJ53" s="7">
        <v>22454241.260000002</v>
      </c>
      <c r="FK53" s="7">
        <v>29197638.190000001</v>
      </c>
      <c r="FL53" s="7">
        <v>89506028.040000007</v>
      </c>
      <c r="FM53" s="7">
        <v>42621303.259999998</v>
      </c>
      <c r="FN53" s="7">
        <v>254076077.58000001</v>
      </c>
      <c r="FO53" s="7">
        <v>12923250.27</v>
      </c>
      <c r="FP53" s="7">
        <v>26423778.789999999</v>
      </c>
      <c r="FQ53" s="7">
        <v>11931842.02</v>
      </c>
      <c r="FR53" s="7">
        <v>3384089.51</v>
      </c>
      <c r="FS53" s="7">
        <v>3457705.04</v>
      </c>
      <c r="FT53" s="7">
        <v>1530952.34</v>
      </c>
      <c r="FU53" s="7">
        <v>10796310.34</v>
      </c>
      <c r="FV53" s="7">
        <v>9901858.9100000001</v>
      </c>
      <c r="FW53" s="7">
        <v>3307351.27</v>
      </c>
      <c r="FX53" s="7">
        <v>1506941.06</v>
      </c>
      <c r="FY53" s="7"/>
      <c r="FZ53" s="7">
        <f>SUM(C53:FX53)</f>
        <v>9734563159.5500088</v>
      </c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</row>
    <row r="54" spans="1:207" ht="15.5" x14ac:dyDescent="0.35">
      <c r="A54" s="12" t="s">
        <v>773</v>
      </c>
      <c r="B54" s="7" t="s">
        <v>774</v>
      </c>
      <c r="C54" s="7">
        <v>11940.25</v>
      </c>
      <c r="D54" s="7">
        <v>11259.73</v>
      </c>
      <c r="E54" s="7">
        <v>12071.4</v>
      </c>
      <c r="F54" s="7">
        <v>11166.02</v>
      </c>
      <c r="G54" s="7">
        <v>11782.64</v>
      </c>
      <c r="H54" s="7">
        <v>11942.48</v>
      </c>
      <c r="I54" s="7">
        <v>11908.36</v>
      </c>
      <c r="J54" s="7">
        <v>11430.63</v>
      </c>
      <c r="K54" s="7">
        <v>16207.9</v>
      </c>
      <c r="L54" s="7">
        <v>11940.37</v>
      </c>
      <c r="M54" s="7">
        <v>13375.95</v>
      </c>
      <c r="N54" s="7">
        <v>11420.41</v>
      </c>
      <c r="O54" s="7">
        <v>10883.15</v>
      </c>
      <c r="P54" s="7">
        <v>15812.15</v>
      </c>
      <c r="Q54" s="7">
        <v>12351.93</v>
      </c>
      <c r="R54" s="7">
        <v>11188.66</v>
      </c>
      <c r="S54" s="7">
        <v>11781.66</v>
      </c>
      <c r="T54" s="7">
        <v>20150.93</v>
      </c>
      <c r="U54" s="7">
        <v>25345.439999999999</v>
      </c>
      <c r="V54" s="7">
        <v>16246.86</v>
      </c>
      <c r="W54" s="7">
        <v>17656.18</v>
      </c>
      <c r="X54" s="7">
        <v>24382.18</v>
      </c>
      <c r="Y54" s="7">
        <v>12124.73</v>
      </c>
      <c r="Z54" s="7">
        <v>16537.490000000002</v>
      </c>
      <c r="AA54" s="7">
        <v>11089.44</v>
      </c>
      <c r="AB54" s="7">
        <v>11212.19</v>
      </c>
      <c r="AC54" s="7">
        <v>12104.9</v>
      </c>
      <c r="AD54" s="7">
        <v>11272.88</v>
      </c>
      <c r="AE54" s="7">
        <v>22367.25</v>
      </c>
      <c r="AF54" s="7">
        <v>19870.36</v>
      </c>
      <c r="AG54" s="7">
        <v>13012.18</v>
      </c>
      <c r="AH54" s="7">
        <v>11944.12</v>
      </c>
      <c r="AI54" s="7">
        <v>13760.71</v>
      </c>
      <c r="AJ54" s="7">
        <v>20609.419999999998</v>
      </c>
      <c r="AK54" s="7">
        <v>20171.740000000002</v>
      </c>
      <c r="AL54" s="7">
        <v>16069.3</v>
      </c>
      <c r="AM54" s="7">
        <v>14327.04</v>
      </c>
      <c r="AN54" s="7">
        <v>15443.3</v>
      </c>
      <c r="AO54" s="7">
        <v>11297.29</v>
      </c>
      <c r="AP54" s="7">
        <v>11741.76</v>
      </c>
      <c r="AQ54" s="7">
        <v>17889.13</v>
      </c>
      <c r="AR54" s="7">
        <v>10926.27</v>
      </c>
      <c r="AS54" s="7">
        <v>11906.05</v>
      </c>
      <c r="AT54" s="7">
        <v>11313.13</v>
      </c>
      <c r="AU54" s="7">
        <v>16172.06</v>
      </c>
      <c r="AV54" s="7">
        <v>16261.85</v>
      </c>
      <c r="AW54" s="7">
        <v>17263.41</v>
      </c>
      <c r="AX54" s="7">
        <v>25604.77</v>
      </c>
      <c r="AY54" s="7">
        <v>14278.95</v>
      </c>
      <c r="AZ54" s="7">
        <v>11480.89</v>
      </c>
      <c r="BA54" s="7">
        <v>10810.27</v>
      </c>
      <c r="BB54" s="7">
        <v>10890.12</v>
      </c>
      <c r="BC54" s="7">
        <v>11237.73</v>
      </c>
      <c r="BD54" s="7">
        <v>10790</v>
      </c>
      <c r="BE54" s="7">
        <v>11637.15</v>
      </c>
      <c r="BF54" s="7">
        <v>10765.94</v>
      </c>
      <c r="BG54" s="7">
        <v>12861.58</v>
      </c>
      <c r="BH54" s="7">
        <v>12978.48</v>
      </c>
      <c r="BI54" s="7">
        <v>17635.88</v>
      </c>
      <c r="BJ54" s="7">
        <v>10787.29</v>
      </c>
      <c r="BK54" s="7">
        <v>10886.24</v>
      </c>
      <c r="BL54" s="7">
        <v>23199.98</v>
      </c>
      <c r="BM54" s="7">
        <v>14126.53</v>
      </c>
      <c r="BN54" s="7">
        <v>11064.36</v>
      </c>
      <c r="BO54" s="7">
        <v>11449.86</v>
      </c>
      <c r="BP54" s="7">
        <v>20206.63</v>
      </c>
      <c r="BQ54" s="7">
        <v>12174.62</v>
      </c>
      <c r="BR54" s="7">
        <v>11090.33</v>
      </c>
      <c r="BS54" s="7">
        <v>12659.07</v>
      </c>
      <c r="BT54" s="7">
        <v>14922.32</v>
      </c>
      <c r="BU54" s="7">
        <v>14507.14</v>
      </c>
      <c r="BV54" s="7">
        <v>11643.62</v>
      </c>
      <c r="BW54" s="7">
        <v>11476.93</v>
      </c>
      <c r="BX54" s="7">
        <v>25922.12</v>
      </c>
      <c r="BY54" s="7">
        <v>12839.63</v>
      </c>
      <c r="BZ54" s="7">
        <v>18017.78</v>
      </c>
      <c r="CA54" s="7">
        <v>20952.599999999999</v>
      </c>
      <c r="CB54" s="7">
        <v>11026.6</v>
      </c>
      <c r="CC54" s="7">
        <v>18633.189999999999</v>
      </c>
      <c r="CD54" s="7">
        <v>16445.88</v>
      </c>
      <c r="CE54" s="7">
        <v>19971.46</v>
      </c>
      <c r="CF54" s="7">
        <v>20344.22</v>
      </c>
      <c r="CG54" s="7">
        <v>18178.990000000002</v>
      </c>
      <c r="CH54" s="7">
        <v>23080.3</v>
      </c>
      <c r="CI54" s="7">
        <v>12321.71</v>
      </c>
      <c r="CJ54" s="7">
        <v>12745.99</v>
      </c>
      <c r="CK54" s="7">
        <v>11360.71</v>
      </c>
      <c r="CL54" s="7">
        <v>12050.17</v>
      </c>
      <c r="CM54" s="7">
        <v>13260.45</v>
      </c>
      <c r="CN54" s="7">
        <v>10774.79</v>
      </c>
      <c r="CO54" s="7">
        <v>10787.78</v>
      </c>
      <c r="CP54" s="7">
        <v>12710.17</v>
      </c>
      <c r="CQ54" s="7">
        <v>13367.17</v>
      </c>
      <c r="CR54" s="7">
        <v>17395.830000000002</v>
      </c>
      <c r="CS54" s="7">
        <v>15233.16</v>
      </c>
      <c r="CT54" s="7">
        <v>22560.77</v>
      </c>
      <c r="CU54" s="7">
        <v>11534.68</v>
      </c>
      <c r="CV54" s="7">
        <v>22965.5</v>
      </c>
      <c r="CW54" s="7">
        <v>18385.23</v>
      </c>
      <c r="CX54" s="7">
        <v>13050.91</v>
      </c>
      <c r="CY54" s="7">
        <v>24793.7</v>
      </c>
      <c r="CZ54" s="7">
        <v>11423.73</v>
      </c>
      <c r="DA54" s="7">
        <v>18107.11</v>
      </c>
      <c r="DB54" s="7">
        <v>15100.78</v>
      </c>
      <c r="DC54" s="7">
        <v>18922.87</v>
      </c>
      <c r="DD54" s="7">
        <v>20973.360000000001</v>
      </c>
      <c r="DE54" s="7">
        <v>15502.35</v>
      </c>
      <c r="DF54" s="7">
        <v>10789.58</v>
      </c>
      <c r="DG54" s="7">
        <v>23303.599999999999</v>
      </c>
      <c r="DH54" s="7">
        <v>11225.86</v>
      </c>
      <c r="DI54" s="7">
        <v>11142.82</v>
      </c>
      <c r="DJ54" s="7">
        <v>12743.73</v>
      </c>
      <c r="DK54" s="7">
        <v>13065.04</v>
      </c>
      <c r="DL54" s="7">
        <v>11548.21</v>
      </c>
      <c r="DM54" s="7">
        <v>18593.96</v>
      </c>
      <c r="DN54" s="7">
        <v>12162.6</v>
      </c>
      <c r="DO54" s="7">
        <v>11635.42</v>
      </c>
      <c r="DP54" s="7">
        <v>19281.43</v>
      </c>
      <c r="DQ54" s="7">
        <v>12353.26</v>
      </c>
      <c r="DR54" s="7">
        <v>12107.74</v>
      </c>
      <c r="DS54" s="7">
        <v>13291.24</v>
      </c>
      <c r="DT54" s="7">
        <v>20601.240000000002</v>
      </c>
      <c r="DU54" s="7">
        <v>14545.59</v>
      </c>
      <c r="DV54" s="7">
        <v>18123.78</v>
      </c>
      <c r="DW54" s="7">
        <v>15441.7</v>
      </c>
      <c r="DX54" s="7">
        <v>22359.38</v>
      </c>
      <c r="DY54" s="7">
        <v>16656.09</v>
      </c>
      <c r="DZ54" s="7">
        <v>13047.71</v>
      </c>
      <c r="EA54" s="7">
        <v>13363.92</v>
      </c>
      <c r="EB54" s="7">
        <v>12892.4</v>
      </c>
      <c r="EC54" s="7">
        <v>14599.79</v>
      </c>
      <c r="ED54" s="7">
        <v>14815.07</v>
      </c>
      <c r="EE54" s="7">
        <v>18868.04</v>
      </c>
      <c r="EF54" s="7">
        <v>11846.25</v>
      </c>
      <c r="EG54" s="7">
        <v>16206.46</v>
      </c>
      <c r="EH54" s="7">
        <v>16354.53</v>
      </c>
      <c r="EI54" s="7">
        <v>11609.37</v>
      </c>
      <c r="EJ54" s="7">
        <v>10777.54</v>
      </c>
      <c r="EK54" s="7">
        <v>12241.19</v>
      </c>
      <c r="EL54" s="7">
        <v>12588.57</v>
      </c>
      <c r="EM54" s="7">
        <v>14392.41</v>
      </c>
      <c r="EN54" s="7">
        <v>12197.45</v>
      </c>
      <c r="EO54" s="7">
        <v>15024.86</v>
      </c>
      <c r="EP54" s="7">
        <v>14301.94</v>
      </c>
      <c r="EQ54" s="7">
        <v>11495.53</v>
      </c>
      <c r="ER54" s="7">
        <v>16091.16</v>
      </c>
      <c r="ES54" s="7">
        <v>19343.87</v>
      </c>
      <c r="ET54" s="7">
        <v>21417.73</v>
      </c>
      <c r="EU54" s="7">
        <v>13487.5</v>
      </c>
      <c r="EV54" s="7">
        <v>24469.89</v>
      </c>
      <c r="EW54" s="7">
        <v>15755.21</v>
      </c>
      <c r="EX54" s="7">
        <v>21400.31</v>
      </c>
      <c r="EY54" s="7">
        <v>11550.57</v>
      </c>
      <c r="EZ54" s="7">
        <v>21414.2</v>
      </c>
      <c r="FA54" s="7">
        <v>12187.85</v>
      </c>
      <c r="FB54" s="7">
        <v>16024.07</v>
      </c>
      <c r="FC54" s="7">
        <v>11240.45</v>
      </c>
      <c r="FD54" s="7">
        <v>13994.04</v>
      </c>
      <c r="FE54" s="7">
        <v>24019.73</v>
      </c>
      <c r="FF54" s="7">
        <v>19135.14</v>
      </c>
      <c r="FG54" s="7">
        <v>22016.31</v>
      </c>
      <c r="FH54" s="7">
        <v>24212.93</v>
      </c>
      <c r="FI54" s="7">
        <v>11542.29</v>
      </c>
      <c r="FJ54" s="7">
        <v>11044.88</v>
      </c>
      <c r="FK54" s="7">
        <v>11345.5</v>
      </c>
      <c r="FL54" s="7">
        <v>10791.66</v>
      </c>
      <c r="FM54" s="7">
        <v>10967.91</v>
      </c>
      <c r="FN54" s="7">
        <v>11452.66</v>
      </c>
      <c r="FO54" s="7">
        <v>11865.99</v>
      </c>
      <c r="FP54" s="7">
        <v>11589.38</v>
      </c>
      <c r="FQ54" s="7">
        <v>12090.22</v>
      </c>
      <c r="FR54" s="7">
        <v>19976.919999999998</v>
      </c>
      <c r="FS54" s="7">
        <v>19220.150000000001</v>
      </c>
      <c r="FT54" s="7">
        <v>25948.34</v>
      </c>
      <c r="FU54" s="7">
        <v>13268.17</v>
      </c>
      <c r="FV54" s="7">
        <v>12629.92</v>
      </c>
      <c r="FW54" s="7">
        <v>20774.82</v>
      </c>
      <c r="FX54" s="7">
        <v>26345.119999999999</v>
      </c>
      <c r="FY54" s="7"/>
      <c r="FZ54" s="7" t="e">
        <f ca="1">FZ53/FZ23</f>
        <v>#NAME?</v>
      </c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</row>
    <row r="55" spans="1:207" ht="15.5" x14ac:dyDescent="0.35">
      <c r="A55" s="7"/>
      <c r="B55" s="7"/>
      <c r="C55" s="7" t="s">
        <v>739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</row>
    <row r="56" spans="1:207" ht="15.5" x14ac:dyDescent="0.35">
      <c r="A56" s="7"/>
      <c r="B56" s="5" t="s">
        <v>775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</row>
    <row r="57" spans="1:207" ht="15.5" x14ac:dyDescent="0.35">
      <c r="A57" s="12" t="s">
        <v>776</v>
      </c>
      <c r="B57" s="7" t="s">
        <v>524</v>
      </c>
      <c r="C57" s="7">
        <v>697497.30999999994</v>
      </c>
      <c r="D57" s="7">
        <v>2168719.42</v>
      </c>
      <c r="E57" s="7">
        <v>565272.54</v>
      </c>
      <c r="F57" s="7">
        <v>1751045.75</v>
      </c>
      <c r="G57" s="7">
        <v>147399.19</v>
      </c>
      <c r="H57" s="7">
        <v>96189.78</v>
      </c>
      <c r="I57" s="7">
        <v>605952.93999999994</v>
      </c>
      <c r="J57" s="7">
        <v>126923.52</v>
      </c>
      <c r="K57" s="7">
        <v>34722.910000000003</v>
      </c>
      <c r="L57" s="7">
        <v>168959.35</v>
      </c>
      <c r="M57" s="7">
        <v>169958.68</v>
      </c>
      <c r="N57" s="7">
        <v>5939396.0299999993</v>
      </c>
      <c r="O57" s="7">
        <v>1456566.06</v>
      </c>
      <c r="P57" s="7">
        <v>34379.660000000003</v>
      </c>
      <c r="Q57" s="7">
        <v>3108548.51</v>
      </c>
      <c r="R57" s="7">
        <v>85497.98</v>
      </c>
      <c r="S57" s="7">
        <v>205002.87</v>
      </c>
      <c r="T57" s="7">
        <v>31691.32</v>
      </c>
      <c r="U57" s="7">
        <v>16409.02</v>
      </c>
      <c r="V57" s="7">
        <v>26609.120000000003</v>
      </c>
      <c r="W57" s="7">
        <v>9732</v>
      </c>
      <c r="X57" s="7">
        <v>12037.17</v>
      </c>
      <c r="Y57" s="7">
        <v>43210.43</v>
      </c>
      <c r="Z57" s="7">
        <v>26042.13</v>
      </c>
      <c r="AA57" s="7">
        <v>2508462.8899999997</v>
      </c>
      <c r="AB57" s="7">
        <v>3541654.82</v>
      </c>
      <c r="AC57" s="7">
        <v>77715.14</v>
      </c>
      <c r="AD57" s="7">
        <v>70144.040000000008</v>
      </c>
      <c r="AE57" s="7">
        <v>39114.17</v>
      </c>
      <c r="AF57" s="7">
        <v>24419.410000000003</v>
      </c>
      <c r="AG57" s="7">
        <v>166389.91999999998</v>
      </c>
      <c r="AH57" s="7">
        <v>66604.070000000007</v>
      </c>
      <c r="AI57" s="7">
        <v>25268.53</v>
      </c>
      <c r="AJ57" s="7">
        <v>17680.77</v>
      </c>
      <c r="AK57" s="7">
        <v>44683.990000000005</v>
      </c>
      <c r="AL57" s="7">
        <v>49065.229999999996</v>
      </c>
      <c r="AM57" s="7">
        <v>42619.1</v>
      </c>
      <c r="AN57" s="7">
        <v>38548.79</v>
      </c>
      <c r="AO57" s="7">
        <v>354800.28</v>
      </c>
      <c r="AP57" s="7">
        <v>6739062.6300000008</v>
      </c>
      <c r="AQ57" s="7">
        <v>62272.66</v>
      </c>
      <c r="AR57" s="7">
        <v>5063728.4800000004</v>
      </c>
      <c r="AS57" s="7">
        <v>496146.54000000004</v>
      </c>
      <c r="AT57" s="7">
        <v>301541.02</v>
      </c>
      <c r="AU57" s="7">
        <v>70802.41</v>
      </c>
      <c r="AV57" s="7">
        <v>73343.3</v>
      </c>
      <c r="AW57" s="7">
        <v>23649.53</v>
      </c>
      <c r="AX57" s="7">
        <v>30420.870000000003</v>
      </c>
      <c r="AY57" s="7">
        <v>105403.42</v>
      </c>
      <c r="AZ57" s="7">
        <v>669767.04</v>
      </c>
      <c r="BA57" s="7">
        <v>933882.48</v>
      </c>
      <c r="BB57" s="7">
        <v>996083.8899999999</v>
      </c>
      <c r="BC57" s="7">
        <v>1166550.45</v>
      </c>
      <c r="BD57" s="7">
        <v>56130.22</v>
      </c>
      <c r="BE57" s="7">
        <v>135192.22999999998</v>
      </c>
      <c r="BF57" s="7">
        <v>1780023.46</v>
      </c>
      <c r="BG57" s="7">
        <v>150035.60999999999</v>
      </c>
      <c r="BH57" s="7">
        <v>86478.69</v>
      </c>
      <c r="BI57" s="7">
        <v>93478.17</v>
      </c>
      <c r="BJ57" s="7">
        <v>547957.69999999995</v>
      </c>
      <c r="BK57" s="7">
        <v>1125315.8400000001</v>
      </c>
      <c r="BL57" s="7">
        <v>41152.239999999998</v>
      </c>
      <c r="BM57" s="7">
        <v>91707.45</v>
      </c>
      <c r="BN57" s="7">
        <v>150912.20000000001</v>
      </c>
      <c r="BO57" s="7">
        <v>152299.70000000001</v>
      </c>
      <c r="BP57" s="7">
        <v>39724.230000000003</v>
      </c>
      <c r="BQ57" s="7">
        <v>379468.6</v>
      </c>
      <c r="BR57" s="7">
        <v>321414.49</v>
      </c>
      <c r="BS57" s="7">
        <v>84118.69</v>
      </c>
      <c r="BT57" s="7">
        <v>69224.239999999991</v>
      </c>
      <c r="BU57" s="7">
        <v>33392.559999999998</v>
      </c>
      <c r="BV57" s="7">
        <v>165315.57</v>
      </c>
      <c r="BW57" s="7">
        <v>98504.77</v>
      </c>
      <c r="BX57" s="7">
        <v>2114.5299999999997</v>
      </c>
      <c r="BY57" s="7">
        <v>66277.2</v>
      </c>
      <c r="BZ57" s="7">
        <v>3920.46</v>
      </c>
      <c r="CA57" s="7">
        <v>0</v>
      </c>
      <c r="CB57" s="7">
        <v>5201829.55</v>
      </c>
      <c r="CC57" s="7">
        <v>33312.85</v>
      </c>
      <c r="CD57" s="7">
        <v>0</v>
      </c>
      <c r="CE57" s="7">
        <v>37054.160000000003</v>
      </c>
      <c r="CF57" s="7">
        <v>42215.08</v>
      </c>
      <c r="CG57" s="7">
        <v>18726.89</v>
      </c>
      <c r="CH57" s="7">
        <v>11271.21</v>
      </c>
      <c r="CI57" s="7">
        <v>40108.33</v>
      </c>
      <c r="CJ57" s="7">
        <v>70601.039999999994</v>
      </c>
      <c r="CK57" s="7">
        <v>425422.56</v>
      </c>
      <c r="CL57" s="7">
        <v>111147.12</v>
      </c>
      <c r="CM57" s="7">
        <v>106768.75</v>
      </c>
      <c r="CN57" s="7">
        <v>2415573.65</v>
      </c>
      <c r="CO57" s="7">
        <v>1256723.27</v>
      </c>
      <c r="CP57" s="7">
        <v>90748.47</v>
      </c>
      <c r="CQ57" s="7">
        <v>65131.15</v>
      </c>
      <c r="CR57" s="7">
        <v>42604.41</v>
      </c>
      <c r="CS57" s="7">
        <v>40695.129999999997</v>
      </c>
      <c r="CT57" s="7">
        <v>16848.120000000003</v>
      </c>
      <c r="CU57" s="7">
        <v>16150.37</v>
      </c>
      <c r="CV57" s="7">
        <v>23282.04</v>
      </c>
      <c r="CW57" s="7">
        <v>38479.520000000004</v>
      </c>
      <c r="CX57" s="7">
        <v>69032.320000000007</v>
      </c>
      <c r="CY57" s="7">
        <v>16164.100000000002</v>
      </c>
      <c r="CZ57" s="7">
        <v>91783.03</v>
      </c>
      <c r="DA57" s="7">
        <v>27800.370000000003</v>
      </c>
      <c r="DB57" s="7">
        <v>39947.79</v>
      </c>
      <c r="DC57" s="7">
        <v>46604.61</v>
      </c>
      <c r="DD57" s="7">
        <v>7838.59</v>
      </c>
      <c r="DE57" s="7">
        <v>27083.3</v>
      </c>
      <c r="DF57" s="7">
        <v>1640144.51</v>
      </c>
      <c r="DG57" s="7">
        <v>11407.47</v>
      </c>
      <c r="DH57" s="7">
        <v>134322.12</v>
      </c>
      <c r="DI57" s="7">
        <v>237514.09</v>
      </c>
      <c r="DJ57" s="7">
        <v>64937.760000000002</v>
      </c>
      <c r="DK57" s="7">
        <v>23600.9</v>
      </c>
      <c r="DL57" s="7">
        <v>354790.94</v>
      </c>
      <c r="DM57" s="7">
        <v>46435.4</v>
      </c>
      <c r="DN57" s="7">
        <v>116072.59</v>
      </c>
      <c r="DO57" s="7">
        <v>174489.86</v>
      </c>
      <c r="DP57" s="7">
        <v>40481.380000000005</v>
      </c>
      <c r="DQ57" s="7">
        <v>0</v>
      </c>
      <c r="DR57" s="7">
        <v>43298.490000000005</v>
      </c>
      <c r="DS57" s="7">
        <v>33595.360000000001</v>
      </c>
      <c r="DT57" s="7">
        <v>12921.04</v>
      </c>
      <c r="DU57" s="7">
        <v>23276.34</v>
      </c>
      <c r="DV57" s="7">
        <v>15827.57</v>
      </c>
      <c r="DW57" s="7">
        <v>10215.44</v>
      </c>
      <c r="DX57" s="7">
        <v>7390.14</v>
      </c>
      <c r="DY57" s="7">
        <v>48221.45</v>
      </c>
      <c r="DZ57" s="7">
        <v>207927.90999999997</v>
      </c>
      <c r="EA57" s="7">
        <v>51290.509999999995</v>
      </c>
      <c r="EB57" s="7">
        <v>51171.21</v>
      </c>
      <c r="EC57" s="7">
        <v>36378.83</v>
      </c>
      <c r="ED57" s="7">
        <v>235930.71000000002</v>
      </c>
      <c r="EE57" s="7">
        <v>15254.9</v>
      </c>
      <c r="EF57" s="7">
        <v>44880.91</v>
      </c>
      <c r="EG57" s="7">
        <v>0</v>
      </c>
      <c r="EH57" s="7">
        <v>15553.09</v>
      </c>
      <c r="EI57" s="7">
        <v>551440.48</v>
      </c>
      <c r="EJ57" s="7">
        <v>769632.75</v>
      </c>
      <c r="EK57" s="7">
        <v>54562.509999999995</v>
      </c>
      <c r="EL57" s="7">
        <v>53503.22</v>
      </c>
      <c r="EM57" s="7">
        <v>32640.719999999998</v>
      </c>
      <c r="EN57" s="7">
        <v>43058.49</v>
      </c>
      <c r="EO57" s="7">
        <v>22223.699999999997</v>
      </c>
      <c r="EP57" s="7">
        <v>37492.730000000003</v>
      </c>
      <c r="EQ57" s="7">
        <v>192154.94</v>
      </c>
      <c r="ER57" s="7">
        <v>40048.68</v>
      </c>
      <c r="ES57" s="7">
        <v>29171.47</v>
      </c>
      <c r="ET57" s="7">
        <v>37351.58</v>
      </c>
      <c r="EU57" s="7">
        <v>37184.619999999995</v>
      </c>
      <c r="EV57" s="7">
        <v>0</v>
      </c>
      <c r="EW57" s="7">
        <v>27828.920000000002</v>
      </c>
      <c r="EX57" s="7">
        <v>18691.82</v>
      </c>
      <c r="EY57" s="7">
        <v>11348.86</v>
      </c>
      <c r="EZ57" s="7">
        <v>14494.98</v>
      </c>
      <c r="FA57" s="7">
        <v>272683.63</v>
      </c>
      <c r="FB57" s="7">
        <v>89633.77</v>
      </c>
      <c r="FC57" s="7">
        <v>238137.23</v>
      </c>
      <c r="FD57" s="7">
        <v>60159.840000000004</v>
      </c>
      <c r="FE57" s="7">
        <v>39159</v>
      </c>
      <c r="FF57" s="7">
        <v>36444.94</v>
      </c>
      <c r="FG57" s="7">
        <v>23340.29</v>
      </c>
      <c r="FH57" s="7">
        <v>47738.979999999996</v>
      </c>
      <c r="FI57" s="7">
        <v>137919.6</v>
      </c>
      <c r="FJ57" s="7">
        <v>138772.41999999998</v>
      </c>
      <c r="FK57" s="7">
        <v>237051.26</v>
      </c>
      <c r="FL57" s="7">
        <v>555910.47</v>
      </c>
      <c r="FM57" s="7">
        <v>259631.81</v>
      </c>
      <c r="FN57" s="7">
        <v>1223607.6400000001</v>
      </c>
      <c r="FO57" s="7">
        <v>0</v>
      </c>
      <c r="FP57" s="7">
        <v>223380.72999999998</v>
      </c>
      <c r="FQ57" s="7">
        <v>159404.06</v>
      </c>
      <c r="FR57" s="7">
        <v>0</v>
      </c>
      <c r="FS57" s="7">
        <v>35109.230000000003</v>
      </c>
      <c r="FT57" s="7">
        <v>32418.11</v>
      </c>
      <c r="FU57" s="7">
        <v>63173.090000000004</v>
      </c>
      <c r="FV57" s="7">
        <v>100180.31</v>
      </c>
      <c r="FW57" s="7">
        <v>47784.91</v>
      </c>
      <c r="FX57" s="7">
        <v>19641.560000000001</v>
      </c>
      <c r="FY57" s="7"/>
      <c r="FZ57" s="7">
        <f t="shared" ref="FZ57:FZ63" si="13">SUM(C57:FX57)</f>
        <v>67144140.459999993</v>
      </c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</row>
    <row r="58" spans="1:207" ht="15.5" x14ac:dyDescent="0.35">
      <c r="A58" s="12" t="s">
        <v>777</v>
      </c>
      <c r="B58" s="7" t="s">
        <v>526</v>
      </c>
      <c r="C58" s="53">
        <v>0</v>
      </c>
      <c r="D58" s="53">
        <v>2209860</v>
      </c>
      <c r="E58" s="53">
        <v>93166</v>
      </c>
      <c r="F58" s="53">
        <v>884043</v>
      </c>
      <c r="G58" s="53">
        <v>48632</v>
      </c>
      <c r="H58" s="53">
        <v>0</v>
      </c>
      <c r="I58" s="53">
        <v>297415</v>
      </c>
      <c r="J58" s="53">
        <v>98643</v>
      </c>
      <c r="K58" s="53">
        <v>64384</v>
      </c>
      <c r="L58" s="53">
        <v>219486</v>
      </c>
      <c r="M58" s="53">
        <v>0</v>
      </c>
      <c r="N58" s="53">
        <v>1975268</v>
      </c>
      <c r="O58" s="53">
        <v>555149</v>
      </c>
      <c r="P58" s="53">
        <v>41346</v>
      </c>
      <c r="Q58" s="53">
        <v>850098</v>
      </c>
      <c r="R58" s="53">
        <v>34250</v>
      </c>
      <c r="S58" s="53">
        <v>55379</v>
      </c>
      <c r="T58" s="53">
        <v>0</v>
      </c>
      <c r="U58" s="53">
        <v>1641</v>
      </c>
      <c r="V58" s="53">
        <v>10619</v>
      </c>
      <c r="W58" s="53">
        <v>0</v>
      </c>
      <c r="X58" s="53">
        <v>0</v>
      </c>
      <c r="Y58" s="53">
        <v>0</v>
      </c>
      <c r="Z58" s="53">
        <v>34140</v>
      </c>
      <c r="AA58" s="53">
        <v>1269611</v>
      </c>
      <c r="AB58" s="53">
        <v>1620720</v>
      </c>
      <c r="AC58" s="53">
        <v>0</v>
      </c>
      <c r="AD58" s="53">
        <v>0</v>
      </c>
      <c r="AE58" s="53">
        <v>10745</v>
      </c>
      <c r="AF58" s="53">
        <v>28859</v>
      </c>
      <c r="AG58" s="53">
        <v>0</v>
      </c>
      <c r="AH58" s="53">
        <v>170214</v>
      </c>
      <c r="AI58" s="53">
        <v>29386</v>
      </c>
      <c r="AJ58" s="53">
        <v>0</v>
      </c>
      <c r="AK58" s="53">
        <v>0</v>
      </c>
      <c r="AL58" s="53">
        <v>0</v>
      </c>
      <c r="AM58" s="53">
        <v>44176</v>
      </c>
      <c r="AN58" s="53">
        <v>0</v>
      </c>
      <c r="AO58" s="53">
        <v>296289</v>
      </c>
      <c r="AP58" s="53">
        <v>2307259</v>
      </c>
      <c r="AQ58" s="53">
        <v>19913</v>
      </c>
      <c r="AR58" s="53">
        <v>742087</v>
      </c>
      <c r="AS58" s="53">
        <v>97293</v>
      </c>
      <c r="AT58" s="53">
        <v>0</v>
      </c>
      <c r="AU58" s="53">
        <v>0</v>
      </c>
      <c r="AV58" s="53">
        <v>42097</v>
      </c>
      <c r="AW58" s="53">
        <v>16103</v>
      </c>
      <c r="AX58" s="53">
        <v>0</v>
      </c>
      <c r="AY58" s="53">
        <v>74442</v>
      </c>
      <c r="AZ58" s="53">
        <v>64029</v>
      </c>
      <c r="BA58" s="53">
        <v>641670</v>
      </c>
      <c r="BB58" s="53">
        <v>180338</v>
      </c>
      <c r="BC58" s="53">
        <v>707879</v>
      </c>
      <c r="BD58" s="53">
        <v>157668</v>
      </c>
      <c r="BE58" s="53">
        <v>203922</v>
      </c>
      <c r="BF58" s="53">
        <v>302104</v>
      </c>
      <c r="BG58" s="53">
        <v>58630</v>
      </c>
      <c r="BH58" s="53">
        <v>78110</v>
      </c>
      <c r="BI58" s="53">
        <v>0</v>
      </c>
      <c r="BJ58" s="53">
        <v>75786</v>
      </c>
      <c r="BK58" s="53">
        <v>461466</v>
      </c>
      <c r="BL58" s="53">
        <v>0</v>
      </c>
      <c r="BM58" s="53">
        <v>85084</v>
      </c>
      <c r="BN58" s="53">
        <v>73862</v>
      </c>
      <c r="BO58" s="53">
        <v>103005</v>
      </c>
      <c r="BP58" s="53">
        <v>0</v>
      </c>
      <c r="BQ58" s="53">
        <v>0</v>
      </c>
      <c r="BR58" s="53">
        <v>59232</v>
      </c>
      <c r="BS58" s="53">
        <v>0</v>
      </c>
      <c r="BT58" s="53">
        <v>0</v>
      </c>
      <c r="BU58" s="53">
        <v>45439</v>
      </c>
      <c r="BV58" s="53">
        <v>28180</v>
      </c>
      <c r="BW58" s="53">
        <v>47347</v>
      </c>
      <c r="BX58" s="53">
        <v>0</v>
      </c>
      <c r="BY58" s="53">
        <v>0</v>
      </c>
      <c r="BZ58" s="53">
        <v>34306</v>
      </c>
      <c r="CA58" s="53">
        <v>0</v>
      </c>
      <c r="CB58" s="53">
        <v>3282293</v>
      </c>
      <c r="CC58" s="53">
        <v>25288</v>
      </c>
      <c r="CD58" s="53">
        <v>0</v>
      </c>
      <c r="CE58" s="53">
        <v>6907</v>
      </c>
      <c r="CF58" s="53">
        <v>0</v>
      </c>
      <c r="CG58" s="53">
        <v>15425</v>
      </c>
      <c r="CH58" s="53">
        <v>28480</v>
      </c>
      <c r="CI58" s="53">
        <v>0</v>
      </c>
      <c r="CJ58" s="53">
        <v>46786</v>
      </c>
      <c r="CK58" s="53">
        <v>172382</v>
      </c>
      <c r="CL58" s="53">
        <v>147877</v>
      </c>
      <c r="CM58" s="53">
        <v>73405</v>
      </c>
      <c r="CN58" s="53">
        <v>3343175</v>
      </c>
      <c r="CO58" s="53">
        <v>344230</v>
      </c>
      <c r="CP58" s="53">
        <v>0</v>
      </c>
      <c r="CQ58" s="53">
        <v>50408</v>
      </c>
      <c r="CR58" s="53">
        <v>34815</v>
      </c>
      <c r="CS58" s="53">
        <v>37305</v>
      </c>
      <c r="CT58" s="53">
        <v>13035</v>
      </c>
      <c r="CU58" s="53">
        <v>10243</v>
      </c>
      <c r="CV58" s="53">
        <v>18971</v>
      </c>
      <c r="CW58" s="53">
        <v>60178</v>
      </c>
      <c r="CX58" s="53">
        <v>0</v>
      </c>
      <c r="CY58" s="53">
        <v>0</v>
      </c>
      <c r="CZ58" s="53">
        <v>78560</v>
      </c>
      <c r="DA58" s="53">
        <v>13836</v>
      </c>
      <c r="DB58" s="53">
        <v>36688</v>
      </c>
      <c r="DC58" s="53">
        <v>61080</v>
      </c>
      <c r="DD58" s="53">
        <v>0</v>
      </c>
      <c r="DE58" s="53">
        <v>28121</v>
      </c>
      <c r="DF58" s="53">
        <v>1846453</v>
      </c>
      <c r="DG58" s="53">
        <v>0</v>
      </c>
      <c r="DH58" s="53">
        <v>0</v>
      </c>
      <c r="DI58" s="53">
        <v>53127</v>
      </c>
      <c r="DJ58" s="53">
        <v>15299</v>
      </c>
      <c r="DK58" s="53">
        <v>33929</v>
      </c>
      <c r="DL58" s="53">
        <v>61994</v>
      </c>
      <c r="DM58" s="53">
        <v>24858</v>
      </c>
      <c r="DN58" s="53">
        <v>64362</v>
      </c>
      <c r="DO58" s="53">
        <v>40948</v>
      </c>
      <c r="DP58" s="53">
        <v>12491</v>
      </c>
      <c r="DQ58" s="53">
        <v>28815</v>
      </c>
      <c r="DR58" s="53">
        <v>37556</v>
      </c>
      <c r="DS58" s="53">
        <v>0</v>
      </c>
      <c r="DT58" s="53">
        <v>532</v>
      </c>
      <c r="DU58" s="53">
        <v>29769</v>
      </c>
      <c r="DV58" s="53">
        <v>27383</v>
      </c>
      <c r="DW58" s="53">
        <v>39527</v>
      </c>
      <c r="DX58" s="53">
        <v>15498</v>
      </c>
      <c r="DY58" s="53">
        <v>0</v>
      </c>
      <c r="DZ58" s="53">
        <v>37573</v>
      </c>
      <c r="EA58" s="53">
        <v>6370</v>
      </c>
      <c r="EB58" s="53">
        <v>30728</v>
      </c>
      <c r="EC58" s="53">
        <v>13315</v>
      </c>
      <c r="ED58" s="53">
        <v>98440</v>
      </c>
      <c r="EE58" s="53">
        <v>0</v>
      </c>
      <c r="EF58" s="53">
        <v>19796</v>
      </c>
      <c r="EG58" s="53">
        <v>18160</v>
      </c>
      <c r="EH58" s="53">
        <v>17505</v>
      </c>
      <c r="EI58" s="53">
        <v>192383</v>
      </c>
      <c r="EJ58" s="53">
        <v>325808</v>
      </c>
      <c r="EK58" s="53">
        <v>33783</v>
      </c>
      <c r="EL58" s="53">
        <v>35772</v>
      </c>
      <c r="EM58" s="53">
        <v>0</v>
      </c>
      <c r="EN58" s="53">
        <v>48879</v>
      </c>
      <c r="EO58" s="53">
        <v>16844</v>
      </c>
      <c r="EP58" s="53">
        <v>31771</v>
      </c>
      <c r="EQ58" s="53">
        <v>27564</v>
      </c>
      <c r="ER58" s="53">
        <v>56660</v>
      </c>
      <c r="ES58" s="53">
        <v>0</v>
      </c>
      <c r="ET58" s="53">
        <v>0</v>
      </c>
      <c r="EU58" s="53">
        <v>31487</v>
      </c>
      <c r="EV58" s="53">
        <v>0</v>
      </c>
      <c r="EW58" s="53">
        <v>39917</v>
      </c>
      <c r="EX58" s="53">
        <v>7391</v>
      </c>
      <c r="EY58" s="53">
        <v>145108</v>
      </c>
      <c r="EZ58" s="53">
        <v>9859</v>
      </c>
      <c r="FA58" s="53">
        <v>76704</v>
      </c>
      <c r="FB58" s="53">
        <v>0</v>
      </c>
      <c r="FC58" s="53">
        <v>40648</v>
      </c>
      <c r="FD58" s="53">
        <v>39396</v>
      </c>
      <c r="FE58" s="53">
        <v>14935</v>
      </c>
      <c r="FF58" s="53">
        <v>16159</v>
      </c>
      <c r="FG58" s="53">
        <v>4148</v>
      </c>
      <c r="FH58" s="53">
        <v>14948</v>
      </c>
      <c r="FI58" s="53">
        <v>43360</v>
      </c>
      <c r="FJ58" s="53">
        <v>54126</v>
      </c>
      <c r="FK58" s="53">
        <v>48361</v>
      </c>
      <c r="FL58" s="53">
        <v>279025</v>
      </c>
      <c r="FM58" s="53">
        <v>228835</v>
      </c>
      <c r="FN58" s="53">
        <v>161585</v>
      </c>
      <c r="FO58" s="53">
        <v>145622</v>
      </c>
      <c r="FP58" s="53">
        <v>5975</v>
      </c>
      <c r="FQ58" s="53">
        <v>21442</v>
      </c>
      <c r="FR58" s="53">
        <v>703</v>
      </c>
      <c r="FS58" s="53">
        <v>0</v>
      </c>
      <c r="FT58" s="53">
        <v>16088</v>
      </c>
      <c r="FU58" s="53">
        <v>1960</v>
      </c>
      <c r="FV58" s="53">
        <v>14932</v>
      </c>
      <c r="FW58" s="53">
        <v>12924</v>
      </c>
      <c r="FX58" s="53">
        <v>9218</v>
      </c>
      <c r="FY58" s="7"/>
      <c r="FZ58" s="7">
        <f t="shared" si="13"/>
        <v>30409006</v>
      </c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</row>
    <row r="59" spans="1:207" ht="15.5" x14ac:dyDescent="0.35">
      <c r="A59" s="12" t="s">
        <v>778</v>
      </c>
      <c r="B59" s="7" t="s">
        <v>528</v>
      </c>
      <c r="C59" s="7">
        <v>606546.89</v>
      </c>
      <c r="D59" s="7">
        <v>1647980.56</v>
      </c>
      <c r="E59" s="7">
        <v>646456.05000000005</v>
      </c>
      <c r="F59" s="7">
        <v>1015890.13</v>
      </c>
      <c r="G59" s="7">
        <v>46408.07</v>
      </c>
      <c r="H59" s="7">
        <v>38055.68</v>
      </c>
      <c r="I59" s="7">
        <v>643214.76</v>
      </c>
      <c r="J59" s="7">
        <v>88172.78</v>
      </c>
      <c r="K59" s="7">
        <v>1856.93</v>
      </c>
      <c r="L59" s="7">
        <v>64972.08</v>
      </c>
      <c r="M59" s="7">
        <v>80750.81</v>
      </c>
      <c r="N59" s="7">
        <v>2075395.69</v>
      </c>
      <c r="O59" s="7">
        <v>169853.32</v>
      </c>
      <c r="P59" s="7">
        <v>11601.5</v>
      </c>
      <c r="Q59" s="7">
        <v>4537244.34</v>
      </c>
      <c r="R59" s="7">
        <v>32022.9</v>
      </c>
      <c r="S59" s="7">
        <v>23668.44</v>
      </c>
      <c r="T59" s="7">
        <v>464.06</v>
      </c>
      <c r="U59" s="7">
        <v>0</v>
      </c>
      <c r="V59" s="7">
        <v>0</v>
      </c>
      <c r="W59" s="7">
        <v>464.29</v>
      </c>
      <c r="X59" s="7">
        <v>0</v>
      </c>
      <c r="Y59" s="7">
        <v>0</v>
      </c>
      <c r="Z59" s="7">
        <v>928.12</v>
      </c>
      <c r="AA59" s="7">
        <v>1055778.5900000001</v>
      </c>
      <c r="AB59" s="7">
        <v>674317.36</v>
      </c>
      <c r="AC59" s="7">
        <v>10209.32</v>
      </c>
      <c r="AD59" s="7">
        <v>12066.25</v>
      </c>
      <c r="AE59" s="7">
        <v>1392.18</v>
      </c>
      <c r="AF59" s="7">
        <v>928.12</v>
      </c>
      <c r="AG59" s="7">
        <v>6032.78</v>
      </c>
      <c r="AH59" s="7">
        <v>0</v>
      </c>
      <c r="AI59" s="7">
        <v>0</v>
      </c>
      <c r="AJ59" s="7">
        <v>928.12</v>
      </c>
      <c r="AK59" s="7">
        <v>0</v>
      </c>
      <c r="AL59" s="7">
        <v>3248.42</v>
      </c>
      <c r="AM59" s="7">
        <v>0</v>
      </c>
      <c r="AN59" s="7">
        <v>0</v>
      </c>
      <c r="AO59" s="7">
        <v>63579.9</v>
      </c>
      <c r="AP59" s="7">
        <v>6088602.4400000004</v>
      </c>
      <c r="AQ59" s="7">
        <v>0</v>
      </c>
      <c r="AR59" s="7">
        <v>1021510.14</v>
      </c>
      <c r="AS59" s="7">
        <v>545747.9</v>
      </c>
      <c r="AT59" s="7">
        <v>14850.84</v>
      </c>
      <c r="AU59" s="7">
        <v>2320.3000000000002</v>
      </c>
      <c r="AV59" s="7">
        <v>2784.36</v>
      </c>
      <c r="AW59" s="7">
        <v>464.06</v>
      </c>
      <c r="AX59" s="7">
        <v>3248.42</v>
      </c>
      <c r="AY59" s="7">
        <v>6033.01</v>
      </c>
      <c r="AZ59" s="7">
        <v>450630.55</v>
      </c>
      <c r="BA59" s="7">
        <v>88176.69</v>
      </c>
      <c r="BB59" s="7">
        <v>122054.68</v>
      </c>
      <c r="BC59" s="7">
        <v>526720.29</v>
      </c>
      <c r="BD59" s="7">
        <v>29703.29</v>
      </c>
      <c r="BE59" s="7">
        <v>2320.3000000000002</v>
      </c>
      <c r="BF59" s="7">
        <v>216268.52</v>
      </c>
      <c r="BG59" s="7">
        <v>40376.21</v>
      </c>
      <c r="BH59" s="7">
        <v>4640.6000000000004</v>
      </c>
      <c r="BI59" s="7">
        <v>7889.25</v>
      </c>
      <c r="BJ59" s="7">
        <v>50124.23</v>
      </c>
      <c r="BK59" s="7">
        <v>321616.81</v>
      </c>
      <c r="BL59" s="7">
        <v>0</v>
      </c>
      <c r="BM59" s="7">
        <v>2320.5300000000002</v>
      </c>
      <c r="BN59" s="7">
        <v>9746.41</v>
      </c>
      <c r="BO59" s="7">
        <v>6961.13</v>
      </c>
      <c r="BP59" s="7">
        <v>0</v>
      </c>
      <c r="BQ59" s="7">
        <v>523472.33</v>
      </c>
      <c r="BR59" s="7">
        <v>316498.81</v>
      </c>
      <c r="BS59" s="7">
        <v>74250.06</v>
      </c>
      <c r="BT59" s="7">
        <v>2320.3000000000002</v>
      </c>
      <c r="BU59" s="7">
        <v>18562.400000000001</v>
      </c>
      <c r="BV59" s="7">
        <v>34342.050000000003</v>
      </c>
      <c r="BW59" s="7">
        <v>64505.49</v>
      </c>
      <c r="BX59" s="7">
        <v>0</v>
      </c>
      <c r="BY59" s="7">
        <v>928.12</v>
      </c>
      <c r="BZ59" s="7">
        <v>0</v>
      </c>
      <c r="CA59" s="7">
        <v>1392.18</v>
      </c>
      <c r="CB59" s="7">
        <v>1335650.93</v>
      </c>
      <c r="CC59" s="7">
        <v>0</v>
      </c>
      <c r="CD59" s="7">
        <v>4176.54</v>
      </c>
      <c r="CE59" s="7">
        <v>928.12</v>
      </c>
      <c r="CF59" s="7">
        <v>0</v>
      </c>
      <c r="CG59" s="7">
        <v>10673.38</v>
      </c>
      <c r="CH59" s="7">
        <v>4640.6000000000004</v>
      </c>
      <c r="CI59" s="7">
        <v>38053.61</v>
      </c>
      <c r="CJ59" s="7">
        <v>80288.59</v>
      </c>
      <c r="CK59" s="7">
        <v>70076.28</v>
      </c>
      <c r="CL59" s="7">
        <v>13922.26</v>
      </c>
      <c r="CM59" s="7">
        <v>6496.84</v>
      </c>
      <c r="CN59" s="7">
        <v>536017.59</v>
      </c>
      <c r="CO59" s="7">
        <v>190278.17</v>
      </c>
      <c r="CP59" s="7">
        <v>62185.88</v>
      </c>
      <c r="CQ59" s="7">
        <v>3248.42</v>
      </c>
      <c r="CR59" s="7">
        <v>464.29</v>
      </c>
      <c r="CS59" s="7">
        <v>2784.36</v>
      </c>
      <c r="CT59" s="7">
        <v>464.06</v>
      </c>
      <c r="CU59" s="7">
        <v>2320.5300000000002</v>
      </c>
      <c r="CV59" s="7">
        <v>0</v>
      </c>
      <c r="CW59" s="7">
        <v>0</v>
      </c>
      <c r="CX59" s="7">
        <v>11138.82</v>
      </c>
      <c r="CY59" s="7">
        <v>0</v>
      </c>
      <c r="CZ59" s="7">
        <v>24133.19</v>
      </c>
      <c r="DA59" s="7">
        <v>0</v>
      </c>
      <c r="DB59" s="7">
        <v>2320.5300000000002</v>
      </c>
      <c r="DC59" s="7">
        <v>0</v>
      </c>
      <c r="DD59" s="7">
        <v>464.06</v>
      </c>
      <c r="DE59" s="7">
        <v>464.06</v>
      </c>
      <c r="DF59" s="7">
        <v>255247.26</v>
      </c>
      <c r="DG59" s="7">
        <v>0</v>
      </c>
      <c r="DH59" s="7">
        <v>50584.38</v>
      </c>
      <c r="DI59" s="7">
        <v>19490.98</v>
      </c>
      <c r="DJ59" s="7">
        <v>2320.5300000000002</v>
      </c>
      <c r="DK59" s="7">
        <v>11137.67</v>
      </c>
      <c r="DL59" s="7">
        <v>141079.99</v>
      </c>
      <c r="DM59" s="7">
        <v>0</v>
      </c>
      <c r="DN59" s="7">
        <v>40838.89</v>
      </c>
      <c r="DO59" s="7">
        <v>258498.9</v>
      </c>
      <c r="DP59" s="7">
        <v>0</v>
      </c>
      <c r="DQ59" s="7">
        <v>30629.57</v>
      </c>
      <c r="DR59" s="7">
        <v>13458.43</v>
      </c>
      <c r="DS59" s="7">
        <v>11602.65</v>
      </c>
      <c r="DT59" s="7">
        <v>1856.24</v>
      </c>
      <c r="DU59" s="7">
        <v>1392.18</v>
      </c>
      <c r="DV59" s="7">
        <v>1392.18</v>
      </c>
      <c r="DW59" s="7">
        <v>0</v>
      </c>
      <c r="DX59" s="7">
        <v>3248.42</v>
      </c>
      <c r="DY59" s="7">
        <v>928.35</v>
      </c>
      <c r="DZ59" s="7">
        <v>2784.36</v>
      </c>
      <c r="EA59" s="7">
        <v>8817.83</v>
      </c>
      <c r="EB59" s="7">
        <v>42695.13</v>
      </c>
      <c r="EC59" s="7">
        <v>0</v>
      </c>
      <c r="ED59" s="7">
        <v>24597.48</v>
      </c>
      <c r="EE59" s="7">
        <v>8353.5400000000009</v>
      </c>
      <c r="EF59" s="7">
        <v>28772.639999999999</v>
      </c>
      <c r="EG59" s="7">
        <v>21810.82</v>
      </c>
      <c r="EH59" s="7">
        <v>5569.64</v>
      </c>
      <c r="EI59" s="7">
        <v>209762.94</v>
      </c>
      <c r="EJ59" s="7">
        <v>92817.52</v>
      </c>
      <c r="EK59" s="7">
        <v>6961.59</v>
      </c>
      <c r="EL59" s="7">
        <v>464.06</v>
      </c>
      <c r="EM59" s="7">
        <v>0</v>
      </c>
      <c r="EN59" s="7">
        <v>5104.8900000000003</v>
      </c>
      <c r="EO59" s="7">
        <v>1392.18</v>
      </c>
      <c r="EP59" s="7">
        <v>3712.48</v>
      </c>
      <c r="EQ59" s="7">
        <v>77965.990000000005</v>
      </c>
      <c r="ER59" s="7">
        <v>4640.6000000000004</v>
      </c>
      <c r="ES59" s="7">
        <v>928.12</v>
      </c>
      <c r="ET59" s="7">
        <v>2784.59</v>
      </c>
      <c r="EU59" s="7">
        <v>42694.44</v>
      </c>
      <c r="EV59" s="7">
        <v>6033.24</v>
      </c>
      <c r="EW59" s="7">
        <v>30165.279999999999</v>
      </c>
      <c r="EX59" s="7">
        <v>464.06</v>
      </c>
      <c r="EY59" s="7">
        <v>5569.18</v>
      </c>
      <c r="EZ59" s="7">
        <v>0</v>
      </c>
      <c r="FA59" s="7">
        <v>284011.15999999997</v>
      </c>
      <c r="FB59" s="7">
        <v>0</v>
      </c>
      <c r="FC59" s="7">
        <v>20420.48</v>
      </c>
      <c r="FD59" s="7">
        <v>3712.94</v>
      </c>
      <c r="FE59" s="7">
        <v>3712.71</v>
      </c>
      <c r="FF59" s="7">
        <v>0</v>
      </c>
      <c r="FG59" s="7">
        <v>0</v>
      </c>
      <c r="FH59" s="7">
        <v>0</v>
      </c>
      <c r="FI59" s="7">
        <v>83537.009999999995</v>
      </c>
      <c r="FJ59" s="7">
        <v>36199.67</v>
      </c>
      <c r="FK59" s="7">
        <v>139694.25</v>
      </c>
      <c r="FL59" s="7">
        <v>69148.160000000003</v>
      </c>
      <c r="FM59" s="7">
        <v>41302.720000000001</v>
      </c>
      <c r="FN59" s="7">
        <v>1451675.59</v>
      </c>
      <c r="FO59" s="7">
        <v>27382.99</v>
      </c>
      <c r="FP59" s="7">
        <v>145259.75</v>
      </c>
      <c r="FQ59" s="7">
        <v>30629.57</v>
      </c>
      <c r="FR59" s="7">
        <v>0</v>
      </c>
      <c r="FS59" s="7">
        <v>0</v>
      </c>
      <c r="FT59" s="7">
        <v>0</v>
      </c>
      <c r="FU59" s="7">
        <v>65434.53</v>
      </c>
      <c r="FV59" s="7">
        <v>40375.75</v>
      </c>
      <c r="FW59" s="7">
        <v>5104.8900000000003</v>
      </c>
      <c r="FX59" s="7">
        <v>464.06</v>
      </c>
      <c r="FY59" s="7"/>
      <c r="FZ59" s="7">
        <f t="shared" si="13"/>
        <v>30489637.699999999</v>
      </c>
      <c r="GA59" s="7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</row>
    <row r="60" spans="1:207" ht="15.5" x14ac:dyDescent="0.35">
      <c r="A60" s="12" t="s">
        <v>779</v>
      </c>
      <c r="B60" s="7" t="s">
        <v>780</v>
      </c>
      <c r="C60" s="7">
        <v>2582912.4368625553</v>
      </c>
      <c r="D60" s="7">
        <v>14182763.947547356</v>
      </c>
      <c r="E60" s="7">
        <v>2592399.7945604669</v>
      </c>
      <c r="F60" s="7">
        <v>7875013.5281690154</v>
      </c>
      <c r="G60" s="7">
        <v>485027.1505585236</v>
      </c>
      <c r="H60" s="7">
        <v>721001.39946576022</v>
      </c>
      <c r="I60" s="7">
        <v>3322611.4011656148</v>
      </c>
      <c r="J60" s="7">
        <v>821764.50825643528</v>
      </c>
      <c r="K60" s="7">
        <v>42368.445604662462</v>
      </c>
      <c r="L60" s="7">
        <v>1314897.4621175332</v>
      </c>
      <c r="M60" s="7">
        <v>440816.4769305489</v>
      </c>
      <c r="N60" s="7">
        <v>23057676.337299667</v>
      </c>
      <c r="O60" s="7">
        <v>5635563.6308887824</v>
      </c>
      <c r="P60" s="7">
        <v>145434.4560466246</v>
      </c>
      <c r="Q60" s="7">
        <v>15602197.470616806</v>
      </c>
      <c r="R60" s="7">
        <v>1841647.9286061199</v>
      </c>
      <c r="S60" s="7">
        <v>527395.59616318613</v>
      </c>
      <c r="T60" s="7">
        <v>72855.336813987378</v>
      </c>
      <c r="U60" s="7">
        <v>17868.445604662462</v>
      </c>
      <c r="V60" s="7">
        <v>123697.56483729968</v>
      </c>
      <c r="W60" s="7">
        <v>19250</v>
      </c>
      <c r="X60" s="7">
        <v>14000</v>
      </c>
      <c r="Y60" s="7">
        <v>361237.35769791168</v>
      </c>
      <c r="Z60" s="7">
        <v>78842.228023312302</v>
      </c>
      <c r="AA60" s="7">
        <v>12743155.811801847</v>
      </c>
      <c r="AB60" s="7">
        <v>11472377.261777565</v>
      </c>
      <c r="AC60" s="7">
        <v>444408.70495386119</v>
      </c>
      <c r="AD60" s="7">
        <v>461908.70495386119</v>
      </c>
      <c r="AE60" s="7">
        <v>28368.445604662462</v>
      </c>
      <c r="AF60" s="7">
        <v>66223.782418649847</v>
      </c>
      <c r="AG60" s="7">
        <v>245368.91209324921</v>
      </c>
      <c r="AH60" s="7">
        <v>259645.12967459936</v>
      </c>
      <c r="AI60" s="7">
        <v>61618.445604662462</v>
      </c>
      <c r="AJ60" s="7">
        <v>71473.782418649847</v>
      </c>
      <c r="AK60" s="7">
        <v>60605.336813987378</v>
      </c>
      <c r="AL60" s="7">
        <v>42368.445604662462</v>
      </c>
      <c r="AM60" s="7">
        <v>155934.4560466246</v>
      </c>
      <c r="AN60" s="7">
        <v>126829.11923263723</v>
      </c>
      <c r="AO60" s="7">
        <v>1977226.5813501703</v>
      </c>
      <c r="AP60" s="7">
        <v>33261757.275376402</v>
      </c>
      <c r="AQ60" s="7">
        <v>118079.11923263723</v>
      </c>
      <c r="AR60" s="7">
        <v>24626967.063137449</v>
      </c>
      <c r="AS60" s="7">
        <v>2318845.0269548325</v>
      </c>
      <c r="AT60" s="7">
        <v>941962.07309373491</v>
      </c>
      <c r="AU60" s="7">
        <v>138066.01044196213</v>
      </c>
      <c r="AV60" s="7">
        <v>129316.01044196213</v>
      </c>
      <c r="AW60" s="7">
        <v>109697.56483729968</v>
      </c>
      <c r="AX60" s="7">
        <v>46236.891209324924</v>
      </c>
      <c r="AY60" s="7">
        <v>110710.67362797476</v>
      </c>
      <c r="AZ60" s="7">
        <v>4994693.7858183589</v>
      </c>
      <c r="BA60" s="7">
        <v>3733861.4011656148</v>
      </c>
      <c r="BB60" s="7">
        <v>4775943.3193297721</v>
      </c>
      <c r="BC60" s="7">
        <v>8304962.0259834882</v>
      </c>
      <c r="BD60" s="7">
        <v>1268383.8868382713</v>
      </c>
      <c r="BE60" s="7">
        <v>332961.1401165615</v>
      </c>
      <c r="BF60" s="7">
        <v>7357843.5803788267</v>
      </c>
      <c r="BG60" s="7">
        <v>328355.80330257409</v>
      </c>
      <c r="BH60" s="7">
        <v>147184.4560466246</v>
      </c>
      <c r="BI60" s="7">
        <v>134197.56483729969</v>
      </c>
      <c r="BJ60" s="7">
        <v>2077345.9599320062</v>
      </c>
      <c r="BK60" s="7">
        <v>8915621.663914524</v>
      </c>
      <c r="BL60" s="7">
        <v>39605.336813987378</v>
      </c>
      <c r="BM60" s="7">
        <v>211013.5752792618</v>
      </c>
      <c r="BN60" s="7">
        <v>1651081.9181641578</v>
      </c>
      <c r="BO60" s="7">
        <v>693830.0522098107</v>
      </c>
      <c r="BP60" s="7">
        <v>73960.673627974757</v>
      </c>
      <c r="BQ60" s="7">
        <v>1910727.047838757</v>
      </c>
      <c r="BR60" s="7">
        <v>1520015.4412336089</v>
      </c>
      <c r="BS60" s="7">
        <v>386198.03132588643</v>
      </c>
      <c r="BT60" s="7">
        <v>134566.01044196213</v>
      </c>
      <c r="BU60" s="7">
        <v>128210.67362797476</v>
      </c>
      <c r="BV60" s="7">
        <v>433816.4769305489</v>
      </c>
      <c r="BW60" s="7">
        <v>448829.58572122396</v>
      </c>
      <c r="BX60" s="7">
        <v>54342.228023312302</v>
      </c>
      <c r="BY60" s="7">
        <v>223539.79286061198</v>
      </c>
      <c r="BZ60" s="7">
        <v>106197.56483729968</v>
      </c>
      <c r="CA60" s="7">
        <v>53236.891209324924</v>
      </c>
      <c r="CB60" s="7">
        <v>28732565.355512388</v>
      </c>
      <c r="CC60" s="7">
        <v>66223.782418649847</v>
      </c>
      <c r="CD60" s="7">
        <v>14368.44560466246</v>
      </c>
      <c r="CE60" s="7">
        <v>103710.67362797476</v>
      </c>
      <c r="CF60" s="7">
        <v>28368.445604662462</v>
      </c>
      <c r="CG60" s="7">
        <v>74236.891209324924</v>
      </c>
      <c r="CH60" s="7">
        <v>35736.891209324924</v>
      </c>
      <c r="CI60" s="7">
        <v>407658.70495386119</v>
      </c>
      <c r="CJ60" s="7">
        <v>406737.35769791168</v>
      </c>
      <c r="CK60" s="7">
        <v>2297293.9912578929</v>
      </c>
      <c r="CL60" s="7">
        <v>592146.06265177287</v>
      </c>
      <c r="CM60" s="7">
        <v>330842.69451189903</v>
      </c>
      <c r="CN60" s="7">
        <v>8952280.3688683845</v>
      </c>
      <c r="CO60" s="7">
        <v>6010247.1539582331</v>
      </c>
      <c r="CP60" s="7">
        <v>287737.35769791168</v>
      </c>
      <c r="CQ60" s="7">
        <v>477290.25934919872</v>
      </c>
      <c r="CR60" s="7">
        <v>92105.336813987378</v>
      </c>
      <c r="CS60" s="7">
        <v>85105.336813987378</v>
      </c>
      <c r="CT60" s="7">
        <v>69355.336813987378</v>
      </c>
      <c r="CU60" s="7">
        <v>58118.445604662462</v>
      </c>
      <c r="CV60" s="7">
        <v>3500</v>
      </c>
      <c r="CW60" s="7">
        <v>82986.891209324924</v>
      </c>
      <c r="CX60" s="7">
        <v>290868.91209324921</v>
      </c>
      <c r="CY60" s="7">
        <v>23486.89120932492</v>
      </c>
      <c r="CZ60" s="7">
        <v>1005330.9851869842</v>
      </c>
      <c r="DA60" s="7">
        <v>72486.891209324924</v>
      </c>
      <c r="DB60" s="7">
        <v>145434.4560466246</v>
      </c>
      <c r="DC60" s="7">
        <v>73223.782418649847</v>
      </c>
      <c r="DD60" s="7">
        <v>97816.010441962135</v>
      </c>
      <c r="DE60" s="7">
        <v>112092.2280233123</v>
      </c>
      <c r="DF60" s="7">
        <v>9812543.9441476464</v>
      </c>
      <c r="DG60" s="7">
        <v>33618.445604662462</v>
      </c>
      <c r="DH60" s="7">
        <v>907514.50825643528</v>
      </c>
      <c r="DI60" s="7">
        <v>1451674.1461874698</v>
      </c>
      <c r="DJ60" s="7">
        <v>290592.69451189903</v>
      </c>
      <c r="DK60" s="7">
        <v>199776.68406993692</v>
      </c>
      <c r="DL60" s="7">
        <v>2655582.8511413313</v>
      </c>
      <c r="DM60" s="7">
        <v>118447.56483729968</v>
      </c>
      <c r="DN60" s="7">
        <v>543974.71539582335</v>
      </c>
      <c r="DO60" s="7">
        <v>1157028.0835356971</v>
      </c>
      <c r="DP60" s="7">
        <v>109697.56483729968</v>
      </c>
      <c r="DQ60" s="7">
        <v>284513.5752792618</v>
      </c>
      <c r="DR60" s="7">
        <v>646303.36813987384</v>
      </c>
      <c r="DS60" s="7">
        <v>288013.5752792618</v>
      </c>
      <c r="DT60" s="7">
        <v>44486.891209324924</v>
      </c>
      <c r="DU60" s="7">
        <v>87223.782418649847</v>
      </c>
      <c r="DV60" s="7">
        <v>49368.445604662462</v>
      </c>
      <c r="DW60" s="7">
        <v>67973.782418649847</v>
      </c>
      <c r="DX60" s="7">
        <v>62355.336813987378</v>
      </c>
      <c r="DY60" s="7">
        <v>138434.4560466246</v>
      </c>
      <c r="DZ60" s="7">
        <v>357277.1505585236</v>
      </c>
      <c r="EA60" s="7">
        <v>194434.4560466246</v>
      </c>
      <c r="EB60" s="7">
        <v>277882.02088392427</v>
      </c>
      <c r="EC60" s="7">
        <v>151052.90165128704</v>
      </c>
      <c r="ED60" s="7">
        <v>531908.70495386119</v>
      </c>
      <c r="EE60" s="7">
        <v>66223.782418649847</v>
      </c>
      <c r="EF60" s="7">
        <v>640500.93297717348</v>
      </c>
      <c r="EG60" s="7">
        <v>86210.673627974757</v>
      </c>
      <c r="EH60" s="7">
        <v>67605.336813987378</v>
      </c>
      <c r="EI60" s="7">
        <v>7307002.2853326872</v>
      </c>
      <c r="EJ60" s="7">
        <v>4622955.0286546871</v>
      </c>
      <c r="EK60" s="7">
        <v>215434.4560466246</v>
      </c>
      <c r="EL60" s="7">
        <v>255132.02088392427</v>
      </c>
      <c r="EM60" s="7">
        <v>93855.336813987378</v>
      </c>
      <c r="EN60" s="7">
        <v>482908.70495386119</v>
      </c>
      <c r="EO60" s="7">
        <v>64105.336813987378</v>
      </c>
      <c r="EP60" s="7">
        <v>117710.67362797476</v>
      </c>
      <c r="EQ60" s="7">
        <v>1139344.0939776592</v>
      </c>
      <c r="ER60" s="7">
        <v>70736.891209324924</v>
      </c>
      <c r="ES60" s="7">
        <v>52223.78241864984</v>
      </c>
      <c r="ET60" s="7">
        <v>55723.78241864984</v>
      </c>
      <c r="EU60" s="7">
        <v>200329.11923263723</v>
      </c>
      <c r="EV60" s="7">
        <v>36105.336813987378</v>
      </c>
      <c r="EW60" s="7">
        <v>247763.5752792618</v>
      </c>
      <c r="EX60" s="7">
        <v>49736.891209324924</v>
      </c>
      <c r="EY60" s="7">
        <v>254763.5752792618</v>
      </c>
      <c r="EZ60" s="7">
        <v>60973.78241864984</v>
      </c>
      <c r="FA60" s="7">
        <v>1136948.96430306</v>
      </c>
      <c r="FB60" s="7">
        <v>166526.68406993692</v>
      </c>
      <c r="FC60" s="7">
        <v>783909.63793103467</v>
      </c>
      <c r="FD60" s="7">
        <v>234776.68406993692</v>
      </c>
      <c r="FE60" s="7">
        <v>14000</v>
      </c>
      <c r="FF60" s="7">
        <v>137789.79286061198</v>
      </c>
      <c r="FG60" s="7">
        <v>54342.228023312302</v>
      </c>
      <c r="FH60" s="7">
        <v>22750</v>
      </c>
      <c r="FI60" s="7">
        <v>901896.52914035961</v>
      </c>
      <c r="FJ60" s="7">
        <v>539645.59616318613</v>
      </c>
      <c r="FK60" s="7">
        <v>801225.18188441009</v>
      </c>
      <c r="FL60" s="7">
        <v>2517425.54565323</v>
      </c>
      <c r="FM60" s="7">
        <v>1371265.4412336089</v>
      </c>
      <c r="FN60" s="7">
        <v>8176842.1809130665</v>
      </c>
      <c r="FO60" s="7">
        <v>416316.4769305489</v>
      </c>
      <c r="FP60" s="7">
        <v>868738.29067508515</v>
      </c>
      <c r="FQ60" s="7">
        <v>374961.1401165615</v>
      </c>
      <c r="FR60" s="7">
        <v>84829.119232637226</v>
      </c>
      <c r="FS60" s="7">
        <v>44118.445604662462</v>
      </c>
      <c r="FT60" s="7">
        <v>19618.445604662462</v>
      </c>
      <c r="FU60" s="7">
        <v>442566.4769305489</v>
      </c>
      <c r="FV60" s="7">
        <v>268026.68406993692</v>
      </c>
      <c r="FW60" s="7">
        <v>36105.336813987378</v>
      </c>
      <c r="FX60" s="7">
        <v>5250</v>
      </c>
      <c r="FY60" s="7"/>
      <c r="FZ60" s="7">
        <f t="shared" si="13"/>
        <v>329437175.29164654</v>
      </c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</row>
    <row r="61" spans="1:207" ht="15.5" x14ac:dyDescent="0.35">
      <c r="A61" s="12" t="s">
        <v>781</v>
      </c>
      <c r="B61" s="7" t="s">
        <v>532</v>
      </c>
      <c r="C61" s="7">
        <v>88403</v>
      </c>
      <c r="D61" s="7">
        <v>350949</v>
      </c>
      <c r="E61" s="7">
        <v>60042</v>
      </c>
      <c r="F61" s="7">
        <v>199727.99999999997</v>
      </c>
      <c r="G61" s="7">
        <v>21668.341830747555</v>
      </c>
      <c r="H61" s="7">
        <v>20213.754068961262</v>
      </c>
      <c r="I61" s="7">
        <v>81706</v>
      </c>
      <c r="J61" s="7">
        <v>39103.534821845496</v>
      </c>
      <c r="K61" s="7">
        <v>4841.7420242549715</v>
      </c>
      <c r="L61" s="7">
        <v>41252.092853781105</v>
      </c>
      <c r="M61" s="7">
        <v>28575.292331516539</v>
      </c>
      <c r="N61" s="7">
        <v>525962</v>
      </c>
      <c r="O61" s="7">
        <v>134520</v>
      </c>
      <c r="P61" s="7">
        <v>5433.8048572476509</v>
      </c>
      <c r="Q61" s="7">
        <v>377605</v>
      </c>
      <c r="R61" s="7">
        <v>94815.714909081318</v>
      </c>
      <c r="S61" s="7">
        <v>28741.290225211793</v>
      </c>
      <c r="T61" s="7">
        <v>3954.555757623014</v>
      </c>
      <c r="U61" s="7">
        <v>1274.9660639331028</v>
      </c>
      <c r="V61" s="7">
        <v>6569.3166684010721</v>
      </c>
      <c r="W61" s="7">
        <v>4343.5284550941296</v>
      </c>
      <c r="X61" s="7">
        <v>713.11661203037954</v>
      </c>
      <c r="Y61" s="7">
        <v>16117.875161316204</v>
      </c>
      <c r="Z61" s="7">
        <v>5575.2753304193311</v>
      </c>
      <c r="AA61" s="7">
        <v>318240</v>
      </c>
      <c r="AB61" s="7">
        <v>284900</v>
      </c>
      <c r="AC61" s="7">
        <v>17521.855841931123</v>
      </c>
      <c r="AD61" s="7">
        <v>22564.482959231071</v>
      </c>
      <c r="AE61" s="7">
        <v>1688.6593556369623</v>
      </c>
      <c r="AF61" s="7">
        <v>2976.0531218156366</v>
      </c>
      <c r="AG61" s="7">
        <v>16858.308385207889</v>
      </c>
      <c r="AH61" s="7">
        <v>18258.172213602717</v>
      </c>
      <c r="AI61" s="7">
        <v>7096.2936538698814</v>
      </c>
      <c r="AJ61" s="7">
        <v>3215.5080619097903</v>
      </c>
      <c r="AK61" s="7">
        <v>3566.626758325227</v>
      </c>
      <c r="AL61" s="7">
        <v>5340.7001717926978</v>
      </c>
      <c r="AM61" s="7">
        <v>8348.2658889974773</v>
      </c>
      <c r="AN61" s="7">
        <v>7739.5381679247448</v>
      </c>
      <c r="AO61" s="7">
        <v>46529</v>
      </c>
      <c r="AP61" s="7">
        <v>872911.42728941469</v>
      </c>
      <c r="AQ61" s="7">
        <v>4504.7433428073309</v>
      </c>
      <c r="AR61" s="7">
        <v>627289</v>
      </c>
      <c r="AS61" s="7">
        <v>65689</v>
      </c>
      <c r="AT61" s="7">
        <v>44893.462280049192</v>
      </c>
      <c r="AU61" s="7">
        <v>5166.2944642754592</v>
      </c>
      <c r="AV61" s="7">
        <v>6927.6804774207048</v>
      </c>
      <c r="AW61" s="7">
        <v>5392.4604270227646</v>
      </c>
      <c r="AX61" s="7">
        <v>1354.2713644217222</v>
      </c>
      <c r="AY61" s="7">
        <v>8136.6662671090826</v>
      </c>
      <c r="AZ61" s="7">
        <v>127685.00000000001</v>
      </c>
      <c r="BA61" s="7">
        <v>92017</v>
      </c>
      <c r="BB61" s="7">
        <v>81529</v>
      </c>
      <c r="BC61" s="7">
        <v>229464</v>
      </c>
      <c r="BD61" s="7">
        <v>35756</v>
      </c>
      <c r="BE61" s="7">
        <v>22112.166308160631</v>
      </c>
      <c r="BF61" s="7">
        <v>259259</v>
      </c>
      <c r="BG61" s="7">
        <v>18844.826118634715</v>
      </c>
      <c r="BH61" s="7">
        <v>11897.955390584037</v>
      </c>
      <c r="BI61" s="7">
        <v>5545.9824320625585</v>
      </c>
      <c r="BJ61" s="7">
        <v>95008.254209239836</v>
      </c>
      <c r="BK61" s="7">
        <v>243222.00000000003</v>
      </c>
      <c r="BL61" s="7">
        <v>1803.8835592175797</v>
      </c>
      <c r="BM61" s="7">
        <v>6524.685214191245</v>
      </c>
      <c r="BN61" s="7">
        <v>52587.380630664826</v>
      </c>
      <c r="BO61" s="7">
        <v>26751.209378184107</v>
      </c>
      <c r="BP61" s="7">
        <v>4130.6523929935438</v>
      </c>
      <c r="BQ61" s="7">
        <v>77960.49372219776</v>
      </c>
      <c r="BR61" s="7">
        <v>70329.679728378396</v>
      </c>
      <c r="BS61" s="7">
        <v>18072.706202187324</v>
      </c>
      <c r="BT61" s="7">
        <v>10114.985031124734</v>
      </c>
      <c r="BU61" s="7">
        <v>6734.9001720835349</v>
      </c>
      <c r="BV61" s="7">
        <v>21986.964175020803</v>
      </c>
      <c r="BW61" s="7">
        <v>41989.912093034945</v>
      </c>
      <c r="BX61" s="7">
        <v>1650.2585538747358</v>
      </c>
      <c r="BY61" s="7">
        <v>10674.47539452542</v>
      </c>
      <c r="BZ61" s="7">
        <v>5174.1856291182285</v>
      </c>
      <c r="CA61" s="7">
        <v>3187.5100051082381</v>
      </c>
      <c r="CB61" s="7">
        <v>770637</v>
      </c>
      <c r="CC61" s="7">
        <v>4559.6243981336393</v>
      </c>
      <c r="CD61" s="7">
        <v>9054.4200133554259</v>
      </c>
      <c r="CE61" s="7">
        <v>2875.7367244510647</v>
      </c>
      <c r="CF61" s="7">
        <v>2156.8025433382986</v>
      </c>
      <c r="CG61" s="7">
        <v>3711.7067024891649</v>
      </c>
      <c r="CH61" s="7">
        <v>1805.6951525622962</v>
      </c>
      <c r="CI61" s="7">
        <v>12740.182465300646</v>
      </c>
      <c r="CJ61" s="7">
        <v>16672.928717806553</v>
      </c>
      <c r="CK61" s="7">
        <v>56929</v>
      </c>
      <c r="CL61" s="7">
        <v>21941.3544567916</v>
      </c>
      <c r="CM61" s="7">
        <v>10979.241379237639</v>
      </c>
      <c r="CN61" s="7">
        <v>294033</v>
      </c>
      <c r="CO61" s="7">
        <v>150164</v>
      </c>
      <c r="CP61" s="7">
        <v>27051.112393155905</v>
      </c>
      <c r="CQ61" s="7">
        <v>17305.259499067688</v>
      </c>
      <c r="CR61" s="7">
        <v>5630.7314199227776</v>
      </c>
      <c r="CS61" s="7">
        <v>6935.1479650786332</v>
      </c>
      <c r="CT61" s="7">
        <v>2587.0928145591142</v>
      </c>
      <c r="CU61" s="7">
        <v>9609.2018826481381</v>
      </c>
      <c r="CV61" s="7">
        <v>713.11661203037954</v>
      </c>
      <c r="CW61" s="7">
        <v>3745.1455016106888</v>
      </c>
      <c r="CX61" s="7">
        <v>7640.7655992682357</v>
      </c>
      <c r="CY61" s="7">
        <v>668.7759824304801</v>
      </c>
      <c r="CZ61" s="7">
        <v>39065.236613175031</v>
      </c>
      <c r="DA61" s="7">
        <v>4638.3160761092404</v>
      </c>
      <c r="DB61" s="7">
        <v>6590.1866420737624</v>
      </c>
      <c r="DC61" s="7">
        <v>3735.8382875449988</v>
      </c>
      <c r="DD61" s="7">
        <v>1705.227091633466</v>
      </c>
      <c r="DE61" s="7">
        <v>3149.6547457229904</v>
      </c>
      <c r="DF61" s="7">
        <v>209151.11816264354</v>
      </c>
      <c r="DG61" s="7">
        <v>1589.2740995646091</v>
      </c>
      <c r="DH61" s="7">
        <v>41127.841255864085</v>
      </c>
      <c r="DI61" s="7">
        <v>42152.750443531717</v>
      </c>
      <c r="DJ61" s="7">
        <v>11698.630049952118</v>
      </c>
      <c r="DK61" s="7">
        <v>8718.3055569921344</v>
      </c>
      <c r="DL61" s="7">
        <v>87630.710978183313</v>
      </c>
      <c r="DM61" s="7">
        <v>6925.5217497043432</v>
      </c>
      <c r="DN61" s="7">
        <v>22813.903694941757</v>
      </c>
      <c r="DO61" s="7">
        <v>57304.641778128658</v>
      </c>
      <c r="DP61" s="7">
        <v>3924.7930953962759</v>
      </c>
      <c r="DQ61" s="7">
        <v>14396.475098857829</v>
      </c>
      <c r="DR61" s="7">
        <v>26588.611579981476</v>
      </c>
      <c r="DS61" s="7">
        <v>12392.332240817324</v>
      </c>
      <c r="DT61" s="7">
        <v>3565.4052234260062</v>
      </c>
      <c r="DU61" s="7">
        <v>7543.8756861513666</v>
      </c>
      <c r="DV61" s="7">
        <v>4470.6515045986553</v>
      </c>
      <c r="DW61" s="7">
        <v>6156.949879140253</v>
      </c>
      <c r="DX61" s="7">
        <v>4714.6821142218023</v>
      </c>
      <c r="DY61" s="7">
        <v>8949.9050303871518</v>
      </c>
      <c r="DZ61" s="7">
        <v>19758.929092662776</v>
      </c>
      <c r="EA61" s="7">
        <v>10102.232777082383</v>
      </c>
      <c r="EB61" s="7">
        <v>11711.223395787132</v>
      </c>
      <c r="EC61" s="7">
        <v>7051.9194641298855</v>
      </c>
      <c r="ED61" s="7">
        <v>34659.203850182945</v>
      </c>
      <c r="EE61" s="7">
        <v>4602.843586741541</v>
      </c>
      <c r="EF61" s="7">
        <v>32889.802530613262</v>
      </c>
      <c r="EG61" s="7">
        <v>5899.4192449785942</v>
      </c>
      <c r="EH61" s="7">
        <v>5215.760088698431</v>
      </c>
      <c r="EI61" s="7">
        <v>148622</v>
      </c>
      <c r="EJ61" s="7">
        <v>100630</v>
      </c>
      <c r="EK61" s="7">
        <v>20967.583571875341</v>
      </c>
      <c r="EL61" s="7">
        <v>14132.846385462935</v>
      </c>
      <c r="EM61" s="7">
        <v>7133.253516650454</v>
      </c>
      <c r="EN61" s="7">
        <v>19089.769126165593</v>
      </c>
      <c r="EO61" s="7">
        <v>5950.5379076721401</v>
      </c>
      <c r="EP61" s="7">
        <v>7780.2663565545163</v>
      </c>
      <c r="EQ61" s="7">
        <v>45670.506255986314</v>
      </c>
      <c r="ER61" s="7">
        <v>6100.8256011749072</v>
      </c>
      <c r="ES61" s="7">
        <v>4084.0648372532391</v>
      </c>
      <c r="ET61" s="7">
        <v>3307.9077188612209</v>
      </c>
      <c r="EU61" s="7">
        <v>11217.318353903693</v>
      </c>
      <c r="EV61" s="7">
        <v>1490.1622464799916</v>
      </c>
      <c r="EW61" s="7">
        <v>23839.776792251487</v>
      </c>
      <c r="EX61" s="7">
        <v>5034.3215795927727</v>
      </c>
      <c r="EY61" s="7">
        <v>12739.628317639406</v>
      </c>
      <c r="EZ61" s="7">
        <v>2371.6276769246342</v>
      </c>
      <c r="FA61" s="7">
        <v>56365.809889626064</v>
      </c>
      <c r="FB61" s="7">
        <v>5255.2073306410612</v>
      </c>
      <c r="FC61" s="7">
        <v>35627.955129777416</v>
      </c>
      <c r="FD61" s="7">
        <v>8961.8143189983966</v>
      </c>
      <c r="FE61" s="7">
        <v>1688.6593556369623</v>
      </c>
      <c r="FF61" s="7">
        <v>4218.5589651491282</v>
      </c>
      <c r="FG61" s="7">
        <v>2602.4940879526957</v>
      </c>
      <c r="FH61" s="7">
        <v>1370.9907639824842</v>
      </c>
      <c r="FI61" s="7">
        <v>30680.191132948759</v>
      </c>
      <c r="FJ61" s="7">
        <v>33018.365742972077</v>
      </c>
      <c r="FK61" s="7">
        <v>26669.772941398154</v>
      </c>
      <c r="FL61" s="7">
        <v>79585</v>
      </c>
      <c r="FM61" s="7">
        <v>62453.552158136845</v>
      </c>
      <c r="FN61" s="7">
        <v>217718.00000000003</v>
      </c>
      <c r="FO61" s="7">
        <v>18271.164452610748</v>
      </c>
      <c r="FP61" s="7">
        <v>24151.227058601846</v>
      </c>
      <c r="FQ61" s="7">
        <v>16584.338483951073</v>
      </c>
      <c r="FR61" s="7">
        <v>2956.1207569580461</v>
      </c>
      <c r="FS61" s="7">
        <v>3156.5357235314727</v>
      </c>
      <c r="FT61" s="7">
        <v>1118.9835633682999</v>
      </c>
      <c r="FU61" s="7">
        <v>18595.240015532971</v>
      </c>
      <c r="FV61" s="7">
        <v>15300.146694496092</v>
      </c>
      <c r="FW61" s="7">
        <v>2875.7367244510647</v>
      </c>
      <c r="FX61" s="7">
        <v>1136.9191701318161</v>
      </c>
      <c r="FY61" s="7"/>
      <c r="FZ61" s="7">
        <f t="shared" si="13"/>
        <v>9454497.1344429776</v>
      </c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</row>
    <row r="62" spans="1:207" ht="15.5" x14ac:dyDescent="0.35">
      <c r="A62" s="12" t="s">
        <v>782</v>
      </c>
      <c r="B62" s="7" t="s">
        <v>783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145544.46</v>
      </c>
      <c r="BX62" s="7">
        <v>0</v>
      </c>
      <c r="BY62" s="7">
        <v>126903.89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213115.94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206487.91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93286.26</v>
      </c>
      <c r="DG62" s="7">
        <v>0</v>
      </c>
      <c r="DH62" s="7">
        <v>46455.62</v>
      </c>
      <c r="DI62" s="7">
        <v>0</v>
      </c>
      <c r="DJ62" s="7">
        <v>0</v>
      </c>
      <c r="DK62" s="7">
        <v>0</v>
      </c>
      <c r="DL62" s="7">
        <v>0</v>
      </c>
      <c r="DM62" s="7">
        <v>61919.519999999997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261434.41000000003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159101.96000000002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/>
      <c r="FZ62" s="7">
        <f t="shared" si="13"/>
        <v>1314249.97</v>
      </c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</row>
    <row r="63" spans="1:207" ht="15.5" x14ac:dyDescent="0.35">
      <c r="A63" s="12" t="s">
        <v>784</v>
      </c>
      <c r="B63" s="7" t="s">
        <v>785</v>
      </c>
      <c r="C63" s="7">
        <f t="shared" ref="C63:FX63" si="14">SUM(C57:C62)</f>
        <v>3975359.6368625555</v>
      </c>
      <c r="D63" s="7">
        <f t="shared" si="14"/>
        <v>20560272.927547358</v>
      </c>
      <c r="E63" s="7">
        <f t="shared" si="14"/>
        <v>3957336.3845604667</v>
      </c>
      <c r="F63" s="7">
        <f t="shared" si="14"/>
        <v>11725720.408169016</v>
      </c>
      <c r="G63" s="7">
        <f t="shared" si="14"/>
        <v>749134.75238927116</v>
      </c>
      <c r="H63" s="7">
        <f t="shared" si="14"/>
        <v>875460.61353472143</v>
      </c>
      <c r="I63" s="7">
        <f t="shared" si="14"/>
        <v>4950900.101165615</v>
      </c>
      <c r="J63" s="7">
        <f t="shared" si="14"/>
        <v>1174607.3430782808</v>
      </c>
      <c r="K63" s="7">
        <f t="shared" si="14"/>
        <v>148174.02762891745</v>
      </c>
      <c r="L63" s="7">
        <f t="shared" si="14"/>
        <v>1809566.9849713142</v>
      </c>
      <c r="M63" s="7">
        <f t="shared" si="14"/>
        <v>720101.2592620654</v>
      </c>
      <c r="N63" s="7">
        <f t="shared" si="14"/>
        <v>33573698.057299666</v>
      </c>
      <c r="O63" s="7">
        <f t="shared" si="14"/>
        <v>7951652.0108887823</v>
      </c>
      <c r="P63" s="7">
        <f t="shared" si="14"/>
        <v>238195.42090387226</v>
      </c>
      <c r="Q63" s="7">
        <f t="shared" si="14"/>
        <v>24475693.320616804</v>
      </c>
      <c r="R63" s="7">
        <f t="shared" si="14"/>
        <v>2088234.5235152012</v>
      </c>
      <c r="S63" s="7">
        <f t="shared" si="14"/>
        <v>840187.19638839783</v>
      </c>
      <c r="T63" s="7">
        <f t="shared" si="14"/>
        <v>108965.2725716104</v>
      </c>
      <c r="U63" s="7">
        <f t="shared" si="14"/>
        <v>37193.431668595564</v>
      </c>
      <c r="V63" s="7">
        <f t="shared" si="14"/>
        <v>167495.00150570075</v>
      </c>
      <c r="W63" s="7">
        <f t="shared" si="14"/>
        <v>33789.81845509413</v>
      </c>
      <c r="X63" s="7">
        <f t="shared" si="14"/>
        <v>26750.286612030377</v>
      </c>
      <c r="Y63" s="7">
        <f t="shared" si="14"/>
        <v>420565.66285922786</v>
      </c>
      <c r="Z63" s="7">
        <f t="shared" si="14"/>
        <v>145527.75335373165</v>
      </c>
      <c r="AA63" s="7">
        <f t="shared" si="14"/>
        <v>17895248.291801848</v>
      </c>
      <c r="AB63" s="7">
        <f t="shared" si="14"/>
        <v>17593969.441777565</v>
      </c>
      <c r="AC63" s="7">
        <f t="shared" si="14"/>
        <v>549855.02079579222</v>
      </c>
      <c r="AD63" s="7">
        <f t="shared" si="14"/>
        <v>566683.47791309236</v>
      </c>
      <c r="AE63" s="7">
        <f t="shared" si="14"/>
        <v>81308.454960299423</v>
      </c>
      <c r="AF63" s="7">
        <f t="shared" si="14"/>
        <v>123406.36554046549</v>
      </c>
      <c r="AG63" s="7">
        <f t="shared" si="14"/>
        <v>434649.92047845712</v>
      </c>
      <c r="AH63" s="7">
        <f t="shared" si="14"/>
        <v>514721.37188820203</v>
      </c>
      <c r="AI63" s="7">
        <f t="shared" si="14"/>
        <v>123369.26925853235</v>
      </c>
      <c r="AJ63" s="7">
        <f t="shared" si="14"/>
        <v>93298.180480559633</v>
      </c>
      <c r="AK63" s="7">
        <f t="shared" si="14"/>
        <v>108855.95357231262</v>
      </c>
      <c r="AL63" s="7">
        <f t="shared" si="14"/>
        <v>100022.79577645517</v>
      </c>
      <c r="AM63" s="7">
        <f t="shared" si="14"/>
        <v>251077.82193562208</v>
      </c>
      <c r="AN63" s="7">
        <f t="shared" si="14"/>
        <v>173117.44740056197</v>
      </c>
      <c r="AO63" s="7">
        <f t="shared" si="14"/>
        <v>2738424.7613501702</v>
      </c>
      <c r="AP63" s="7">
        <f t="shared" si="14"/>
        <v>49269592.772665814</v>
      </c>
      <c r="AQ63" s="7">
        <f t="shared" si="14"/>
        <v>204769.52257544457</v>
      </c>
      <c r="AR63" s="7">
        <f t="shared" si="14"/>
        <v>32081581.68313745</v>
      </c>
      <c r="AS63" s="7">
        <f t="shared" si="14"/>
        <v>3523721.4669548324</v>
      </c>
      <c r="AT63" s="7">
        <f t="shared" si="14"/>
        <v>1303247.3953737842</v>
      </c>
      <c r="AU63" s="7">
        <f t="shared" si="14"/>
        <v>216355.0149062376</v>
      </c>
      <c r="AV63" s="7">
        <f t="shared" si="14"/>
        <v>254468.35091938285</v>
      </c>
      <c r="AW63" s="7">
        <f t="shared" si="14"/>
        <v>155306.61526432243</v>
      </c>
      <c r="AX63" s="7">
        <f t="shared" si="14"/>
        <v>81260.452573746647</v>
      </c>
      <c r="AY63" s="7">
        <f t="shared" si="14"/>
        <v>304725.76989508385</v>
      </c>
      <c r="AZ63" s="7">
        <f t="shared" si="14"/>
        <v>6306805.3758183587</v>
      </c>
      <c r="BA63" s="7">
        <f t="shared" si="14"/>
        <v>5489607.5711656148</v>
      </c>
      <c r="BB63" s="7">
        <f t="shared" si="14"/>
        <v>6155948.8893297724</v>
      </c>
      <c r="BC63" s="7">
        <f t="shared" si="14"/>
        <v>10935575.765983488</v>
      </c>
      <c r="BD63" s="7">
        <f t="shared" si="14"/>
        <v>1547641.3968382713</v>
      </c>
      <c r="BE63" s="7">
        <f t="shared" si="14"/>
        <v>696507.8364247221</v>
      </c>
      <c r="BF63" s="7">
        <f t="shared" si="14"/>
        <v>9915498.5603788272</v>
      </c>
      <c r="BG63" s="7">
        <f t="shared" si="14"/>
        <v>596242.4494212087</v>
      </c>
      <c r="BH63" s="7">
        <f t="shared" si="14"/>
        <v>328311.70143720863</v>
      </c>
      <c r="BI63" s="7">
        <f t="shared" si="14"/>
        <v>241110.96726936224</v>
      </c>
      <c r="BJ63" s="7">
        <f t="shared" si="14"/>
        <v>2846222.1441412461</v>
      </c>
      <c r="BK63" s="7">
        <f t="shared" si="14"/>
        <v>11067242.313914524</v>
      </c>
      <c r="BL63" s="7">
        <f t="shared" si="14"/>
        <v>82561.460373204944</v>
      </c>
      <c r="BM63" s="7">
        <f t="shared" si="14"/>
        <v>396650.24049345305</v>
      </c>
      <c r="BN63" s="7">
        <f t="shared" si="14"/>
        <v>1938189.9087948226</v>
      </c>
      <c r="BO63" s="7">
        <f t="shared" si="14"/>
        <v>982847.09158799471</v>
      </c>
      <c r="BP63" s="7">
        <f t="shared" si="14"/>
        <v>117815.55602096832</v>
      </c>
      <c r="BQ63" s="7">
        <f t="shared" si="14"/>
        <v>2891628.4715609546</v>
      </c>
      <c r="BR63" s="7">
        <f t="shared" si="14"/>
        <v>2287490.4209619872</v>
      </c>
      <c r="BS63" s="7">
        <f t="shared" si="14"/>
        <v>562639.48752807383</v>
      </c>
      <c r="BT63" s="7">
        <f t="shared" si="14"/>
        <v>216225.53547308687</v>
      </c>
      <c r="BU63" s="7">
        <f t="shared" si="14"/>
        <v>232339.53380005827</v>
      </c>
      <c r="BV63" s="7">
        <f t="shared" si="14"/>
        <v>683641.06110556971</v>
      </c>
      <c r="BW63" s="7">
        <f t="shared" si="14"/>
        <v>846721.21781425888</v>
      </c>
      <c r="BX63" s="7">
        <f t="shared" si="14"/>
        <v>58107.016577187038</v>
      </c>
      <c r="BY63" s="7">
        <f t="shared" si="14"/>
        <v>428323.47825513745</v>
      </c>
      <c r="BZ63" s="7">
        <f t="shared" si="14"/>
        <v>149598.21046641792</v>
      </c>
      <c r="CA63" s="7">
        <f t="shared" si="14"/>
        <v>57816.581214433165</v>
      </c>
      <c r="CB63" s="7">
        <f t="shared" si="14"/>
        <v>39322975.835512385</v>
      </c>
      <c r="CC63" s="7">
        <f t="shared" si="14"/>
        <v>129384.2568167835</v>
      </c>
      <c r="CD63" s="7">
        <f t="shared" si="14"/>
        <v>27599.405618017885</v>
      </c>
      <c r="CE63" s="7">
        <f t="shared" si="14"/>
        <v>151475.69035242582</v>
      </c>
      <c r="CF63" s="7">
        <f t="shared" si="14"/>
        <v>72740.328148000757</v>
      </c>
      <c r="CG63" s="7">
        <f t="shared" si="14"/>
        <v>122773.86791181409</v>
      </c>
      <c r="CH63" s="7">
        <f t="shared" si="14"/>
        <v>81934.396361887222</v>
      </c>
      <c r="CI63" s="7">
        <f t="shared" si="14"/>
        <v>498560.82741916185</v>
      </c>
      <c r="CJ63" s="7">
        <f t="shared" si="14"/>
        <v>621085.91641571827</v>
      </c>
      <c r="CK63" s="7">
        <f t="shared" si="14"/>
        <v>3235219.7712578927</v>
      </c>
      <c r="CL63" s="7">
        <f t="shared" si="14"/>
        <v>887033.79710856453</v>
      </c>
      <c r="CM63" s="7">
        <f t="shared" si="14"/>
        <v>528492.52589113661</v>
      </c>
      <c r="CN63" s="7">
        <f t="shared" si="14"/>
        <v>15541079.608868385</v>
      </c>
      <c r="CO63" s="7">
        <f t="shared" si="14"/>
        <v>7951642.5939582326</v>
      </c>
      <c r="CP63" s="7">
        <f t="shared" si="14"/>
        <v>467722.82009106758</v>
      </c>
      <c r="CQ63" s="7">
        <f t="shared" si="14"/>
        <v>613383.0888482664</v>
      </c>
      <c r="CR63" s="7">
        <f t="shared" si="14"/>
        <v>175619.76823391014</v>
      </c>
      <c r="CS63" s="7">
        <f t="shared" si="14"/>
        <v>172824.97477906602</v>
      </c>
      <c r="CT63" s="7">
        <f t="shared" si="14"/>
        <v>102289.6096285465</v>
      </c>
      <c r="CU63" s="7">
        <f t="shared" si="14"/>
        <v>96441.5474873106</v>
      </c>
      <c r="CV63" s="7">
        <f t="shared" si="14"/>
        <v>46466.156612030383</v>
      </c>
      <c r="CW63" s="7">
        <f t="shared" si="14"/>
        <v>185389.55671093561</v>
      </c>
      <c r="CX63" s="7">
        <f t="shared" si="14"/>
        <v>378680.81769251748</v>
      </c>
      <c r="CY63" s="7">
        <f t="shared" si="14"/>
        <v>40319.767191755403</v>
      </c>
      <c r="CZ63" s="7">
        <f t="shared" si="14"/>
        <v>1445360.3518001593</v>
      </c>
      <c r="DA63" s="7">
        <f t="shared" si="14"/>
        <v>118761.57728543418</v>
      </c>
      <c r="DB63" s="7">
        <f t="shared" si="14"/>
        <v>230980.96268869838</v>
      </c>
      <c r="DC63" s="7">
        <f t="shared" si="14"/>
        <v>184644.23070619485</v>
      </c>
      <c r="DD63" s="7">
        <f t="shared" si="14"/>
        <v>107823.8875335956</v>
      </c>
      <c r="DE63" s="7">
        <f t="shared" si="14"/>
        <v>170910.24276903531</v>
      </c>
      <c r="DF63" s="7">
        <f t="shared" si="14"/>
        <v>13856826.092310289</v>
      </c>
      <c r="DG63" s="7">
        <f t="shared" si="14"/>
        <v>46615.189704227072</v>
      </c>
      <c r="DH63" s="7">
        <f t="shared" si="14"/>
        <v>1180004.4695122996</v>
      </c>
      <c r="DI63" s="7">
        <f t="shared" si="14"/>
        <v>1803958.9666310013</v>
      </c>
      <c r="DJ63" s="7">
        <f t="shared" si="14"/>
        <v>384848.61456185119</v>
      </c>
      <c r="DK63" s="7">
        <f t="shared" si="14"/>
        <v>277162.55962692905</v>
      </c>
      <c r="DL63" s="7">
        <f t="shared" si="14"/>
        <v>3301078.4921195148</v>
      </c>
      <c r="DM63" s="7">
        <f t="shared" si="14"/>
        <v>258586.006587004</v>
      </c>
      <c r="DN63" s="7">
        <f t="shared" si="14"/>
        <v>788062.09909076511</v>
      </c>
      <c r="DO63" s="7">
        <f t="shared" si="14"/>
        <v>1688269.4853138258</v>
      </c>
      <c r="DP63" s="7">
        <f t="shared" si="14"/>
        <v>166594.73793269598</v>
      </c>
      <c r="DQ63" s="7">
        <f t="shared" si="14"/>
        <v>358354.62037811964</v>
      </c>
      <c r="DR63" s="7">
        <f t="shared" si="14"/>
        <v>767204.8997198554</v>
      </c>
      <c r="DS63" s="7">
        <f t="shared" si="14"/>
        <v>345603.91752007912</v>
      </c>
      <c r="DT63" s="7">
        <f t="shared" si="14"/>
        <v>63361.576432750931</v>
      </c>
      <c r="DU63" s="7">
        <f t="shared" si="14"/>
        <v>149205.17810480119</v>
      </c>
      <c r="DV63" s="7">
        <f t="shared" si="14"/>
        <v>98441.847109261129</v>
      </c>
      <c r="DW63" s="7">
        <f t="shared" si="14"/>
        <v>123873.17229779011</v>
      </c>
      <c r="DX63" s="7">
        <f t="shared" si="14"/>
        <v>93206.578928209172</v>
      </c>
      <c r="DY63" s="7">
        <f t="shared" si="14"/>
        <v>196534.16107701175</v>
      </c>
      <c r="DZ63" s="7">
        <f t="shared" si="14"/>
        <v>625321.34965118638</v>
      </c>
      <c r="EA63" s="7">
        <f t="shared" si="14"/>
        <v>532449.43882370694</v>
      </c>
      <c r="EB63" s="7">
        <f t="shared" si="14"/>
        <v>414187.58427971142</v>
      </c>
      <c r="EC63" s="7">
        <f t="shared" si="14"/>
        <v>207798.65111541696</v>
      </c>
      <c r="ED63" s="7">
        <f t="shared" si="14"/>
        <v>925536.09880404407</v>
      </c>
      <c r="EE63" s="7">
        <f t="shared" si="14"/>
        <v>94435.066005391389</v>
      </c>
      <c r="EF63" s="7">
        <f t="shared" si="14"/>
        <v>766840.28550778679</v>
      </c>
      <c r="EG63" s="7">
        <f t="shared" si="14"/>
        <v>132080.91287295337</v>
      </c>
      <c r="EH63" s="7">
        <f t="shared" si="14"/>
        <v>111448.8269026858</v>
      </c>
      <c r="EI63" s="7">
        <f t="shared" si="14"/>
        <v>8409210.7053326871</v>
      </c>
      <c r="EJ63" s="7">
        <f t="shared" si="14"/>
        <v>6070945.2586546866</v>
      </c>
      <c r="EK63" s="7">
        <f t="shared" si="14"/>
        <v>331709.13961849996</v>
      </c>
      <c r="EL63" s="7">
        <f t="shared" si="14"/>
        <v>359004.14726938715</v>
      </c>
      <c r="EM63" s="7">
        <f t="shared" si="14"/>
        <v>133629.31033063785</v>
      </c>
      <c r="EN63" s="7">
        <f t="shared" si="14"/>
        <v>599040.85408002674</v>
      </c>
      <c r="EO63" s="7">
        <f t="shared" si="14"/>
        <v>110515.75472165953</v>
      </c>
      <c r="EP63" s="7">
        <f t="shared" si="14"/>
        <v>198467.1499845293</v>
      </c>
      <c r="EQ63" s="7">
        <f t="shared" si="14"/>
        <v>1482699.5302336456</v>
      </c>
      <c r="ER63" s="7">
        <f t="shared" si="14"/>
        <v>178186.99681049981</v>
      </c>
      <c r="ES63" s="7">
        <f t="shared" si="14"/>
        <v>86407.437255903089</v>
      </c>
      <c r="ET63" s="7">
        <f t="shared" si="14"/>
        <v>99167.860137511045</v>
      </c>
      <c r="EU63" s="7">
        <f t="shared" si="14"/>
        <v>322912.49758654094</v>
      </c>
      <c r="EV63" s="7">
        <f t="shared" si="14"/>
        <v>43628.739060467371</v>
      </c>
      <c r="EW63" s="7">
        <f t="shared" si="14"/>
        <v>369514.55207151332</v>
      </c>
      <c r="EX63" s="7">
        <f t="shared" si="14"/>
        <v>81318.092788917696</v>
      </c>
      <c r="EY63" s="7">
        <f t="shared" si="14"/>
        <v>429529.24359690119</v>
      </c>
      <c r="EZ63" s="7">
        <f t="shared" si="14"/>
        <v>87699.390095574476</v>
      </c>
      <c r="FA63" s="7">
        <f t="shared" si="14"/>
        <v>1826713.564192686</v>
      </c>
      <c r="FB63" s="7">
        <f t="shared" si="14"/>
        <v>261415.66140057801</v>
      </c>
      <c r="FC63" s="7">
        <f t="shared" si="14"/>
        <v>1118743.3030608119</v>
      </c>
      <c r="FD63" s="7">
        <f t="shared" si="14"/>
        <v>347007.27838893526</v>
      </c>
      <c r="FE63" s="7">
        <f t="shared" si="14"/>
        <v>73495.369355636954</v>
      </c>
      <c r="FF63" s="7">
        <f t="shared" si="14"/>
        <v>194612.29182576112</v>
      </c>
      <c r="FG63" s="7">
        <f t="shared" si="14"/>
        <v>84433.012111264994</v>
      </c>
      <c r="FH63" s="7">
        <f t="shared" si="14"/>
        <v>86807.970763982477</v>
      </c>
      <c r="FI63" s="7">
        <f t="shared" si="14"/>
        <v>1197393.3302733083</v>
      </c>
      <c r="FJ63" s="7">
        <f t="shared" si="14"/>
        <v>801762.05190615822</v>
      </c>
      <c r="FK63" s="7">
        <f t="shared" si="14"/>
        <v>1253001.4648258083</v>
      </c>
      <c r="FL63" s="7">
        <f t="shared" si="14"/>
        <v>3501094.1756532299</v>
      </c>
      <c r="FM63" s="7">
        <f t="shared" si="14"/>
        <v>1963488.5233917458</v>
      </c>
      <c r="FN63" s="7">
        <f t="shared" si="14"/>
        <v>11231428.410913067</v>
      </c>
      <c r="FO63" s="7">
        <f t="shared" si="14"/>
        <v>607592.63138315966</v>
      </c>
      <c r="FP63" s="7">
        <f t="shared" si="14"/>
        <v>1267504.9977336868</v>
      </c>
      <c r="FQ63" s="7">
        <f t="shared" si="14"/>
        <v>603021.10860051261</v>
      </c>
      <c r="FR63" s="7">
        <f t="shared" si="14"/>
        <v>88488.239989595269</v>
      </c>
      <c r="FS63" s="7">
        <f t="shared" si="14"/>
        <v>82384.211328193938</v>
      </c>
      <c r="FT63" s="7">
        <f t="shared" si="14"/>
        <v>69243.539168030751</v>
      </c>
      <c r="FU63" s="7">
        <f t="shared" si="14"/>
        <v>591729.33694608184</v>
      </c>
      <c r="FV63" s="7">
        <f t="shared" si="14"/>
        <v>438814.89076443302</v>
      </c>
      <c r="FW63" s="7">
        <f t="shared" si="14"/>
        <v>104794.87353843845</v>
      </c>
      <c r="FX63" s="7">
        <f t="shared" si="14"/>
        <v>35710.539170131822</v>
      </c>
      <c r="FY63" s="7"/>
      <c r="FZ63" s="7">
        <f t="shared" si="13"/>
        <v>468248706.55608988</v>
      </c>
      <c r="GA63" s="49"/>
      <c r="GB63" s="7"/>
      <c r="GC63" s="7"/>
      <c r="GD63" s="7"/>
      <c r="GE63" s="7"/>
      <c r="GF63" s="7"/>
      <c r="GG63" s="7"/>
      <c r="GH63" s="7"/>
      <c r="GI63" s="7"/>
      <c r="GJ63" s="7"/>
      <c r="GK63" s="7"/>
    </row>
    <row r="64" spans="1:207" ht="15.5" x14ac:dyDescent="0.35">
      <c r="A64" s="7"/>
      <c r="B64" s="7" t="s">
        <v>786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49"/>
      <c r="GB64" s="7"/>
      <c r="GC64" s="7"/>
      <c r="GD64" s="7"/>
      <c r="GE64" s="7"/>
      <c r="GF64" s="7"/>
      <c r="GG64" s="7"/>
      <c r="GH64" s="7"/>
      <c r="GI64" s="7"/>
      <c r="GJ64" s="7"/>
      <c r="GK64" s="7"/>
    </row>
    <row r="65" spans="1:193" ht="15.5" x14ac:dyDescent="0.35">
      <c r="A65" s="7"/>
      <c r="B65" s="7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7"/>
      <c r="GA65" s="49"/>
      <c r="GB65" s="7"/>
      <c r="GC65" s="7"/>
      <c r="GD65" s="7"/>
      <c r="GE65" s="7"/>
      <c r="GF65" s="7"/>
      <c r="GG65" s="7"/>
      <c r="GH65" s="7"/>
      <c r="GI65" s="7"/>
      <c r="GJ65" s="7"/>
      <c r="GK65" s="7"/>
    </row>
    <row r="66" spans="1:193" ht="15.5" x14ac:dyDescent="0.35">
      <c r="A66" s="7"/>
      <c r="B66" s="5" t="s">
        <v>513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49"/>
      <c r="GB66" s="7"/>
      <c r="GC66" s="7"/>
      <c r="GD66" s="7"/>
      <c r="GE66" s="7"/>
      <c r="GF66" s="7"/>
      <c r="GG66" s="7"/>
      <c r="GH66" s="7"/>
      <c r="GI66" s="7"/>
      <c r="GJ66" s="7"/>
      <c r="GK66" s="7"/>
    </row>
    <row r="67" spans="1:193" ht="15.5" x14ac:dyDescent="0.35">
      <c r="A67" s="12" t="s">
        <v>787</v>
      </c>
      <c r="B67" s="7" t="s">
        <v>788</v>
      </c>
      <c r="C67" s="65">
        <f t="shared" ref="C67:FX67" si="15">$B$1</f>
        <v>2.3E-2</v>
      </c>
      <c r="D67" s="65">
        <f t="shared" si="15"/>
        <v>2.3E-2</v>
      </c>
      <c r="E67" s="65">
        <f t="shared" si="15"/>
        <v>2.3E-2</v>
      </c>
      <c r="F67" s="65">
        <f t="shared" si="15"/>
        <v>2.3E-2</v>
      </c>
      <c r="G67" s="65">
        <f t="shared" si="15"/>
        <v>2.3E-2</v>
      </c>
      <c r="H67" s="65">
        <f t="shared" si="15"/>
        <v>2.3E-2</v>
      </c>
      <c r="I67" s="65">
        <f t="shared" si="15"/>
        <v>2.3E-2</v>
      </c>
      <c r="J67" s="65">
        <f t="shared" si="15"/>
        <v>2.3E-2</v>
      </c>
      <c r="K67" s="65">
        <f t="shared" si="15"/>
        <v>2.3E-2</v>
      </c>
      <c r="L67" s="65">
        <f t="shared" si="15"/>
        <v>2.3E-2</v>
      </c>
      <c r="M67" s="65">
        <f t="shared" si="15"/>
        <v>2.3E-2</v>
      </c>
      <c r="N67" s="65">
        <f t="shared" si="15"/>
        <v>2.3E-2</v>
      </c>
      <c r="O67" s="65">
        <f t="shared" si="15"/>
        <v>2.3E-2</v>
      </c>
      <c r="P67" s="65">
        <f t="shared" si="15"/>
        <v>2.3E-2</v>
      </c>
      <c r="Q67" s="65">
        <f t="shared" si="15"/>
        <v>2.3E-2</v>
      </c>
      <c r="R67" s="65">
        <f t="shared" si="15"/>
        <v>2.3E-2</v>
      </c>
      <c r="S67" s="65">
        <f t="shared" si="15"/>
        <v>2.3E-2</v>
      </c>
      <c r="T67" s="65">
        <f t="shared" si="15"/>
        <v>2.3E-2</v>
      </c>
      <c r="U67" s="65">
        <f t="shared" si="15"/>
        <v>2.3E-2</v>
      </c>
      <c r="V67" s="65">
        <f t="shared" si="15"/>
        <v>2.3E-2</v>
      </c>
      <c r="W67" s="65">
        <f t="shared" si="15"/>
        <v>2.3E-2</v>
      </c>
      <c r="X67" s="65">
        <f t="shared" si="15"/>
        <v>2.3E-2</v>
      </c>
      <c r="Y67" s="65">
        <f t="shared" si="15"/>
        <v>2.3E-2</v>
      </c>
      <c r="Z67" s="65">
        <f t="shared" si="15"/>
        <v>2.3E-2</v>
      </c>
      <c r="AA67" s="65">
        <f t="shared" si="15"/>
        <v>2.3E-2</v>
      </c>
      <c r="AB67" s="65">
        <f t="shared" si="15"/>
        <v>2.3E-2</v>
      </c>
      <c r="AC67" s="65">
        <f t="shared" si="15"/>
        <v>2.3E-2</v>
      </c>
      <c r="AD67" s="65">
        <f t="shared" si="15"/>
        <v>2.3E-2</v>
      </c>
      <c r="AE67" s="65">
        <f t="shared" si="15"/>
        <v>2.3E-2</v>
      </c>
      <c r="AF67" s="65">
        <f t="shared" si="15"/>
        <v>2.3E-2</v>
      </c>
      <c r="AG67" s="65">
        <f t="shared" si="15"/>
        <v>2.3E-2</v>
      </c>
      <c r="AH67" s="65">
        <f t="shared" si="15"/>
        <v>2.3E-2</v>
      </c>
      <c r="AI67" s="65">
        <f t="shared" si="15"/>
        <v>2.3E-2</v>
      </c>
      <c r="AJ67" s="65">
        <f t="shared" si="15"/>
        <v>2.3E-2</v>
      </c>
      <c r="AK67" s="65">
        <f t="shared" si="15"/>
        <v>2.3E-2</v>
      </c>
      <c r="AL67" s="65">
        <f t="shared" si="15"/>
        <v>2.3E-2</v>
      </c>
      <c r="AM67" s="65">
        <f t="shared" si="15"/>
        <v>2.3E-2</v>
      </c>
      <c r="AN67" s="65">
        <f t="shared" si="15"/>
        <v>2.3E-2</v>
      </c>
      <c r="AO67" s="65">
        <f t="shared" si="15"/>
        <v>2.3E-2</v>
      </c>
      <c r="AP67" s="65">
        <f t="shared" si="15"/>
        <v>2.3E-2</v>
      </c>
      <c r="AQ67" s="65">
        <f t="shared" si="15"/>
        <v>2.3E-2</v>
      </c>
      <c r="AR67" s="65">
        <f t="shared" si="15"/>
        <v>2.3E-2</v>
      </c>
      <c r="AS67" s="65">
        <f t="shared" si="15"/>
        <v>2.3E-2</v>
      </c>
      <c r="AT67" s="65">
        <f t="shared" si="15"/>
        <v>2.3E-2</v>
      </c>
      <c r="AU67" s="65">
        <f t="shared" si="15"/>
        <v>2.3E-2</v>
      </c>
      <c r="AV67" s="65">
        <f t="shared" si="15"/>
        <v>2.3E-2</v>
      </c>
      <c r="AW67" s="65">
        <f t="shared" si="15"/>
        <v>2.3E-2</v>
      </c>
      <c r="AX67" s="65">
        <f t="shared" si="15"/>
        <v>2.3E-2</v>
      </c>
      <c r="AY67" s="65">
        <f t="shared" si="15"/>
        <v>2.3E-2</v>
      </c>
      <c r="AZ67" s="65">
        <f t="shared" si="15"/>
        <v>2.3E-2</v>
      </c>
      <c r="BA67" s="65">
        <f t="shared" si="15"/>
        <v>2.3E-2</v>
      </c>
      <c r="BB67" s="65">
        <f t="shared" si="15"/>
        <v>2.3E-2</v>
      </c>
      <c r="BC67" s="65">
        <f t="shared" si="15"/>
        <v>2.3E-2</v>
      </c>
      <c r="BD67" s="65">
        <f t="shared" si="15"/>
        <v>2.3E-2</v>
      </c>
      <c r="BE67" s="65">
        <f t="shared" si="15"/>
        <v>2.3E-2</v>
      </c>
      <c r="BF67" s="65">
        <f t="shared" si="15"/>
        <v>2.3E-2</v>
      </c>
      <c r="BG67" s="65">
        <f t="shared" si="15"/>
        <v>2.3E-2</v>
      </c>
      <c r="BH67" s="65">
        <f t="shared" si="15"/>
        <v>2.3E-2</v>
      </c>
      <c r="BI67" s="65">
        <f t="shared" si="15"/>
        <v>2.3E-2</v>
      </c>
      <c r="BJ67" s="65">
        <f t="shared" si="15"/>
        <v>2.3E-2</v>
      </c>
      <c r="BK67" s="65">
        <f t="shared" si="15"/>
        <v>2.3E-2</v>
      </c>
      <c r="BL67" s="65">
        <f t="shared" si="15"/>
        <v>2.3E-2</v>
      </c>
      <c r="BM67" s="65">
        <f t="shared" si="15"/>
        <v>2.3E-2</v>
      </c>
      <c r="BN67" s="65">
        <f t="shared" si="15"/>
        <v>2.3E-2</v>
      </c>
      <c r="BO67" s="65">
        <f t="shared" si="15"/>
        <v>2.3E-2</v>
      </c>
      <c r="BP67" s="65">
        <f t="shared" si="15"/>
        <v>2.3E-2</v>
      </c>
      <c r="BQ67" s="65">
        <f t="shared" si="15"/>
        <v>2.3E-2</v>
      </c>
      <c r="BR67" s="65">
        <f t="shared" si="15"/>
        <v>2.3E-2</v>
      </c>
      <c r="BS67" s="65">
        <f t="shared" si="15"/>
        <v>2.3E-2</v>
      </c>
      <c r="BT67" s="65">
        <f t="shared" si="15"/>
        <v>2.3E-2</v>
      </c>
      <c r="BU67" s="65">
        <f t="shared" si="15"/>
        <v>2.3E-2</v>
      </c>
      <c r="BV67" s="65">
        <f t="shared" si="15"/>
        <v>2.3E-2</v>
      </c>
      <c r="BW67" s="65">
        <f t="shared" si="15"/>
        <v>2.3E-2</v>
      </c>
      <c r="BX67" s="65">
        <f t="shared" si="15"/>
        <v>2.3E-2</v>
      </c>
      <c r="BY67" s="65">
        <f t="shared" si="15"/>
        <v>2.3E-2</v>
      </c>
      <c r="BZ67" s="65">
        <f t="shared" si="15"/>
        <v>2.3E-2</v>
      </c>
      <c r="CA67" s="65">
        <f t="shared" si="15"/>
        <v>2.3E-2</v>
      </c>
      <c r="CB67" s="65">
        <f t="shared" si="15"/>
        <v>2.3E-2</v>
      </c>
      <c r="CC67" s="65">
        <f t="shared" si="15"/>
        <v>2.3E-2</v>
      </c>
      <c r="CD67" s="65">
        <f t="shared" si="15"/>
        <v>2.3E-2</v>
      </c>
      <c r="CE67" s="65">
        <f t="shared" si="15"/>
        <v>2.3E-2</v>
      </c>
      <c r="CF67" s="65">
        <f t="shared" si="15"/>
        <v>2.3E-2</v>
      </c>
      <c r="CG67" s="65">
        <f t="shared" si="15"/>
        <v>2.3E-2</v>
      </c>
      <c r="CH67" s="65">
        <f t="shared" si="15"/>
        <v>2.3E-2</v>
      </c>
      <c r="CI67" s="65">
        <f t="shared" si="15"/>
        <v>2.3E-2</v>
      </c>
      <c r="CJ67" s="65">
        <f t="shared" si="15"/>
        <v>2.3E-2</v>
      </c>
      <c r="CK67" s="65">
        <f t="shared" si="15"/>
        <v>2.3E-2</v>
      </c>
      <c r="CL67" s="65">
        <f t="shared" si="15"/>
        <v>2.3E-2</v>
      </c>
      <c r="CM67" s="65">
        <f t="shared" si="15"/>
        <v>2.3E-2</v>
      </c>
      <c r="CN67" s="65">
        <f t="shared" si="15"/>
        <v>2.3E-2</v>
      </c>
      <c r="CO67" s="65">
        <f t="shared" si="15"/>
        <v>2.3E-2</v>
      </c>
      <c r="CP67" s="65">
        <f t="shared" si="15"/>
        <v>2.3E-2</v>
      </c>
      <c r="CQ67" s="65">
        <f t="shared" si="15"/>
        <v>2.3E-2</v>
      </c>
      <c r="CR67" s="65">
        <f t="shared" si="15"/>
        <v>2.3E-2</v>
      </c>
      <c r="CS67" s="65">
        <f t="shared" si="15"/>
        <v>2.3E-2</v>
      </c>
      <c r="CT67" s="65">
        <f t="shared" si="15"/>
        <v>2.3E-2</v>
      </c>
      <c r="CU67" s="65">
        <f t="shared" si="15"/>
        <v>2.3E-2</v>
      </c>
      <c r="CV67" s="65">
        <f t="shared" si="15"/>
        <v>2.3E-2</v>
      </c>
      <c r="CW67" s="65">
        <f t="shared" si="15"/>
        <v>2.3E-2</v>
      </c>
      <c r="CX67" s="65">
        <f t="shared" si="15"/>
        <v>2.3E-2</v>
      </c>
      <c r="CY67" s="65">
        <f t="shared" si="15"/>
        <v>2.3E-2</v>
      </c>
      <c r="CZ67" s="65">
        <f t="shared" si="15"/>
        <v>2.3E-2</v>
      </c>
      <c r="DA67" s="65">
        <f t="shared" si="15"/>
        <v>2.3E-2</v>
      </c>
      <c r="DB67" s="65">
        <f t="shared" si="15"/>
        <v>2.3E-2</v>
      </c>
      <c r="DC67" s="65">
        <f t="shared" si="15"/>
        <v>2.3E-2</v>
      </c>
      <c r="DD67" s="65">
        <f t="shared" si="15"/>
        <v>2.3E-2</v>
      </c>
      <c r="DE67" s="65">
        <f t="shared" si="15"/>
        <v>2.3E-2</v>
      </c>
      <c r="DF67" s="65">
        <f t="shared" si="15"/>
        <v>2.3E-2</v>
      </c>
      <c r="DG67" s="65">
        <f t="shared" si="15"/>
        <v>2.3E-2</v>
      </c>
      <c r="DH67" s="65">
        <f t="shared" si="15"/>
        <v>2.3E-2</v>
      </c>
      <c r="DI67" s="65">
        <f t="shared" si="15"/>
        <v>2.3E-2</v>
      </c>
      <c r="DJ67" s="65">
        <f t="shared" si="15"/>
        <v>2.3E-2</v>
      </c>
      <c r="DK67" s="65">
        <f t="shared" si="15"/>
        <v>2.3E-2</v>
      </c>
      <c r="DL67" s="65">
        <f t="shared" si="15"/>
        <v>2.3E-2</v>
      </c>
      <c r="DM67" s="65">
        <f t="shared" si="15"/>
        <v>2.3E-2</v>
      </c>
      <c r="DN67" s="65">
        <f t="shared" si="15"/>
        <v>2.3E-2</v>
      </c>
      <c r="DO67" s="65">
        <f t="shared" si="15"/>
        <v>2.3E-2</v>
      </c>
      <c r="DP67" s="65">
        <f t="shared" si="15"/>
        <v>2.3E-2</v>
      </c>
      <c r="DQ67" s="65">
        <f t="shared" si="15"/>
        <v>2.3E-2</v>
      </c>
      <c r="DR67" s="65">
        <f t="shared" si="15"/>
        <v>2.3E-2</v>
      </c>
      <c r="DS67" s="65">
        <f t="shared" si="15"/>
        <v>2.3E-2</v>
      </c>
      <c r="DT67" s="65">
        <f t="shared" si="15"/>
        <v>2.3E-2</v>
      </c>
      <c r="DU67" s="65">
        <f t="shared" si="15"/>
        <v>2.3E-2</v>
      </c>
      <c r="DV67" s="65">
        <f t="shared" si="15"/>
        <v>2.3E-2</v>
      </c>
      <c r="DW67" s="65">
        <f t="shared" si="15"/>
        <v>2.3E-2</v>
      </c>
      <c r="DX67" s="65">
        <f t="shared" si="15"/>
        <v>2.3E-2</v>
      </c>
      <c r="DY67" s="65">
        <f t="shared" si="15"/>
        <v>2.3E-2</v>
      </c>
      <c r="DZ67" s="65">
        <f t="shared" si="15"/>
        <v>2.3E-2</v>
      </c>
      <c r="EA67" s="65">
        <f t="shared" si="15"/>
        <v>2.3E-2</v>
      </c>
      <c r="EB67" s="65">
        <f t="shared" si="15"/>
        <v>2.3E-2</v>
      </c>
      <c r="EC67" s="65">
        <f t="shared" si="15"/>
        <v>2.3E-2</v>
      </c>
      <c r="ED67" s="65">
        <f t="shared" si="15"/>
        <v>2.3E-2</v>
      </c>
      <c r="EE67" s="65">
        <f t="shared" si="15"/>
        <v>2.3E-2</v>
      </c>
      <c r="EF67" s="65">
        <f t="shared" si="15"/>
        <v>2.3E-2</v>
      </c>
      <c r="EG67" s="65">
        <f t="shared" si="15"/>
        <v>2.3E-2</v>
      </c>
      <c r="EH67" s="65">
        <f t="shared" si="15"/>
        <v>2.3E-2</v>
      </c>
      <c r="EI67" s="65">
        <f t="shared" si="15"/>
        <v>2.3E-2</v>
      </c>
      <c r="EJ67" s="65">
        <f t="shared" si="15"/>
        <v>2.3E-2</v>
      </c>
      <c r="EK67" s="65">
        <f t="shared" si="15"/>
        <v>2.3E-2</v>
      </c>
      <c r="EL67" s="65">
        <f t="shared" si="15"/>
        <v>2.3E-2</v>
      </c>
      <c r="EM67" s="65">
        <f t="shared" si="15"/>
        <v>2.3E-2</v>
      </c>
      <c r="EN67" s="65">
        <f t="shared" si="15"/>
        <v>2.3E-2</v>
      </c>
      <c r="EO67" s="65">
        <f t="shared" si="15"/>
        <v>2.3E-2</v>
      </c>
      <c r="EP67" s="65">
        <f t="shared" si="15"/>
        <v>2.3E-2</v>
      </c>
      <c r="EQ67" s="65">
        <f t="shared" si="15"/>
        <v>2.3E-2</v>
      </c>
      <c r="ER67" s="65">
        <f t="shared" si="15"/>
        <v>2.3E-2</v>
      </c>
      <c r="ES67" s="65">
        <f t="shared" si="15"/>
        <v>2.3E-2</v>
      </c>
      <c r="ET67" s="65">
        <f t="shared" si="15"/>
        <v>2.3E-2</v>
      </c>
      <c r="EU67" s="65">
        <f t="shared" si="15"/>
        <v>2.3E-2</v>
      </c>
      <c r="EV67" s="65">
        <f t="shared" si="15"/>
        <v>2.3E-2</v>
      </c>
      <c r="EW67" s="65">
        <f t="shared" si="15"/>
        <v>2.3E-2</v>
      </c>
      <c r="EX67" s="65">
        <f t="shared" si="15"/>
        <v>2.3E-2</v>
      </c>
      <c r="EY67" s="65">
        <f t="shared" si="15"/>
        <v>2.3E-2</v>
      </c>
      <c r="EZ67" s="65">
        <f t="shared" si="15"/>
        <v>2.3E-2</v>
      </c>
      <c r="FA67" s="65">
        <f t="shared" si="15"/>
        <v>2.3E-2</v>
      </c>
      <c r="FB67" s="65">
        <f t="shared" si="15"/>
        <v>2.3E-2</v>
      </c>
      <c r="FC67" s="65">
        <f t="shared" si="15"/>
        <v>2.3E-2</v>
      </c>
      <c r="FD67" s="65">
        <f t="shared" si="15"/>
        <v>2.3E-2</v>
      </c>
      <c r="FE67" s="65">
        <f t="shared" si="15"/>
        <v>2.3E-2</v>
      </c>
      <c r="FF67" s="65">
        <f t="shared" si="15"/>
        <v>2.3E-2</v>
      </c>
      <c r="FG67" s="65">
        <f t="shared" si="15"/>
        <v>2.3E-2</v>
      </c>
      <c r="FH67" s="65">
        <f t="shared" si="15"/>
        <v>2.3E-2</v>
      </c>
      <c r="FI67" s="65">
        <f t="shared" si="15"/>
        <v>2.3E-2</v>
      </c>
      <c r="FJ67" s="65">
        <f t="shared" si="15"/>
        <v>2.3E-2</v>
      </c>
      <c r="FK67" s="65">
        <f t="shared" si="15"/>
        <v>2.3E-2</v>
      </c>
      <c r="FL67" s="65">
        <f t="shared" si="15"/>
        <v>2.3E-2</v>
      </c>
      <c r="FM67" s="65">
        <f t="shared" si="15"/>
        <v>2.3E-2</v>
      </c>
      <c r="FN67" s="65">
        <f t="shared" si="15"/>
        <v>2.3E-2</v>
      </c>
      <c r="FO67" s="65">
        <f t="shared" si="15"/>
        <v>2.3E-2</v>
      </c>
      <c r="FP67" s="65">
        <f t="shared" si="15"/>
        <v>2.3E-2</v>
      </c>
      <c r="FQ67" s="65">
        <f t="shared" si="15"/>
        <v>2.3E-2</v>
      </c>
      <c r="FR67" s="65">
        <f t="shared" si="15"/>
        <v>2.3E-2</v>
      </c>
      <c r="FS67" s="65">
        <f t="shared" si="15"/>
        <v>2.3E-2</v>
      </c>
      <c r="FT67" s="65">
        <f t="shared" si="15"/>
        <v>2.3E-2</v>
      </c>
      <c r="FU67" s="65">
        <f t="shared" si="15"/>
        <v>2.3E-2</v>
      </c>
      <c r="FV67" s="65">
        <f t="shared" si="15"/>
        <v>2.3E-2</v>
      </c>
      <c r="FW67" s="65">
        <f t="shared" si="15"/>
        <v>2.3E-2</v>
      </c>
      <c r="FX67" s="65">
        <f t="shared" si="15"/>
        <v>2.3E-2</v>
      </c>
      <c r="FY67" s="65"/>
      <c r="FZ67" s="65"/>
      <c r="GA67" s="49"/>
      <c r="GB67" s="7"/>
      <c r="GC67" s="7"/>
      <c r="GD67" s="7"/>
      <c r="GE67" s="7"/>
      <c r="GF67" s="7"/>
      <c r="GG67" s="7"/>
      <c r="GH67" s="7"/>
      <c r="GI67" s="7"/>
      <c r="GJ67" s="7"/>
      <c r="GK67" s="7"/>
    </row>
    <row r="68" spans="1:193" ht="15.5" x14ac:dyDescent="0.35">
      <c r="A68" s="12" t="s">
        <v>789</v>
      </c>
      <c r="B68" s="7" t="s">
        <v>790</v>
      </c>
      <c r="C68" s="49">
        <v>999999999</v>
      </c>
      <c r="D68" s="49">
        <v>999999999</v>
      </c>
      <c r="E68" s="49">
        <v>999999999</v>
      </c>
      <c r="F68" s="49">
        <v>999999999</v>
      </c>
      <c r="G68" s="49">
        <v>999999999</v>
      </c>
      <c r="H68" s="49">
        <v>999999999</v>
      </c>
      <c r="I68" s="49">
        <v>999999999</v>
      </c>
      <c r="J68" s="49">
        <v>999999999</v>
      </c>
      <c r="K68" s="49">
        <v>999999999</v>
      </c>
      <c r="L68" s="49">
        <v>999999999</v>
      </c>
      <c r="M68" s="49">
        <v>999999999</v>
      </c>
      <c r="N68" s="49">
        <v>999999999</v>
      </c>
      <c r="O68" s="49">
        <v>999999999</v>
      </c>
      <c r="P68" s="49">
        <v>999999999</v>
      </c>
      <c r="Q68" s="49">
        <v>999999999</v>
      </c>
      <c r="R68" s="49">
        <v>999999999</v>
      </c>
      <c r="S68" s="49">
        <v>999999999</v>
      </c>
      <c r="T68" s="49">
        <v>999999999</v>
      </c>
      <c r="U68" s="49">
        <v>999999999</v>
      </c>
      <c r="V68" s="49">
        <v>999999999</v>
      </c>
      <c r="W68" s="49">
        <v>999999999</v>
      </c>
      <c r="X68" s="49">
        <v>999999999</v>
      </c>
      <c r="Y68" s="49">
        <v>999999999</v>
      </c>
      <c r="Z68" s="49">
        <v>999999999</v>
      </c>
      <c r="AA68" s="49">
        <v>999999999</v>
      </c>
      <c r="AB68" s="49">
        <v>999999999</v>
      </c>
      <c r="AC68" s="49">
        <v>999999999</v>
      </c>
      <c r="AD68" s="49">
        <v>999999999</v>
      </c>
      <c r="AE68" s="49">
        <v>999999999</v>
      </c>
      <c r="AF68" s="49">
        <v>999999999</v>
      </c>
      <c r="AG68" s="49">
        <v>999999999</v>
      </c>
      <c r="AH68" s="49">
        <v>999999999</v>
      </c>
      <c r="AI68" s="49">
        <v>999999999</v>
      </c>
      <c r="AJ68" s="49">
        <v>999999999</v>
      </c>
      <c r="AK68" s="49">
        <v>999999999</v>
      </c>
      <c r="AL68" s="49">
        <v>999999999</v>
      </c>
      <c r="AM68" s="49">
        <v>999999999</v>
      </c>
      <c r="AN68" s="49">
        <v>999999999</v>
      </c>
      <c r="AO68" s="49">
        <v>999999999</v>
      </c>
      <c r="AP68" s="49">
        <v>9999999999</v>
      </c>
      <c r="AQ68" s="49">
        <v>999999999</v>
      </c>
      <c r="AR68" s="49">
        <v>999999999</v>
      </c>
      <c r="AS68" s="49">
        <v>999999999</v>
      </c>
      <c r="AT68" s="49">
        <v>999999999</v>
      </c>
      <c r="AU68" s="49">
        <v>999999999</v>
      </c>
      <c r="AV68" s="49">
        <v>999999999</v>
      </c>
      <c r="AW68" s="49">
        <v>999999999</v>
      </c>
      <c r="AX68" s="49">
        <v>999999999</v>
      </c>
      <c r="AY68" s="49">
        <v>999999999</v>
      </c>
      <c r="AZ68" s="49">
        <v>999999999</v>
      </c>
      <c r="BA68" s="49">
        <v>999999999</v>
      </c>
      <c r="BB68" s="49">
        <v>999999999</v>
      </c>
      <c r="BC68" s="49">
        <v>999999999</v>
      </c>
      <c r="BD68" s="49">
        <v>999999999</v>
      </c>
      <c r="BE68" s="49">
        <v>999999999</v>
      </c>
      <c r="BF68" s="49">
        <v>999999999</v>
      </c>
      <c r="BG68" s="49">
        <v>999999999</v>
      </c>
      <c r="BH68" s="49">
        <v>999999999</v>
      </c>
      <c r="BI68" s="49">
        <v>999999999</v>
      </c>
      <c r="BJ68" s="49">
        <v>999999999</v>
      </c>
      <c r="BK68" s="49">
        <v>999999999</v>
      </c>
      <c r="BL68" s="49">
        <v>999999999</v>
      </c>
      <c r="BM68" s="49">
        <v>999999999</v>
      </c>
      <c r="BN68" s="49">
        <v>999999999</v>
      </c>
      <c r="BO68" s="49">
        <v>999999999</v>
      </c>
      <c r="BP68" s="49">
        <v>999999999</v>
      </c>
      <c r="BQ68" s="49">
        <v>999999999</v>
      </c>
      <c r="BR68" s="49">
        <v>999999999</v>
      </c>
      <c r="BS68" s="49">
        <v>999999999</v>
      </c>
      <c r="BT68" s="49">
        <v>999999999</v>
      </c>
      <c r="BU68" s="49">
        <v>999999999</v>
      </c>
      <c r="BV68" s="49">
        <v>999999999</v>
      </c>
      <c r="BW68" s="49">
        <v>999999999</v>
      </c>
      <c r="BX68" s="49">
        <v>999999999</v>
      </c>
      <c r="BY68" s="49">
        <v>999999999</v>
      </c>
      <c r="BZ68" s="49">
        <v>999999999</v>
      </c>
      <c r="CA68" s="49">
        <v>999999999</v>
      </c>
      <c r="CB68" s="49">
        <v>999999999</v>
      </c>
      <c r="CC68" s="49">
        <v>999999999</v>
      </c>
      <c r="CD68" s="49">
        <v>999999999</v>
      </c>
      <c r="CE68" s="49">
        <v>999999999</v>
      </c>
      <c r="CF68" s="49">
        <v>999999999</v>
      </c>
      <c r="CG68" s="49">
        <v>999999999</v>
      </c>
      <c r="CH68" s="49">
        <v>999999999</v>
      </c>
      <c r="CI68" s="49">
        <v>999999999</v>
      </c>
      <c r="CJ68" s="49">
        <v>999999999</v>
      </c>
      <c r="CK68" s="49">
        <v>999999999</v>
      </c>
      <c r="CL68" s="49">
        <v>999999999</v>
      </c>
      <c r="CM68" s="49">
        <v>999999999</v>
      </c>
      <c r="CN68" s="49">
        <v>999999999</v>
      </c>
      <c r="CO68" s="49">
        <v>999999999</v>
      </c>
      <c r="CP68" s="49">
        <v>999999999</v>
      </c>
      <c r="CQ68" s="49">
        <v>999999999</v>
      </c>
      <c r="CR68" s="49">
        <v>999999999</v>
      </c>
      <c r="CS68" s="49">
        <v>999999999</v>
      </c>
      <c r="CT68" s="49">
        <v>999999999</v>
      </c>
      <c r="CU68" s="49">
        <v>999999999</v>
      </c>
      <c r="CV68" s="49">
        <v>999999999</v>
      </c>
      <c r="CW68" s="49">
        <v>999999999</v>
      </c>
      <c r="CX68" s="49">
        <v>999999999</v>
      </c>
      <c r="CY68" s="49">
        <v>999999999</v>
      </c>
      <c r="CZ68" s="49">
        <v>999999999</v>
      </c>
      <c r="DA68" s="49">
        <v>999999999</v>
      </c>
      <c r="DB68" s="49">
        <v>999999999</v>
      </c>
      <c r="DC68" s="49">
        <v>999999999</v>
      </c>
      <c r="DD68" s="49">
        <v>999999999</v>
      </c>
      <c r="DE68" s="49">
        <v>999999999</v>
      </c>
      <c r="DF68" s="49">
        <v>999999999</v>
      </c>
      <c r="DG68" s="49">
        <v>999999999</v>
      </c>
      <c r="DH68" s="49">
        <v>999999999</v>
      </c>
      <c r="DI68" s="49">
        <v>999999999</v>
      </c>
      <c r="DJ68" s="49">
        <v>999999999</v>
      </c>
      <c r="DK68" s="49">
        <v>999999999</v>
      </c>
      <c r="DL68" s="49">
        <v>999999999</v>
      </c>
      <c r="DM68" s="49">
        <v>999999999</v>
      </c>
      <c r="DN68" s="49">
        <v>999999999</v>
      </c>
      <c r="DO68" s="49">
        <v>999999999</v>
      </c>
      <c r="DP68" s="49">
        <v>999999999</v>
      </c>
      <c r="DQ68" s="49">
        <v>999999999</v>
      </c>
      <c r="DR68" s="49">
        <v>999999999</v>
      </c>
      <c r="DS68" s="49">
        <v>999999999</v>
      </c>
      <c r="DT68" s="49">
        <v>999999999</v>
      </c>
      <c r="DU68" s="49">
        <v>999999999</v>
      </c>
      <c r="DV68" s="49">
        <v>999999999</v>
      </c>
      <c r="DW68" s="49">
        <v>999999999</v>
      </c>
      <c r="DX68" s="49">
        <v>999999999</v>
      </c>
      <c r="DY68" s="49">
        <v>999999999</v>
      </c>
      <c r="DZ68" s="49">
        <v>999999999</v>
      </c>
      <c r="EA68" s="49">
        <v>999999999</v>
      </c>
      <c r="EB68" s="49">
        <v>999999999</v>
      </c>
      <c r="EC68" s="49">
        <v>999999999</v>
      </c>
      <c r="ED68" s="49">
        <v>999999999</v>
      </c>
      <c r="EE68" s="49">
        <v>999999999</v>
      </c>
      <c r="EF68" s="49">
        <v>999999999</v>
      </c>
      <c r="EG68" s="49">
        <v>999999999</v>
      </c>
      <c r="EH68" s="49">
        <v>999999999</v>
      </c>
      <c r="EI68" s="49">
        <v>999999999</v>
      </c>
      <c r="EJ68" s="49">
        <v>999999999</v>
      </c>
      <c r="EK68" s="49">
        <v>999999999</v>
      </c>
      <c r="EL68" s="49">
        <v>999999999</v>
      </c>
      <c r="EM68" s="49">
        <v>999999999</v>
      </c>
      <c r="EN68" s="49">
        <v>999999999</v>
      </c>
      <c r="EO68" s="49">
        <v>999999999</v>
      </c>
      <c r="EP68" s="49">
        <v>999999999</v>
      </c>
      <c r="EQ68" s="49">
        <v>999999999</v>
      </c>
      <c r="ER68" s="49">
        <v>999999999</v>
      </c>
      <c r="ES68" s="49">
        <v>999999999</v>
      </c>
      <c r="ET68" s="49">
        <v>999999999</v>
      </c>
      <c r="EU68" s="49">
        <v>999999999</v>
      </c>
      <c r="EV68" s="49">
        <v>999999999</v>
      </c>
      <c r="EW68" s="49">
        <v>999999999</v>
      </c>
      <c r="EX68" s="49">
        <v>999999999</v>
      </c>
      <c r="EY68" s="49">
        <v>999999999</v>
      </c>
      <c r="EZ68" s="49">
        <v>999999999</v>
      </c>
      <c r="FA68" s="49">
        <v>999999999</v>
      </c>
      <c r="FB68" s="49">
        <v>999999999</v>
      </c>
      <c r="FC68" s="49">
        <v>999999999</v>
      </c>
      <c r="FD68" s="49">
        <v>999999999</v>
      </c>
      <c r="FE68" s="49">
        <v>999999999</v>
      </c>
      <c r="FF68" s="49">
        <v>999999999</v>
      </c>
      <c r="FG68" s="49">
        <v>999999999</v>
      </c>
      <c r="FH68" s="49">
        <v>999999999</v>
      </c>
      <c r="FI68" s="49">
        <v>999999999</v>
      </c>
      <c r="FJ68" s="49">
        <v>999999999</v>
      </c>
      <c r="FK68" s="49">
        <v>999999999</v>
      </c>
      <c r="FL68" s="49">
        <v>999999999</v>
      </c>
      <c r="FM68" s="49">
        <v>999999999</v>
      </c>
      <c r="FN68" s="49">
        <v>999999999</v>
      </c>
      <c r="FO68" s="49">
        <v>999999999</v>
      </c>
      <c r="FP68" s="49">
        <v>999999999</v>
      </c>
      <c r="FQ68" s="49">
        <v>999999999</v>
      </c>
      <c r="FR68" s="49">
        <v>999999999</v>
      </c>
      <c r="FS68" s="49">
        <v>999999999</v>
      </c>
      <c r="FT68" s="49">
        <v>999999999</v>
      </c>
      <c r="FU68" s="49">
        <v>999999999</v>
      </c>
      <c r="FV68" s="49">
        <v>999999999</v>
      </c>
      <c r="FW68" s="49">
        <v>999999999</v>
      </c>
      <c r="FX68" s="49">
        <v>999999999</v>
      </c>
      <c r="FY68" s="49"/>
      <c r="FZ68" s="49">
        <f>SUM(C68:FX68)</f>
        <v>186999999822</v>
      </c>
      <c r="GA68" s="49"/>
      <c r="GB68" s="65"/>
      <c r="GC68" s="65"/>
      <c r="GD68" s="65"/>
      <c r="GE68" s="7"/>
      <c r="GF68" s="7"/>
      <c r="GG68" s="7"/>
      <c r="GH68" s="7"/>
      <c r="GI68" s="7"/>
      <c r="GJ68" s="7"/>
      <c r="GK68" s="7"/>
    </row>
    <row r="69" spans="1:193" ht="15.5" x14ac:dyDescent="0.35">
      <c r="A69" s="7"/>
      <c r="B69" s="7" t="s">
        <v>791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7"/>
      <c r="GB69" s="49"/>
      <c r="GC69" s="49"/>
      <c r="GD69" s="49"/>
      <c r="GE69" s="7"/>
      <c r="GF69" s="49"/>
      <c r="GG69" s="49"/>
      <c r="GH69" s="49"/>
      <c r="GI69" s="49"/>
      <c r="GJ69" s="49"/>
      <c r="GK69" s="7"/>
    </row>
    <row r="70" spans="1:193" ht="15.5" x14ac:dyDescent="0.35">
      <c r="A70" s="7"/>
      <c r="B70" s="7" t="s">
        <v>792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  <c r="EN70" s="49"/>
      <c r="EO70" s="49"/>
      <c r="EP70" s="49"/>
      <c r="EQ70" s="49"/>
      <c r="ER70" s="49"/>
      <c r="ES70" s="49"/>
      <c r="ET70" s="49"/>
      <c r="EU70" s="49"/>
      <c r="EV70" s="49"/>
      <c r="EW70" s="49"/>
      <c r="EX70" s="49"/>
      <c r="EY70" s="49"/>
      <c r="EZ70" s="49"/>
      <c r="FA70" s="49"/>
      <c r="FB70" s="49"/>
      <c r="FC70" s="49"/>
      <c r="FD70" s="49"/>
      <c r="FE70" s="49"/>
      <c r="FF70" s="49"/>
      <c r="FG70" s="49"/>
      <c r="FH70" s="49"/>
      <c r="FI70" s="49"/>
      <c r="FJ70" s="49"/>
      <c r="FK70" s="49"/>
      <c r="FL70" s="49"/>
      <c r="FM70" s="49"/>
      <c r="FN70" s="49"/>
      <c r="FO70" s="49"/>
      <c r="FP70" s="49"/>
      <c r="FQ70" s="49"/>
      <c r="FR70" s="49"/>
      <c r="FS70" s="49"/>
      <c r="FT70" s="49"/>
      <c r="FU70" s="49"/>
      <c r="FV70" s="49"/>
      <c r="FW70" s="49"/>
      <c r="FX70" s="49"/>
      <c r="FY70" s="49"/>
      <c r="FZ70" s="49"/>
      <c r="GA70" s="7"/>
      <c r="GB70" s="49"/>
      <c r="GC70" s="49"/>
      <c r="GD70" s="7"/>
      <c r="GE70" s="7"/>
      <c r="GF70" s="7"/>
      <c r="GG70" s="7"/>
      <c r="GH70" s="7"/>
      <c r="GI70" s="7"/>
      <c r="GJ70" s="7"/>
      <c r="GK70" s="7"/>
    </row>
    <row r="71" spans="1:193" ht="15.5" x14ac:dyDescent="0.35">
      <c r="A71" s="7"/>
      <c r="B71" s="7" t="s">
        <v>793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  <c r="EN71" s="49"/>
      <c r="EO71" s="49"/>
      <c r="EP71" s="49"/>
      <c r="EQ71" s="49"/>
      <c r="ER71" s="49"/>
      <c r="ES71" s="49"/>
      <c r="ET71" s="49"/>
      <c r="EU71" s="49"/>
      <c r="EV71" s="49"/>
      <c r="EW71" s="49"/>
      <c r="EX71" s="49"/>
      <c r="EY71" s="49"/>
      <c r="EZ71" s="49"/>
      <c r="FA71" s="49"/>
      <c r="FB71" s="49"/>
      <c r="FC71" s="49"/>
      <c r="FD71" s="49"/>
      <c r="FE71" s="49"/>
      <c r="FF71" s="49"/>
      <c r="FG71" s="49"/>
      <c r="FH71" s="49"/>
      <c r="FI71" s="49"/>
      <c r="FJ71" s="49"/>
      <c r="FK71" s="49"/>
      <c r="FL71" s="49"/>
      <c r="FM71" s="49"/>
      <c r="FN71" s="49"/>
      <c r="FO71" s="49"/>
      <c r="FP71" s="49"/>
      <c r="FQ71" s="49"/>
      <c r="FR71" s="49"/>
      <c r="FS71" s="49"/>
      <c r="FT71" s="49"/>
      <c r="FU71" s="49"/>
      <c r="FV71" s="49"/>
      <c r="FW71" s="49"/>
      <c r="FX71" s="49"/>
      <c r="FY71" s="49"/>
      <c r="FZ71" s="49"/>
      <c r="GA71" s="7"/>
      <c r="GB71" s="49"/>
      <c r="GC71" s="49"/>
      <c r="GD71" s="7"/>
      <c r="GE71" s="7"/>
      <c r="GF71" s="7"/>
      <c r="GG71" s="7"/>
      <c r="GH71" s="7"/>
      <c r="GI71" s="7"/>
      <c r="GJ71" s="7"/>
      <c r="GK71" s="7"/>
    </row>
    <row r="72" spans="1:193" ht="15.5" x14ac:dyDescent="0.35">
      <c r="A72" s="7"/>
      <c r="B72" s="7" t="s">
        <v>794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7"/>
      <c r="GB72" s="49"/>
      <c r="GC72" s="49"/>
      <c r="GD72" s="7"/>
      <c r="GE72" s="7"/>
      <c r="GF72" s="7"/>
      <c r="GG72" s="7"/>
      <c r="GH72" s="7"/>
      <c r="GI72" s="7"/>
      <c r="GJ72" s="7"/>
      <c r="GK72" s="7"/>
    </row>
    <row r="73" spans="1:193" ht="15.5" x14ac:dyDescent="0.35">
      <c r="A73" s="12" t="s">
        <v>795</v>
      </c>
      <c r="B73" s="7" t="s">
        <v>796</v>
      </c>
      <c r="C73" s="49">
        <v>999999999</v>
      </c>
      <c r="D73" s="49">
        <v>999999999</v>
      </c>
      <c r="E73" s="49">
        <v>999999999</v>
      </c>
      <c r="F73" s="49">
        <v>999999999</v>
      </c>
      <c r="G73" s="49">
        <v>999999999</v>
      </c>
      <c r="H73" s="49">
        <v>999999999</v>
      </c>
      <c r="I73" s="49">
        <v>999999999</v>
      </c>
      <c r="J73" s="49">
        <v>999999999</v>
      </c>
      <c r="K73" s="49">
        <v>999999999</v>
      </c>
      <c r="L73" s="49">
        <v>999999999</v>
      </c>
      <c r="M73" s="49">
        <v>999999999</v>
      </c>
      <c r="N73" s="49">
        <v>999999999</v>
      </c>
      <c r="O73" s="49">
        <v>999999999</v>
      </c>
      <c r="P73" s="49">
        <v>999999999</v>
      </c>
      <c r="Q73" s="49">
        <v>999999999</v>
      </c>
      <c r="R73" s="49">
        <v>999999999</v>
      </c>
      <c r="S73" s="49">
        <v>999999999</v>
      </c>
      <c r="T73" s="49">
        <v>999999999</v>
      </c>
      <c r="U73" s="49">
        <v>999999999</v>
      </c>
      <c r="V73" s="49">
        <v>999999999</v>
      </c>
      <c r="W73" s="49">
        <v>999999999</v>
      </c>
      <c r="X73" s="49">
        <v>999999999</v>
      </c>
      <c r="Y73" s="49">
        <v>999999999</v>
      </c>
      <c r="Z73" s="49">
        <v>999999999</v>
      </c>
      <c r="AA73" s="49">
        <v>999999999</v>
      </c>
      <c r="AB73" s="49">
        <v>999999999</v>
      </c>
      <c r="AC73" s="49">
        <v>999999999</v>
      </c>
      <c r="AD73" s="49">
        <v>999999999</v>
      </c>
      <c r="AE73" s="49">
        <v>999999999</v>
      </c>
      <c r="AF73" s="49">
        <v>999999999</v>
      </c>
      <c r="AG73" s="49">
        <v>999999999</v>
      </c>
      <c r="AH73" s="49">
        <v>999999999</v>
      </c>
      <c r="AI73" s="49">
        <v>999999999</v>
      </c>
      <c r="AJ73" s="49">
        <v>999999999</v>
      </c>
      <c r="AK73" s="49">
        <v>999999999</v>
      </c>
      <c r="AL73" s="49">
        <v>999999999</v>
      </c>
      <c r="AM73" s="49">
        <v>999999999</v>
      </c>
      <c r="AN73" s="49">
        <v>999999999</v>
      </c>
      <c r="AO73" s="49">
        <v>999999999</v>
      </c>
      <c r="AP73" s="49">
        <v>999999999</v>
      </c>
      <c r="AQ73" s="49">
        <v>999999999</v>
      </c>
      <c r="AR73" s="49">
        <v>999999999</v>
      </c>
      <c r="AS73" s="49">
        <v>999999999</v>
      </c>
      <c r="AT73" s="49">
        <v>999999999</v>
      </c>
      <c r="AU73" s="49">
        <v>999999999</v>
      </c>
      <c r="AV73" s="49">
        <v>999999999</v>
      </c>
      <c r="AW73" s="49">
        <v>999999999</v>
      </c>
      <c r="AX73" s="49">
        <v>999999999</v>
      </c>
      <c r="AY73" s="49">
        <v>999999999</v>
      </c>
      <c r="AZ73" s="49">
        <v>999999999</v>
      </c>
      <c r="BA73" s="49">
        <v>999999999</v>
      </c>
      <c r="BB73" s="49">
        <v>999999999</v>
      </c>
      <c r="BC73" s="49">
        <v>999999999</v>
      </c>
      <c r="BD73" s="49">
        <v>999999999</v>
      </c>
      <c r="BE73" s="49">
        <v>999999999</v>
      </c>
      <c r="BF73" s="49">
        <v>999999999</v>
      </c>
      <c r="BG73" s="49">
        <v>999999999</v>
      </c>
      <c r="BH73" s="49">
        <v>999999999</v>
      </c>
      <c r="BI73" s="49">
        <v>999999999</v>
      </c>
      <c r="BJ73" s="49">
        <v>999999999</v>
      </c>
      <c r="BK73" s="49">
        <v>999999999</v>
      </c>
      <c r="BL73" s="49">
        <v>999999999</v>
      </c>
      <c r="BM73" s="49">
        <v>999999999</v>
      </c>
      <c r="BN73" s="49">
        <v>999999999</v>
      </c>
      <c r="BO73" s="49">
        <v>999999999</v>
      </c>
      <c r="BP73" s="49">
        <v>999999999</v>
      </c>
      <c r="BQ73" s="49">
        <v>999999999</v>
      </c>
      <c r="BR73" s="49">
        <v>999999999</v>
      </c>
      <c r="BS73" s="49">
        <v>999999999</v>
      </c>
      <c r="BT73" s="49">
        <v>999999999</v>
      </c>
      <c r="BU73" s="49">
        <v>999999999</v>
      </c>
      <c r="BV73" s="49">
        <v>999999999</v>
      </c>
      <c r="BW73" s="49">
        <v>999999999</v>
      </c>
      <c r="BX73" s="49">
        <v>999999999</v>
      </c>
      <c r="BY73" s="49">
        <v>999999999</v>
      </c>
      <c r="BZ73" s="49">
        <v>999999999</v>
      </c>
      <c r="CA73" s="49">
        <v>999999999</v>
      </c>
      <c r="CB73" s="49">
        <v>999999999</v>
      </c>
      <c r="CC73" s="49">
        <v>999999999</v>
      </c>
      <c r="CD73" s="49">
        <v>999999999</v>
      </c>
      <c r="CE73" s="49">
        <v>999999999</v>
      </c>
      <c r="CF73" s="49">
        <v>999999999</v>
      </c>
      <c r="CG73" s="49">
        <v>999999999</v>
      </c>
      <c r="CH73" s="49">
        <v>999999999</v>
      </c>
      <c r="CI73" s="49">
        <v>999999999</v>
      </c>
      <c r="CJ73" s="49">
        <v>999999999</v>
      </c>
      <c r="CK73" s="49">
        <v>999999999</v>
      </c>
      <c r="CL73" s="49">
        <v>999999999</v>
      </c>
      <c r="CM73" s="49">
        <v>999999999</v>
      </c>
      <c r="CN73" s="49">
        <v>999999999</v>
      </c>
      <c r="CO73" s="49">
        <v>999999999</v>
      </c>
      <c r="CP73" s="49">
        <v>999999999</v>
      </c>
      <c r="CQ73" s="49">
        <v>999999999</v>
      </c>
      <c r="CR73" s="49">
        <v>999999999</v>
      </c>
      <c r="CS73" s="49">
        <v>999999999</v>
      </c>
      <c r="CT73" s="49">
        <v>999999999</v>
      </c>
      <c r="CU73" s="49">
        <v>999999999</v>
      </c>
      <c r="CV73" s="49">
        <v>999999999</v>
      </c>
      <c r="CW73" s="49">
        <v>999999999</v>
      </c>
      <c r="CX73" s="49">
        <v>999999999</v>
      </c>
      <c r="CY73" s="49">
        <v>999999999</v>
      </c>
      <c r="CZ73" s="49">
        <v>999999999</v>
      </c>
      <c r="DA73" s="49">
        <v>999999999</v>
      </c>
      <c r="DB73" s="49">
        <v>999999999</v>
      </c>
      <c r="DC73" s="49">
        <v>999999999</v>
      </c>
      <c r="DD73" s="49">
        <v>999999999</v>
      </c>
      <c r="DE73" s="49">
        <v>999999999</v>
      </c>
      <c r="DF73" s="49">
        <v>999999999</v>
      </c>
      <c r="DG73" s="49">
        <v>999999999</v>
      </c>
      <c r="DH73" s="49">
        <v>999999999</v>
      </c>
      <c r="DI73" s="49">
        <v>999999999</v>
      </c>
      <c r="DJ73" s="49">
        <v>999999999</v>
      </c>
      <c r="DK73" s="49">
        <v>999999999</v>
      </c>
      <c r="DL73" s="49">
        <v>999999999</v>
      </c>
      <c r="DM73" s="49">
        <v>999999999</v>
      </c>
      <c r="DN73" s="49">
        <v>999999999</v>
      </c>
      <c r="DO73" s="49">
        <v>999999999</v>
      </c>
      <c r="DP73" s="49">
        <v>999999999</v>
      </c>
      <c r="DQ73" s="49">
        <v>999999999</v>
      </c>
      <c r="DR73" s="49">
        <v>999999999</v>
      </c>
      <c r="DS73" s="49">
        <v>999999999</v>
      </c>
      <c r="DT73" s="49">
        <v>999999999</v>
      </c>
      <c r="DU73" s="49">
        <v>999999999</v>
      </c>
      <c r="DV73" s="49">
        <v>999999999</v>
      </c>
      <c r="DW73" s="49">
        <v>999999999</v>
      </c>
      <c r="DX73" s="49">
        <v>999999999</v>
      </c>
      <c r="DY73" s="49">
        <v>999999999</v>
      </c>
      <c r="DZ73" s="49">
        <v>999999999</v>
      </c>
      <c r="EA73" s="49">
        <v>999999999</v>
      </c>
      <c r="EB73" s="49">
        <v>999999999</v>
      </c>
      <c r="EC73" s="49">
        <v>999999999</v>
      </c>
      <c r="ED73" s="49">
        <v>999999999</v>
      </c>
      <c r="EE73" s="49">
        <v>999999999</v>
      </c>
      <c r="EF73" s="49">
        <v>999999999</v>
      </c>
      <c r="EG73" s="49">
        <v>999999999</v>
      </c>
      <c r="EH73" s="49">
        <v>999999999</v>
      </c>
      <c r="EI73" s="49">
        <v>999999999</v>
      </c>
      <c r="EJ73" s="49">
        <v>999999999</v>
      </c>
      <c r="EK73" s="49">
        <v>999999999</v>
      </c>
      <c r="EL73" s="49">
        <v>999999999</v>
      </c>
      <c r="EM73" s="49">
        <v>999999999</v>
      </c>
      <c r="EN73" s="49">
        <v>999999999</v>
      </c>
      <c r="EO73" s="49">
        <v>999999999</v>
      </c>
      <c r="EP73" s="49">
        <v>999999999</v>
      </c>
      <c r="EQ73" s="49">
        <v>999999999</v>
      </c>
      <c r="ER73" s="49">
        <v>999999999</v>
      </c>
      <c r="ES73" s="49">
        <v>999999999</v>
      </c>
      <c r="ET73" s="49">
        <v>999999999</v>
      </c>
      <c r="EU73" s="49">
        <v>999999999</v>
      </c>
      <c r="EV73" s="49">
        <v>999999999</v>
      </c>
      <c r="EW73" s="49">
        <v>999999999</v>
      </c>
      <c r="EX73" s="49">
        <v>999999999</v>
      </c>
      <c r="EY73" s="49">
        <v>999999999</v>
      </c>
      <c r="EZ73" s="49">
        <v>999999999</v>
      </c>
      <c r="FA73" s="49">
        <v>999999999</v>
      </c>
      <c r="FB73" s="49">
        <v>999999999</v>
      </c>
      <c r="FC73" s="49">
        <v>999999999</v>
      </c>
      <c r="FD73" s="49">
        <v>999999999</v>
      </c>
      <c r="FE73" s="49">
        <v>999999999</v>
      </c>
      <c r="FF73" s="49">
        <v>999999999</v>
      </c>
      <c r="FG73" s="49">
        <v>999999999</v>
      </c>
      <c r="FH73" s="49">
        <v>999999999</v>
      </c>
      <c r="FI73" s="49">
        <v>999999999</v>
      </c>
      <c r="FJ73" s="49">
        <v>999999999</v>
      </c>
      <c r="FK73" s="49">
        <v>999999999</v>
      </c>
      <c r="FL73" s="49">
        <v>999999999</v>
      </c>
      <c r="FM73" s="49">
        <v>999999999</v>
      </c>
      <c r="FN73" s="49">
        <v>999999999</v>
      </c>
      <c r="FO73" s="49">
        <v>999999999</v>
      </c>
      <c r="FP73" s="49">
        <v>999999999</v>
      </c>
      <c r="FQ73" s="49">
        <v>999999999</v>
      </c>
      <c r="FR73" s="49">
        <v>999999999</v>
      </c>
      <c r="FS73" s="49">
        <v>999999999</v>
      </c>
      <c r="FT73" s="49">
        <v>999999999</v>
      </c>
      <c r="FU73" s="49">
        <v>999999999</v>
      </c>
      <c r="FV73" s="49">
        <v>999999999</v>
      </c>
      <c r="FW73" s="49">
        <v>999999999</v>
      </c>
      <c r="FX73" s="49">
        <v>999999999</v>
      </c>
      <c r="FY73" s="49"/>
      <c r="FZ73" s="49">
        <f>SUM(C73:FX73)</f>
        <v>177999999822</v>
      </c>
      <c r="GA73" s="7"/>
      <c r="GB73" s="49"/>
      <c r="GC73" s="49"/>
      <c r="GD73" s="7"/>
      <c r="GE73" s="7"/>
      <c r="GF73" s="7"/>
      <c r="GG73" s="7"/>
      <c r="GH73" s="7"/>
      <c r="GI73" s="7"/>
      <c r="GJ73" s="7"/>
      <c r="GK73" s="7"/>
    </row>
    <row r="74" spans="1:193" ht="15.5" x14ac:dyDescent="0.35">
      <c r="A74" s="7"/>
      <c r="B74" s="7" t="s">
        <v>791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7"/>
      <c r="GA74" s="7"/>
      <c r="GB74" s="49"/>
      <c r="GC74" s="49"/>
      <c r="GD74" s="49"/>
      <c r="GE74" s="7"/>
      <c r="GF74" s="7"/>
      <c r="GG74" s="7"/>
      <c r="GH74" s="7"/>
      <c r="GI74" s="7"/>
      <c r="GJ74" s="7"/>
      <c r="GK74" s="7"/>
    </row>
    <row r="75" spans="1:193" ht="15.5" x14ac:dyDescent="0.35">
      <c r="A75" s="7"/>
      <c r="B75" s="7" t="s">
        <v>797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  <c r="EN75" s="49"/>
      <c r="EO75" s="49"/>
      <c r="EP75" s="49"/>
      <c r="EQ75" s="49"/>
      <c r="ER75" s="49"/>
      <c r="ES75" s="49"/>
      <c r="ET75" s="98"/>
      <c r="EU75" s="49"/>
      <c r="EV75" s="49"/>
      <c r="EW75" s="49"/>
      <c r="EX75" s="49"/>
      <c r="EY75" s="49"/>
      <c r="EZ75" s="49"/>
      <c r="FA75" s="49"/>
      <c r="FB75" s="49"/>
      <c r="FC75" s="49"/>
      <c r="FD75" s="49"/>
      <c r="FE75" s="49"/>
      <c r="FF75" s="49"/>
      <c r="FG75" s="49"/>
      <c r="FH75" s="49"/>
      <c r="FI75" s="49"/>
      <c r="FJ75" s="49"/>
      <c r="FK75" s="49"/>
      <c r="FL75" s="49"/>
      <c r="FM75" s="49"/>
      <c r="FN75" s="49"/>
      <c r="FO75" s="49"/>
      <c r="FP75" s="49"/>
      <c r="FQ75" s="49"/>
      <c r="FR75" s="49"/>
      <c r="FS75" s="49"/>
      <c r="FT75" s="49"/>
      <c r="FU75" s="49"/>
      <c r="FV75" s="49"/>
      <c r="FW75" s="49"/>
      <c r="FX75" s="49"/>
      <c r="FY75" s="49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</row>
    <row r="76" spans="1:193" ht="15.5" x14ac:dyDescent="0.35">
      <c r="A76" s="7"/>
      <c r="B76" s="7" t="s">
        <v>798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  <c r="EN76" s="49"/>
      <c r="EO76" s="49"/>
      <c r="EP76" s="49"/>
      <c r="EQ76" s="49"/>
      <c r="ER76" s="49"/>
      <c r="ES76" s="49"/>
      <c r="ET76" s="49"/>
      <c r="EU76" s="49"/>
      <c r="EV76" s="49"/>
      <c r="EW76" s="49"/>
      <c r="EX76" s="49"/>
      <c r="EY76" s="49"/>
      <c r="EZ76" s="49"/>
      <c r="FA76" s="49"/>
      <c r="FB76" s="49"/>
      <c r="FC76" s="49"/>
      <c r="FD76" s="49"/>
      <c r="FE76" s="49"/>
      <c r="FF76" s="49"/>
      <c r="FG76" s="49"/>
      <c r="FH76" s="49"/>
      <c r="FI76" s="49"/>
      <c r="FJ76" s="49"/>
      <c r="FK76" s="49"/>
      <c r="FL76" s="49"/>
      <c r="FM76" s="49"/>
      <c r="FN76" s="49"/>
      <c r="FO76" s="49"/>
      <c r="FP76" s="49"/>
      <c r="FQ76" s="49"/>
      <c r="FR76" s="49"/>
      <c r="FS76" s="49"/>
      <c r="FT76" s="49"/>
      <c r="FU76" s="49"/>
      <c r="FV76" s="49"/>
      <c r="FW76" s="49"/>
      <c r="FX76" s="49"/>
      <c r="FY76" s="49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</row>
    <row r="77" spans="1:193" ht="15.5" x14ac:dyDescent="0.35">
      <c r="A77" s="7"/>
      <c r="B77" s="7" t="s">
        <v>799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  <c r="EN77" s="49"/>
      <c r="EO77" s="49"/>
      <c r="EP77" s="49"/>
      <c r="EQ77" s="49"/>
      <c r="ER77" s="49"/>
      <c r="ES77" s="49"/>
      <c r="ET77" s="49"/>
      <c r="EU77" s="49"/>
      <c r="EV77" s="49"/>
      <c r="EW77" s="49"/>
      <c r="EX77" s="49"/>
      <c r="EY77" s="49"/>
      <c r="EZ77" s="49"/>
      <c r="FA77" s="49"/>
      <c r="FB77" s="49"/>
      <c r="FC77" s="49"/>
      <c r="FD77" s="49"/>
      <c r="FE77" s="49"/>
      <c r="FF77" s="49"/>
      <c r="FG77" s="49"/>
      <c r="FH77" s="49"/>
      <c r="FI77" s="49"/>
      <c r="FJ77" s="49"/>
      <c r="FK77" s="49"/>
      <c r="FL77" s="49"/>
      <c r="FM77" s="49"/>
      <c r="FN77" s="49"/>
      <c r="FO77" s="49"/>
      <c r="FP77" s="49"/>
      <c r="FQ77" s="49"/>
      <c r="FR77" s="49"/>
      <c r="FS77" s="49"/>
      <c r="FT77" s="49"/>
      <c r="FU77" s="49"/>
      <c r="FV77" s="49"/>
      <c r="FW77" s="49"/>
      <c r="FX77" s="49"/>
      <c r="FY77" s="49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</row>
    <row r="78" spans="1:193" ht="15.5" x14ac:dyDescent="0.35">
      <c r="A78" s="12" t="s">
        <v>800</v>
      </c>
      <c r="B78" s="7" t="s">
        <v>515</v>
      </c>
      <c r="C78" s="7">
        <v>214049.99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518609.48</v>
      </c>
      <c r="J78" s="7">
        <v>0</v>
      </c>
      <c r="K78" s="7">
        <v>0</v>
      </c>
      <c r="L78" s="7">
        <v>0</v>
      </c>
      <c r="M78" s="7">
        <v>0</v>
      </c>
      <c r="N78" s="7">
        <v>6454001.4400000004</v>
      </c>
      <c r="O78" s="7">
        <v>2315346.59</v>
      </c>
      <c r="P78" s="7">
        <v>6508.04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4645.62</v>
      </c>
      <c r="Y78" s="7">
        <v>0</v>
      </c>
      <c r="Z78" s="7">
        <v>125782.95</v>
      </c>
      <c r="AA78" s="7">
        <v>0</v>
      </c>
      <c r="AB78" s="7">
        <v>0</v>
      </c>
      <c r="AC78" s="7">
        <v>0</v>
      </c>
      <c r="AD78" s="7">
        <v>0</v>
      </c>
      <c r="AE78" s="7">
        <v>73409.77</v>
      </c>
      <c r="AF78" s="7">
        <v>0</v>
      </c>
      <c r="AG78" s="7">
        <v>0</v>
      </c>
      <c r="AH78" s="7">
        <v>189856.48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2116980.9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40575.480000000003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784125.51</v>
      </c>
      <c r="BW78" s="7">
        <v>0</v>
      </c>
      <c r="BX78" s="7">
        <v>0</v>
      </c>
      <c r="BY78" s="7">
        <v>0</v>
      </c>
      <c r="BZ78" s="7">
        <v>0</v>
      </c>
      <c r="CA78" s="7">
        <v>0</v>
      </c>
      <c r="CB78" s="7">
        <v>0</v>
      </c>
      <c r="CC78" s="7">
        <v>0</v>
      </c>
      <c r="CD78" s="7">
        <v>64538.16</v>
      </c>
      <c r="CE78" s="7">
        <v>0</v>
      </c>
      <c r="CF78" s="7">
        <v>139360.24</v>
      </c>
      <c r="CG78" s="7">
        <v>0</v>
      </c>
      <c r="CH78" s="7">
        <v>0</v>
      </c>
      <c r="CI78" s="7">
        <v>0</v>
      </c>
      <c r="CJ78" s="7">
        <v>0</v>
      </c>
      <c r="CK78" s="7">
        <v>2621262.39</v>
      </c>
      <c r="CL78" s="7">
        <v>34407.54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78694.86</v>
      </c>
      <c r="CS78" s="7">
        <v>0</v>
      </c>
      <c r="CT78" s="7">
        <v>29636.04</v>
      </c>
      <c r="CU78" s="7">
        <v>0</v>
      </c>
      <c r="CV78" s="7">
        <v>28341.66</v>
      </c>
      <c r="CW78" s="7">
        <v>0</v>
      </c>
      <c r="CX78" s="7">
        <v>0</v>
      </c>
      <c r="CY78" s="7">
        <v>0</v>
      </c>
      <c r="CZ78" s="7">
        <v>0</v>
      </c>
      <c r="DA78" s="7">
        <v>18622.72</v>
      </c>
      <c r="DB78" s="7">
        <v>0</v>
      </c>
      <c r="DC78" s="7">
        <v>36496.36</v>
      </c>
      <c r="DD78" s="7">
        <v>5221.7700000000004</v>
      </c>
      <c r="DE78" s="7">
        <v>0</v>
      </c>
      <c r="DF78" s="7">
        <v>0</v>
      </c>
      <c r="DG78" s="7">
        <v>0</v>
      </c>
      <c r="DH78" s="7">
        <v>277847.37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9617.9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550952.78</v>
      </c>
      <c r="EB78" s="7">
        <v>0</v>
      </c>
      <c r="EC78" s="7">
        <v>0</v>
      </c>
      <c r="ED78" s="7">
        <v>710551.13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671262.95</v>
      </c>
      <c r="EM78" s="7">
        <v>0</v>
      </c>
      <c r="EN78" s="7">
        <v>0</v>
      </c>
      <c r="EO78" s="7">
        <v>0</v>
      </c>
      <c r="EP78" s="7">
        <v>0</v>
      </c>
      <c r="EQ78" s="7">
        <v>1064161.06</v>
      </c>
      <c r="ER78" s="7">
        <v>0</v>
      </c>
      <c r="ES78" s="7">
        <v>0</v>
      </c>
      <c r="ET78" s="7">
        <v>0</v>
      </c>
      <c r="EU78" s="7">
        <v>0</v>
      </c>
      <c r="EV78" s="7">
        <v>19817.919999999998</v>
      </c>
      <c r="EW78" s="7">
        <v>0</v>
      </c>
      <c r="EX78" s="7">
        <v>0</v>
      </c>
      <c r="EY78" s="7">
        <v>0</v>
      </c>
      <c r="EZ78" s="7">
        <v>74228.81</v>
      </c>
      <c r="FA78" s="7">
        <v>1475032.01</v>
      </c>
      <c r="FB78" s="7">
        <v>0</v>
      </c>
      <c r="FC78" s="7">
        <v>0</v>
      </c>
      <c r="FD78" s="7">
        <v>0</v>
      </c>
      <c r="FE78" s="7">
        <v>7823.44</v>
      </c>
      <c r="FF78" s="7">
        <v>0</v>
      </c>
      <c r="FG78" s="7">
        <v>0</v>
      </c>
      <c r="FH78" s="7">
        <v>76952.78</v>
      </c>
      <c r="FI78" s="7">
        <v>0</v>
      </c>
      <c r="FJ78" s="7">
        <v>0</v>
      </c>
      <c r="FK78" s="7">
        <v>46526.37</v>
      </c>
      <c r="FL78" s="7">
        <v>0</v>
      </c>
      <c r="FM78" s="7">
        <v>0</v>
      </c>
      <c r="FN78" s="7">
        <v>0</v>
      </c>
      <c r="FO78" s="7">
        <v>0</v>
      </c>
      <c r="FP78" s="7">
        <v>0</v>
      </c>
      <c r="FQ78" s="7">
        <v>0</v>
      </c>
      <c r="FR78" s="7">
        <v>0</v>
      </c>
      <c r="FS78" s="7">
        <v>0</v>
      </c>
      <c r="FT78" s="7">
        <v>0</v>
      </c>
      <c r="FU78" s="7">
        <v>0</v>
      </c>
      <c r="FV78" s="7">
        <v>0</v>
      </c>
      <c r="FW78" s="7">
        <v>0</v>
      </c>
      <c r="FX78" s="7">
        <v>0</v>
      </c>
      <c r="FY78" s="7"/>
      <c r="FZ78" s="7">
        <f t="shared" ref="FZ78:FZ82" si="16">SUM(C78:FX78)</f>
        <v>20885248.509999998</v>
      </c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</row>
    <row r="79" spans="1:193" ht="15.5" x14ac:dyDescent="0.35">
      <c r="A79" s="12" t="s">
        <v>801</v>
      </c>
      <c r="B79" s="7" t="s">
        <v>517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387510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0</v>
      </c>
      <c r="BX79" s="7">
        <v>0</v>
      </c>
      <c r="BY79" s="7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0</v>
      </c>
      <c r="DK79" s="7">
        <v>0</v>
      </c>
      <c r="DL79" s="7">
        <v>0</v>
      </c>
      <c r="DM79" s="7">
        <v>0</v>
      </c>
      <c r="DN79" s="7">
        <v>0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0</v>
      </c>
      <c r="EY79" s="7">
        <v>0</v>
      </c>
      <c r="EZ79" s="7">
        <v>0</v>
      </c>
      <c r="FA79" s="7">
        <v>0</v>
      </c>
      <c r="FB79" s="7">
        <v>0</v>
      </c>
      <c r="FC79" s="7">
        <v>0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  <c r="FK79" s="7">
        <v>0</v>
      </c>
      <c r="FL79" s="7">
        <v>0</v>
      </c>
      <c r="FM79" s="7">
        <v>0</v>
      </c>
      <c r="FN79" s="7">
        <v>0</v>
      </c>
      <c r="FO79" s="7">
        <v>0</v>
      </c>
      <c r="FP79" s="7">
        <v>0</v>
      </c>
      <c r="FQ79" s="7">
        <v>0</v>
      </c>
      <c r="FR79" s="7">
        <v>0</v>
      </c>
      <c r="FS79" s="7">
        <v>0</v>
      </c>
      <c r="FT79" s="7">
        <v>0</v>
      </c>
      <c r="FU79" s="7">
        <v>0</v>
      </c>
      <c r="FV79" s="7">
        <v>0</v>
      </c>
      <c r="FW79" s="7">
        <v>0</v>
      </c>
      <c r="FX79" s="7">
        <v>0</v>
      </c>
      <c r="FY79" s="7"/>
      <c r="FZ79" s="7">
        <f t="shared" si="16"/>
        <v>387510</v>
      </c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</row>
    <row r="80" spans="1:193" ht="15.5" x14ac:dyDescent="0.35">
      <c r="A80" s="12" t="s">
        <v>802</v>
      </c>
      <c r="B80" s="7" t="s">
        <v>803</v>
      </c>
      <c r="C80" s="99">
        <v>4670000</v>
      </c>
      <c r="D80" s="99">
        <v>63655851</v>
      </c>
      <c r="E80" s="99">
        <v>4890000</v>
      </c>
      <c r="F80" s="99">
        <v>750000</v>
      </c>
      <c r="G80" s="99">
        <v>1200000</v>
      </c>
      <c r="H80" s="99">
        <v>300000</v>
      </c>
      <c r="I80" s="39">
        <v>7845103</v>
      </c>
      <c r="J80" s="99">
        <v>0</v>
      </c>
      <c r="K80" s="99">
        <v>0</v>
      </c>
      <c r="L80" s="99">
        <v>4655850</v>
      </c>
      <c r="M80" s="99">
        <v>1000000</v>
      </c>
      <c r="N80" s="99">
        <v>77763000</v>
      </c>
      <c r="O80" s="99">
        <v>26498234</v>
      </c>
      <c r="P80" s="99">
        <v>0</v>
      </c>
      <c r="Q80" s="99">
        <v>37339028</v>
      </c>
      <c r="R80" s="99">
        <v>0</v>
      </c>
      <c r="S80" s="99">
        <v>0</v>
      </c>
      <c r="T80" s="99">
        <v>0</v>
      </c>
      <c r="U80" s="99">
        <v>100000</v>
      </c>
      <c r="V80" s="99">
        <v>0</v>
      </c>
      <c r="W80" s="99">
        <v>0</v>
      </c>
      <c r="X80" s="99">
        <v>150000</v>
      </c>
      <c r="Y80" s="99">
        <v>0</v>
      </c>
      <c r="Z80" s="99">
        <v>0</v>
      </c>
      <c r="AA80" s="99">
        <v>32635664</v>
      </c>
      <c r="AB80" s="39">
        <v>75286702</v>
      </c>
      <c r="AC80" s="39">
        <v>2044227</v>
      </c>
      <c r="AD80" s="39">
        <v>2497712</v>
      </c>
      <c r="AE80" s="99">
        <v>245000</v>
      </c>
      <c r="AF80" s="39">
        <v>217915</v>
      </c>
      <c r="AG80" s="99">
        <v>1839046</v>
      </c>
      <c r="AH80" s="99">
        <v>0</v>
      </c>
      <c r="AI80" s="99">
        <v>0</v>
      </c>
      <c r="AJ80" s="99">
        <v>0</v>
      </c>
      <c r="AK80" s="99">
        <v>0</v>
      </c>
      <c r="AL80" s="99">
        <v>330575</v>
      </c>
      <c r="AM80" s="99">
        <v>0</v>
      </c>
      <c r="AN80" s="99">
        <v>0</v>
      </c>
      <c r="AO80" s="99">
        <v>0</v>
      </c>
      <c r="AP80" s="99">
        <v>129959655</v>
      </c>
      <c r="AQ80" s="99">
        <v>0</v>
      </c>
      <c r="AR80" s="99">
        <v>73713000</v>
      </c>
      <c r="AS80" s="99">
        <v>5944650</v>
      </c>
      <c r="AT80" s="99">
        <v>0</v>
      </c>
      <c r="AU80" s="99">
        <v>0</v>
      </c>
      <c r="AV80" s="99">
        <v>0</v>
      </c>
      <c r="AW80" s="99">
        <v>0</v>
      </c>
      <c r="AX80" s="99">
        <v>0</v>
      </c>
      <c r="AY80" s="99">
        <v>0</v>
      </c>
      <c r="AZ80" s="99">
        <v>5750000</v>
      </c>
      <c r="BA80" s="99">
        <v>3950000</v>
      </c>
      <c r="BB80" s="99">
        <v>700000</v>
      </c>
      <c r="BC80" s="39">
        <v>71315127.650000006</v>
      </c>
      <c r="BD80" s="99">
        <v>5157461</v>
      </c>
      <c r="BE80" s="99">
        <v>1900000</v>
      </c>
      <c r="BF80" s="99">
        <v>26750862</v>
      </c>
      <c r="BG80" s="99">
        <v>0</v>
      </c>
      <c r="BH80" s="99">
        <v>0</v>
      </c>
      <c r="BI80" s="99">
        <v>0</v>
      </c>
      <c r="BJ80" s="99">
        <v>4000000</v>
      </c>
      <c r="BK80" s="99">
        <v>7500000</v>
      </c>
      <c r="BL80" s="99">
        <v>0</v>
      </c>
      <c r="BM80" s="99">
        <v>0</v>
      </c>
      <c r="BN80" s="99">
        <v>0</v>
      </c>
      <c r="BO80" s="99">
        <v>350000</v>
      </c>
      <c r="BP80" s="99">
        <v>0</v>
      </c>
      <c r="BQ80" s="99">
        <v>8800000</v>
      </c>
      <c r="BR80" s="99">
        <v>4300000</v>
      </c>
      <c r="BS80" s="99">
        <v>2167002</v>
      </c>
      <c r="BT80" s="99">
        <v>980488</v>
      </c>
      <c r="BU80" s="50">
        <v>1100007.0868799998</v>
      </c>
      <c r="BV80" s="99">
        <v>1330000</v>
      </c>
      <c r="BW80" s="99">
        <v>3800000</v>
      </c>
      <c r="BX80" s="99">
        <v>0</v>
      </c>
      <c r="BY80" s="99">
        <v>0</v>
      </c>
      <c r="BZ80" s="99">
        <v>0</v>
      </c>
      <c r="CA80" s="99">
        <v>0</v>
      </c>
      <c r="CB80" s="99">
        <v>113302585</v>
      </c>
      <c r="CC80" s="99">
        <v>0</v>
      </c>
      <c r="CD80" s="99">
        <v>0</v>
      </c>
      <c r="CE80" s="99">
        <v>0</v>
      </c>
      <c r="CF80" s="99">
        <v>0</v>
      </c>
      <c r="CG80" s="99">
        <v>119200</v>
      </c>
      <c r="CH80" s="99">
        <v>0</v>
      </c>
      <c r="CI80" s="99">
        <v>270068</v>
      </c>
      <c r="CJ80" s="99">
        <v>667783</v>
      </c>
      <c r="CK80" s="99">
        <v>5600000</v>
      </c>
      <c r="CL80" s="99">
        <v>2016949</v>
      </c>
      <c r="CM80" s="99">
        <v>1100000</v>
      </c>
      <c r="CN80" s="99">
        <v>35012147</v>
      </c>
      <c r="CO80" s="99">
        <v>14040000</v>
      </c>
      <c r="CP80" s="99">
        <v>1921000</v>
      </c>
      <c r="CQ80" s="99">
        <v>0</v>
      </c>
      <c r="CR80" s="99">
        <v>350000</v>
      </c>
      <c r="CS80" s="99">
        <v>0</v>
      </c>
      <c r="CT80" s="99">
        <v>0</v>
      </c>
      <c r="CU80" s="99">
        <v>205000</v>
      </c>
      <c r="CV80" s="99">
        <v>171656</v>
      </c>
      <c r="CW80" s="99">
        <v>0</v>
      </c>
      <c r="CX80" s="99">
        <v>0</v>
      </c>
      <c r="CY80" s="99">
        <v>0</v>
      </c>
      <c r="CZ80" s="99">
        <v>500000</v>
      </c>
      <c r="DA80" s="99">
        <v>0</v>
      </c>
      <c r="DB80" s="99">
        <v>0</v>
      </c>
      <c r="DC80" s="99">
        <v>445000</v>
      </c>
      <c r="DD80" s="99">
        <v>0</v>
      </c>
      <c r="DE80" s="99">
        <v>350000</v>
      </c>
      <c r="DF80" s="39">
        <v>15736474.08</v>
      </c>
      <c r="DG80" s="99">
        <v>70000</v>
      </c>
      <c r="DH80" s="99">
        <v>1900000</v>
      </c>
      <c r="DI80" s="99">
        <v>0</v>
      </c>
      <c r="DJ80" s="99">
        <v>390000</v>
      </c>
      <c r="DK80" s="99">
        <v>333800</v>
      </c>
      <c r="DL80" s="99">
        <v>0</v>
      </c>
      <c r="DM80" s="99">
        <v>248000</v>
      </c>
      <c r="DN80" s="99">
        <v>400000</v>
      </c>
      <c r="DO80" s="99">
        <v>550000</v>
      </c>
      <c r="DP80" s="99">
        <v>0</v>
      </c>
      <c r="DQ80" s="99">
        <v>0</v>
      </c>
      <c r="DR80" s="99">
        <v>0</v>
      </c>
      <c r="DS80" s="99">
        <v>0</v>
      </c>
      <c r="DT80" s="99">
        <v>0</v>
      </c>
      <c r="DU80" s="99">
        <v>0</v>
      </c>
      <c r="DV80" s="99">
        <v>0</v>
      </c>
      <c r="DW80" s="99">
        <v>15862</v>
      </c>
      <c r="DX80" s="99">
        <v>155000</v>
      </c>
      <c r="DY80" s="99">
        <v>516372</v>
      </c>
      <c r="DZ80" s="99">
        <v>550204</v>
      </c>
      <c r="EA80" s="99">
        <v>207000</v>
      </c>
      <c r="EB80" s="99">
        <v>447872</v>
      </c>
      <c r="EC80" s="99">
        <v>0</v>
      </c>
      <c r="ED80" s="99">
        <v>3905390.5</v>
      </c>
      <c r="EE80" s="99">
        <v>0</v>
      </c>
      <c r="EF80" s="99">
        <v>0</v>
      </c>
      <c r="EG80" s="99">
        <v>0</v>
      </c>
      <c r="EH80" s="99">
        <v>0</v>
      </c>
      <c r="EI80" s="99">
        <v>0</v>
      </c>
      <c r="EJ80" s="99">
        <v>0</v>
      </c>
      <c r="EK80" s="99">
        <v>404670</v>
      </c>
      <c r="EL80" s="99">
        <v>0</v>
      </c>
      <c r="EM80" s="99">
        <v>832600</v>
      </c>
      <c r="EN80" s="99">
        <v>195000</v>
      </c>
      <c r="EO80" s="99">
        <v>75000</v>
      </c>
      <c r="EP80" s="99">
        <v>905473</v>
      </c>
      <c r="EQ80" s="99">
        <v>1573000</v>
      </c>
      <c r="ER80" s="99">
        <v>914457</v>
      </c>
      <c r="ES80" s="99">
        <v>0</v>
      </c>
      <c r="ET80" s="99">
        <v>164087</v>
      </c>
      <c r="EU80" s="99">
        <v>0</v>
      </c>
      <c r="EV80" s="99">
        <v>0</v>
      </c>
      <c r="EW80" s="99">
        <v>1848603.33</v>
      </c>
      <c r="EX80" s="99">
        <v>397784.63</v>
      </c>
      <c r="EY80" s="99">
        <v>0</v>
      </c>
      <c r="EZ80" s="99">
        <v>0</v>
      </c>
      <c r="FA80" s="99">
        <v>4687317</v>
      </c>
      <c r="FB80" s="99">
        <v>584000</v>
      </c>
      <c r="FC80" s="99">
        <v>1100000</v>
      </c>
      <c r="FD80" s="99">
        <v>0</v>
      </c>
      <c r="FE80" s="99">
        <v>250000</v>
      </c>
      <c r="FF80" s="99">
        <v>0</v>
      </c>
      <c r="FG80" s="99">
        <v>0</v>
      </c>
      <c r="FH80" s="99">
        <v>155000</v>
      </c>
      <c r="FI80" s="99">
        <v>3904000</v>
      </c>
      <c r="FJ80" s="99">
        <v>1200000</v>
      </c>
      <c r="FK80" s="99">
        <v>4500000</v>
      </c>
      <c r="FL80" s="99">
        <v>2595350</v>
      </c>
      <c r="FM80" s="99">
        <v>500000</v>
      </c>
      <c r="FN80" s="99">
        <v>0</v>
      </c>
      <c r="FO80" s="99">
        <v>1974045</v>
      </c>
      <c r="FP80" s="99">
        <v>2675000</v>
      </c>
      <c r="FQ80" s="99">
        <v>900000</v>
      </c>
      <c r="FR80" s="99">
        <v>497743</v>
      </c>
      <c r="FS80" s="99">
        <v>75000</v>
      </c>
      <c r="FT80" s="99">
        <v>130000</v>
      </c>
      <c r="FU80" s="99">
        <v>1194000</v>
      </c>
      <c r="FV80" s="99">
        <v>400000</v>
      </c>
      <c r="FW80" s="99">
        <v>0</v>
      </c>
      <c r="FX80" s="99">
        <v>292380</v>
      </c>
      <c r="FY80" s="7"/>
      <c r="FZ80" s="7">
        <f t="shared" si="16"/>
        <v>941804032.27688003</v>
      </c>
      <c r="GA80" s="23"/>
      <c r="GB80" s="7"/>
      <c r="GC80" s="7"/>
      <c r="GD80" s="7"/>
      <c r="GE80" s="7"/>
      <c r="GF80" s="7"/>
      <c r="GG80" s="7"/>
      <c r="GH80" s="7"/>
      <c r="GI80" s="7"/>
      <c r="GJ80" s="7"/>
      <c r="GK80" s="7"/>
    </row>
    <row r="81" spans="1:195" ht="15.5" x14ac:dyDescent="0.35">
      <c r="A81" s="51"/>
      <c r="B81" s="48" t="s">
        <v>520</v>
      </c>
      <c r="C81" s="48">
        <v>1023645.96</v>
      </c>
      <c r="D81" s="48">
        <v>5923407.6999999881</v>
      </c>
      <c r="E81" s="48">
        <v>1501809.63</v>
      </c>
      <c r="F81" s="48">
        <v>1480552.63</v>
      </c>
      <c r="G81" s="48">
        <v>313409.98</v>
      </c>
      <c r="H81" s="48">
        <v>197482.31</v>
      </c>
      <c r="I81" s="52">
        <v>3049421.53</v>
      </c>
      <c r="J81" s="48">
        <v>0</v>
      </c>
      <c r="K81" s="48">
        <v>0</v>
      </c>
      <c r="L81" s="48">
        <v>767975.6099999994</v>
      </c>
      <c r="M81" s="48">
        <v>339255.28999999911</v>
      </c>
      <c r="N81" s="48">
        <v>1003951.56</v>
      </c>
      <c r="O81" s="48">
        <v>3157850.6999999881</v>
      </c>
      <c r="P81" s="48">
        <v>0</v>
      </c>
      <c r="Q81" s="48">
        <v>2551562.3199999998</v>
      </c>
      <c r="R81" s="48">
        <v>93067.899999999907</v>
      </c>
      <c r="S81" s="48">
        <v>147716.44999999925</v>
      </c>
      <c r="T81" s="48">
        <v>0</v>
      </c>
      <c r="U81" s="48">
        <v>0</v>
      </c>
      <c r="V81" s="48">
        <v>0</v>
      </c>
      <c r="W81" s="99">
        <v>0</v>
      </c>
      <c r="X81" s="48">
        <v>0</v>
      </c>
      <c r="Y81" s="48">
        <v>0</v>
      </c>
      <c r="Z81" s="48">
        <v>0</v>
      </c>
      <c r="AA81" s="48">
        <v>3107770.19</v>
      </c>
      <c r="AB81" s="52">
        <v>5484100.7199999997</v>
      </c>
      <c r="AC81" s="52">
        <v>179452.74</v>
      </c>
      <c r="AD81" s="52">
        <v>173421.01</v>
      </c>
      <c r="AE81" s="48">
        <v>0</v>
      </c>
      <c r="AF81" s="52">
        <v>0</v>
      </c>
      <c r="AG81" s="48">
        <v>585726.86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23452.35999999987</v>
      </c>
      <c r="AO81" s="48">
        <v>0</v>
      </c>
      <c r="AP81" s="48">
        <v>13961260.089999974</v>
      </c>
      <c r="AQ81" s="48">
        <v>4996.7000000001863</v>
      </c>
      <c r="AR81" s="48">
        <v>4936260.97</v>
      </c>
      <c r="AS81" s="48">
        <v>3140096.46</v>
      </c>
      <c r="AT81" s="48">
        <v>706569</v>
      </c>
      <c r="AU81" s="48">
        <v>183362.49</v>
      </c>
      <c r="AV81" s="48">
        <v>0</v>
      </c>
      <c r="AW81" s="48">
        <v>127133.32</v>
      </c>
      <c r="AX81" s="48">
        <v>17799.04</v>
      </c>
      <c r="AY81" s="48">
        <v>67342.069999999832</v>
      </c>
      <c r="AZ81" s="48">
        <v>5661380.25</v>
      </c>
      <c r="BA81" s="48">
        <v>4239435.37</v>
      </c>
      <c r="BB81" s="48">
        <v>2450915.0699999998</v>
      </c>
      <c r="BC81" s="52">
        <v>13979440.599999994</v>
      </c>
      <c r="BD81" s="48">
        <v>2610812.9700000002</v>
      </c>
      <c r="BE81" s="48">
        <v>691421.59</v>
      </c>
      <c r="BF81" s="48">
        <v>12423538.810000002</v>
      </c>
      <c r="BG81" s="48">
        <v>177371.84</v>
      </c>
      <c r="BH81" s="48">
        <v>272348.34999999998</v>
      </c>
      <c r="BI81" s="48">
        <v>117074.81</v>
      </c>
      <c r="BJ81" s="48">
        <v>2978693.21</v>
      </c>
      <c r="BK81" s="48">
        <v>3075849.87</v>
      </c>
      <c r="BL81" s="48">
        <v>26731.37</v>
      </c>
      <c r="BM81" s="48">
        <v>73715.73</v>
      </c>
      <c r="BN81" s="48">
        <v>0</v>
      </c>
      <c r="BO81" s="48">
        <v>46591.460000000894</v>
      </c>
      <c r="BP81" s="48">
        <v>66821.180000000168</v>
      </c>
      <c r="BQ81" s="48">
        <v>831665.80999999866</v>
      </c>
      <c r="BR81" s="48">
        <v>53981.400000002235</v>
      </c>
      <c r="BS81" s="48">
        <v>0</v>
      </c>
      <c r="BT81" s="48">
        <v>96176.64000000013</v>
      </c>
      <c r="BU81" s="48">
        <v>45796.089999999851</v>
      </c>
      <c r="BV81" s="48">
        <v>680000</v>
      </c>
      <c r="BW81" s="48">
        <v>271620.42</v>
      </c>
      <c r="BX81" s="48">
        <v>30925.080000000075</v>
      </c>
      <c r="BY81" s="48">
        <v>20772.939999999478</v>
      </c>
      <c r="BZ81" s="48">
        <v>128574.8</v>
      </c>
      <c r="CA81" s="48">
        <v>0</v>
      </c>
      <c r="CB81" s="48">
        <v>14199549.600000024</v>
      </c>
      <c r="CC81" s="48">
        <v>51316.119999999879</v>
      </c>
      <c r="CD81" s="48">
        <v>32213.38</v>
      </c>
      <c r="CE81" s="48">
        <v>35823.39000000013</v>
      </c>
      <c r="CF81" s="48">
        <v>60736.420000000158</v>
      </c>
      <c r="CG81" s="48">
        <f>52674.03+119000</f>
        <v>171674.03</v>
      </c>
      <c r="CH81" s="48">
        <v>42137.689999999944</v>
      </c>
      <c r="CI81" s="48">
        <v>191859.43000000063</v>
      </c>
      <c r="CJ81" s="48">
        <v>127581.31</v>
      </c>
      <c r="CK81" s="48">
        <v>0</v>
      </c>
      <c r="CL81" s="48">
        <v>0</v>
      </c>
      <c r="CM81" s="48">
        <v>0</v>
      </c>
      <c r="CN81" s="48">
        <v>5532198.7100000083</v>
      </c>
      <c r="CO81" s="48">
        <v>3311063.7200000137</v>
      </c>
      <c r="CP81" s="48">
        <v>487185.26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2963.7100000001956</v>
      </c>
      <c r="CX81" s="48">
        <v>34454.619999999646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31853.880000000121</v>
      </c>
      <c r="DE81" s="48">
        <v>0</v>
      </c>
      <c r="DF81" s="52">
        <v>964429.94000001252</v>
      </c>
      <c r="DG81" s="48">
        <v>0</v>
      </c>
      <c r="DH81" s="48">
        <v>0</v>
      </c>
      <c r="DI81" s="48">
        <v>187923.21999999881</v>
      </c>
      <c r="DJ81" s="48">
        <v>70570.470000000205</v>
      </c>
      <c r="DK81" s="48">
        <v>63148.970000000205</v>
      </c>
      <c r="DL81" s="48">
        <v>0</v>
      </c>
      <c r="DM81" s="48">
        <v>0</v>
      </c>
      <c r="DN81" s="48">
        <v>0</v>
      </c>
      <c r="DO81" s="48">
        <v>0</v>
      </c>
      <c r="DP81" s="48">
        <v>1230.7399999999907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27492.279999999795</v>
      </c>
      <c r="DY81" s="48">
        <v>0</v>
      </c>
      <c r="DZ81" s="48">
        <v>739613.14999999944</v>
      </c>
      <c r="EA81" s="48">
        <v>139332.39000000001</v>
      </c>
      <c r="EB81" s="48">
        <v>81512.760000000242</v>
      </c>
      <c r="EC81" s="48">
        <v>108091.72</v>
      </c>
      <c r="ED81" s="48">
        <v>1114082.5</v>
      </c>
      <c r="EE81" s="48">
        <v>0</v>
      </c>
      <c r="EF81" s="48">
        <v>0</v>
      </c>
      <c r="EG81" s="48">
        <v>8952.6699999999255</v>
      </c>
      <c r="EH81" s="48">
        <v>6739.7900000000373</v>
      </c>
      <c r="EI81" s="48">
        <v>984513.67000000179</v>
      </c>
      <c r="EJ81" s="48">
        <v>556718.94000000507</v>
      </c>
      <c r="EK81" s="48">
        <v>0</v>
      </c>
      <c r="EL81" s="48">
        <v>19606.400000000001</v>
      </c>
      <c r="EM81" s="48">
        <v>0</v>
      </c>
      <c r="EN81" s="48">
        <v>0</v>
      </c>
      <c r="EO81" s="48">
        <v>0</v>
      </c>
      <c r="EP81" s="48">
        <v>0</v>
      </c>
      <c r="EQ81" s="48">
        <v>773723.74</v>
      </c>
      <c r="ER81" s="48">
        <v>13739.379999999888</v>
      </c>
      <c r="ES81" s="48">
        <v>0</v>
      </c>
      <c r="ET81" s="48">
        <v>0</v>
      </c>
      <c r="EU81" s="48">
        <v>0</v>
      </c>
      <c r="EV81" s="48">
        <v>25108.400000000001</v>
      </c>
      <c r="EW81" s="48">
        <v>2296.6300000003539</v>
      </c>
      <c r="EX81" s="48">
        <v>6362.1400000001304</v>
      </c>
      <c r="EY81" s="48">
        <v>0</v>
      </c>
      <c r="EZ81" s="48">
        <v>3088.3899999998976</v>
      </c>
      <c r="FA81" s="48">
        <v>650000</v>
      </c>
      <c r="FB81" s="48">
        <v>235967.64</v>
      </c>
      <c r="FC81" s="48">
        <v>1157745.67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464593.6400000006</v>
      </c>
      <c r="FJ81" s="48">
        <v>402051.60000000056</v>
      </c>
      <c r="FK81" s="48">
        <v>263308.68</v>
      </c>
      <c r="FL81" s="48">
        <v>679899.57</v>
      </c>
      <c r="FM81" s="48">
        <v>418806.28000000119</v>
      </c>
      <c r="FN81" s="48">
        <v>2545812.86</v>
      </c>
      <c r="FO81" s="48">
        <v>243119.79</v>
      </c>
      <c r="FP81" s="48">
        <v>520740.68999999948</v>
      </c>
      <c r="FQ81" s="48">
        <v>223101.13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7"/>
      <c r="FZ81" s="7">
        <f t="shared" si="16"/>
        <v>143317546.35999998</v>
      </c>
      <c r="GA81" s="23"/>
      <c r="GB81" s="7"/>
      <c r="GC81" s="7"/>
      <c r="GD81" s="7"/>
      <c r="GE81" s="7"/>
      <c r="GF81" s="7"/>
      <c r="GG81" s="7"/>
      <c r="GH81" s="7"/>
      <c r="GI81" s="7"/>
      <c r="GJ81" s="7"/>
      <c r="GK81" s="7"/>
    </row>
    <row r="82" spans="1:195" ht="15.5" x14ac:dyDescent="0.35">
      <c r="A82" s="51"/>
      <c r="B82" s="48" t="s">
        <v>521</v>
      </c>
      <c r="C82" s="48" t="e">
        <f t="shared" ref="C82:FX82" ca="1" si="17">((C289*0.25)+C81)</f>
        <v>#NAME?</v>
      </c>
      <c r="D82" s="48" t="e">
        <f t="shared" ca="1" si="17"/>
        <v>#NAME?</v>
      </c>
      <c r="E82" s="48" t="e">
        <f t="shared" ca="1" si="17"/>
        <v>#NAME?</v>
      </c>
      <c r="F82" s="48" t="e">
        <f t="shared" ca="1" si="17"/>
        <v>#NAME?</v>
      </c>
      <c r="G82" s="48" t="e">
        <f t="shared" ca="1" si="17"/>
        <v>#NAME?</v>
      </c>
      <c r="H82" s="48" t="e">
        <f t="shared" ca="1" si="17"/>
        <v>#NAME?</v>
      </c>
      <c r="I82" s="48" t="e">
        <f t="shared" ca="1" si="17"/>
        <v>#NAME?</v>
      </c>
      <c r="J82" s="48" t="e">
        <f t="shared" ca="1" si="17"/>
        <v>#NAME?</v>
      </c>
      <c r="K82" s="48" t="e">
        <f t="shared" ca="1" si="17"/>
        <v>#NAME?</v>
      </c>
      <c r="L82" s="48" t="e">
        <f t="shared" ca="1" si="17"/>
        <v>#NAME?</v>
      </c>
      <c r="M82" s="48" t="e">
        <f t="shared" ca="1" si="17"/>
        <v>#NAME?</v>
      </c>
      <c r="N82" s="48" t="e">
        <f t="shared" ca="1" si="17"/>
        <v>#NAME?</v>
      </c>
      <c r="O82" s="48" t="e">
        <f t="shared" ca="1" si="17"/>
        <v>#NAME?</v>
      </c>
      <c r="P82" s="48" t="e">
        <f t="shared" ca="1" si="17"/>
        <v>#NAME?</v>
      </c>
      <c r="Q82" s="48" t="e">
        <f t="shared" ca="1" si="17"/>
        <v>#NAME?</v>
      </c>
      <c r="R82" s="48" t="e">
        <f t="shared" ca="1" si="17"/>
        <v>#NAME?</v>
      </c>
      <c r="S82" s="48" t="e">
        <f t="shared" ca="1" si="17"/>
        <v>#NAME?</v>
      </c>
      <c r="T82" s="48" t="e">
        <f t="shared" ca="1" si="17"/>
        <v>#NAME?</v>
      </c>
      <c r="U82" s="48" t="e">
        <f t="shared" ca="1" si="17"/>
        <v>#NAME?</v>
      </c>
      <c r="V82" s="48" t="e">
        <f t="shared" ca="1" si="17"/>
        <v>#NAME?</v>
      </c>
      <c r="W82" s="48" t="e">
        <f t="shared" ca="1" si="17"/>
        <v>#NAME?</v>
      </c>
      <c r="X82" s="48" t="e">
        <f t="shared" ca="1" si="17"/>
        <v>#NAME?</v>
      </c>
      <c r="Y82" s="48" t="e">
        <f t="shared" ca="1" si="17"/>
        <v>#NAME?</v>
      </c>
      <c r="Z82" s="48" t="e">
        <f t="shared" ca="1" si="17"/>
        <v>#NAME?</v>
      </c>
      <c r="AA82" s="48" t="e">
        <f t="shared" ca="1" si="17"/>
        <v>#NAME?</v>
      </c>
      <c r="AB82" s="48" t="e">
        <f t="shared" ca="1" si="17"/>
        <v>#NAME?</v>
      </c>
      <c r="AC82" s="48" t="e">
        <f t="shared" ca="1" si="17"/>
        <v>#NAME?</v>
      </c>
      <c r="AD82" s="48" t="e">
        <f t="shared" ca="1" si="17"/>
        <v>#NAME?</v>
      </c>
      <c r="AE82" s="48" t="e">
        <f t="shared" ca="1" si="17"/>
        <v>#NAME?</v>
      </c>
      <c r="AF82" s="48" t="e">
        <f t="shared" ca="1" si="17"/>
        <v>#NAME?</v>
      </c>
      <c r="AG82" s="48" t="e">
        <f t="shared" ca="1" si="17"/>
        <v>#NAME?</v>
      </c>
      <c r="AH82" s="48" t="e">
        <f t="shared" ca="1" si="17"/>
        <v>#NAME?</v>
      </c>
      <c r="AI82" s="48" t="e">
        <f t="shared" ca="1" si="17"/>
        <v>#NAME?</v>
      </c>
      <c r="AJ82" s="48" t="e">
        <f t="shared" ca="1" si="17"/>
        <v>#NAME?</v>
      </c>
      <c r="AK82" s="48" t="e">
        <f t="shared" ca="1" si="17"/>
        <v>#NAME?</v>
      </c>
      <c r="AL82" s="48" t="e">
        <f t="shared" ca="1" si="17"/>
        <v>#NAME?</v>
      </c>
      <c r="AM82" s="48" t="e">
        <f t="shared" ca="1" si="17"/>
        <v>#NAME?</v>
      </c>
      <c r="AN82" s="48" t="e">
        <f t="shared" ca="1" si="17"/>
        <v>#NAME?</v>
      </c>
      <c r="AO82" s="48" t="e">
        <f t="shared" ca="1" si="17"/>
        <v>#NAME?</v>
      </c>
      <c r="AP82" s="48" t="e">
        <f t="shared" ca="1" si="17"/>
        <v>#NAME?</v>
      </c>
      <c r="AQ82" s="48" t="e">
        <f t="shared" ca="1" si="17"/>
        <v>#NAME?</v>
      </c>
      <c r="AR82" s="48" t="e">
        <f t="shared" ca="1" si="17"/>
        <v>#NAME?</v>
      </c>
      <c r="AS82" s="48" t="e">
        <f t="shared" ca="1" si="17"/>
        <v>#NAME?</v>
      </c>
      <c r="AT82" s="48" t="e">
        <f t="shared" ca="1" si="17"/>
        <v>#NAME?</v>
      </c>
      <c r="AU82" s="48" t="e">
        <f t="shared" ca="1" si="17"/>
        <v>#NAME?</v>
      </c>
      <c r="AV82" s="48" t="e">
        <f t="shared" ca="1" si="17"/>
        <v>#NAME?</v>
      </c>
      <c r="AW82" s="48" t="e">
        <f t="shared" ca="1" si="17"/>
        <v>#NAME?</v>
      </c>
      <c r="AX82" s="48" t="e">
        <f t="shared" ca="1" si="17"/>
        <v>#NAME?</v>
      </c>
      <c r="AY82" s="48" t="e">
        <f t="shared" ca="1" si="17"/>
        <v>#NAME?</v>
      </c>
      <c r="AZ82" s="48" t="e">
        <f t="shared" ca="1" si="17"/>
        <v>#NAME?</v>
      </c>
      <c r="BA82" s="48" t="e">
        <f t="shared" ca="1" si="17"/>
        <v>#NAME?</v>
      </c>
      <c r="BB82" s="48" t="e">
        <f t="shared" ca="1" si="17"/>
        <v>#NAME?</v>
      </c>
      <c r="BC82" s="48" t="e">
        <f t="shared" ca="1" si="17"/>
        <v>#NAME?</v>
      </c>
      <c r="BD82" s="48" t="e">
        <f t="shared" ca="1" si="17"/>
        <v>#NAME?</v>
      </c>
      <c r="BE82" s="48" t="e">
        <f t="shared" ca="1" si="17"/>
        <v>#NAME?</v>
      </c>
      <c r="BF82" s="48" t="e">
        <f t="shared" ca="1" si="17"/>
        <v>#NAME?</v>
      </c>
      <c r="BG82" s="48" t="e">
        <f t="shared" ca="1" si="17"/>
        <v>#NAME?</v>
      </c>
      <c r="BH82" s="48" t="e">
        <f t="shared" ca="1" si="17"/>
        <v>#NAME?</v>
      </c>
      <c r="BI82" s="48" t="e">
        <f t="shared" ca="1" si="17"/>
        <v>#NAME?</v>
      </c>
      <c r="BJ82" s="48" t="e">
        <f t="shared" ca="1" si="17"/>
        <v>#NAME?</v>
      </c>
      <c r="BK82" s="48" t="e">
        <f t="shared" ca="1" si="17"/>
        <v>#NAME?</v>
      </c>
      <c r="BL82" s="48" t="e">
        <f t="shared" ca="1" si="17"/>
        <v>#NAME?</v>
      </c>
      <c r="BM82" s="48" t="e">
        <f t="shared" ca="1" si="17"/>
        <v>#NAME?</v>
      </c>
      <c r="BN82" s="48" t="e">
        <f t="shared" ca="1" si="17"/>
        <v>#NAME?</v>
      </c>
      <c r="BO82" s="48" t="e">
        <f t="shared" ca="1" si="17"/>
        <v>#NAME?</v>
      </c>
      <c r="BP82" s="48" t="e">
        <f t="shared" ca="1" si="17"/>
        <v>#NAME?</v>
      </c>
      <c r="BQ82" s="48" t="e">
        <f t="shared" ca="1" si="17"/>
        <v>#NAME?</v>
      </c>
      <c r="BR82" s="48" t="e">
        <f t="shared" ca="1" si="17"/>
        <v>#NAME?</v>
      </c>
      <c r="BS82" s="48" t="e">
        <f t="shared" ca="1" si="17"/>
        <v>#NAME?</v>
      </c>
      <c r="BT82" s="48" t="e">
        <f t="shared" ca="1" si="17"/>
        <v>#NAME?</v>
      </c>
      <c r="BU82" s="48" t="e">
        <f t="shared" ca="1" si="17"/>
        <v>#NAME?</v>
      </c>
      <c r="BV82" s="48" t="e">
        <f t="shared" ca="1" si="17"/>
        <v>#NAME?</v>
      </c>
      <c r="BW82" s="48" t="e">
        <f t="shared" ca="1" si="17"/>
        <v>#NAME?</v>
      </c>
      <c r="BX82" s="48" t="e">
        <f t="shared" ca="1" si="17"/>
        <v>#NAME?</v>
      </c>
      <c r="BY82" s="48" t="e">
        <f t="shared" ca="1" si="17"/>
        <v>#NAME?</v>
      </c>
      <c r="BZ82" s="48" t="e">
        <f t="shared" ca="1" si="17"/>
        <v>#NAME?</v>
      </c>
      <c r="CA82" s="48" t="e">
        <f t="shared" ca="1" si="17"/>
        <v>#NAME?</v>
      </c>
      <c r="CB82" s="48" t="e">
        <f t="shared" ca="1" si="17"/>
        <v>#NAME?</v>
      </c>
      <c r="CC82" s="48" t="e">
        <f t="shared" ca="1" si="17"/>
        <v>#NAME?</v>
      </c>
      <c r="CD82" s="48" t="e">
        <f t="shared" ca="1" si="17"/>
        <v>#NAME?</v>
      </c>
      <c r="CE82" s="48" t="e">
        <f t="shared" ca="1" si="17"/>
        <v>#NAME?</v>
      </c>
      <c r="CF82" s="48" t="e">
        <f t="shared" ca="1" si="17"/>
        <v>#NAME?</v>
      </c>
      <c r="CG82" s="48" t="e">
        <f t="shared" ca="1" si="17"/>
        <v>#NAME?</v>
      </c>
      <c r="CH82" s="48" t="e">
        <f t="shared" ca="1" si="17"/>
        <v>#NAME?</v>
      </c>
      <c r="CI82" s="48" t="e">
        <f t="shared" ca="1" si="17"/>
        <v>#NAME?</v>
      </c>
      <c r="CJ82" s="48" t="e">
        <f t="shared" ca="1" si="17"/>
        <v>#NAME?</v>
      </c>
      <c r="CK82" s="48" t="e">
        <f t="shared" ca="1" si="17"/>
        <v>#NAME?</v>
      </c>
      <c r="CL82" s="48" t="e">
        <f t="shared" ca="1" si="17"/>
        <v>#NAME?</v>
      </c>
      <c r="CM82" s="48" t="e">
        <f t="shared" ca="1" si="17"/>
        <v>#NAME?</v>
      </c>
      <c r="CN82" s="48" t="e">
        <f t="shared" ca="1" si="17"/>
        <v>#NAME?</v>
      </c>
      <c r="CO82" s="48" t="e">
        <f t="shared" ca="1" si="17"/>
        <v>#NAME?</v>
      </c>
      <c r="CP82" s="48" t="e">
        <f t="shared" ca="1" si="17"/>
        <v>#NAME?</v>
      </c>
      <c r="CQ82" s="48" t="e">
        <f t="shared" ca="1" si="17"/>
        <v>#NAME?</v>
      </c>
      <c r="CR82" s="48" t="e">
        <f t="shared" ca="1" si="17"/>
        <v>#NAME?</v>
      </c>
      <c r="CS82" s="48" t="e">
        <f t="shared" ca="1" si="17"/>
        <v>#NAME?</v>
      </c>
      <c r="CT82" s="48" t="e">
        <f t="shared" ca="1" si="17"/>
        <v>#NAME?</v>
      </c>
      <c r="CU82" s="48" t="e">
        <f t="shared" ca="1" si="17"/>
        <v>#NAME?</v>
      </c>
      <c r="CV82" s="48" t="e">
        <f t="shared" ca="1" si="17"/>
        <v>#NAME?</v>
      </c>
      <c r="CW82" s="48" t="e">
        <f t="shared" ca="1" si="17"/>
        <v>#NAME?</v>
      </c>
      <c r="CX82" s="48" t="e">
        <f t="shared" ca="1" si="17"/>
        <v>#NAME?</v>
      </c>
      <c r="CY82" s="48" t="e">
        <f t="shared" ca="1" si="17"/>
        <v>#NAME?</v>
      </c>
      <c r="CZ82" s="48" t="e">
        <f t="shared" ca="1" si="17"/>
        <v>#NAME?</v>
      </c>
      <c r="DA82" s="48" t="e">
        <f t="shared" ca="1" si="17"/>
        <v>#NAME?</v>
      </c>
      <c r="DB82" s="48" t="e">
        <f t="shared" ca="1" si="17"/>
        <v>#NAME?</v>
      </c>
      <c r="DC82" s="48" t="e">
        <f t="shared" ca="1" si="17"/>
        <v>#NAME?</v>
      </c>
      <c r="DD82" s="48" t="e">
        <f t="shared" ca="1" si="17"/>
        <v>#NAME?</v>
      </c>
      <c r="DE82" s="48" t="e">
        <f t="shared" ca="1" si="17"/>
        <v>#NAME?</v>
      </c>
      <c r="DF82" s="48" t="e">
        <f t="shared" ca="1" si="17"/>
        <v>#NAME?</v>
      </c>
      <c r="DG82" s="48" t="e">
        <f t="shared" ca="1" si="17"/>
        <v>#NAME?</v>
      </c>
      <c r="DH82" s="48" t="e">
        <f t="shared" ca="1" si="17"/>
        <v>#NAME?</v>
      </c>
      <c r="DI82" s="48" t="e">
        <f t="shared" ca="1" si="17"/>
        <v>#NAME?</v>
      </c>
      <c r="DJ82" s="48" t="e">
        <f t="shared" ca="1" si="17"/>
        <v>#NAME?</v>
      </c>
      <c r="DK82" s="48" t="e">
        <f t="shared" ca="1" si="17"/>
        <v>#NAME?</v>
      </c>
      <c r="DL82" s="48" t="e">
        <f t="shared" ca="1" si="17"/>
        <v>#NAME?</v>
      </c>
      <c r="DM82" s="48" t="e">
        <f t="shared" ca="1" si="17"/>
        <v>#NAME?</v>
      </c>
      <c r="DN82" s="48" t="e">
        <f t="shared" ca="1" si="17"/>
        <v>#NAME?</v>
      </c>
      <c r="DO82" s="48" t="e">
        <f t="shared" ca="1" si="17"/>
        <v>#NAME?</v>
      </c>
      <c r="DP82" s="48" t="e">
        <f t="shared" ca="1" si="17"/>
        <v>#NAME?</v>
      </c>
      <c r="DQ82" s="48" t="e">
        <f t="shared" ca="1" si="17"/>
        <v>#NAME?</v>
      </c>
      <c r="DR82" s="48" t="e">
        <f t="shared" ca="1" si="17"/>
        <v>#NAME?</v>
      </c>
      <c r="DS82" s="48" t="e">
        <f t="shared" ca="1" si="17"/>
        <v>#NAME?</v>
      </c>
      <c r="DT82" s="48" t="e">
        <f t="shared" ca="1" si="17"/>
        <v>#NAME?</v>
      </c>
      <c r="DU82" s="48" t="e">
        <f t="shared" ca="1" si="17"/>
        <v>#NAME?</v>
      </c>
      <c r="DV82" s="48" t="e">
        <f t="shared" ca="1" si="17"/>
        <v>#NAME?</v>
      </c>
      <c r="DW82" s="48" t="e">
        <f t="shared" ca="1" si="17"/>
        <v>#NAME?</v>
      </c>
      <c r="DX82" s="48" t="e">
        <f t="shared" ca="1" si="17"/>
        <v>#NAME?</v>
      </c>
      <c r="DY82" s="48" t="e">
        <f t="shared" ca="1" si="17"/>
        <v>#NAME?</v>
      </c>
      <c r="DZ82" s="48" t="e">
        <f t="shared" ca="1" si="17"/>
        <v>#NAME?</v>
      </c>
      <c r="EA82" s="48" t="e">
        <f t="shared" ca="1" si="17"/>
        <v>#NAME?</v>
      </c>
      <c r="EB82" s="48" t="e">
        <f t="shared" ca="1" si="17"/>
        <v>#NAME?</v>
      </c>
      <c r="EC82" s="48" t="e">
        <f t="shared" ca="1" si="17"/>
        <v>#NAME?</v>
      </c>
      <c r="ED82" s="48" t="e">
        <f t="shared" ca="1" si="17"/>
        <v>#NAME?</v>
      </c>
      <c r="EE82" s="48" t="e">
        <f t="shared" ca="1" si="17"/>
        <v>#NAME?</v>
      </c>
      <c r="EF82" s="48" t="e">
        <f t="shared" ca="1" si="17"/>
        <v>#NAME?</v>
      </c>
      <c r="EG82" s="48" t="e">
        <f t="shared" ca="1" si="17"/>
        <v>#NAME?</v>
      </c>
      <c r="EH82" s="48" t="e">
        <f t="shared" ca="1" si="17"/>
        <v>#NAME?</v>
      </c>
      <c r="EI82" s="48" t="e">
        <f t="shared" ca="1" si="17"/>
        <v>#NAME?</v>
      </c>
      <c r="EJ82" s="48" t="e">
        <f t="shared" ca="1" si="17"/>
        <v>#NAME?</v>
      </c>
      <c r="EK82" s="48" t="e">
        <f t="shared" ca="1" si="17"/>
        <v>#NAME?</v>
      </c>
      <c r="EL82" s="48" t="e">
        <f t="shared" ca="1" si="17"/>
        <v>#NAME?</v>
      </c>
      <c r="EM82" s="48" t="e">
        <f t="shared" ca="1" si="17"/>
        <v>#NAME?</v>
      </c>
      <c r="EN82" s="48" t="e">
        <f t="shared" ca="1" si="17"/>
        <v>#NAME?</v>
      </c>
      <c r="EO82" s="48" t="e">
        <f t="shared" ca="1" si="17"/>
        <v>#NAME?</v>
      </c>
      <c r="EP82" s="48" t="e">
        <f t="shared" ca="1" si="17"/>
        <v>#NAME?</v>
      </c>
      <c r="EQ82" s="48" t="e">
        <f t="shared" ca="1" si="17"/>
        <v>#NAME?</v>
      </c>
      <c r="ER82" s="48" t="e">
        <f t="shared" ca="1" si="17"/>
        <v>#NAME?</v>
      </c>
      <c r="ES82" s="48" t="e">
        <f t="shared" ca="1" si="17"/>
        <v>#NAME?</v>
      </c>
      <c r="ET82" s="48" t="e">
        <f t="shared" ca="1" si="17"/>
        <v>#NAME?</v>
      </c>
      <c r="EU82" s="48" t="e">
        <f t="shared" ca="1" si="17"/>
        <v>#NAME?</v>
      </c>
      <c r="EV82" s="48" t="e">
        <f t="shared" ca="1" si="17"/>
        <v>#NAME?</v>
      </c>
      <c r="EW82" s="48" t="e">
        <f t="shared" ca="1" si="17"/>
        <v>#NAME?</v>
      </c>
      <c r="EX82" s="48" t="e">
        <f t="shared" ca="1" si="17"/>
        <v>#NAME?</v>
      </c>
      <c r="EY82" s="48" t="e">
        <f t="shared" ca="1" si="17"/>
        <v>#NAME?</v>
      </c>
      <c r="EZ82" s="48" t="e">
        <f t="shared" ca="1" si="17"/>
        <v>#NAME?</v>
      </c>
      <c r="FA82" s="48" t="e">
        <f t="shared" ca="1" si="17"/>
        <v>#NAME?</v>
      </c>
      <c r="FB82" s="48" t="e">
        <f t="shared" ca="1" si="17"/>
        <v>#NAME?</v>
      </c>
      <c r="FC82" s="48" t="e">
        <f t="shared" ca="1" si="17"/>
        <v>#NAME?</v>
      </c>
      <c r="FD82" s="48" t="e">
        <f t="shared" ca="1" si="17"/>
        <v>#NAME?</v>
      </c>
      <c r="FE82" s="48" t="e">
        <f t="shared" ca="1" si="17"/>
        <v>#NAME?</v>
      </c>
      <c r="FF82" s="48" t="e">
        <f t="shared" ca="1" si="17"/>
        <v>#NAME?</v>
      </c>
      <c r="FG82" s="48" t="e">
        <f t="shared" ca="1" si="17"/>
        <v>#NAME?</v>
      </c>
      <c r="FH82" s="48" t="e">
        <f t="shared" ca="1" si="17"/>
        <v>#NAME?</v>
      </c>
      <c r="FI82" s="48" t="e">
        <f t="shared" ca="1" si="17"/>
        <v>#NAME?</v>
      </c>
      <c r="FJ82" s="48" t="e">
        <f t="shared" ca="1" si="17"/>
        <v>#NAME?</v>
      </c>
      <c r="FK82" s="48" t="e">
        <f t="shared" ca="1" si="17"/>
        <v>#NAME?</v>
      </c>
      <c r="FL82" s="48" t="e">
        <f t="shared" ca="1" si="17"/>
        <v>#NAME?</v>
      </c>
      <c r="FM82" s="48" t="e">
        <f t="shared" ca="1" si="17"/>
        <v>#NAME?</v>
      </c>
      <c r="FN82" s="48" t="e">
        <f t="shared" ca="1" si="17"/>
        <v>#NAME?</v>
      </c>
      <c r="FO82" s="48" t="e">
        <f t="shared" ca="1" si="17"/>
        <v>#NAME?</v>
      </c>
      <c r="FP82" s="48" t="e">
        <f t="shared" ca="1" si="17"/>
        <v>#NAME?</v>
      </c>
      <c r="FQ82" s="48" t="e">
        <f t="shared" ca="1" si="17"/>
        <v>#NAME?</v>
      </c>
      <c r="FR82" s="48" t="e">
        <f t="shared" ca="1" si="17"/>
        <v>#NAME?</v>
      </c>
      <c r="FS82" s="48" t="e">
        <f t="shared" ca="1" si="17"/>
        <v>#NAME?</v>
      </c>
      <c r="FT82" s="48" t="e">
        <f t="shared" ca="1" si="17"/>
        <v>#NAME?</v>
      </c>
      <c r="FU82" s="48" t="e">
        <f t="shared" ca="1" si="17"/>
        <v>#NAME?</v>
      </c>
      <c r="FV82" s="48" t="e">
        <f t="shared" ca="1" si="17"/>
        <v>#NAME?</v>
      </c>
      <c r="FW82" s="48" t="e">
        <f t="shared" ca="1" si="17"/>
        <v>#NAME?</v>
      </c>
      <c r="FX82" s="48" t="e">
        <f t="shared" ca="1" si="17"/>
        <v>#NAME?</v>
      </c>
      <c r="FY82" s="7"/>
      <c r="FZ82" s="7" t="e">
        <f t="shared" ca="1" si="16"/>
        <v>#NAME?</v>
      </c>
      <c r="GA82" s="23"/>
      <c r="GB82" s="7"/>
      <c r="GC82" s="7"/>
      <c r="GD82" s="7"/>
      <c r="GE82" s="7"/>
      <c r="GF82" s="7"/>
      <c r="GG82" s="7"/>
      <c r="GH82" s="7"/>
      <c r="GI82" s="7"/>
      <c r="GJ82" s="7"/>
      <c r="GK82" s="7"/>
    </row>
    <row r="83" spans="1:195" ht="15.5" x14ac:dyDescent="0.35">
      <c r="A83" s="54">
        <v>0.08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23"/>
      <c r="GB83" s="7"/>
      <c r="GC83" s="7"/>
      <c r="GD83" s="7"/>
      <c r="GE83" s="7"/>
      <c r="GF83" s="7"/>
      <c r="GG83" s="7"/>
      <c r="GH83" s="7"/>
      <c r="GI83" s="7"/>
      <c r="GJ83" s="7"/>
      <c r="GK83" s="7"/>
    </row>
    <row r="84" spans="1:195" ht="15.5" x14ac:dyDescent="0.35">
      <c r="A84" s="7"/>
      <c r="B84" s="5" t="s">
        <v>537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23"/>
      <c r="GB84" s="7"/>
      <c r="GC84" s="7"/>
      <c r="GD84" s="7"/>
      <c r="GE84" s="7"/>
      <c r="GF84" s="7"/>
      <c r="GG84" s="7"/>
      <c r="GH84" s="7"/>
      <c r="GI84" s="7"/>
      <c r="GJ84" s="7"/>
      <c r="GK84" s="7"/>
    </row>
    <row r="85" spans="1:195" ht="15.5" x14ac:dyDescent="0.35">
      <c r="A85" s="12" t="s">
        <v>538</v>
      </c>
      <c r="B85" s="7" t="s">
        <v>804</v>
      </c>
      <c r="C85" s="23">
        <f t="shared" ref="C85:FX85" si="18">C16</f>
        <v>6364.5</v>
      </c>
      <c r="D85" s="23">
        <f t="shared" si="18"/>
        <v>32089</v>
      </c>
      <c r="E85" s="23">
        <f t="shared" si="18"/>
        <v>4691</v>
      </c>
      <c r="F85" s="23">
        <f t="shared" si="18"/>
        <v>21462.5</v>
      </c>
      <c r="G85" s="23">
        <f t="shared" si="18"/>
        <v>1844</v>
      </c>
      <c r="H85" s="23">
        <f t="shared" si="18"/>
        <v>1070</v>
      </c>
      <c r="I85" s="23">
        <f t="shared" si="18"/>
        <v>7027</v>
      </c>
      <c r="J85" s="23">
        <f t="shared" si="18"/>
        <v>1988</v>
      </c>
      <c r="K85" s="23">
        <f t="shared" si="18"/>
        <v>248.5</v>
      </c>
      <c r="L85" s="23">
        <f t="shared" si="18"/>
        <v>2062</v>
      </c>
      <c r="M85" s="23">
        <f t="shared" si="18"/>
        <v>839</v>
      </c>
      <c r="N85" s="23">
        <f t="shared" si="18"/>
        <v>49557</v>
      </c>
      <c r="O85" s="23">
        <f t="shared" si="18"/>
        <v>12263.5</v>
      </c>
      <c r="P85" s="23">
        <f t="shared" si="18"/>
        <v>313</v>
      </c>
      <c r="Q85" s="23">
        <f t="shared" si="18"/>
        <v>37352</v>
      </c>
      <c r="R85" s="23">
        <f t="shared" si="18"/>
        <v>481</v>
      </c>
      <c r="S85" s="23">
        <f t="shared" si="18"/>
        <v>1545.5</v>
      </c>
      <c r="T85" s="23">
        <f t="shared" si="18"/>
        <v>160</v>
      </c>
      <c r="U85" s="23">
        <f t="shared" si="18"/>
        <v>54</v>
      </c>
      <c r="V85" s="23">
        <f t="shared" si="18"/>
        <v>253</v>
      </c>
      <c r="W85" s="23">
        <f t="shared" si="18"/>
        <v>46</v>
      </c>
      <c r="X85" s="23">
        <f t="shared" si="18"/>
        <v>37.5</v>
      </c>
      <c r="Y85" s="23">
        <f t="shared" si="18"/>
        <v>397</v>
      </c>
      <c r="Z85" s="23">
        <f t="shared" si="18"/>
        <v>231</v>
      </c>
      <c r="AA85" s="23">
        <f t="shared" si="18"/>
        <v>30254.5</v>
      </c>
      <c r="AB85" s="23">
        <f t="shared" si="18"/>
        <v>26514</v>
      </c>
      <c r="AC85" s="23">
        <f t="shared" si="18"/>
        <v>847.5</v>
      </c>
      <c r="AD85" s="23">
        <f t="shared" si="18"/>
        <v>1281</v>
      </c>
      <c r="AE85" s="23">
        <f t="shared" si="18"/>
        <v>97</v>
      </c>
      <c r="AF85" s="23">
        <f t="shared" si="18"/>
        <v>164</v>
      </c>
      <c r="AG85" s="23">
        <f t="shared" si="18"/>
        <v>585.5</v>
      </c>
      <c r="AH85" s="23">
        <f t="shared" si="18"/>
        <v>908</v>
      </c>
      <c r="AI85" s="23">
        <f t="shared" si="18"/>
        <v>383</v>
      </c>
      <c r="AJ85" s="23">
        <f t="shared" si="18"/>
        <v>181.5</v>
      </c>
      <c r="AK85" s="23">
        <f t="shared" si="18"/>
        <v>162.5</v>
      </c>
      <c r="AL85" s="23">
        <f t="shared" si="18"/>
        <v>288.5</v>
      </c>
      <c r="AM85" s="23">
        <f t="shared" si="18"/>
        <v>306</v>
      </c>
      <c r="AN85" s="23">
        <f t="shared" si="18"/>
        <v>267</v>
      </c>
      <c r="AO85" s="23">
        <f t="shared" si="18"/>
        <v>3681</v>
      </c>
      <c r="AP85" s="23">
        <f t="shared" si="18"/>
        <v>83522.5</v>
      </c>
      <c r="AQ85" s="23">
        <f t="shared" si="18"/>
        <v>251</v>
      </c>
      <c r="AR85" s="23">
        <f t="shared" si="18"/>
        <v>57312</v>
      </c>
      <c r="AS85" s="23">
        <f t="shared" si="18"/>
        <v>5954.5</v>
      </c>
      <c r="AT85" s="23">
        <f t="shared" si="18"/>
        <v>2358</v>
      </c>
      <c r="AU85" s="23">
        <f t="shared" si="18"/>
        <v>268</v>
      </c>
      <c r="AV85" s="23">
        <f t="shared" si="18"/>
        <v>296</v>
      </c>
      <c r="AW85" s="23">
        <f t="shared" si="18"/>
        <v>255</v>
      </c>
      <c r="AX85" s="23">
        <f t="shared" si="18"/>
        <v>81</v>
      </c>
      <c r="AY85" s="23">
        <f t="shared" si="18"/>
        <v>391.5</v>
      </c>
      <c r="AZ85" s="23">
        <f t="shared" si="18"/>
        <v>11778.5</v>
      </c>
      <c r="BA85" s="23">
        <f t="shared" si="18"/>
        <v>8849.5</v>
      </c>
      <c r="BB85" s="23">
        <f t="shared" si="18"/>
        <v>7441</v>
      </c>
      <c r="BC85" s="23">
        <f t="shared" si="18"/>
        <v>20968.5</v>
      </c>
      <c r="BD85" s="23">
        <f t="shared" si="18"/>
        <v>3633.5</v>
      </c>
      <c r="BE85" s="23">
        <f t="shared" si="18"/>
        <v>1092</v>
      </c>
      <c r="BF85" s="23">
        <f t="shared" si="18"/>
        <v>24344</v>
      </c>
      <c r="BG85" s="23">
        <f t="shared" si="18"/>
        <v>919.5</v>
      </c>
      <c r="BH85" s="23">
        <f t="shared" si="18"/>
        <v>534</v>
      </c>
      <c r="BI85" s="23">
        <f t="shared" si="18"/>
        <v>254.5</v>
      </c>
      <c r="BJ85" s="23">
        <f t="shared" si="18"/>
        <v>6294</v>
      </c>
      <c r="BK85" s="23">
        <f t="shared" si="18"/>
        <v>21812.5</v>
      </c>
      <c r="BL85" s="23">
        <f t="shared" si="18"/>
        <v>69.5</v>
      </c>
      <c r="BM85" s="23">
        <f t="shared" si="18"/>
        <v>330.5</v>
      </c>
      <c r="BN85" s="23">
        <f t="shared" si="18"/>
        <v>2993</v>
      </c>
      <c r="BO85" s="23">
        <f t="shared" si="18"/>
        <v>1186</v>
      </c>
      <c r="BP85" s="23">
        <f t="shared" si="18"/>
        <v>137</v>
      </c>
      <c r="BQ85" s="23">
        <f t="shared" si="18"/>
        <v>5582</v>
      </c>
      <c r="BR85" s="23">
        <f t="shared" si="18"/>
        <v>4474.5</v>
      </c>
      <c r="BS85" s="23">
        <f t="shared" si="18"/>
        <v>1158</v>
      </c>
      <c r="BT85" s="23">
        <f t="shared" si="18"/>
        <v>353</v>
      </c>
      <c r="BU85" s="23">
        <f t="shared" si="18"/>
        <v>382</v>
      </c>
      <c r="BV85" s="23">
        <f t="shared" si="18"/>
        <v>1243</v>
      </c>
      <c r="BW85" s="23">
        <f t="shared" si="18"/>
        <v>2017.5</v>
      </c>
      <c r="BX85" s="23">
        <f t="shared" si="18"/>
        <v>57</v>
      </c>
      <c r="BY85" s="23">
        <f t="shared" si="18"/>
        <v>392.5</v>
      </c>
      <c r="BZ85" s="23">
        <f t="shared" si="18"/>
        <v>228</v>
      </c>
      <c r="CA85" s="23">
        <f t="shared" si="18"/>
        <v>141.5</v>
      </c>
      <c r="CB85" s="23">
        <f t="shared" si="18"/>
        <v>70207.5</v>
      </c>
      <c r="CC85" s="23">
        <f t="shared" si="18"/>
        <v>186</v>
      </c>
      <c r="CD85" s="23">
        <f t="shared" si="18"/>
        <v>30</v>
      </c>
      <c r="CE85" s="23">
        <f t="shared" si="18"/>
        <v>158</v>
      </c>
      <c r="CF85" s="23">
        <f t="shared" si="18"/>
        <v>100</v>
      </c>
      <c r="CG85" s="23">
        <f t="shared" si="18"/>
        <v>191</v>
      </c>
      <c r="CH85" s="23">
        <f t="shared" si="18"/>
        <v>90</v>
      </c>
      <c r="CI85" s="23">
        <f t="shared" si="18"/>
        <v>683</v>
      </c>
      <c r="CJ85" s="23">
        <f t="shared" si="18"/>
        <v>822.5</v>
      </c>
      <c r="CK85" s="23">
        <f t="shared" si="18"/>
        <v>4188.5</v>
      </c>
      <c r="CL85" s="23">
        <f t="shared" si="18"/>
        <v>1148</v>
      </c>
      <c r="CM85" s="23">
        <f t="shared" si="18"/>
        <v>675.5</v>
      </c>
      <c r="CN85" s="23">
        <f t="shared" si="18"/>
        <v>27905.5</v>
      </c>
      <c r="CO85" s="23">
        <f t="shared" si="18"/>
        <v>13919.5</v>
      </c>
      <c r="CP85" s="23">
        <f t="shared" si="18"/>
        <v>856.5</v>
      </c>
      <c r="CQ85" s="23">
        <f t="shared" si="18"/>
        <v>759</v>
      </c>
      <c r="CR85" s="23">
        <f t="shared" si="18"/>
        <v>195</v>
      </c>
      <c r="CS85" s="23">
        <f t="shared" si="18"/>
        <v>245.5</v>
      </c>
      <c r="CT85" s="23">
        <f t="shared" si="18"/>
        <v>112</v>
      </c>
      <c r="CU85" s="23">
        <f t="shared" si="18"/>
        <v>67</v>
      </c>
      <c r="CV85" s="23">
        <f t="shared" si="18"/>
        <v>24</v>
      </c>
      <c r="CW85" s="23">
        <f t="shared" si="18"/>
        <v>187</v>
      </c>
      <c r="CX85" s="23">
        <f t="shared" si="18"/>
        <v>457</v>
      </c>
      <c r="CY85" s="23">
        <f t="shared" si="18"/>
        <v>25</v>
      </c>
      <c r="CZ85" s="23">
        <f t="shared" si="18"/>
        <v>1768</v>
      </c>
      <c r="DA85" s="23">
        <f t="shared" si="18"/>
        <v>203.5</v>
      </c>
      <c r="DB85" s="23">
        <f t="shared" si="18"/>
        <v>310.5</v>
      </c>
      <c r="DC85" s="23">
        <f t="shared" si="18"/>
        <v>193</v>
      </c>
      <c r="DD85" s="23">
        <f t="shared" si="18"/>
        <v>174.5</v>
      </c>
      <c r="DE85" s="23">
        <f t="shared" si="18"/>
        <v>279.5</v>
      </c>
      <c r="DF85" s="23">
        <f t="shared" si="18"/>
        <v>18445.5</v>
      </c>
      <c r="DG85" s="23">
        <f t="shared" si="18"/>
        <v>93.5</v>
      </c>
      <c r="DH85" s="23">
        <f t="shared" si="18"/>
        <v>1684</v>
      </c>
      <c r="DI85" s="23">
        <f t="shared" si="18"/>
        <v>2289</v>
      </c>
      <c r="DJ85" s="23">
        <f t="shared" si="18"/>
        <v>600</v>
      </c>
      <c r="DK85" s="23">
        <f t="shared" si="18"/>
        <v>472.5</v>
      </c>
      <c r="DL85" s="23">
        <f t="shared" si="18"/>
        <v>5616</v>
      </c>
      <c r="DM85" s="23">
        <f t="shared" si="18"/>
        <v>235</v>
      </c>
      <c r="DN85" s="23">
        <f t="shared" si="18"/>
        <v>1294.5</v>
      </c>
      <c r="DO85" s="23">
        <f t="shared" si="18"/>
        <v>3290</v>
      </c>
      <c r="DP85" s="23">
        <f t="shared" si="18"/>
        <v>199</v>
      </c>
      <c r="DQ85" s="23">
        <f t="shared" si="18"/>
        <v>887</v>
      </c>
      <c r="DR85" s="23">
        <f t="shared" si="18"/>
        <v>1266</v>
      </c>
      <c r="DS85" s="23">
        <f t="shared" si="18"/>
        <v>545</v>
      </c>
      <c r="DT85" s="23">
        <f t="shared" si="18"/>
        <v>175</v>
      </c>
      <c r="DU85" s="23">
        <f t="shared" si="18"/>
        <v>346</v>
      </c>
      <c r="DV85" s="23">
        <f t="shared" si="18"/>
        <v>198</v>
      </c>
      <c r="DW85" s="23">
        <f t="shared" si="18"/>
        <v>285</v>
      </c>
      <c r="DX85" s="23">
        <f t="shared" si="18"/>
        <v>168</v>
      </c>
      <c r="DY85" s="23">
        <f t="shared" si="18"/>
        <v>280</v>
      </c>
      <c r="DZ85" s="23">
        <f t="shared" si="18"/>
        <v>606.5</v>
      </c>
      <c r="EA85" s="23">
        <f t="shared" si="18"/>
        <v>487.5</v>
      </c>
      <c r="EB85" s="23">
        <f t="shared" si="18"/>
        <v>498</v>
      </c>
      <c r="EC85" s="23">
        <f t="shared" si="18"/>
        <v>260</v>
      </c>
      <c r="ED85" s="23">
        <f t="shared" si="18"/>
        <v>1546.5</v>
      </c>
      <c r="EE85" s="23">
        <f t="shared" si="18"/>
        <v>185.5</v>
      </c>
      <c r="EF85" s="23">
        <f t="shared" si="18"/>
        <v>1260</v>
      </c>
      <c r="EG85" s="23">
        <f t="shared" si="18"/>
        <v>250</v>
      </c>
      <c r="EH85" s="23">
        <f t="shared" si="18"/>
        <v>246</v>
      </c>
      <c r="EI85" s="23">
        <f t="shared" si="18"/>
        <v>13258.5</v>
      </c>
      <c r="EJ85" s="23">
        <f t="shared" si="18"/>
        <v>9752</v>
      </c>
      <c r="EK85" s="23">
        <f t="shared" si="18"/>
        <v>663.5</v>
      </c>
      <c r="EL85" s="23">
        <f t="shared" si="18"/>
        <v>447</v>
      </c>
      <c r="EM85" s="23">
        <f t="shared" si="18"/>
        <v>355</v>
      </c>
      <c r="EN85" s="23">
        <f t="shared" si="18"/>
        <v>876.5</v>
      </c>
      <c r="EO85" s="23">
        <f t="shared" si="18"/>
        <v>287</v>
      </c>
      <c r="EP85" s="23">
        <f t="shared" si="18"/>
        <v>428.5</v>
      </c>
      <c r="EQ85" s="23">
        <f t="shared" si="18"/>
        <v>2405</v>
      </c>
      <c r="ER85" s="23">
        <f t="shared" si="18"/>
        <v>306.5</v>
      </c>
      <c r="ES85" s="23">
        <f t="shared" si="18"/>
        <v>155.5</v>
      </c>
      <c r="ET85" s="23">
        <f t="shared" si="18"/>
        <v>197.5</v>
      </c>
      <c r="EU85" s="23">
        <f t="shared" si="18"/>
        <v>568</v>
      </c>
      <c r="EV85" s="23">
        <f t="shared" si="18"/>
        <v>66</v>
      </c>
      <c r="EW85" s="23">
        <f t="shared" si="18"/>
        <v>746.5</v>
      </c>
      <c r="EX85" s="23">
        <f t="shared" si="18"/>
        <v>173.5</v>
      </c>
      <c r="EY85" s="23">
        <f t="shared" si="18"/>
        <v>201</v>
      </c>
      <c r="EZ85" s="23">
        <f t="shared" si="18"/>
        <v>127</v>
      </c>
      <c r="FA85" s="23">
        <f t="shared" si="18"/>
        <v>3245</v>
      </c>
      <c r="FB85" s="23">
        <f t="shared" si="18"/>
        <v>275.5</v>
      </c>
      <c r="FC85" s="23">
        <f t="shared" si="18"/>
        <v>1640</v>
      </c>
      <c r="FD85" s="23">
        <f t="shared" si="18"/>
        <v>399</v>
      </c>
      <c r="FE85" s="23">
        <f t="shared" si="18"/>
        <v>70</v>
      </c>
      <c r="FF85" s="23">
        <f t="shared" si="18"/>
        <v>175</v>
      </c>
      <c r="FG85" s="23">
        <f t="shared" si="18"/>
        <v>114</v>
      </c>
      <c r="FH85" s="23">
        <f t="shared" si="18"/>
        <v>69</v>
      </c>
      <c r="FI85" s="23">
        <f t="shared" si="18"/>
        <v>1645</v>
      </c>
      <c r="FJ85" s="23">
        <f t="shared" si="18"/>
        <v>2016.5</v>
      </c>
      <c r="FK85" s="23">
        <f t="shared" si="18"/>
        <v>2482</v>
      </c>
      <c r="FL85" s="23">
        <f t="shared" si="18"/>
        <v>8537.5</v>
      </c>
      <c r="FM85" s="23">
        <f t="shared" si="18"/>
        <v>3981.5</v>
      </c>
      <c r="FN85" s="23">
        <f t="shared" si="18"/>
        <v>22420.5</v>
      </c>
      <c r="FO85" s="23">
        <f t="shared" si="18"/>
        <v>1117</v>
      </c>
      <c r="FP85" s="23">
        <f t="shared" si="18"/>
        <v>2341.5</v>
      </c>
      <c r="FQ85" s="23">
        <f t="shared" si="18"/>
        <v>982.5</v>
      </c>
      <c r="FR85" s="23">
        <f t="shared" si="18"/>
        <v>162.5</v>
      </c>
      <c r="FS85" s="23">
        <f t="shared" si="18"/>
        <v>160.5</v>
      </c>
      <c r="FT85" s="23" t="e">
        <f t="shared" ca="1" si="18"/>
        <v>#NAME?</v>
      </c>
      <c r="FU85" s="23">
        <f t="shared" si="18"/>
        <v>760</v>
      </c>
      <c r="FV85" s="23">
        <f t="shared" si="18"/>
        <v>692</v>
      </c>
      <c r="FW85" s="23">
        <f t="shared" si="18"/>
        <v>128</v>
      </c>
      <c r="FX85" s="23">
        <f t="shared" si="18"/>
        <v>64</v>
      </c>
      <c r="FY85" s="7"/>
      <c r="FZ85" s="23" t="e">
        <f t="shared" ref="FZ85:FZ90" ca="1" si="19">SUM(C85:FX85)</f>
        <v>#NAME?</v>
      </c>
      <c r="GA85" s="25"/>
      <c r="GB85" s="7"/>
      <c r="GC85" s="7"/>
      <c r="GD85" s="7"/>
      <c r="GE85" s="7"/>
      <c r="GF85" s="7"/>
      <c r="GG85" s="7"/>
      <c r="GH85" s="7"/>
      <c r="GI85" s="7"/>
      <c r="GJ85" s="7"/>
      <c r="GK85" s="7"/>
    </row>
    <row r="86" spans="1:195" ht="15.5" x14ac:dyDescent="0.35">
      <c r="A86" s="12" t="s">
        <v>540</v>
      </c>
      <c r="B86" s="7" t="s">
        <v>805</v>
      </c>
      <c r="C86" s="23">
        <f t="shared" ref="C86:FX86" si="20">C24</f>
        <v>6404.5</v>
      </c>
      <c r="D86" s="23">
        <f t="shared" si="20"/>
        <v>32699.5</v>
      </c>
      <c r="E86" s="23">
        <f t="shared" si="20"/>
        <v>4867</v>
      </c>
      <c r="F86" s="23">
        <f t="shared" si="20"/>
        <v>21051.5</v>
      </c>
      <c r="G86" s="23">
        <f t="shared" si="20"/>
        <v>1709</v>
      </c>
      <c r="H86" s="23">
        <f t="shared" si="20"/>
        <v>1089</v>
      </c>
      <c r="I86" s="23">
        <f t="shared" si="20"/>
        <v>7236</v>
      </c>
      <c r="J86" s="23">
        <f t="shared" si="20"/>
        <v>2024</v>
      </c>
      <c r="K86" s="23">
        <f t="shared" si="20"/>
        <v>243.5</v>
      </c>
      <c r="L86" s="23">
        <f t="shared" si="20"/>
        <v>2087</v>
      </c>
      <c r="M86" s="23">
        <f t="shared" si="20"/>
        <v>866</v>
      </c>
      <c r="N86" s="23">
        <f t="shared" si="20"/>
        <v>50007.5</v>
      </c>
      <c r="O86" s="23">
        <f t="shared" si="20"/>
        <v>12583.5</v>
      </c>
      <c r="P86" s="23">
        <f t="shared" si="20"/>
        <v>303</v>
      </c>
      <c r="Q86" s="23">
        <f t="shared" si="20"/>
        <v>37010</v>
      </c>
      <c r="R86" s="23">
        <f t="shared" si="20"/>
        <v>467.5</v>
      </c>
      <c r="S86" s="23">
        <f t="shared" si="20"/>
        <v>1535</v>
      </c>
      <c r="T86" s="23">
        <f t="shared" si="20"/>
        <v>158</v>
      </c>
      <c r="U86" s="23">
        <f t="shared" si="20"/>
        <v>57</v>
      </c>
      <c r="V86" s="23">
        <f t="shared" si="20"/>
        <v>245.5</v>
      </c>
      <c r="W86" s="23">
        <f t="shared" si="20"/>
        <v>49.5</v>
      </c>
      <c r="X86" s="23">
        <f t="shared" si="20"/>
        <v>36.5</v>
      </c>
      <c r="Y86" s="23">
        <f t="shared" si="20"/>
        <v>404</v>
      </c>
      <c r="Z86" s="23">
        <f t="shared" si="20"/>
        <v>231</v>
      </c>
      <c r="AA86" s="23">
        <f t="shared" si="20"/>
        <v>30258.5</v>
      </c>
      <c r="AB86" s="23">
        <f t="shared" si="20"/>
        <v>26784.5</v>
      </c>
      <c r="AC86" s="23">
        <f t="shared" si="20"/>
        <v>864</v>
      </c>
      <c r="AD86" s="23">
        <f t="shared" si="20"/>
        <v>1269.5</v>
      </c>
      <c r="AE86" s="23">
        <f t="shared" si="20"/>
        <v>97</v>
      </c>
      <c r="AF86" s="23">
        <f t="shared" si="20"/>
        <v>164.5</v>
      </c>
      <c r="AG86" s="23">
        <f t="shared" si="20"/>
        <v>589</v>
      </c>
      <c r="AH86" s="23">
        <f t="shared" si="20"/>
        <v>927</v>
      </c>
      <c r="AI86" s="23">
        <f t="shared" si="20"/>
        <v>363</v>
      </c>
      <c r="AJ86" s="23">
        <f t="shared" si="20"/>
        <v>176</v>
      </c>
      <c r="AK86" s="23">
        <f t="shared" si="20"/>
        <v>163</v>
      </c>
      <c r="AL86" s="23">
        <f t="shared" si="20"/>
        <v>286</v>
      </c>
      <c r="AM86" s="23">
        <f t="shared" si="20"/>
        <v>331</v>
      </c>
      <c r="AN86" s="23">
        <f t="shared" si="20"/>
        <v>271.5</v>
      </c>
      <c r="AO86" s="23">
        <f t="shared" si="20"/>
        <v>3767</v>
      </c>
      <c r="AP86" s="23">
        <f t="shared" si="20"/>
        <v>84396.5</v>
      </c>
      <c r="AQ86" s="23">
        <f t="shared" si="20"/>
        <v>242.5</v>
      </c>
      <c r="AR86" s="23">
        <f t="shared" si="20"/>
        <v>57877.5</v>
      </c>
      <c r="AS86" s="23">
        <f t="shared" si="20"/>
        <v>6025</v>
      </c>
      <c r="AT86" s="23">
        <f t="shared" si="20"/>
        <v>2340.5</v>
      </c>
      <c r="AU86" s="23">
        <f t="shared" si="20"/>
        <v>250</v>
      </c>
      <c r="AV86" s="23">
        <f t="shared" si="20"/>
        <v>299</v>
      </c>
      <c r="AW86" s="23">
        <f t="shared" si="20"/>
        <v>250</v>
      </c>
      <c r="AX86" s="23">
        <f t="shared" si="20"/>
        <v>73</v>
      </c>
      <c r="AY86" s="23">
        <f t="shared" si="20"/>
        <v>392</v>
      </c>
      <c r="AZ86" s="23">
        <f t="shared" si="20"/>
        <v>11891</v>
      </c>
      <c r="BA86" s="23">
        <f t="shared" si="20"/>
        <v>8667</v>
      </c>
      <c r="BB86" s="23">
        <f t="shared" si="20"/>
        <v>7399</v>
      </c>
      <c r="BC86" s="23">
        <f t="shared" si="20"/>
        <v>21443</v>
      </c>
      <c r="BD86" s="23">
        <f t="shared" si="20"/>
        <v>3598.5</v>
      </c>
      <c r="BE86" s="23">
        <f t="shared" si="20"/>
        <v>1113</v>
      </c>
      <c r="BF86" s="23">
        <f t="shared" si="20"/>
        <v>24230</v>
      </c>
      <c r="BG86" s="23">
        <f t="shared" si="20"/>
        <v>921.5</v>
      </c>
      <c r="BH86" s="23">
        <f t="shared" si="20"/>
        <v>529</v>
      </c>
      <c r="BI86" s="23">
        <f t="shared" si="20"/>
        <v>251</v>
      </c>
      <c r="BJ86" s="23">
        <f t="shared" si="20"/>
        <v>6198.5</v>
      </c>
      <c r="BK86" s="23">
        <f t="shared" si="20"/>
        <v>21041</v>
      </c>
      <c r="BL86" s="23">
        <f t="shared" si="20"/>
        <v>64.5</v>
      </c>
      <c r="BM86" s="23">
        <f t="shared" si="20"/>
        <v>331.5</v>
      </c>
      <c r="BN86" s="23">
        <f t="shared" si="20"/>
        <v>3018.5</v>
      </c>
      <c r="BO86" s="23">
        <f t="shared" si="20"/>
        <v>1190</v>
      </c>
      <c r="BP86" s="23">
        <f t="shared" si="20"/>
        <v>144</v>
      </c>
      <c r="BQ86" s="23">
        <f t="shared" si="20"/>
        <v>5632</v>
      </c>
      <c r="BR86" s="23">
        <f t="shared" si="20"/>
        <v>4471</v>
      </c>
      <c r="BS86" s="23">
        <f t="shared" si="20"/>
        <v>1151</v>
      </c>
      <c r="BT86" s="23">
        <f t="shared" si="20"/>
        <v>355.5</v>
      </c>
      <c r="BU86" s="23">
        <f t="shared" si="20"/>
        <v>383</v>
      </c>
      <c r="BV86" s="23">
        <f t="shared" si="20"/>
        <v>1247.5</v>
      </c>
      <c r="BW86" s="23">
        <f t="shared" si="20"/>
        <v>2017</v>
      </c>
      <c r="BX86" s="23">
        <f t="shared" si="20"/>
        <v>67</v>
      </c>
      <c r="BY86" s="23">
        <f t="shared" si="20"/>
        <v>404</v>
      </c>
      <c r="BZ86" s="23">
        <f t="shared" si="20"/>
        <v>224</v>
      </c>
      <c r="CA86" s="23">
        <f t="shared" si="20"/>
        <v>130</v>
      </c>
      <c r="CB86" s="23">
        <f t="shared" si="20"/>
        <v>70467</v>
      </c>
      <c r="CC86" s="23">
        <f t="shared" si="20"/>
        <v>190</v>
      </c>
      <c r="CD86" s="23">
        <f t="shared" si="20"/>
        <v>27</v>
      </c>
      <c r="CE86" s="23">
        <f t="shared" si="20"/>
        <v>158.5</v>
      </c>
      <c r="CF86" s="23">
        <f t="shared" si="20"/>
        <v>92</v>
      </c>
      <c r="CG86" s="23">
        <f t="shared" si="20"/>
        <v>195.5</v>
      </c>
      <c r="CH86" s="23">
        <f t="shared" si="20"/>
        <v>90</v>
      </c>
      <c r="CI86" s="23">
        <f t="shared" si="20"/>
        <v>662</v>
      </c>
      <c r="CJ86" s="23">
        <f t="shared" si="20"/>
        <v>855.5</v>
      </c>
      <c r="CK86" s="23">
        <f t="shared" si="20"/>
        <v>4231.5</v>
      </c>
      <c r="CL86" s="23">
        <f t="shared" si="20"/>
        <v>1169</v>
      </c>
      <c r="CM86" s="23">
        <f t="shared" si="20"/>
        <v>659</v>
      </c>
      <c r="CN86" s="23">
        <f t="shared" si="20"/>
        <v>28020.5</v>
      </c>
      <c r="CO86" s="23">
        <f t="shared" si="20"/>
        <v>14006.5</v>
      </c>
      <c r="CP86" s="23">
        <f t="shared" si="20"/>
        <v>869.5</v>
      </c>
      <c r="CQ86" s="23">
        <f t="shared" si="20"/>
        <v>763</v>
      </c>
      <c r="CR86" s="23">
        <f t="shared" si="20"/>
        <v>199.5</v>
      </c>
      <c r="CS86" s="23">
        <f t="shared" si="20"/>
        <v>270</v>
      </c>
      <c r="CT86" s="23">
        <f t="shared" si="20"/>
        <v>115</v>
      </c>
      <c r="CU86" s="23">
        <f t="shared" si="20"/>
        <v>67</v>
      </c>
      <c r="CV86" s="23">
        <f t="shared" si="20"/>
        <v>22</v>
      </c>
      <c r="CW86" s="23">
        <f t="shared" si="20"/>
        <v>204</v>
      </c>
      <c r="CX86" s="23">
        <f t="shared" si="20"/>
        <v>450.5</v>
      </c>
      <c r="CY86" s="23">
        <f t="shared" si="20"/>
        <v>26.5</v>
      </c>
      <c r="CZ86" s="23">
        <f t="shared" si="20"/>
        <v>1773</v>
      </c>
      <c r="DA86" s="23">
        <f t="shared" si="20"/>
        <v>197.5</v>
      </c>
      <c r="DB86" s="23">
        <f t="shared" si="20"/>
        <v>314</v>
      </c>
      <c r="DC86" s="23">
        <f t="shared" si="20"/>
        <v>183</v>
      </c>
      <c r="DD86" s="23">
        <f t="shared" si="20"/>
        <v>170</v>
      </c>
      <c r="DE86" s="23">
        <f t="shared" si="20"/>
        <v>280.5</v>
      </c>
      <c r="DF86" s="23">
        <f t="shared" si="20"/>
        <v>18900.5</v>
      </c>
      <c r="DG86" s="23">
        <f t="shared" si="20"/>
        <v>92</v>
      </c>
      <c r="DH86" s="23">
        <f t="shared" si="20"/>
        <v>1689</v>
      </c>
      <c r="DI86" s="23">
        <f t="shared" si="20"/>
        <v>2308</v>
      </c>
      <c r="DJ86" s="23">
        <f t="shared" si="20"/>
        <v>598</v>
      </c>
      <c r="DK86" s="23">
        <f t="shared" si="20"/>
        <v>475</v>
      </c>
      <c r="DL86" s="23">
        <f t="shared" si="20"/>
        <v>5671</v>
      </c>
      <c r="DM86" s="23">
        <f t="shared" si="20"/>
        <v>228</v>
      </c>
      <c r="DN86" s="23">
        <f t="shared" si="20"/>
        <v>1275.5</v>
      </c>
      <c r="DO86" s="23">
        <f t="shared" si="20"/>
        <v>3255.5</v>
      </c>
      <c r="DP86" s="23">
        <f t="shared" si="20"/>
        <v>198</v>
      </c>
      <c r="DQ86" s="23">
        <f t="shared" si="20"/>
        <v>843</v>
      </c>
      <c r="DR86" s="23">
        <f t="shared" si="20"/>
        <v>1280.5</v>
      </c>
      <c r="DS86" s="23">
        <f t="shared" si="20"/>
        <v>554</v>
      </c>
      <c r="DT86" s="23">
        <f t="shared" si="20"/>
        <v>174</v>
      </c>
      <c r="DU86" s="23">
        <f t="shared" si="20"/>
        <v>342</v>
      </c>
      <c r="DV86" s="23">
        <f t="shared" si="20"/>
        <v>200.5</v>
      </c>
      <c r="DW86" s="23">
        <f t="shared" si="20"/>
        <v>289.5</v>
      </c>
      <c r="DX86" s="23">
        <f t="shared" si="20"/>
        <v>166</v>
      </c>
      <c r="DY86" s="23">
        <f t="shared" si="20"/>
        <v>287</v>
      </c>
      <c r="DZ86" s="23">
        <f t="shared" si="20"/>
        <v>634</v>
      </c>
      <c r="EA86" s="23">
        <f t="shared" si="20"/>
        <v>496</v>
      </c>
      <c r="EB86" s="23">
        <f t="shared" si="20"/>
        <v>508.5</v>
      </c>
      <c r="EC86" s="23">
        <f t="shared" si="20"/>
        <v>266.5</v>
      </c>
      <c r="ED86" s="23">
        <f t="shared" si="20"/>
        <v>1551.5</v>
      </c>
      <c r="EE86" s="23">
        <f t="shared" si="20"/>
        <v>194</v>
      </c>
      <c r="EF86" s="23">
        <f t="shared" si="20"/>
        <v>1271</v>
      </c>
      <c r="EG86" s="23">
        <f t="shared" si="20"/>
        <v>257</v>
      </c>
      <c r="EH86" s="23">
        <f t="shared" si="20"/>
        <v>245</v>
      </c>
      <c r="EI86" s="23">
        <f t="shared" si="20"/>
        <v>13446</v>
      </c>
      <c r="EJ86" s="23">
        <f t="shared" si="20"/>
        <v>9802</v>
      </c>
      <c r="EK86" s="23">
        <f t="shared" si="20"/>
        <v>639.5</v>
      </c>
      <c r="EL86" s="23">
        <f t="shared" si="20"/>
        <v>457</v>
      </c>
      <c r="EM86" s="23">
        <f t="shared" si="20"/>
        <v>365</v>
      </c>
      <c r="EN86" s="23">
        <f t="shared" si="20"/>
        <v>882.5</v>
      </c>
      <c r="EO86" s="23">
        <f t="shared" si="20"/>
        <v>293</v>
      </c>
      <c r="EP86" s="23">
        <f t="shared" si="20"/>
        <v>417.5</v>
      </c>
      <c r="EQ86" s="23">
        <f t="shared" si="20"/>
        <v>2460</v>
      </c>
      <c r="ER86" s="23">
        <f t="shared" si="20"/>
        <v>297</v>
      </c>
      <c r="ES86" s="23">
        <f t="shared" si="20"/>
        <v>147.5</v>
      </c>
      <c r="ET86" s="23">
        <f t="shared" si="20"/>
        <v>193.5</v>
      </c>
      <c r="EU86" s="23">
        <f t="shared" si="20"/>
        <v>576</v>
      </c>
      <c r="EV86" s="23">
        <f t="shared" si="20"/>
        <v>72</v>
      </c>
      <c r="EW86" s="23">
        <f t="shared" si="20"/>
        <v>799</v>
      </c>
      <c r="EX86" s="23">
        <f t="shared" si="20"/>
        <v>170</v>
      </c>
      <c r="EY86" s="23">
        <f t="shared" si="20"/>
        <v>196.5</v>
      </c>
      <c r="EZ86" s="23">
        <f t="shared" si="20"/>
        <v>130</v>
      </c>
      <c r="FA86" s="23">
        <f t="shared" si="20"/>
        <v>3294</v>
      </c>
      <c r="FB86" s="23">
        <f t="shared" si="20"/>
        <v>276</v>
      </c>
      <c r="FC86" s="23">
        <f t="shared" si="20"/>
        <v>1684</v>
      </c>
      <c r="FD86" s="23">
        <f t="shared" si="20"/>
        <v>395</v>
      </c>
      <c r="FE86" s="23">
        <f t="shared" si="20"/>
        <v>75</v>
      </c>
      <c r="FF86" s="23">
        <f t="shared" si="20"/>
        <v>178</v>
      </c>
      <c r="FG86" s="23">
        <f t="shared" si="20"/>
        <v>117</v>
      </c>
      <c r="FH86" s="23">
        <f t="shared" si="20"/>
        <v>71</v>
      </c>
      <c r="FI86" s="23">
        <f t="shared" si="20"/>
        <v>1639.5</v>
      </c>
      <c r="FJ86" s="23">
        <f t="shared" si="20"/>
        <v>2009</v>
      </c>
      <c r="FK86" s="23">
        <f t="shared" si="20"/>
        <v>2481</v>
      </c>
      <c r="FL86" s="23">
        <f t="shared" si="20"/>
        <v>8455.5</v>
      </c>
      <c r="FM86" s="23">
        <f t="shared" si="20"/>
        <v>3910.5</v>
      </c>
      <c r="FN86" s="23">
        <f t="shared" si="20"/>
        <v>22092.5</v>
      </c>
      <c r="FO86" s="23">
        <f t="shared" si="20"/>
        <v>1111</v>
      </c>
      <c r="FP86" s="23">
        <f t="shared" si="20"/>
        <v>2307.5</v>
      </c>
      <c r="FQ86" s="23">
        <f t="shared" si="20"/>
        <v>974.5</v>
      </c>
      <c r="FR86" s="23">
        <f t="shared" si="20"/>
        <v>165.5</v>
      </c>
      <c r="FS86" s="23">
        <f t="shared" si="20"/>
        <v>151</v>
      </c>
      <c r="FT86" s="23">
        <f t="shared" si="20"/>
        <v>53</v>
      </c>
      <c r="FU86" s="23">
        <f t="shared" si="20"/>
        <v>759.5</v>
      </c>
      <c r="FV86" s="23">
        <f t="shared" si="20"/>
        <v>690.5</v>
      </c>
      <c r="FW86" s="23">
        <f t="shared" si="20"/>
        <v>134</v>
      </c>
      <c r="FX86" s="23">
        <f t="shared" si="20"/>
        <v>65</v>
      </c>
      <c r="FY86" s="7"/>
      <c r="FZ86" s="23">
        <f t="shared" si="19"/>
        <v>785348.5</v>
      </c>
      <c r="GA86" s="25"/>
      <c r="GB86" s="7"/>
      <c r="GC86" s="7"/>
      <c r="GD86" s="7"/>
      <c r="GE86" s="7"/>
      <c r="GF86" s="7"/>
      <c r="GG86" s="7"/>
      <c r="GH86" s="7"/>
      <c r="GI86" s="7"/>
      <c r="GJ86" s="7"/>
      <c r="GK86" s="7"/>
    </row>
    <row r="87" spans="1:195" ht="15.5" x14ac:dyDescent="0.35">
      <c r="A87" s="12" t="s">
        <v>542</v>
      </c>
      <c r="B87" s="7" t="s">
        <v>806</v>
      </c>
      <c r="C87" s="23">
        <f t="shared" ref="C87:FX87" si="21">C25</f>
        <v>6332.5</v>
      </c>
      <c r="D87" s="23">
        <f t="shared" si="21"/>
        <v>33220</v>
      </c>
      <c r="E87" s="23">
        <f t="shared" si="21"/>
        <v>4999.5</v>
      </c>
      <c r="F87" s="23">
        <f t="shared" si="21"/>
        <v>20597.5</v>
      </c>
      <c r="G87" s="23">
        <f t="shared" si="21"/>
        <v>1573</v>
      </c>
      <c r="H87" s="23">
        <f t="shared" si="21"/>
        <v>1094</v>
      </c>
      <c r="I87" s="23">
        <f t="shared" si="21"/>
        <v>7057.5</v>
      </c>
      <c r="J87" s="23">
        <f t="shared" si="21"/>
        <v>2039</v>
      </c>
      <c r="K87" s="23">
        <f t="shared" si="21"/>
        <v>263</v>
      </c>
      <c r="L87" s="23">
        <f t="shared" si="21"/>
        <v>2102</v>
      </c>
      <c r="M87" s="23">
        <f t="shared" si="21"/>
        <v>933</v>
      </c>
      <c r="N87" s="23">
        <f t="shared" si="21"/>
        <v>49949</v>
      </c>
      <c r="O87" s="23">
        <f t="shared" si="21"/>
        <v>12783.5</v>
      </c>
      <c r="P87" s="23">
        <f t="shared" si="21"/>
        <v>330</v>
      </c>
      <c r="Q87" s="23">
        <f t="shared" si="21"/>
        <v>36546</v>
      </c>
      <c r="R87" s="23">
        <f t="shared" si="21"/>
        <v>497</v>
      </c>
      <c r="S87" s="23">
        <f t="shared" si="21"/>
        <v>1567.5</v>
      </c>
      <c r="T87" s="23">
        <f t="shared" si="21"/>
        <v>160</v>
      </c>
      <c r="U87" s="23">
        <f t="shared" si="21"/>
        <v>50</v>
      </c>
      <c r="V87" s="23">
        <f t="shared" si="21"/>
        <v>261.5</v>
      </c>
      <c r="W87" s="23">
        <f t="shared" si="21"/>
        <v>58.5</v>
      </c>
      <c r="X87" s="23">
        <f t="shared" si="21"/>
        <v>27</v>
      </c>
      <c r="Y87" s="23">
        <f t="shared" si="21"/>
        <v>428</v>
      </c>
      <c r="Z87" s="23">
        <f t="shared" si="21"/>
        <v>227</v>
      </c>
      <c r="AA87" s="23">
        <f t="shared" si="21"/>
        <v>30394.5</v>
      </c>
      <c r="AB87" s="23">
        <f t="shared" si="21"/>
        <v>26932</v>
      </c>
      <c r="AC87" s="23">
        <f t="shared" si="21"/>
        <v>909</v>
      </c>
      <c r="AD87" s="23">
        <f t="shared" si="21"/>
        <v>1255</v>
      </c>
      <c r="AE87" s="23">
        <f t="shared" si="21"/>
        <v>94</v>
      </c>
      <c r="AF87" s="23">
        <f t="shared" si="21"/>
        <v>162.5</v>
      </c>
      <c r="AG87" s="23">
        <f t="shared" si="21"/>
        <v>590</v>
      </c>
      <c r="AH87" s="23">
        <f t="shared" si="21"/>
        <v>955</v>
      </c>
      <c r="AI87" s="23">
        <f t="shared" si="21"/>
        <v>385.5</v>
      </c>
      <c r="AJ87" s="23">
        <f t="shared" si="21"/>
        <v>164</v>
      </c>
      <c r="AK87" s="23">
        <f t="shared" si="21"/>
        <v>159</v>
      </c>
      <c r="AL87" s="23">
        <f t="shared" si="21"/>
        <v>276</v>
      </c>
      <c r="AM87" s="23">
        <f t="shared" si="21"/>
        <v>343</v>
      </c>
      <c r="AN87" s="23">
        <f t="shared" si="21"/>
        <v>309</v>
      </c>
      <c r="AO87" s="23">
        <f t="shared" si="21"/>
        <v>4127.5</v>
      </c>
      <c r="AP87" s="23">
        <f t="shared" si="21"/>
        <v>82476.5</v>
      </c>
      <c r="AQ87" s="23">
        <f t="shared" si="21"/>
        <v>232</v>
      </c>
      <c r="AR87" s="23">
        <f t="shared" si="21"/>
        <v>58489.5</v>
      </c>
      <c r="AS87" s="23">
        <f t="shared" si="21"/>
        <v>6165</v>
      </c>
      <c r="AT87" s="23">
        <f t="shared" si="21"/>
        <v>2332.5</v>
      </c>
      <c r="AU87" s="23">
        <f t="shared" si="21"/>
        <v>291</v>
      </c>
      <c r="AV87" s="23">
        <f t="shared" si="21"/>
        <v>297</v>
      </c>
      <c r="AW87" s="23">
        <f t="shared" si="21"/>
        <v>256</v>
      </c>
      <c r="AX87" s="23">
        <f t="shared" si="21"/>
        <v>63</v>
      </c>
      <c r="AY87" s="23">
        <f t="shared" si="21"/>
        <v>415</v>
      </c>
      <c r="AZ87" s="23">
        <f t="shared" si="21"/>
        <v>12050</v>
      </c>
      <c r="BA87" s="23">
        <f t="shared" si="21"/>
        <v>8756</v>
      </c>
      <c r="BB87" s="23">
        <f t="shared" si="21"/>
        <v>7341</v>
      </c>
      <c r="BC87" s="23">
        <f t="shared" si="21"/>
        <v>20943.5</v>
      </c>
      <c r="BD87" s="23">
        <f t="shared" si="21"/>
        <v>3609.5</v>
      </c>
      <c r="BE87" s="23">
        <f t="shared" si="21"/>
        <v>1207</v>
      </c>
      <c r="BF87" s="23">
        <f t="shared" si="21"/>
        <v>24346</v>
      </c>
      <c r="BG87" s="23">
        <f t="shared" si="21"/>
        <v>884.5</v>
      </c>
      <c r="BH87" s="23">
        <f t="shared" si="21"/>
        <v>542</v>
      </c>
      <c r="BI87" s="23">
        <f t="shared" si="21"/>
        <v>253.5</v>
      </c>
      <c r="BJ87" s="23">
        <f t="shared" si="21"/>
        <v>6224.5</v>
      </c>
      <c r="BK87" s="23">
        <f t="shared" si="21"/>
        <v>19735</v>
      </c>
      <c r="BL87" s="23">
        <f t="shared" si="21"/>
        <v>58</v>
      </c>
      <c r="BM87" s="23">
        <f t="shared" si="21"/>
        <v>360.5</v>
      </c>
      <c r="BN87" s="23">
        <f t="shared" si="21"/>
        <v>3019.5</v>
      </c>
      <c r="BO87" s="23">
        <f t="shared" si="21"/>
        <v>1251</v>
      </c>
      <c r="BP87" s="23">
        <f t="shared" si="21"/>
        <v>152</v>
      </c>
      <c r="BQ87" s="23">
        <f t="shared" si="21"/>
        <v>5653</v>
      </c>
      <c r="BR87" s="23">
        <f t="shared" si="21"/>
        <v>4483</v>
      </c>
      <c r="BS87" s="23">
        <f t="shared" si="21"/>
        <v>1106</v>
      </c>
      <c r="BT87" s="23">
        <f t="shared" si="21"/>
        <v>362</v>
      </c>
      <c r="BU87" s="23">
        <f t="shared" si="21"/>
        <v>410</v>
      </c>
      <c r="BV87" s="23">
        <f t="shared" si="21"/>
        <v>1223</v>
      </c>
      <c r="BW87" s="23">
        <f t="shared" si="21"/>
        <v>1985.5</v>
      </c>
      <c r="BX87" s="23">
        <f t="shared" si="21"/>
        <v>67</v>
      </c>
      <c r="BY87" s="23">
        <f t="shared" si="21"/>
        <v>439.5</v>
      </c>
      <c r="BZ87" s="23">
        <f t="shared" si="21"/>
        <v>195</v>
      </c>
      <c r="CA87" s="23">
        <f t="shared" si="21"/>
        <v>139</v>
      </c>
      <c r="CB87" s="23">
        <f t="shared" si="21"/>
        <v>71260.5</v>
      </c>
      <c r="CC87" s="23">
        <f t="shared" si="21"/>
        <v>192</v>
      </c>
      <c r="CD87" s="23">
        <f t="shared" si="21"/>
        <v>23</v>
      </c>
      <c r="CE87" s="23">
        <f t="shared" si="21"/>
        <v>151</v>
      </c>
      <c r="CF87" s="23">
        <f t="shared" si="21"/>
        <v>110</v>
      </c>
      <c r="CG87" s="23">
        <f t="shared" si="21"/>
        <v>201.5</v>
      </c>
      <c r="CH87" s="23">
        <f t="shared" si="21"/>
        <v>99</v>
      </c>
      <c r="CI87" s="23">
        <f t="shared" si="21"/>
        <v>691</v>
      </c>
      <c r="CJ87" s="23">
        <f t="shared" si="21"/>
        <v>873</v>
      </c>
      <c r="CK87" s="23">
        <f t="shared" si="21"/>
        <v>4272.5</v>
      </c>
      <c r="CL87" s="23">
        <f t="shared" si="21"/>
        <v>1244.5</v>
      </c>
      <c r="CM87" s="23">
        <f t="shared" si="21"/>
        <v>701</v>
      </c>
      <c r="CN87" s="23">
        <f t="shared" si="21"/>
        <v>28337.5</v>
      </c>
      <c r="CO87" s="23">
        <f t="shared" si="21"/>
        <v>14308.5</v>
      </c>
      <c r="CP87" s="23">
        <f t="shared" si="21"/>
        <v>937</v>
      </c>
      <c r="CQ87" s="23">
        <f t="shared" si="21"/>
        <v>740</v>
      </c>
      <c r="CR87" s="23">
        <f t="shared" si="21"/>
        <v>230.5</v>
      </c>
      <c r="CS87" s="23">
        <f t="shared" si="21"/>
        <v>290</v>
      </c>
      <c r="CT87" s="23">
        <f t="shared" si="21"/>
        <v>101</v>
      </c>
      <c r="CU87" s="23">
        <f t="shared" si="21"/>
        <v>73</v>
      </c>
      <c r="CV87" s="23">
        <f t="shared" si="21"/>
        <v>23.5</v>
      </c>
      <c r="CW87" s="23">
        <f t="shared" si="21"/>
        <v>205</v>
      </c>
      <c r="CX87" s="23">
        <f t="shared" si="21"/>
        <v>470.5</v>
      </c>
      <c r="CY87" s="23">
        <f t="shared" si="21"/>
        <v>29.5</v>
      </c>
      <c r="CZ87" s="23">
        <f t="shared" si="21"/>
        <v>1759</v>
      </c>
      <c r="DA87" s="23">
        <f t="shared" si="21"/>
        <v>201</v>
      </c>
      <c r="DB87" s="23">
        <f t="shared" si="21"/>
        <v>322.5</v>
      </c>
      <c r="DC87" s="23">
        <f t="shared" si="21"/>
        <v>182</v>
      </c>
      <c r="DD87" s="23">
        <f t="shared" si="21"/>
        <v>156</v>
      </c>
      <c r="DE87" s="23">
        <f t="shared" si="21"/>
        <v>287.5</v>
      </c>
      <c r="DF87" s="23">
        <f t="shared" si="21"/>
        <v>19273</v>
      </c>
      <c r="DG87" s="23">
        <f t="shared" si="21"/>
        <v>95</v>
      </c>
      <c r="DH87" s="23">
        <f t="shared" si="21"/>
        <v>1764</v>
      </c>
      <c r="DI87" s="23">
        <f t="shared" si="21"/>
        <v>2394.5</v>
      </c>
      <c r="DJ87" s="23">
        <f t="shared" si="21"/>
        <v>623</v>
      </c>
      <c r="DK87" s="23">
        <f t="shared" si="21"/>
        <v>485.5</v>
      </c>
      <c r="DL87" s="23">
        <f t="shared" si="21"/>
        <v>5690.5</v>
      </c>
      <c r="DM87" s="23">
        <f t="shared" si="21"/>
        <v>228.5</v>
      </c>
      <c r="DN87" s="23">
        <f t="shared" si="21"/>
        <v>1263.5</v>
      </c>
      <c r="DO87" s="23">
        <f t="shared" si="21"/>
        <v>3230</v>
      </c>
      <c r="DP87" s="23">
        <f t="shared" si="21"/>
        <v>191</v>
      </c>
      <c r="DQ87" s="23">
        <f t="shared" si="21"/>
        <v>817</v>
      </c>
      <c r="DR87" s="23">
        <f t="shared" si="21"/>
        <v>1318.5</v>
      </c>
      <c r="DS87" s="23">
        <f t="shared" si="21"/>
        <v>589</v>
      </c>
      <c r="DT87" s="23">
        <f t="shared" si="21"/>
        <v>180.5</v>
      </c>
      <c r="DU87" s="23">
        <f t="shared" si="21"/>
        <v>355</v>
      </c>
      <c r="DV87" s="23">
        <f t="shared" si="21"/>
        <v>206.5</v>
      </c>
      <c r="DW87" s="23">
        <f t="shared" si="21"/>
        <v>301</v>
      </c>
      <c r="DX87" s="23">
        <f t="shared" si="21"/>
        <v>159</v>
      </c>
      <c r="DY87" s="23">
        <f t="shared" si="21"/>
        <v>296</v>
      </c>
      <c r="DZ87" s="23">
        <f t="shared" si="21"/>
        <v>675</v>
      </c>
      <c r="EA87" s="23">
        <f t="shared" si="21"/>
        <v>510.5</v>
      </c>
      <c r="EB87" s="23">
        <f t="shared" si="21"/>
        <v>527</v>
      </c>
      <c r="EC87" s="23">
        <f t="shared" si="21"/>
        <v>281.5</v>
      </c>
      <c r="ED87" s="23">
        <f t="shared" si="21"/>
        <v>1523</v>
      </c>
      <c r="EE87" s="23">
        <f t="shared" si="21"/>
        <v>189</v>
      </c>
      <c r="EF87" s="23">
        <f t="shared" si="21"/>
        <v>1350</v>
      </c>
      <c r="EG87" s="23">
        <f t="shared" si="21"/>
        <v>246</v>
      </c>
      <c r="EH87" s="23">
        <f t="shared" si="21"/>
        <v>250</v>
      </c>
      <c r="EI87" s="23">
        <f t="shared" si="21"/>
        <v>13862.5</v>
      </c>
      <c r="EJ87" s="23">
        <f t="shared" si="21"/>
        <v>10059</v>
      </c>
      <c r="EK87" s="23">
        <f t="shared" si="21"/>
        <v>686</v>
      </c>
      <c r="EL87" s="23">
        <f t="shared" si="21"/>
        <v>467.5</v>
      </c>
      <c r="EM87" s="23">
        <f t="shared" si="21"/>
        <v>373</v>
      </c>
      <c r="EN87" s="23">
        <f t="shared" si="21"/>
        <v>899</v>
      </c>
      <c r="EO87" s="23">
        <f t="shared" si="21"/>
        <v>296</v>
      </c>
      <c r="EP87" s="23">
        <f t="shared" si="21"/>
        <v>417.5</v>
      </c>
      <c r="EQ87" s="23">
        <f t="shared" si="21"/>
        <v>2509</v>
      </c>
      <c r="ER87" s="23">
        <f t="shared" si="21"/>
        <v>310.5</v>
      </c>
      <c r="ES87" s="23">
        <f t="shared" si="21"/>
        <v>174.5</v>
      </c>
      <c r="ET87" s="23">
        <f t="shared" si="21"/>
        <v>182</v>
      </c>
      <c r="EU87" s="23">
        <f t="shared" si="21"/>
        <v>569</v>
      </c>
      <c r="EV87" s="23">
        <f t="shared" si="21"/>
        <v>71</v>
      </c>
      <c r="EW87" s="23">
        <f t="shared" si="21"/>
        <v>801</v>
      </c>
      <c r="EX87" s="23">
        <f t="shared" si="21"/>
        <v>170</v>
      </c>
      <c r="EY87" s="23">
        <f t="shared" si="21"/>
        <v>216</v>
      </c>
      <c r="EZ87" s="23">
        <f t="shared" si="21"/>
        <v>131</v>
      </c>
      <c r="FA87" s="23">
        <f t="shared" si="21"/>
        <v>3409</v>
      </c>
      <c r="FB87" s="23">
        <f t="shared" si="21"/>
        <v>266.5</v>
      </c>
      <c r="FC87" s="23">
        <f t="shared" si="21"/>
        <v>1815</v>
      </c>
      <c r="FD87" s="23">
        <f t="shared" si="21"/>
        <v>399</v>
      </c>
      <c r="FE87" s="23">
        <f t="shared" si="21"/>
        <v>82</v>
      </c>
      <c r="FF87" s="23">
        <f t="shared" si="21"/>
        <v>183</v>
      </c>
      <c r="FG87" s="23">
        <f t="shared" si="21"/>
        <v>124</v>
      </c>
      <c r="FH87" s="23">
        <f t="shared" si="21"/>
        <v>68</v>
      </c>
      <c r="FI87" s="23">
        <f t="shared" si="21"/>
        <v>1691</v>
      </c>
      <c r="FJ87" s="23">
        <f t="shared" si="21"/>
        <v>2017</v>
      </c>
      <c r="FK87" s="23">
        <f t="shared" si="21"/>
        <v>2536</v>
      </c>
      <c r="FL87" s="23">
        <f t="shared" si="21"/>
        <v>8175.5</v>
      </c>
      <c r="FM87" s="23">
        <f t="shared" si="21"/>
        <v>3824.5</v>
      </c>
      <c r="FN87" s="23">
        <f t="shared" si="21"/>
        <v>21727</v>
      </c>
      <c r="FO87" s="23">
        <f t="shared" si="21"/>
        <v>1082</v>
      </c>
      <c r="FP87" s="23">
        <f t="shared" si="21"/>
        <v>2224.5</v>
      </c>
      <c r="FQ87" s="23">
        <f t="shared" si="21"/>
        <v>956.5</v>
      </c>
      <c r="FR87" s="23">
        <f t="shared" si="21"/>
        <v>164</v>
      </c>
      <c r="FS87" s="23">
        <f t="shared" si="21"/>
        <v>168</v>
      </c>
      <c r="FT87" s="23">
        <f t="shared" si="21"/>
        <v>58</v>
      </c>
      <c r="FU87" s="23">
        <f t="shared" si="21"/>
        <v>785</v>
      </c>
      <c r="FV87" s="23">
        <f t="shared" si="21"/>
        <v>691.5</v>
      </c>
      <c r="FW87" s="23">
        <f t="shared" si="21"/>
        <v>147</v>
      </c>
      <c r="FX87" s="23">
        <f t="shared" si="21"/>
        <v>57.5</v>
      </c>
      <c r="FY87" s="23"/>
      <c r="FZ87" s="23">
        <f t="shared" si="19"/>
        <v>786298</v>
      </c>
      <c r="GA87" s="25"/>
      <c r="GB87" s="7"/>
      <c r="GC87" s="7"/>
      <c r="GD87" s="7"/>
      <c r="GE87" s="7"/>
      <c r="GF87" s="7"/>
      <c r="GG87" s="7"/>
      <c r="GH87" s="7"/>
      <c r="GI87" s="7"/>
      <c r="GJ87" s="7"/>
      <c r="GK87" s="7"/>
    </row>
    <row r="88" spans="1:195" ht="15.5" x14ac:dyDescent="0.35">
      <c r="A88" s="12" t="s">
        <v>544</v>
      </c>
      <c r="B88" s="7" t="s">
        <v>807</v>
      </c>
      <c r="C88" s="23">
        <f t="shared" ref="C88:FX88" si="22">C26</f>
        <v>6372</v>
      </c>
      <c r="D88" s="23">
        <f t="shared" si="22"/>
        <v>34363.5</v>
      </c>
      <c r="E88" s="23">
        <f t="shared" si="22"/>
        <v>5274</v>
      </c>
      <c r="F88" s="23">
        <f t="shared" si="22"/>
        <v>20215.5</v>
      </c>
      <c r="G88" s="23">
        <f t="shared" si="22"/>
        <v>1234</v>
      </c>
      <c r="H88" s="23">
        <f t="shared" si="22"/>
        <v>1129</v>
      </c>
      <c r="I88" s="23">
        <f t="shared" si="22"/>
        <v>7427.5</v>
      </c>
      <c r="J88" s="23">
        <f t="shared" si="22"/>
        <v>2111.5</v>
      </c>
      <c r="K88" s="23">
        <f t="shared" si="22"/>
        <v>249</v>
      </c>
      <c r="L88" s="23">
        <f t="shared" si="22"/>
        <v>2195</v>
      </c>
      <c r="M88" s="23">
        <f t="shared" si="22"/>
        <v>998.5</v>
      </c>
      <c r="N88" s="23">
        <f t="shared" si="22"/>
        <v>50787.5</v>
      </c>
      <c r="O88" s="23">
        <f t="shared" si="22"/>
        <v>13067.5</v>
      </c>
      <c r="P88" s="23">
        <f t="shared" si="22"/>
        <v>303.5</v>
      </c>
      <c r="Q88" s="23">
        <f t="shared" si="22"/>
        <v>36575</v>
      </c>
      <c r="R88" s="23">
        <f t="shared" si="22"/>
        <v>477.5</v>
      </c>
      <c r="S88" s="23">
        <f t="shared" si="22"/>
        <v>1644</v>
      </c>
      <c r="T88" s="23">
        <f t="shared" si="22"/>
        <v>166.5</v>
      </c>
      <c r="U88" s="23">
        <f t="shared" si="22"/>
        <v>48.5</v>
      </c>
      <c r="V88" s="23">
        <f t="shared" si="22"/>
        <v>265.5</v>
      </c>
      <c r="W88" s="23">
        <f t="shared" si="22"/>
        <v>66</v>
      </c>
      <c r="X88" s="23">
        <f t="shared" si="22"/>
        <v>30</v>
      </c>
      <c r="Y88" s="23">
        <f t="shared" si="22"/>
        <v>456</v>
      </c>
      <c r="Z88" s="23">
        <f t="shared" si="22"/>
        <v>235.5</v>
      </c>
      <c r="AA88" s="23">
        <f t="shared" si="22"/>
        <v>30979.5</v>
      </c>
      <c r="AB88" s="23">
        <f t="shared" si="22"/>
        <v>27171.5</v>
      </c>
      <c r="AC88" s="23">
        <f t="shared" si="22"/>
        <v>951</v>
      </c>
      <c r="AD88" s="23">
        <f t="shared" si="22"/>
        <v>1259.5</v>
      </c>
      <c r="AE88" s="23">
        <f t="shared" si="22"/>
        <v>92</v>
      </c>
      <c r="AF88" s="23">
        <f t="shared" si="22"/>
        <v>172</v>
      </c>
      <c r="AG88" s="23">
        <f t="shared" si="22"/>
        <v>609</v>
      </c>
      <c r="AH88" s="23">
        <f t="shared" si="22"/>
        <v>991.5</v>
      </c>
      <c r="AI88" s="23">
        <f t="shared" si="22"/>
        <v>365.5</v>
      </c>
      <c r="AJ88" s="23">
        <f t="shared" si="22"/>
        <v>153</v>
      </c>
      <c r="AK88" s="23">
        <f t="shared" si="22"/>
        <v>166.5</v>
      </c>
      <c r="AL88" s="23">
        <f t="shared" si="22"/>
        <v>259.5</v>
      </c>
      <c r="AM88" s="23">
        <f t="shared" si="22"/>
        <v>380</v>
      </c>
      <c r="AN88" s="23">
        <f t="shared" si="22"/>
        <v>318.5</v>
      </c>
      <c r="AO88" s="23">
        <f t="shared" si="22"/>
        <v>4241</v>
      </c>
      <c r="AP88" s="23">
        <f t="shared" si="22"/>
        <v>82330</v>
      </c>
      <c r="AQ88" s="23">
        <f t="shared" si="22"/>
        <v>244.5</v>
      </c>
      <c r="AR88" s="23">
        <f t="shared" si="22"/>
        <v>59455.5</v>
      </c>
      <c r="AS88" s="23">
        <f t="shared" si="22"/>
        <v>6343.5</v>
      </c>
      <c r="AT88" s="23">
        <f t="shared" si="22"/>
        <v>2293.5</v>
      </c>
      <c r="AU88" s="23">
        <f t="shared" si="22"/>
        <v>275</v>
      </c>
      <c r="AV88" s="23">
        <f t="shared" si="22"/>
        <v>329.5</v>
      </c>
      <c r="AW88" s="23">
        <f t="shared" si="22"/>
        <v>248.5</v>
      </c>
      <c r="AX88" s="23">
        <f t="shared" si="22"/>
        <v>69.5</v>
      </c>
      <c r="AY88" s="23">
        <f t="shared" si="22"/>
        <v>409.5</v>
      </c>
      <c r="AZ88" s="23">
        <f t="shared" si="22"/>
        <v>12298.5</v>
      </c>
      <c r="BA88" s="23">
        <f t="shared" si="22"/>
        <v>9225.5</v>
      </c>
      <c r="BB88" s="23">
        <f t="shared" si="22"/>
        <v>7727</v>
      </c>
      <c r="BC88" s="23">
        <f t="shared" si="22"/>
        <v>21009</v>
      </c>
      <c r="BD88" s="23">
        <f t="shared" si="22"/>
        <v>3622.5</v>
      </c>
      <c r="BE88" s="23">
        <f t="shared" si="22"/>
        <v>1286</v>
      </c>
      <c r="BF88" s="23">
        <f t="shared" si="22"/>
        <v>24490.5</v>
      </c>
      <c r="BG88" s="23">
        <f t="shared" si="22"/>
        <v>894</v>
      </c>
      <c r="BH88" s="23">
        <f t="shared" si="22"/>
        <v>566</v>
      </c>
      <c r="BI88" s="23">
        <f t="shared" si="22"/>
        <v>270</v>
      </c>
      <c r="BJ88" s="23">
        <f t="shared" si="22"/>
        <v>6299.5</v>
      </c>
      <c r="BK88" s="23">
        <f t="shared" si="22"/>
        <v>18861.5</v>
      </c>
      <c r="BL88" s="23">
        <f t="shared" si="22"/>
        <v>75.5</v>
      </c>
      <c r="BM88" s="23">
        <f t="shared" si="22"/>
        <v>303</v>
      </c>
      <c r="BN88" s="23">
        <f t="shared" si="22"/>
        <v>3219</v>
      </c>
      <c r="BO88" s="23">
        <f t="shared" si="22"/>
        <v>1303.5</v>
      </c>
      <c r="BP88" s="23">
        <f t="shared" si="22"/>
        <v>175</v>
      </c>
      <c r="BQ88" s="23">
        <f t="shared" si="22"/>
        <v>5661.5</v>
      </c>
      <c r="BR88" s="23">
        <f t="shared" si="22"/>
        <v>4525</v>
      </c>
      <c r="BS88" s="23">
        <f t="shared" si="22"/>
        <v>1123.5</v>
      </c>
      <c r="BT88" s="23">
        <f t="shared" si="22"/>
        <v>379.5</v>
      </c>
      <c r="BU88" s="23">
        <f t="shared" si="22"/>
        <v>395.5</v>
      </c>
      <c r="BV88" s="23">
        <f t="shared" si="22"/>
        <v>1232</v>
      </c>
      <c r="BW88" s="23">
        <f t="shared" si="22"/>
        <v>1990</v>
      </c>
      <c r="BX88" s="23">
        <f t="shared" si="22"/>
        <v>72.5</v>
      </c>
      <c r="BY88" s="23">
        <f t="shared" si="22"/>
        <v>451</v>
      </c>
      <c r="BZ88" s="23">
        <f t="shared" si="22"/>
        <v>217</v>
      </c>
      <c r="CA88" s="23">
        <f t="shared" si="22"/>
        <v>167.5</v>
      </c>
      <c r="CB88" s="23">
        <f t="shared" si="22"/>
        <v>72924.5</v>
      </c>
      <c r="CC88" s="23">
        <f t="shared" si="22"/>
        <v>186</v>
      </c>
      <c r="CD88" s="23">
        <f t="shared" si="22"/>
        <v>35.5</v>
      </c>
      <c r="CE88" s="23">
        <f t="shared" si="22"/>
        <v>156.5</v>
      </c>
      <c r="CF88" s="23">
        <f t="shared" si="22"/>
        <v>119</v>
      </c>
      <c r="CG88" s="23">
        <f t="shared" si="22"/>
        <v>202.5</v>
      </c>
      <c r="CH88" s="23">
        <f t="shared" si="22"/>
        <v>101.5</v>
      </c>
      <c r="CI88" s="23">
        <f t="shared" si="22"/>
        <v>715.5</v>
      </c>
      <c r="CJ88" s="23">
        <f t="shared" si="22"/>
        <v>900</v>
      </c>
      <c r="CK88" s="23">
        <f t="shared" si="22"/>
        <v>4395</v>
      </c>
      <c r="CL88" s="23">
        <f t="shared" si="22"/>
        <v>1269</v>
      </c>
      <c r="CM88" s="23">
        <f t="shared" si="22"/>
        <v>698</v>
      </c>
      <c r="CN88" s="23">
        <f t="shared" si="22"/>
        <v>28615</v>
      </c>
      <c r="CO88" s="23">
        <f t="shared" si="22"/>
        <v>14617</v>
      </c>
      <c r="CP88" s="23">
        <f t="shared" si="22"/>
        <v>983</v>
      </c>
      <c r="CQ88" s="23">
        <f t="shared" si="22"/>
        <v>805</v>
      </c>
      <c r="CR88" s="23">
        <f t="shared" si="22"/>
        <v>238</v>
      </c>
      <c r="CS88" s="23">
        <f t="shared" si="22"/>
        <v>308</v>
      </c>
      <c r="CT88" s="23">
        <f t="shared" si="22"/>
        <v>107.5</v>
      </c>
      <c r="CU88" s="23">
        <f t="shared" si="22"/>
        <v>69</v>
      </c>
      <c r="CV88" s="23">
        <f t="shared" si="22"/>
        <v>29.5</v>
      </c>
      <c r="CW88" s="23">
        <f t="shared" si="22"/>
        <v>195.5</v>
      </c>
      <c r="CX88" s="23">
        <f t="shared" si="22"/>
        <v>467.5</v>
      </c>
      <c r="CY88" s="23">
        <f t="shared" si="22"/>
        <v>37</v>
      </c>
      <c r="CZ88" s="23">
        <f t="shared" si="22"/>
        <v>1845</v>
      </c>
      <c r="DA88" s="23">
        <f t="shared" si="22"/>
        <v>203.5</v>
      </c>
      <c r="DB88" s="23">
        <f t="shared" si="22"/>
        <v>316</v>
      </c>
      <c r="DC88" s="23">
        <f t="shared" si="22"/>
        <v>162</v>
      </c>
      <c r="DD88" s="23">
        <f t="shared" si="22"/>
        <v>157</v>
      </c>
      <c r="DE88" s="23">
        <f t="shared" si="22"/>
        <v>291.5</v>
      </c>
      <c r="DF88" s="23">
        <f t="shared" si="22"/>
        <v>19957.5</v>
      </c>
      <c r="DG88" s="23">
        <f t="shared" si="22"/>
        <v>85</v>
      </c>
      <c r="DH88" s="23">
        <f t="shared" si="22"/>
        <v>1945</v>
      </c>
      <c r="DI88" s="23">
        <f t="shared" si="22"/>
        <v>2362.5</v>
      </c>
      <c r="DJ88" s="23">
        <f t="shared" si="22"/>
        <v>631.5</v>
      </c>
      <c r="DK88" s="23">
        <f t="shared" si="22"/>
        <v>468</v>
      </c>
      <c r="DL88" s="23">
        <f t="shared" si="22"/>
        <v>5726</v>
      </c>
      <c r="DM88" s="23">
        <f t="shared" si="22"/>
        <v>236</v>
      </c>
      <c r="DN88" s="23">
        <f t="shared" si="22"/>
        <v>1296.5</v>
      </c>
      <c r="DO88" s="23">
        <f t="shared" si="22"/>
        <v>3203</v>
      </c>
      <c r="DP88" s="23">
        <f t="shared" si="22"/>
        <v>208.5</v>
      </c>
      <c r="DQ88" s="23">
        <f t="shared" si="22"/>
        <v>798</v>
      </c>
      <c r="DR88" s="23">
        <f t="shared" si="22"/>
        <v>1356.5</v>
      </c>
      <c r="DS88" s="23">
        <f t="shared" si="22"/>
        <v>632</v>
      </c>
      <c r="DT88" s="23">
        <f t="shared" si="22"/>
        <v>163</v>
      </c>
      <c r="DU88" s="23">
        <f t="shared" si="22"/>
        <v>346.5</v>
      </c>
      <c r="DV88" s="23">
        <f t="shared" si="22"/>
        <v>218</v>
      </c>
      <c r="DW88" s="23">
        <f t="shared" si="22"/>
        <v>314</v>
      </c>
      <c r="DX88" s="23">
        <f t="shared" si="22"/>
        <v>160.5</v>
      </c>
      <c r="DY88" s="23">
        <f t="shared" si="22"/>
        <v>309.5</v>
      </c>
      <c r="DZ88" s="23">
        <f t="shared" si="22"/>
        <v>729.5</v>
      </c>
      <c r="EA88" s="23">
        <f t="shared" si="22"/>
        <v>533.5</v>
      </c>
      <c r="EB88" s="23">
        <f t="shared" si="22"/>
        <v>556.5</v>
      </c>
      <c r="EC88" s="23">
        <f t="shared" si="22"/>
        <v>306.5</v>
      </c>
      <c r="ED88" s="23">
        <f t="shared" si="22"/>
        <v>1552.5</v>
      </c>
      <c r="EE88" s="23">
        <f t="shared" si="22"/>
        <v>198</v>
      </c>
      <c r="EF88" s="23">
        <f t="shared" si="22"/>
        <v>1414</v>
      </c>
      <c r="EG88" s="23">
        <f t="shared" si="22"/>
        <v>252.5</v>
      </c>
      <c r="EH88" s="23">
        <f t="shared" si="22"/>
        <v>248.5</v>
      </c>
      <c r="EI88" s="23">
        <f t="shared" si="22"/>
        <v>14340.5</v>
      </c>
      <c r="EJ88" s="23">
        <f t="shared" si="22"/>
        <v>10073.5</v>
      </c>
      <c r="EK88" s="23">
        <f t="shared" si="22"/>
        <v>673.5</v>
      </c>
      <c r="EL88" s="23">
        <f t="shared" si="22"/>
        <v>457.5</v>
      </c>
      <c r="EM88" s="23">
        <f t="shared" si="22"/>
        <v>391.5</v>
      </c>
      <c r="EN88" s="23">
        <f t="shared" si="22"/>
        <v>896.5</v>
      </c>
      <c r="EO88" s="23">
        <f t="shared" si="22"/>
        <v>322</v>
      </c>
      <c r="EP88" s="23">
        <f t="shared" si="22"/>
        <v>424.5</v>
      </c>
      <c r="EQ88" s="23">
        <f t="shared" si="22"/>
        <v>2592.5</v>
      </c>
      <c r="ER88" s="23">
        <f t="shared" si="22"/>
        <v>316.5</v>
      </c>
      <c r="ES88" s="23">
        <f t="shared" si="22"/>
        <v>168.5</v>
      </c>
      <c r="ET88" s="23">
        <f t="shared" si="22"/>
        <v>166</v>
      </c>
      <c r="EU88" s="23">
        <f t="shared" si="22"/>
        <v>581</v>
      </c>
      <c r="EV88" s="23">
        <f t="shared" si="22"/>
        <v>80</v>
      </c>
      <c r="EW88" s="23">
        <f t="shared" si="22"/>
        <v>871</v>
      </c>
      <c r="EX88" s="23">
        <f t="shared" si="22"/>
        <v>165.5</v>
      </c>
      <c r="EY88" s="23">
        <f t="shared" si="22"/>
        <v>208.5</v>
      </c>
      <c r="EZ88" s="23">
        <f t="shared" si="22"/>
        <v>114</v>
      </c>
      <c r="FA88" s="23">
        <f t="shared" si="22"/>
        <v>3486</v>
      </c>
      <c r="FB88" s="23">
        <f t="shared" si="22"/>
        <v>286.5</v>
      </c>
      <c r="FC88" s="23">
        <f t="shared" si="22"/>
        <v>1944</v>
      </c>
      <c r="FD88" s="23">
        <f t="shared" si="22"/>
        <v>415</v>
      </c>
      <c r="FE88" s="23">
        <f t="shared" si="22"/>
        <v>82</v>
      </c>
      <c r="FF88" s="23">
        <f t="shared" si="22"/>
        <v>188</v>
      </c>
      <c r="FG88" s="23">
        <f t="shared" si="22"/>
        <v>124</v>
      </c>
      <c r="FH88" s="23">
        <f t="shared" si="22"/>
        <v>72</v>
      </c>
      <c r="FI88" s="23">
        <f t="shared" si="22"/>
        <v>1752</v>
      </c>
      <c r="FJ88" s="23">
        <f t="shared" si="22"/>
        <v>1998.5</v>
      </c>
      <c r="FK88" s="23">
        <f t="shared" si="22"/>
        <v>2612.5</v>
      </c>
      <c r="FL88" s="23">
        <f t="shared" si="22"/>
        <v>7995.5</v>
      </c>
      <c r="FM88" s="23">
        <f t="shared" si="22"/>
        <v>3731.5</v>
      </c>
      <c r="FN88" s="23">
        <f t="shared" si="22"/>
        <v>21573.5</v>
      </c>
      <c r="FO88" s="23">
        <f t="shared" si="22"/>
        <v>1104</v>
      </c>
      <c r="FP88" s="23">
        <f t="shared" si="22"/>
        <v>2342</v>
      </c>
      <c r="FQ88" s="23">
        <f t="shared" si="22"/>
        <v>994.5</v>
      </c>
      <c r="FR88" s="23">
        <f t="shared" si="22"/>
        <v>169.5</v>
      </c>
      <c r="FS88" s="23">
        <f t="shared" si="22"/>
        <v>179</v>
      </c>
      <c r="FT88" s="23">
        <f t="shared" si="22"/>
        <v>58</v>
      </c>
      <c r="FU88" s="23">
        <f t="shared" si="22"/>
        <v>832.5</v>
      </c>
      <c r="FV88" s="23">
        <f t="shared" si="22"/>
        <v>689</v>
      </c>
      <c r="FW88" s="23">
        <f t="shared" si="22"/>
        <v>156</v>
      </c>
      <c r="FX88" s="23">
        <f t="shared" si="22"/>
        <v>57.5</v>
      </c>
      <c r="FY88" s="23"/>
      <c r="FZ88" s="23">
        <f t="shared" si="19"/>
        <v>796687.5</v>
      </c>
      <c r="GA88" s="25"/>
      <c r="GB88" s="23"/>
      <c r="GC88" s="23"/>
      <c r="GD88" s="23"/>
      <c r="GE88" s="7"/>
      <c r="GF88" s="7"/>
      <c r="GG88" s="7"/>
      <c r="GH88" s="7"/>
      <c r="GI88" s="7"/>
      <c r="GJ88" s="7"/>
      <c r="GK88" s="7"/>
    </row>
    <row r="89" spans="1:195" ht="15.5" x14ac:dyDescent="0.35">
      <c r="A89" s="12" t="s">
        <v>808</v>
      </c>
      <c r="B89" s="7" t="s">
        <v>809</v>
      </c>
      <c r="C89" s="23">
        <f t="shared" ref="C89:FX89" si="23">C27</f>
        <v>6356.5</v>
      </c>
      <c r="D89" s="23">
        <f t="shared" si="23"/>
        <v>34775</v>
      </c>
      <c r="E89" s="23">
        <f t="shared" si="23"/>
        <v>5544</v>
      </c>
      <c r="F89" s="23">
        <f t="shared" si="23"/>
        <v>19613</v>
      </c>
      <c r="G89" s="23">
        <f t="shared" si="23"/>
        <v>1207.5</v>
      </c>
      <c r="H89" s="23">
        <f t="shared" si="23"/>
        <v>1096.5</v>
      </c>
      <c r="I89" s="23">
        <f t="shared" si="23"/>
        <v>7781</v>
      </c>
      <c r="J89" s="23">
        <f t="shared" si="23"/>
        <v>2171.5</v>
      </c>
      <c r="K89" s="23">
        <f t="shared" si="23"/>
        <v>233.5</v>
      </c>
      <c r="L89" s="23">
        <f t="shared" si="23"/>
        <v>2219.5</v>
      </c>
      <c r="M89" s="23">
        <f t="shared" si="23"/>
        <v>1047</v>
      </c>
      <c r="N89" s="23">
        <f t="shared" si="23"/>
        <v>51486.5</v>
      </c>
      <c r="O89" s="23">
        <f t="shared" si="23"/>
        <v>13342.5</v>
      </c>
      <c r="P89" s="23">
        <f t="shared" si="23"/>
        <v>270.5</v>
      </c>
      <c r="Q89" s="23">
        <f t="shared" si="23"/>
        <v>36070.5</v>
      </c>
      <c r="R89" s="23">
        <f t="shared" si="23"/>
        <v>474.5</v>
      </c>
      <c r="S89" s="23">
        <f t="shared" si="23"/>
        <v>1662.5</v>
      </c>
      <c r="T89" s="23">
        <f t="shared" si="23"/>
        <v>144.5</v>
      </c>
      <c r="U89" s="23">
        <f t="shared" si="23"/>
        <v>54.5</v>
      </c>
      <c r="V89" s="23">
        <f t="shared" si="23"/>
        <v>250</v>
      </c>
      <c r="W89" s="23">
        <f t="shared" si="23"/>
        <v>73.5</v>
      </c>
      <c r="X89" s="23">
        <f t="shared" si="23"/>
        <v>44</v>
      </c>
      <c r="Y89" s="23">
        <f t="shared" si="23"/>
        <v>434</v>
      </c>
      <c r="Z89" s="23">
        <f t="shared" si="23"/>
        <v>219</v>
      </c>
      <c r="AA89" s="23">
        <f t="shared" si="23"/>
        <v>30848.5</v>
      </c>
      <c r="AB89" s="23">
        <f t="shared" si="23"/>
        <v>27335.5</v>
      </c>
      <c r="AC89" s="23">
        <f t="shared" si="23"/>
        <v>960</v>
      </c>
      <c r="AD89" s="23">
        <f t="shared" si="23"/>
        <v>1252.5</v>
      </c>
      <c r="AE89" s="23">
        <f t="shared" si="23"/>
        <v>92.5</v>
      </c>
      <c r="AF89" s="23">
        <f t="shared" si="23"/>
        <v>174.5</v>
      </c>
      <c r="AG89" s="23">
        <f t="shared" si="23"/>
        <v>632</v>
      </c>
      <c r="AH89" s="23">
        <f t="shared" si="23"/>
        <v>1007</v>
      </c>
      <c r="AI89" s="23">
        <f t="shared" si="23"/>
        <v>331.5</v>
      </c>
      <c r="AJ89" s="23">
        <f t="shared" si="23"/>
        <v>140.5</v>
      </c>
      <c r="AK89" s="23">
        <f t="shared" si="23"/>
        <v>177.5</v>
      </c>
      <c r="AL89" s="23">
        <f t="shared" si="23"/>
        <v>237.5</v>
      </c>
      <c r="AM89" s="23">
        <f t="shared" si="23"/>
        <v>403</v>
      </c>
      <c r="AN89" s="23">
        <f t="shared" si="23"/>
        <v>331.5</v>
      </c>
      <c r="AO89" s="23">
        <f t="shared" si="23"/>
        <v>4360.5</v>
      </c>
      <c r="AP89" s="23">
        <f t="shared" si="23"/>
        <v>83793</v>
      </c>
      <c r="AQ89" s="23">
        <f t="shared" si="23"/>
        <v>241</v>
      </c>
      <c r="AR89" s="23">
        <f t="shared" si="23"/>
        <v>60239.5</v>
      </c>
      <c r="AS89" s="23">
        <f t="shared" si="23"/>
        <v>6425.5</v>
      </c>
      <c r="AT89" s="23">
        <f t="shared" si="23"/>
        <v>2232</v>
      </c>
      <c r="AU89" s="23">
        <f t="shared" si="23"/>
        <v>255</v>
      </c>
      <c r="AV89" s="23">
        <f t="shared" si="23"/>
        <v>304</v>
      </c>
      <c r="AW89" s="23">
        <f t="shared" si="23"/>
        <v>254</v>
      </c>
      <c r="AX89" s="23">
        <f t="shared" si="23"/>
        <v>71.5</v>
      </c>
      <c r="AY89" s="23">
        <f t="shared" si="23"/>
        <v>426</v>
      </c>
      <c r="AZ89" s="23">
        <f t="shared" si="23"/>
        <v>12587</v>
      </c>
      <c r="BA89" s="23">
        <f t="shared" si="23"/>
        <v>8981</v>
      </c>
      <c r="BB89" s="23">
        <f t="shared" si="23"/>
        <v>7862.5</v>
      </c>
      <c r="BC89" s="23">
        <f t="shared" si="23"/>
        <v>21479.5</v>
      </c>
      <c r="BD89" s="23">
        <f t="shared" si="23"/>
        <v>3545</v>
      </c>
      <c r="BE89" s="23">
        <f t="shared" si="23"/>
        <v>1295.5</v>
      </c>
      <c r="BF89" s="23">
        <f t="shared" si="23"/>
        <v>24154.5</v>
      </c>
      <c r="BG89" s="23">
        <f t="shared" si="23"/>
        <v>891.5</v>
      </c>
      <c r="BH89" s="23">
        <f t="shared" si="23"/>
        <v>546.5</v>
      </c>
      <c r="BI89" s="23">
        <f t="shared" si="23"/>
        <v>258</v>
      </c>
      <c r="BJ89" s="23">
        <f t="shared" si="23"/>
        <v>6328.5</v>
      </c>
      <c r="BK89" s="23">
        <f t="shared" si="23"/>
        <v>18568.5</v>
      </c>
      <c r="BL89" s="23">
        <f t="shared" si="23"/>
        <v>104</v>
      </c>
      <c r="BM89" s="23">
        <f t="shared" si="23"/>
        <v>288</v>
      </c>
      <c r="BN89" s="23">
        <f t="shared" si="23"/>
        <v>3250</v>
      </c>
      <c r="BO89" s="23">
        <f t="shared" si="23"/>
        <v>1341</v>
      </c>
      <c r="BP89" s="23">
        <f t="shared" si="23"/>
        <v>194</v>
      </c>
      <c r="BQ89" s="23">
        <f t="shared" si="23"/>
        <v>5572.5</v>
      </c>
      <c r="BR89" s="23">
        <f t="shared" si="23"/>
        <v>4487</v>
      </c>
      <c r="BS89" s="23">
        <f t="shared" si="23"/>
        <v>1138.5</v>
      </c>
      <c r="BT89" s="23">
        <f t="shared" si="23"/>
        <v>412.5</v>
      </c>
      <c r="BU89" s="23">
        <f t="shared" si="23"/>
        <v>398</v>
      </c>
      <c r="BV89" s="23">
        <f t="shared" si="23"/>
        <v>1248.5</v>
      </c>
      <c r="BW89" s="23">
        <f t="shared" si="23"/>
        <v>2006.5</v>
      </c>
      <c r="BX89" s="23">
        <f t="shared" si="23"/>
        <v>69</v>
      </c>
      <c r="BY89" s="23">
        <f t="shared" si="23"/>
        <v>466</v>
      </c>
      <c r="BZ89" s="23">
        <f t="shared" si="23"/>
        <v>199</v>
      </c>
      <c r="CA89" s="23">
        <f t="shared" si="23"/>
        <v>153</v>
      </c>
      <c r="CB89" s="23">
        <f t="shared" si="23"/>
        <v>73784</v>
      </c>
      <c r="CC89" s="23">
        <f t="shared" si="23"/>
        <v>187</v>
      </c>
      <c r="CD89" s="23">
        <f t="shared" si="23"/>
        <v>32.5</v>
      </c>
      <c r="CE89" s="23">
        <f t="shared" si="23"/>
        <v>125.5</v>
      </c>
      <c r="CF89" s="23">
        <f t="shared" si="23"/>
        <v>141.5</v>
      </c>
      <c r="CG89" s="23">
        <f t="shared" si="23"/>
        <v>209</v>
      </c>
      <c r="CH89" s="23">
        <f t="shared" si="23"/>
        <v>102</v>
      </c>
      <c r="CI89" s="23">
        <f t="shared" si="23"/>
        <v>687.5</v>
      </c>
      <c r="CJ89" s="23">
        <f t="shared" si="23"/>
        <v>910.5</v>
      </c>
      <c r="CK89" s="23">
        <f t="shared" si="23"/>
        <v>4431.5</v>
      </c>
      <c r="CL89" s="23">
        <f t="shared" si="23"/>
        <v>1311.5</v>
      </c>
      <c r="CM89" s="23">
        <f t="shared" si="23"/>
        <v>688</v>
      </c>
      <c r="CN89" s="23">
        <f t="shared" si="23"/>
        <v>28349</v>
      </c>
      <c r="CO89" s="23">
        <f t="shared" si="23"/>
        <v>14746.5</v>
      </c>
      <c r="CP89" s="23">
        <f t="shared" si="23"/>
        <v>997</v>
      </c>
      <c r="CQ89" s="23">
        <f t="shared" si="23"/>
        <v>783.5</v>
      </c>
      <c r="CR89" s="23">
        <f t="shared" si="23"/>
        <v>214.5</v>
      </c>
      <c r="CS89" s="23">
        <f t="shared" si="23"/>
        <v>314</v>
      </c>
      <c r="CT89" s="23">
        <f t="shared" si="23"/>
        <v>101.5</v>
      </c>
      <c r="CU89" s="23">
        <f t="shared" si="23"/>
        <v>83</v>
      </c>
      <c r="CV89" s="23">
        <f t="shared" si="23"/>
        <v>28</v>
      </c>
      <c r="CW89" s="23">
        <f t="shared" si="23"/>
        <v>188.5</v>
      </c>
      <c r="CX89" s="23">
        <f t="shared" si="23"/>
        <v>454</v>
      </c>
      <c r="CY89" s="23">
        <f t="shared" si="23"/>
        <v>36.5</v>
      </c>
      <c r="CZ89" s="23">
        <f t="shared" si="23"/>
        <v>1888</v>
      </c>
      <c r="DA89" s="23">
        <f t="shared" si="23"/>
        <v>197</v>
      </c>
      <c r="DB89" s="23">
        <f t="shared" si="23"/>
        <v>308.5</v>
      </c>
      <c r="DC89" s="23">
        <f t="shared" si="23"/>
        <v>142</v>
      </c>
      <c r="DD89" s="23">
        <f t="shared" si="23"/>
        <v>156</v>
      </c>
      <c r="DE89" s="23">
        <f t="shared" si="23"/>
        <v>287.5</v>
      </c>
      <c r="DF89" s="23">
        <f t="shared" si="23"/>
        <v>20440</v>
      </c>
      <c r="DG89" s="23">
        <f t="shared" si="23"/>
        <v>79</v>
      </c>
      <c r="DH89" s="23">
        <f t="shared" si="23"/>
        <v>1945</v>
      </c>
      <c r="DI89" s="23">
        <f t="shared" si="23"/>
        <v>2491</v>
      </c>
      <c r="DJ89" s="23">
        <f t="shared" si="23"/>
        <v>662.5</v>
      </c>
      <c r="DK89" s="23">
        <f t="shared" si="23"/>
        <v>454</v>
      </c>
      <c r="DL89" s="23">
        <f t="shared" si="23"/>
        <v>5766</v>
      </c>
      <c r="DM89" s="23">
        <f t="shared" si="23"/>
        <v>237</v>
      </c>
      <c r="DN89" s="23">
        <f t="shared" si="23"/>
        <v>1321</v>
      </c>
      <c r="DO89" s="23">
        <f t="shared" si="23"/>
        <v>3212.5</v>
      </c>
      <c r="DP89" s="23">
        <f t="shared" si="23"/>
        <v>203.5</v>
      </c>
      <c r="DQ89" s="23">
        <f t="shared" si="23"/>
        <v>764</v>
      </c>
      <c r="DR89" s="23">
        <f t="shared" si="23"/>
        <v>1354</v>
      </c>
      <c r="DS89" s="23">
        <f t="shared" si="23"/>
        <v>679.5</v>
      </c>
      <c r="DT89" s="23">
        <f t="shared" si="23"/>
        <v>150</v>
      </c>
      <c r="DU89" s="23">
        <f t="shared" si="23"/>
        <v>367.5</v>
      </c>
      <c r="DV89" s="23">
        <f t="shared" si="23"/>
        <v>217</v>
      </c>
      <c r="DW89" s="23">
        <f t="shared" si="23"/>
        <v>311.5</v>
      </c>
      <c r="DX89" s="23">
        <f t="shared" si="23"/>
        <v>174</v>
      </c>
      <c r="DY89" s="23">
        <f t="shared" si="23"/>
        <v>310.5</v>
      </c>
      <c r="DZ89" s="23">
        <f t="shared" si="23"/>
        <v>759</v>
      </c>
      <c r="EA89" s="23">
        <f t="shared" si="23"/>
        <v>525.5</v>
      </c>
      <c r="EB89" s="23">
        <f t="shared" si="23"/>
        <v>582</v>
      </c>
      <c r="EC89" s="23">
        <f t="shared" si="23"/>
        <v>311</v>
      </c>
      <c r="ED89" s="23">
        <f t="shared" si="23"/>
        <v>1635.5</v>
      </c>
      <c r="EE89" s="23">
        <f t="shared" si="23"/>
        <v>181</v>
      </c>
      <c r="EF89" s="23">
        <f t="shared" si="23"/>
        <v>1471</v>
      </c>
      <c r="EG89" s="23">
        <f t="shared" si="23"/>
        <v>247</v>
      </c>
      <c r="EH89" s="23">
        <f t="shared" si="23"/>
        <v>242.5</v>
      </c>
      <c r="EI89" s="23">
        <f t="shared" si="23"/>
        <v>14421.5</v>
      </c>
      <c r="EJ89" s="23">
        <f t="shared" si="23"/>
        <v>10062.5</v>
      </c>
      <c r="EK89" s="23">
        <f t="shared" si="23"/>
        <v>681</v>
      </c>
      <c r="EL89" s="23">
        <f t="shared" si="23"/>
        <v>468</v>
      </c>
      <c r="EM89" s="23">
        <f t="shared" si="23"/>
        <v>406</v>
      </c>
      <c r="EN89" s="23">
        <f t="shared" si="23"/>
        <v>930</v>
      </c>
      <c r="EO89" s="23">
        <f t="shared" si="23"/>
        <v>329</v>
      </c>
      <c r="EP89" s="23">
        <f t="shared" si="23"/>
        <v>398.5</v>
      </c>
      <c r="EQ89" s="23">
        <f t="shared" si="23"/>
        <v>2589.5</v>
      </c>
      <c r="ER89" s="23">
        <f t="shared" si="23"/>
        <v>302</v>
      </c>
      <c r="ES89" s="23">
        <f t="shared" si="23"/>
        <v>145.5</v>
      </c>
      <c r="ET89" s="23">
        <f t="shared" si="23"/>
        <v>202</v>
      </c>
      <c r="EU89" s="23">
        <f t="shared" si="23"/>
        <v>582.5</v>
      </c>
      <c r="EV89" s="23">
        <f t="shared" si="23"/>
        <v>74</v>
      </c>
      <c r="EW89" s="23">
        <f t="shared" si="23"/>
        <v>879.5</v>
      </c>
      <c r="EX89" s="23">
        <f t="shared" si="23"/>
        <v>174.5</v>
      </c>
      <c r="EY89" s="23">
        <f t="shared" si="23"/>
        <v>210.5</v>
      </c>
      <c r="EZ89" s="23">
        <f t="shared" si="23"/>
        <v>134.5</v>
      </c>
      <c r="FA89" s="23">
        <f t="shared" si="23"/>
        <v>3492</v>
      </c>
      <c r="FB89" s="23">
        <f t="shared" si="23"/>
        <v>336</v>
      </c>
      <c r="FC89" s="23">
        <f t="shared" si="23"/>
        <v>2023.5</v>
      </c>
      <c r="FD89" s="23">
        <f t="shared" si="23"/>
        <v>399.5</v>
      </c>
      <c r="FE89" s="23">
        <f t="shared" si="23"/>
        <v>86</v>
      </c>
      <c r="FF89" s="23">
        <f t="shared" si="23"/>
        <v>201</v>
      </c>
      <c r="FG89" s="23">
        <f t="shared" si="23"/>
        <v>125</v>
      </c>
      <c r="FH89" s="23">
        <f t="shared" si="23"/>
        <v>65</v>
      </c>
      <c r="FI89" s="23">
        <f t="shared" si="23"/>
        <v>1785</v>
      </c>
      <c r="FJ89" s="23">
        <f t="shared" si="23"/>
        <v>1999.5</v>
      </c>
      <c r="FK89" s="23">
        <f t="shared" si="23"/>
        <v>2534</v>
      </c>
      <c r="FL89" s="23">
        <f t="shared" si="23"/>
        <v>7895.5</v>
      </c>
      <c r="FM89" s="23">
        <f t="shared" si="23"/>
        <v>3662</v>
      </c>
      <c r="FN89" s="23">
        <f t="shared" si="23"/>
        <v>21110.5</v>
      </c>
      <c r="FO89" s="23">
        <f t="shared" si="23"/>
        <v>1090.5</v>
      </c>
      <c r="FP89" s="23">
        <f t="shared" si="23"/>
        <v>2312.5</v>
      </c>
      <c r="FQ89" s="23">
        <f t="shared" si="23"/>
        <v>1016.5</v>
      </c>
      <c r="FR89" s="23">
        <f t="shared" si="23"/>
        <v>179</v>
      </c>
      <c r="FS89" s="23">
        <f t="shared" si="23"/>
        <v>183</v>
      </c>
      <c r="FT89" s="23">
        <f t="shared" si="23"/>
        <v>59.5</v>
      </c>
      <c r="FU89" s="23">
        <f t="shared" si="23"/>
        <v>818.5</v>
      </c>
      <c r="FV89" s="23">
        <f t="shared" si="23"/>
        <v>700.5</v>
      </c>
      <c r="FW89" s="23">
        <f t="shared" si="23"/>
        <v>172.5</v>
      </c>
      <c r="FX89" s="23">
        <f t="shared" si="23"/>
        <v>53.5</v>
      </c>
      <c r="FY89" s="23"/>
      <c r="FZ89" s="23">
        <f t="shared" si="19"/>
        <v>801194</v>
      </c>
      <c r="GA89" s="26"/>
      <c r="GB89" s="23"/>
      <c r="GC89" s="23"/>
      <c r="GD89" s="23"/>
      <c r="GE89" s="7"/>
      <c r="GF89" s="7"/>
      <c r="GG89" s="7"/>
      <c r="GH89" s="7"/>
      <c r="GI89" s="7"/>
      <c r="GJ89" s="7"/>
      <c r="GK89" s="7"/>
      <c r="GL89" s="23"/>
      <c r="GM89" s="23"/>
    </row>
    <row r="90" spans="1:195" ht="15.5" x14ac:dyDescent="0.35">
      <c r="A90" s="12" t="s">
        <v>546</v>
      </c>
      <c r="B90" s="7" t="s">
        <v>810</v>
      </c>
      <c r="C90" s="23">
        <f t="shared" ref="C90:FX90" si="24">ROUND(MAX(C85,ROUND(AVERAGE(C85:C86),1),ROUND(AVERAGE(C85:C87),1),ROUND(AVERAGE(C85:C88),1),ROUND(AVERAGE(C85:C89),1)),1)</f>
        <v>6384.5</v>
      </c>
      <c r="D90" s="23">
        <f t="shared" si="24"/>
        <v>33429.4</v>
      </c>
      <c r="E90" s="23">
        <f t="shared" si="24"/>
        <v>5075.1000000000004</v>
      </c>
      <c r="F90" s="23">
        <f t="shared" si="24"/>
        <v>21462.5</v>
      </c>
      <c r="G90" s="23">
        <f t="shared" si="24"/>
        <v>1844</v>
      </c>
      <c r="H90" s="23">
        <f t="shared" si="24"/>
        <v>1095.7</v>
      </c>
      <c r="I90" s="23">
        <f t="shared" si="24"/>
        <v>7305.8</v>
      </c>
      <c r="J90" s="23">
        <f t="shared" si="24"/>
        <v>2066.8000000000002</v>
      </c>
      <c r="K90" s="23">
        <f t="shared" si="24"/>
        <v>251.7</v>
      </c>
      <c r="L90" s="23">
        <f t="shared" si="24"/>
        <v>2133.1</v>
      </c>
      <c r="M90" s="23">
        <f t="shared" si="24"/>
        <v>936.7</v>
      </c>
      <c r="N90" s="23">
        <f t="shared" si="24"/>
        <v>50357.5</v>
      </c>
      <c r="O90" s="23">
        <f t="shared" si="24"/>
        <v>12808.1</v>
      </c>
      <c r="P90" s="23">
        <f t="shared" si="24"/>
        <v>315.3</v>
      </c>
      <c r="Q90" s="23">
        <f t="shared" si="24"/>
        <v>37352</v>
      </c>
      <c r="R90" s="23">
        <f t="shared" si="24"/>
        <v>481.8</v>
      </c>
      <c r="S90" s="23">
        <f t="shared" si="24"/>
        <v>1590.9</v>
      </c>
      <c r="T90" s="23">
        <f t="shared" si="24"/>
        <v>161.1</v>
      </c>
      <c r="U90" s="23">
        <f t="shared" si="24"/>
        <v>55.5</v>
      </c>
      <c r="V90" s="23">
        <f t="shared" si="24"/>
        <v>256.39999999999998</v>
      </c>
      <c r="W90" s="23">
        <f t="shared" si="24"/>
        <v>58.7</v>
      </c>
      <c r="X90" s="23">
        <f t="shared" si="24"/>
        <v>37.5</v>
      </c>
      <c r="Y90" s="23">
        <f t="shared" si="24"/>
        <v>423.8</v>
      </c>
      <c r="Z90" s="23">
        <f t="shared" si="24"/>
        <v>231.1</v>
      </c>
      <c r="AA90" s="23">
        <f t="shared" si="24"/>
        <v>30547.1</v>
      </c>
      <c r="AB90" s="23">
        <f t="shared" si="24"/>
        <v>26947.5</v>
      </c>
      <c r="AC90" s="23">
        <f t="shared" si="24"/>
        <v>906.3</v>
      </c>
      <c r="AD90" s="23">
        <f t="shared" si="24"/>
        <v>1281</v>
      </c>
      <c r="AE90" s="23">
        <f t="shared" si="24"/>
        <v>97</v>
      </c>
      <c r="AF90" s="23">
        <f t="shared" si="24"/>
        <v>167.5</v>
      </c>
      <c r="AG90" s="23">
        <f t="shared" si="24"/>
        <v>601.1</v>
      </c>
      <c r="AH90" s="23">
        <f t="shared" si="24"/>
        <v>957.7</v>
      </c>
      <c r="AI90" s="23">
        <f t="shared" si="24"/>
        <v>383</v>
      </c>
      <c r="AJ90" s="23">
        <f t="shared" si="24"/>
        <v>181.5</v>
      </c>
      <c r="AK90" s="23">
        <f t="shared" si="24"/>
        <v>165.7</v>
      </c>
      <c r="AL90" s="23">
        <f t="shared" si="24"/>
        <v>288.5</v>
      </c>
      <c r="AM90" s="23">
        <f t="shared" si="24"/>
        <v>352.6</v>
      </c>
      <c r="AN90" s="23">
        <f t="shared" si="24"/>
        <v>299.5</v>
      </c>
      <c r="AO90" s="23">
        <f t="shared" si="24"/>
        <v>4035.4</v>
      </c>
      <c r="AP90" s="23">
        <f t="shared" si="24"/>
        <v>83959.5</v>
      </c>
      <c r="AQ90" s="23">
        <f t="shared" si="24"/>
        <v>251</v>
      </c>
      <c r="AR90" s="23">
        <f t="shared" si="24"/>
        <v>58674.8</v>
      </c>
      <c r="AS90" s="23">
        <f t="shared" si="24"/>
        <v>6182.7</v>
      </c>
      <c r="AT90" s="23">
        <f t="shared" si="24"/>
        <v>2358</v>
      </c>
      <c r="AU90" s="23">
        <f t="shared" si="24"/>
        <v>271</v>
      </c>
      <c r="AV90" s="23">
        <f t="shared" si="24"/>
        <v>305.39999999999998</v>
      </c>
      <c r="AW90" s="23">
        <f t="shared" si="24"/>
        <v>255</v>
      </c>
      <c r="AX90" s="23">
        <f t="shared" si="24"/>
        <v>81</v>
      </c>
      <c r="AY90" s="23">
        <f t="shared" si="24"/>
        <v>406.8</v>
      </c>
      <c r="AZ90" s="23">
        <f t="shared" si="24"/>
        <v>12121</v>
      </c>
      <c r="BA90" s="23">
        <f t="shared" si="24"/>
        <v>8895.7999999999993</v>
      </c>
      <c r="BB90" s="23">
        <f t="shared" si="24"/>
        <v>7554.1</v>
      </c>
      <c r="BC90" s="23">
        <f t="shared" si="24"/>
        <v>21205.8</v>
      </c>
      <c r="BD90" s="23">
        <f t="shared" si="24"/>
        <v>3633.5</v>
      </c>
      <c r="BE90" s="23">
        <f t="shared" si="24"/>
        <v>1198.7</v>
      </c>
      <c r="BF90" s="23">
        <f t="shared" si="24"/>
        <v>24352.6</v>
      </c>
      <c r="BG90" s="23">
        <f t="shared" si="24"/>
        <v>920.5</v>
      </c>
      <c r="BH90" s="23">
        <f t="shared" si="24"/>
        <v>543.5</v>
      </c>
      <c r="BI90" s="23">
        <f t="shared" si="24"/>
        <v>257.39999999999998</v>
      </c>
      <c r="BJ90" s="23">
        <f t="shared" si="24"/>
        <v>6294</v>
      </c>
      <c r="BK90" s="23">
        <f t="shared" si="24"/>
        <v>21812.5</v>
      </c>
      <c r="BL90" s="23">
        <f t="shared" si="24"/>
        <v>74.3</v>
      </c>
      <c r="BM90" s="23">
        <f t="shared" si="24"/>
        <v>340.8</v>
      </c>
      <c r="BN90" s="23">
        <f t="shared" si="24"/>
        <v>3100</v>
      </c>
      <c r="BO90" s="23">
        <f t="shared" si="24"/>
        <v>1254.3</v>
      </c>
      <c r="BP90" s="23">
        <f t="shared" si="24"/>
        <v>160.4</v>
      </c>
      <c r="BQ90" s="23">
        <f t="shared" si="24"/>
        <v>5632.1</v>
      </c>
      <c r="BR90" s="23">
        <f t="shared" si="24"/>
        <v>4488.3999999999996</v>
      </c>
      <c r="BS90" s="23">
        <f t="shared" si="24"/>
        <v>1158</v>
      </c>
      <c r="BT90" s="23">
        <f t="shared" si="24"/>
        <v>372.5</v>
      </c>
      <c r="BU90" s="23">
        <f t="shared" si="24"/>
        <v>393.7</v>
      </c>
      <c r="BV90" s="23">
        <f t="shared" si="24"/>
        <v>1245.3</v>
      </c>
      <c r="BW90" s="23">
        <f t="shared" si="24"/>
        <v>2017.5</v>
      </c>
      <c r="BX90" s="23">
        <f t="shared" si="24"/>
        <v>66.5</v>
      </c>
      <c r="BY90" s="23">
        <f t="shared" si="24"/>
        <v>430.6</v>
      </c>
      <c r="BZ90" s="23">
        <f t="shared" si="24"/>
        <v>228</v>
      </c>
      <c r="CA90" s="23">
        <f t="shared" si="24"/>
        <v>146.19999999999999</v>
      </c>
      <c r="CB90" s="23">
        <f t="shared" si="24"/>
        <v>71728.7</v>
      </c>
      <c r="CC90" s="23">
        <f t="shared" si="24"/>
        <v>189.3</v>
      </c>
      <c r="CD90" s="23">
        <f t="shared" si="24"/>
        <v>30</v>
      </c>
      <c r="CE90" s="23">
        <f t="shared" si="24"/>
        <v>158.30000000000001</v>
      </c>
      <c r="CF90" s="23">
        <f t="shared" si="24"/>
        <v>112.5</v>
      </c>
      <c r="CG90" s="23">
        <f t="shared" si="24"/>
        <v>199.9</v>
      </c>
      <c r="CH90" s="23">
        <f t="shared" si="24"/>
        <v>96.5</v>
      </c>
      <c r="CI90" s="23">
        <f t="shared" si="24"/>
        <v>687.9</v>
      </c>
      <c r="CJ90" s="23">
        <f t="shared" si="24"/>
        <v>872.3</v>
      </c>
      <c r="CK90" s="23">
        <f t="shared" si="24"/>
        <v>4303.8</v>
      </c>
      <c r="CL90" s="23">
        <f t="shared" si="24"/>
        <v>1228.4000000000001</v>
      </c>
      <c r="CM90" s="23">
        <f t="shared" si="24"/>
        <v>684.3</v>
      </c>
      <c r="CN90" s="23">
        <f t="shared" si="24"/>
        <v>28245.5</v>
      </c>
      <c r="CO90" s="23">
        <f t="shared" si="24"/>
        <v>14319.6</v>
      </c>
      <c r="CP90" s="23">
        <f t="shared" si="24"/>
        <v>928.6</v>
      </c>
      <c r="CQ90" s="23">
        <f t="shared" si="24"/>
        <v>770.1</v>
      </c>
      <c r="CR90" s="23">
        <f t="shared" si="24"/>
        <v>215.8</v>
      </c>
      <c r="CS90" s="23">
        <f t="shared" si="24"/>
        <v>285.5</v>
      </c>
      <c r="CT90" s="23">
        <f t="shared" si="24"/>
        <v>113.5</v>
      </c>
      <c r="CU90" s="23">
        <f t="shared" si="24"/>
        <v>71.8</v>
      </c>
      <c r="CV90" s="23">
        <f t="shared" si="24"/>
        <v>25.4</v>
      </c>
      <c r="CW90" s="23">
        <f t="shared" si="24"/>
        <v>198.7</v>
      </c>
      <c r="CX90" s="23">
        <f t="shared" si="24"/>
        <v>461.4</v>
      </c>
      <c r="CY90" s="23">
        <f t="shared" si="24"/>
        <v>30.9</v>
      </c>
      <c r="CZ90" s="23">
        <f t="shared" si="24"/>
        <v>1806.6</v>
      </c>
      <c r="DA90" s="23">
        <f t="shared" si="24"/>
        <v>203.5</v>
      </c>
      <c r="DB90" s="23">
        <f t="shared" si="24"/>
        <v>315.8</v>
      </c>
      <c r="DC90" s="23">
        <f t="shared" si="24"/>
        <v>193</v>
      </c>
      <c r="DD90" s="23">
        <f t="shared" si="24"/>
        <v>174.5</v>
      </c>
      <c r="DE90" s="23">
        <f t="shared" si="24"/>
        <v>285.3</v>
      </c>
      <c r="DF90" s="23">
        <f t="shared" si="24"/>
        <v>19403.3</v>
      </c>
      <c r="DG90" s="23">
        <f t="shared" si="24"/>
        <v>93.5</v>
      </c>
      <c r="DH90" s="23">
        <f t="shared" si="24"/>
        <v>1805.4</v>
      </c>
      <c r="DI90" s="23">
        <f t="shared" si="24"/>
        <v>2369</v>
      </c>
      <c r="DJ90" s="23">
        <f t="shared" si="24"/>
        <v>623</v>
      </c>
      <c r="DK90" s="23">
        <f t="shared" si="24"/>
        <v>477.7</v>
      </c>
      <c r="DL90" s="23">
        <f t="shared" si="24"/>
        <v>5693.9</v>
      </c>
      <c r="DM90" s="23">
        <f t="shared" si="24"/>
        <v>235</v>
      </c>
      <c r="DN90" s="23">
        <f t="shared" si="24"/>
        <v>1294.5</v>
      </c>
      <c r="DO90" s="23">
        <f t="shared" si="24"/>
        <v>3290</v>
      </c>
      <c r="DP90" s="23">
        <f t="shared" si="24"/>
        <v>200</v>
      </c>
      <c r="DQ90" s="23">
        <f t="shared" si="24"/>
        <v>887</v>
      </c>
      <c r="DR90" s="23">
        <f t="shared" si="24"/>
        <v>1315.1</v>
      </c>
      <c r="DS90" s="23">
        <f t="shared" si="24"/>
        <v>599.9</v>
      </c>
      <c r="DT90" s="23">
        <f t="shared" si="24"/>
        <v>176.5</v>
      </c>
      <c r="DU90" s="23">
        <f t="shared" si="24"/>
        <v>351.4</v>
      </c>
      <c r="DV90" s="23">
        <f t="shared" si="24"/>
        <v>208</v>
      </c>
      <c r="DW90" s="23">
        <f t="shared" si="24"/>
        <v>300.2</v>
      </c>
      <c r="DX90" s="23">
        <f t="shared" si="24"/>
        <v>168</v>
      </c>
      <c r="DY90" s="23">
        <f t="shared" si="24"/>
        <v>296.60000000000002</v>
      </c>
      <c r="DZ90" s="23">
        <f t="shared" si="24"/>
        <v>680.8</v>
      </c>
      <c r="EA90" s="23">
        <f t="shared" si="24"/>
        <v>510.6</v>
      </c>
      <c r="EB90" s="23">
        <f t="shared" si="24"/>
        <v>534.4</v>
      </c>
      <c r="EC90" s="23">
        <f t="shared" si="24"/>
        <v>285.10000000000002</v>
      </c>
      <c r="ED90" s="23">
        <f t="shared" si="24"/>
        <v>1561.8</v>
      </c>
      <c r="EE90" s="23">
        <f t="shared" si="24"/>
        <v>191.6</v>
      </c>
      <c r="EF90" s="23">
        <f t="shared" si="24"/>
        <v>1353.2</v>
      </c>
      <c r="EG90" s="23">
        <f t="shared" si="24"/>
        <v>253.5</v>
      </c>
      <c r="EH90" s="23">
        <f t="shared" si="24"/>
        <v>247.4</v>
      </c>
      <c r="EI90" s="23">
        <f t="shared" si="24"/>
        <v>13865.8</v>
      </c>
      <c r="EJ90" s="23">
        <f t="shared" si="24"/>
        <v>9949.7999999999993</v>
      </c>
      <c r="EK90" s="23">
        <f t="shared" si="24"/>
        <v>668.7</v>
      </c>
      <c r="EL90" s="23">
        <f t="shared" si="24"/>
        <v>459.4</v>
      </c>
      <c r="EM90" s="23">
        <f t="shared" si="24"/>
        <v>378.1</v>
      </c>
      <c r="EN90" s="23">
        <f t="shared" si="24"/>
        <v>896.9</v>
      </c>
      <c r="EO90" s="23">
        <f t="shared" si="24"/>
        <v>305.39999999999998</v>
      </c>
      <c r="EP90" s="23">
        <f t="shared" si="24"/>
        <v>428.5</v>
      </c>
      <c r="EQ90" s="23">
        <f t="shared" si="24"/>
        <v>2511.1999999999998</v>
      </c>
      <c r="ER90" s="23">
        <f t="shared" si="24"/>
        <v>307.60000000000002</v>
      </c>
      <c r="ES90" s="23">
        <f t="shared" si="24"/>
        <v>161.5</v>
      </c>
      <c r="ET90" s="23">
        <f t="shared" si="24"/>
        <v>197.5</v>
      </c>
      <c r="EU90" s="23">
        <f t="shared" si="24"/>
        <v>575.29999999999995</v>
      </c>
      <c r="EV90" s="23">
        <f t="shared" si="24"/>
        <v>72.599999999999994</v>
      </c>
      <c r="EW90" s="23">
        <f t="shared" si="24"/>
        <v>819.4</v>
      </c>
      <c r="EX90" s="23">
        <f t="shared" si="24"/>
        <v>173.5</v>
      </c>
      <c r="EY90" s="23">
        <f t="shared" si="24"/>
        <v>206.5</v>
      </c>
      <c r="EZ90" s="23">
        <f t="shared" si="24"/>
        <v>129.30000000000001</v>
      </c>
      <c r="FA90" s="23">
        <f t="shared" si="24"/>
        <v>3385.2</v>
      </c>
      <c r="FB90" s="23">
        <f t="shared" si="24"/>
        <v>288.10000000000002</v>
      </c>
      <c r="FC90" s="23">
        <f t="shared" si="24"/>
        <v>1821.3</v>
      </c>
      <c r="FD90" s="23">
        <f t="shared" si="24"/>
        <v>402</v>
      </c>
      <c r="FE90" s="23">
        <f t="shared" si="24"/>
        <v>79</v>
      </c>
      <c r="FF90" s="23">
        <f t="shared" si="24"/>
        <v>185</v>
      </c>
      <c r="FG90" s="23">
        <f t="shared" si="24"/>
        <v>120.8</v>
      </c>
      <c r="FH90" s="23">
        <f t="shared" si="24"/>
        <v>70</v>
      </c>
      <c r="FI90" s="23">
        <f t="shared" si="24"/>
        <v>1702.5</v>
      </c>
      <c r="FJ90" s="23">
        <f t="shared" si="24"/>
        <v>2016.5</v>
      </c>
      <c r="FK90" s="23">
        <f t="shared" si="24"/>
        <v>2529.1</v>
      </c>
      <c r="FL90" s="23">
        <f t="shared" si="24"/>
        <v>8537.5</v>
      </c>
      <c r="FM90" s="23">
        <f t="shared" si="24"/>
        <v>3981.5</v>
      </c>
      <c r="FN90" s="23">
        <f t="shared" si="24"/>
        <v>22420.5</v>
      </c>
      <c r="FO90" s="23">
        <f t="shared" si="24"/>
        <v>1117</v>
      </c>
      <c r="FP90" s="23">
        <f t="shared" si="24"/>
        <v>2341.5</v>
      </c>
      <c r="FQ90" s="23">
        <f t="shared" si="24"/>
        <v>984.9</v>
      </c>
      <c r="FR90" s="23">
        <f t="shared" si="24"/>
        <v>168.1</v>
      </c>
      <c r="FS90" s="23">
        <f t="shared" si="24"/>
        <v>168.3</v>
      </c>
      <c r="FT90" s="23" t="e">
        <f t="shared" ca="1" si="24"/>
        <v>#NAME?</v>
      </c>
      <c r="FU90" s="23">
        <f t="shared" si="24"/>
        <v>791.1</v>
      </c>
      <c r="FV90" s="23">
        <f t="shared" si="24"/>
        <v>692.7</v>
      </c>
      <c r="FW90" s="23">
        <f t="shared" si="24"/>
        <v>147.5</v>
      </c>
      <c r="FX90" s="23">
        <f t="shared" si="24"/>
        <v>64.5</v>
      </c>
      <c r="FY90" s="23"/>
      <c r="FZ90" s="23" t="e">
        <f t="shared" ca="1" si="19"/>
        <v>#NAME?</v>
      </c>
      <c r="GA90" s="55"/>
      <c r="GB90" s="23" t="e">
        <f ca="1">FZ90-GA90</f>
        <v>#NAME?</v>
      </c>
      <c r="GC90" s="23"/>
      <c r="GD90" s="23"/>
      <c r="GE90" s="7"/>
      <c r="GF90" s="7"/>
      <c r="GG90" s="7"/>
      <c r="GH90" s="7"/>
      <c r="GI90" s="7"/>
      <c r="GJ90" s="7"/>
      <c r="GK90" s="7"/>
      <c r="GL90" s="23"/>
      <c r="GM90" s="23"/>
    </row>
    <row r="91" spans="1:195" ht="15.5" x14ac:dyDescent="0.35">
      <c r="A91" s="7"/>
      <c r="B91" s="7" t="s">
        <v>811</v>
      </c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23"/>
      <c r="FZ91" s="25"/>
      <c r="GA91" s="26"/>
      <c r="GB91" s="23"/>
      <c r="GC91" s="23"/>
      <c r="GD91" s="23"/>
      <c r="GE91" s="7"/>
      <c r="GF91" s="7"/>
      <c r="GG91" s="7"/>
      <c r="GH91" s="7"/>
      <c r="GI91" s="7"/>
      <c r="GJ91" s="7"/>
      <c r="GK91" s="7"/>
      <c r="GL91" s="23"/>
      <c r="GM91" s="23"/>
    </row>
    <row r="92" spans="1:195" ht="15.5" x14ac:dyDescent="0.35">
      <c r="A92" s="7"/>
      <c r="B92" s="7" t="s">
        <v>812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23"/>
      <c r="FZ92" s="25"/>
      <c r="GA92" s="26"/>
      <c r="GB92" s="23"/>
      <c r="GC92" s="23"/>
      <c r="GD92" s="23"/>
      <c r="GE92" s="7"/>
      <c r="GF92" s="7"/>
      <c r="GG92" s="7"/>
      <c r="GH92" s="7"/>
      <c r="GI92" s="7"/>
      <c r="GJ92" s="7"/>
      <c r="GK92" s="7"/>
      <c r="GL92" s="23"/>
      <c r="GM92" s="23"/>
    </row>
    <row r="93" spans="1:195" ht="15.5" x14ac:dyDescent="0.35">
      <c r="A93" s="12" t="s">
        <v>549</v>
      </c>
      <c r="B93" s="7" t="s">
        <v>813</v>
      </c>
      <c r="C93" s="39">
        <f t="shared" ref="C93:FX93" si="25">ROUND(C10*2*$A$83,2)</f>
        <v>0</v>
      </c>
      <c r="D93" s="39">
        <f t="shared" si="25"/>
        <v>0.08</v>
      </c>
      <c r="E93" s="39">
        <f t="shared" si="25"/>
        <v>0.24</v>
      </c>
      <c r="F93" s="39">
        <f t="shared" si="25"/>
        <v>2.8</v>
      </c>
      <c r="G93" s="39">
        <f t="shared" si="25"/>
        <v>0</v>
      </c>
      <c r="H93" s="39">
        <f t="shared" si="25"/>
        <v>0</v>
      </c>
      <c r="I93" s="39">
        <f t="shared" si="25"/>
        <v>0</v>
      </c>
      <c r="J93" s="39">
        <f t="shared" si="25"/>
        <v>0</v>
      </c>
      <c r="K93" s="39">
        <f t="shared" si="25"/>
        <v>0</v>
      </c>
      <c r="L93" s="39">
        <f t="shared" si="25"/>
        <v>0</v>
      </c>
      <c r="M93" s="39">
        <f t="shared" si="25"/>
        <v>0</v>
      </c>
      <c r="N93" s="39">
        <f t="shared" si="25"/>
        <v>4.6399999999999997</v>
      </c>
      <c r="O93" s="39">
        <f t="shared" si="25"/>
        <v>0.32</v>
      </c>
      <c r="P93" s="39">
        <f t="shared" si="25"/>
        <v>0</v>
      </c>
      <c r="Q93" s="39">
        <f t="shared" si="25"/>
        <v>7.52</v>
      </c>
      <c r="R93" s="39">
        <f t="shared" si="25"/>
        <v>0</v>
      </c>
      <c r="S93" s="39">
        <f t="shared" si="25"/>
        <v>0.48</v>
      </c>
      <c r="T93" s="39">
        <f t="shared" si="25"/>
        <v>0</v>
      </c>
      <c r="U93" s="39">
        <f t="shared" si="25"/>
        <v>0</v>
      </c>
      <c r="V93" s="39">
        <f t="shared" si="25"/>
        <v>0</v>
      </c>
      <c r="W93" s="39">
        <f t="shared" si="25"/>
        <v>0</v>
      </c>
      <c r="X93" s="39">
        <f t="shared" si="25"/>
        <v>0.4</v>
      </c>
      <c r="Y93" s="39">
        <f t="shared" si="25"/>
        <v>0</v>
      </c>
      <c r="Z93" s="39">
        <f t="shared" si="25"/>
        <v>0</v>
      </c>
      <c r="AA93" s="39">
        <f t="shared" si="25"/>
        <v>4.32</v>
      </c>
      <c r="AB93" s="39">
        <f t="shared" si="25"/>
        <v>0.16</v>
      </c>
      <c r="AC93" s="39">
        <f t="shared" si="25"/>
        <v>0</v>
      </c>
      <c r="AD93" s="39">
        <f t="shared" si="25"/>
        <v>0.08</v>
      </c>
      <c r="AE93" s="39">
        <f t="shared" si="25"/>
        <v>0</v>
      </c>
      <c r="AF93" s="39">
        <f t="shared" si="25"/>
        <v>0</v>
      </c>
      <c r="AG93" s="39">
        <f t="shared" si="25"/>
        <v>0</v>
      </c>
      <c r="AH93" s="39">
        <f t="shared" si="25"/>
        <v>0</v>
      </c>
      <c r="AI93" s="39">
        <f t="shared" si="25"/>
        <v>0</v>
      </c>
      <c r="AJ93" s="39">
        <f t="shared" si="25"/>
        <v>0</v>
      </c>
      <c r="AK93" s="39">
        <f t="shared" si="25"/>
        <v>0</v>
      </c>
      <c r="AL93" s="39">
        <f t="shared" si="25"/>
        <v>0</v>
      </c>
      <c r="AM93" s="39">
        <f t="shared" si="25"/>
        <v>0</v>
      </c>
      <c r="AN93" s="39">
        <f t="shared" si="25"/>
        <v>0</v>
      </c>
      <c r="AO93" s="39">
        <f t="shared" si="25"/>
        <v>0.64</v>
      </c>
      <c r="AP93" s="39">
        <f t="shared" si="25"/>
        <v>0.08</v>
      </c>
      <c r="AQ93" s="39">
        <f t="shared" si="25"/>
        <v>0</v>
      </c>
      <c r="AR93" s="39">
        <f t="shared" si="25"/>
        <v>13.04</v>
      </c>
      <c r="AS93" s="39">
        <f t="shared" si="25"/>
        <v>0</v>
      </c>
      <c r="AT93" s="39">
        <f t="shared" si="25"/>
        <v>2.2400000000000002</v>
      </c>
      <c r="AU93" s="39">
        <f t="shared" si="25"/>
        <v>0</v>
      </c>
      <c r="AV93" s="39">
        <f t="shared" si="25"/>
        <v>0</v>
      </c>
      <c r="AW93" s="39">
        <f t="shared" si="25"/>
        <v>0</v>
      </c>
      <c r="AX93" s="39">
        <f t="shared" si="25"/>
        <v>0</v>
      </c>
      <c r="AY93" s="39">
        <f t="shared" si="25"/>
        <v>0</v>
      </c>
      <c r="AZ93" s="39">
        <f t="shared" si="25"/>
        <v>2.4</v>
      </c>
      <c r="BA93" s="39">
        <f t="shared" si="25"/>
        <v>0</v>
      </c>
      <c r="BB93" s="39">
        <f t="shared" si="25"/>
        <v>0.16</v>
      </c>
      <c r="BC93" s="39">
        <f t="shared" si="25"/>
        <v>6.48</v>
      </c>
      <c r="BD93" s="39">
        <f t="shared" si="25"/>
        <v>0</v>
      </c>
      <c r="BE93" s="39">
        <f t="shared" si="25"/>
        <v>0</v>
      </c>
      <c r="BF93" s="39">
        <f t="shared" si="25"/>
        <v>33.68</v>
      </c>
      <c r="BG93" s="39">
        <f t="shared" si="25"/>
        <v>0.08</v>
      </c>
      <c r="BH93" s="39">
        <f t="shared" si="25"/>
        <v>0</v>
      </c>
      <c r="BI93" s="39">
        <f t="shared" si="25"/>
        <v>0</v>
      </c>
      <c r="BJ93" s="39">
        <f t="shared" si="25"/>
        <v>3.44</v>
      </c>
      <c r="BK93" s="39">
        <f t="shared" si="25"/>
        <v>52.16</v>
      </c>
      <c r="BL93" s="39">
        <f t="shared" si="25"/>
        <v>0</v>
      </c>
      <c r="BM93" s="39">
        <f t="shared" si="25"/>
        <v>0</v>
      </c>
      <c r="BN93" s="39">
        <f t="shared" si="25"/>
        <v>0.08</v>
      </c>
      <c r="BO93" s="39">
        <f t="shared" si="25"/>
        <v>0</v>
      </c>
      <c r="BP93" s="39">
        <f t="shared" si="25"/>
        <v>0</v>
      </c>
      <c r="BQ93" s="39">
        <f t="shared" si="25"/>
        <v>0</v>
      </c>
      <c r="BR93" s="39">
        <f t="shared" si="25"/>
        <v>0</v>
      </c>
      <c r="BS93" s="39">
        <f t="shared" si="25"/>
        <v>0.08</v>
      </c>
      <c r="BT93" s="39">
        <f t="shared" si="25"/>
        <v>0</v>
      </c>
      <c r="BU93" s="39">
        <f t="shared" si="25"/>
        <v>0</v>
      </c>
      <c r="BV93" s="39">
        <f t="shared" si="25"/>
        <v>0</v>
      </c>
      <c r="BW93" s="39">
        <f t="shared" si="25"/>
        <v>0</v>
      </c>
      <c r="BX93" s="39">
        <f t="shared" si="25"/>
        <v>0</v>
      </c>
      <c r="BY93" s="39">
        <f t="shared" si="25"/>
        <v>0.08</v>
      </c>
      <c r="BZ93" s="39">
        <f t="shared" si="25"/>
        <v>0</v>
      </c>
      <c r="CA93" s="39">
        <f t="shared" si="25"/>
        <v>0</v>
      </c>
      <c r="CB93" s="39">
        <f t="shared" si="25"/>
        <v>11.92</v>
      </c>
      <c r="CC93" s="39">
        <f t="shared" si="25"/>
        <v>0</v>
      </c>
      <c r="CD93" s="39">
        <f t="shared" si="25"/>
        <v>0</v>
      </c>
      <c r="CE93" s="39">
        <f t="shared" si="25"/>
        <v>0</v>
      </c>
      <c r="CF93" s="39">
        <f t="shared" si="25"/>
        <v>0</v>
      </c>
      <c r="CG93" s="39">
        <f t="shared" si="25"/>
        <v>0</v>
      </c>
      <c r="CH93" s="39">
        <f t="shared" si="25"/>
        <v>0</v>
      </c>
      <c r="CI93" s="39">
        <f t="shared" si="25"/>
        <v>0</v>
      </c>
      <c r="CJ93" s="39">
        <f t="shared" si="25"/>
        <v>0</v>
      </c>
      <c r="CK93" s="39">
        <f t="shared" si="25"/>
        <v>2</v>
      </c>
      <c r="CL93" s="39">
        <f t="shared" si="25"/>
        <v>0</v>
      </c>
      <c r="CM93" s="39">
        <f t="shared" si="25"/>
        <v>1.1200000000000001</v>
      </c>
      <c r="CN93" s="39">
        <f t="shared" si="25"/>
        <v>16.32</v>
      </c>
      <c r="CO93" s="39">
        <f t="shared" si="25"/>
        <v>4.6399999999999997</v>
      </c>
      <c r="CP93" s="39">
        <f t="shared" si="25"/>
        <v>0.8</v>
      </c>
      <c r="CQ93" s="39">
        <f t="shared" si="25"/>
        <v>0</v>
      </c>
      <c r="CR93" s="39">
        <f t="shared" si="25"/>
        <v>0</v>
      </c>
      <c r="CS93" s="39">
        <f t="shared" si="25"/>
        <v>0</v>
      </c>
      <c r="CT93" s="39">
        <f t="shared" si="25"/>
        <v>0</v>
      </c>
      <c r="CU93" s="39">
        <f t="shared" si="25"/>
        <v>0</v>
      </c>
      <c r="CV93" s="39">
        <f t="shared" si="25"/>
        <v>0</v>
      </c>
      <c r="CW93" s="39">
        <f t="shared" si="25"/>
        <v>0</v>
      </c>
      <c r="CX93" s="39">
        <f t="shared" si="25"/>
        <v>0</v>
      </c>
      <c r="CY93" s="39">
        <f t="shared" si="25"/>
        <v>0</v>
      </c>
      <c r="CZ93" s="39">
        <f t="shared" si="25"/>
        <v>0.16</v>
      </c>
      <c r="DA93" s="39">
        <f t="shared" si="25"/>
        <v>0</v>
      </c>
      <c r="DB93" s="39">
        <f t="shared" si="25"/>
        <v>0</v>
      </c>
      <c r="DC93" s="39">
        <f t="shared" si="25"/>
        <v>0</v>
      </c>
      <c r="DD93" s="39">
        <f t="shared" si="25"/>
        <v>0</v>
      </c>
      <c r="DE93" s="39">
        <f t="shared" si="25"/>
        <v>0</v>
      </c>
      <c r="DF93" s="39">
        <f t="shared" si="25"/>
        <v>3.76</v>
      </c>
      <c r="DG93" s="39">
        <f t="shared" si="25"/>
        <v>0</v>
      </c>
      <c r="DH93" s="39">
        <f t="shared" si="25"/>
        <v>0</v>
      </c>
      <c r="DI93" s="39">
        <f t="shared" si="25"/>
        <v>0.08</v>
      </c>
      <c r="DJ93" s="39">
        <f t="shared" si="25"/>
        <v>0</v>
      </c>
      <c r="DK93" s="39">
        <f t="shared" si="25"/>
        <v>0</v>
      </c>
      <c r="DL93" s="39">
        <f t="shared" si="25"/>
        <v>0.08</v>
      </c>
      <c r="DM93" s="39">
        <f t="shared" si="25"/>
        <v>0</v>
      </c>
      <c r="DN93" s="39">
        <f t="shared" si="25"/>
        <v>0</v>
      </c>
      <c r="DO93" s="39">
        <f t="shared" si="25"/>
        <v>0</v>
      </c>
      <c r="DP93" s="39">
        <f t="shared" si="25"/>
        <v>0</v>
      </c>
      <c r="DQ93" s="39">
        <f t="shared" si="25"/>
        <v>0</v>
      </c>
      <c r="DR93" s="39">
        <f t="shared" si="25"/>
        <v>0.08</v>
      </c>
      <c r="DS93" s="39">
        <f t="shared" si="25"/>
        <v>0</v>
      </c>
      <c r="DT93" s="39">
        <f t="shared" si="25"/>
        <v>0</v>
      </c>
      <c r="DU93" s="39">
        <f t="shared" si="25"/>
        <v>0</v>
      </c>
      <c r="DV93" s="39">
        <f t="shared" si="25"/>
        <v>0</v>
      </c>
      <c r="DW93" s="39">
        <f t="shared" si="25"/>
        <v>0</v>
      </c>
      <c r="DX93" s="39">
        <f t="shared" si="25"/>
        <v>0</v>
      </c>
      <c r="DY93" s="39">
        <f t="shared" si="25"/>
        <v>0</v>
      </c>
      <c r="DZ93" s="39">
        <f t="shared" si="25"/>
        <v>0</v>
      </c>
      <c r="EA93" s="39">
        <f t="shared" si="25"/>
        <v>0</v>
      </c>
      <c r="EB93" s="39">
        <f t="shared" si="25"/>
        <v>0</v>
      </c>
      <c r="EC93" s="39">
        <f t="shared" si="25"/>
        <v>0</v>
      </c>
      <c r="ED93" s="39">
        <f t="shared" si="25"/>
        <v>0</v>
      </c>
      <c r="EE93" s="39">
        <f t="shared" si="25"/>
        <v>0</v>
      </c>
      <c r="EF93" s="39">
        <f t="shared" si="25"/>
        <v>0</v>
      </c>
      <c r="EG93" s="39">
        <f t="shared" si="25"/>
        <v>0</v>
      </c>
      <c r="EH93" s="39">
        <f t="shared" si="25"/>
        <v>0</v>
      </c>
      <c r="EI93" s="39">
        <f t="shared" si="25"/>
        <v>0</v>
      </c>
      <c r="EJ93" s="39">
        <f t="shared" si="25"/>
        <v>0</v>
      </c>
      <c r="EK93" s="39">
        <f t="shared" si="25"/>
        <v>0</v>
      </c>
      <c r="EL93" s="39">
        <f t="shared" si="25"/>
        <v>0</v>
      </c>
      <c r="EM93" s="39">
        <f t="shared" si="25"/>
        <v>0</v>
      </c>
      <c r="EN93" s="39">
        <f t="shared" si="25"/>
        <v>0</v>
      </c>
      <c r="EO93" s="39">
        <f t="shared" si="25"/>
        <v>0</v>
      </c>
      <c r="EP93" s="39">
        <f t="shared" si="25"/>
        <v>0</v>
      </c>
      <c r="EQ93" s="39">
        <f t="shared" si="25"/>
        <v>0.16</v>
      </c>
      <c r="ER93" s="39">
        <f t="shared" si="25"/>
        <v>0</v>
      </c>
      <c r="ES93" s="39">
        <f t="shared" si="25"/>
        <v>1.52</v>
      </c>
      <c r="ET93" s="39">
        <f t="shared" si="25"/>
        <v>0</v>
      </c>
      <c r="EU93" s="39">
        <f t="shared" si="25"/>
        <v>0</v>
      </c>
      <c r="EV93" s="39">
        <f t="shared" si="25"/>
        <v>0</v>
      </c>
      <c r="EW93" s="39">
        <f t="shared" si="25"/>
        <v>0</v>
      </c>
      <c r="EX93" s="39">
        <f t="shared" si="25"/>
        <v>0</v>
      </c>
      <c r="EY93" s="39">
        <f t="shared" si="25"/>
        <v>0</v>
      </c>
      <c r="EZ93" s="39">
        <f t="shared" si="25"/>
        <v>0</v>
      </c>
      <c r="FA93" s="39">
        <f t="shared" si="25"/>
        <v>0</v>
      </c>
      <c r="FB93" s="39">
        <f t="shared" si="25"/>
        <v>0</v>
      </c>
      <c r="FC93" s="39">
        <f t="shared" si="25"/>
        <v>0.88</v>
      </c>
      <c r="FD93" s="39">
        <f t="shared" si="25"/>
        <v>0</v>
      </c>
      <c r="FE93" s="39">
        <f t="shared" si="25"/>
        <v>0</v>
      </c>
      <c r="FF93" s="39">
        <f t="shared" si="25"/>
        <v>0</v>
      </c>
      <c r="FG93" s="39">
        <f t="shared" si="25"/>
        <v>0</v>
      </c>
      <c r="FH93" s="39">
        <f t="shared" si="25"/>
        <v>0</v>
      </c>
      <c r="FI93" s="39">
        <f t="shared" si="25"/>
        <v>0</v>
      </c>
      <c r="FJ93" s="39">
        <f t="shared" si="25"/>
        <v>0</v>
      </c>
      <c r="FK93" s="39">
        <f t="shared" si="25"/>
        <v>0</v>
      </c>
      <c r="FL93" s="39">
        <f t="shared" si="25"/>
        <v>0.96</v>
      </c>
      <c r="FM93" s="39">
        <f t="shared" si="25"/>
        <v>0</v>
      </c>
      <c r="FN93" s="39">
        <f t="shared" si="25"/>
        <v>1.84</v>
      </c>
      <c r="FO93" s="39">
        <f t="shared" si="25"/>
        <v>0.16</v>
      </c>
      <c r="FP93" s="39">
        <f t="shared" si="25"/>
        <v>0</v>
      </c>
      <c r="FQ93" s="39">
        <f t="shared" si="25"/>
        <v>0</v>
      </c>
      <c r="FR93" s="39">
        <f t="shared" si="25"/>
        <v>0</v>
      </c>
      <c r="FS93" s="39">
        <f t="shared" si="25"/>
        <v>0</v>
      </c>
      <c r="FT93" s="39" t="e">
        <f t="shared" ca="1" si="25"/>
        <v>#NAME?</v>
      </c>
      <c r="FU93" s="39">
        <f t="shared" si="25"/>
        <v>0</v>
      </c>
      <c r="FV93" s="39">
        <f t="shared" si="25"/>
        <v>0</v>
      </c>
      <c r="FW93" s="39">
        <f t="shared" si="25"/>
        <v>0</v>
      </c>
      <c r="FX93" s="39">
        <f t="shared" si="25"/>
        <v>0</v>
      </c>
      <c r="FY93" s="7"/>
      <c r="FZ93" s="7" t="e">
        <f ca="1">SUM(C93:FX93)</f>
        <v>#NAME?</v>
      </c>
      <c r="GA93" s="26"/>
      <c r="GB93" s="25"/>
      <c r="GC93" s="25"/>
      <c r="GD93" s="7"/>
      <c r="GE93" s="7"/>
      <c r="GF93" s="23"/>
      <c r="GG93" s="23"/>
      <c r="GH93" s="23"/>
      <c r="GI93" s="23"/>
      <c r="GJ93" s="23"/>
      <c r="GK93" s="23"/>
      <c r="GL93" s="23"/>
      <c r="GM93" s="23"/>
    </row>
    <row r="94" spans="1:195" ht="15.5" x14ac:dyDescent="0.35">
      <c r="A94" s="12" t="s">
        <v>551</v>
      </c>
      <c r="B94" s="7" t="s">
        <v>814</v>
      </c>
      <c r="C94" s="26">
        <f t="shared" ref="C94:FX94" si="26">C30+C36</f>
        <v>0</v>
      </c>
      <c r="D94" s="26">
        <f t="shared" si="26"/>
        <v>4672.8999999999996</v>
      </c>
      <c r="E94" s="26">
        <f t="shared" si="26"/>
        <v>662.7</v>
      </c>
      <c r="F94" s="26">
        <f t="shared" si="26"/>
        <v>933.3</v>
      </c>
      <c r="G94" s="26">
        <f t="shared" si="26"/>
        <v>0</v>
      </c>
      <c r="H94" s="26">
        <f t="shared" si="26"/>
        <v>0</v>
      </c>
      <c r="I94" s="26">
        <f t="shared" si="26"/>
        <v>750.2</v>
      </c>
      <c r="J94" s="26">
        <f t="shared" si="26"/>
        <v>0</v>
      </c>
      <c r="K94" s="26">
        <f t="shared" si="26"/>
        <v>0</v>
      </c>
      <c r="L94" s="26">
        <f t="shared" si="26"/>
        <v>0</v>
      </c>
      <c r="M94" s="26">
        <f t="shared" si="26"/>
        <v>0</v>
      </c>
      <c r="N94" s="26">
        <f t="shared" si="26"/>
        <v>90</v>
      </c>
      <c r="O94" s="26">
        <f t="shared" si="26"/>
        <v>0</v>
      </c>
      <c r="P94" s="26">
        <f t="shared" si="26"/>
        <v>0</v>
      </c>
      <c r="Q94" s="26">
        <f t="shared" si="26"/>
        <v>1961.3</v>
      </c>
      <c r="R94" s="26">
        <f t="shared" si="26"/>
        <v>0</v>
      </c>
      <c r="S94" s="26">
        <f t="shared" si="26"/>
        <v>0</v>
      </c>
      <c r="T94" s="26">
        <f t="shared" si="26"/>
        <v>0</v>
      </c>
      <c r="U94" s="26">
        <f t="shared" si="26"/>
        <v>0</v>
      </c>
      <c r="V94" s="26">
        <f t="shared" si="26"/>
        <v>0</v>
      </c>
      <c r="W94" s="26">
        <f t="shared" si="26"/>
        <v>0</v>
      </c>
      <c r="X94" s="26">
        <f t="shared" si="26"/>
        <v>0</v>
      </c>
      <c r="Y94" s="26">
        <f t="shared" si="26"/>
        <v>0</v>
      </c>
      <c r="Z94" s="26">
        <f t="shared" si="26"/>
        <v>0</v>
      </c>
      <c r="AA94" s="26">
        <f t="shared" si="26"/>
        <v>0</v>
      </c>
      <c r="AB94" s="26">
        <f t="shared" si="26"/>
        <v>0</v>
      </c>
      <c r="AC94" s="26">
        <f t="shared" si="26"/>
        <v>0</v>
      </c>
      <c r="AD94" s="26">
        <f t="shared" si="26"/>
        <v>154</v>
      </c>
      <c r="AE94" s="26">
        <f t="shared" si="26"/>
        <v>0</v>
      </c>
      <c r="AF94" s="26">
        <f t="shared" si="26"/>
        <v>0</v>
      </c>
      <c r="AG94" s="26">
        <f t="shared" si="26"/>
        <v>0</v>
      </c>
      <c r="AH94" s="26">
        <f t="shared" si="26"/>
        <v>0</v>
      </c>
      <c r="AI94" s="26">
        <f t="shared" si="26"/>
        <v>0</v>
      </c>
      <c r="AJ94" s="26">
        <f t="shared" si="26"/>
        <v>0</v>
      </c>
      <c r="AK94" s="26">
        <f t="shared" si="26"/>
        <v>0</v>
      </c>
      <c r="AL94" s="26">
        <f t="shared" si="26"/>
        <v>0</v>
      </c>
      <c r="AM94" s="26">
        <f t="shared" si="26"/>
        <v>0</v>
      </c>
      <c r="AN94" s="26">
        <f t="shared" si="26"/>
        <v>0</v>
      </c>
      <c r="AO94" s="26">
        <f t="shared" si="26"/>
        <v>0</v>
      </c>
      <c r="AP94" s="26">
        <f t="shared" si="26"/>
        <v>0</v>
      </c>
      <c r="AQ94" s="26">
        <f t="shared" si="26"/>
        <v>0</v>
      </c>
      <c r="AR94" s="26">
        <f t="shared" si="26"/>
        <v>2007.3</v>
      </c>
      <c r="AS94" s="26">
        <f t="shared" si="26"/>
        <v>300.3</v>
      </c>
      <c r="AT94" s="26">
        <f t="shared" si="26"/>
        <v>0</v>
      </c>
      <c r="AU94" s="26">
        <f t="shared" si="26"/>
        <v>0</v>
      </c>
      <c r="AV94" s="26">
        <f t="shared" si="26"/>
        <v>0</v>
      </c>
      <c r="AW94" s="26">
        <f t="shared" si="26"/>
        <v>0</v>
      </c>
      <c r="AX94" s="26">
        <f t="shared" si="26"/>
        <v>0</v>
      </c>
      <c r="AY94" s="26">
        <f t="shared" si="26"/>
        <v>0</v>
      </c>
      <c r="AZ94" s="26">
        <f t="shared" si="26"/>
        <v>0</v>
      </c>
      <c r="BA94" s="26">
        <f t="shared" si="26"/>
        <v>0</v>
      </c>
      <c r="BB94" s="26">
        <f t="shared" si="26"/>
        <v>0</v>
      </c>
      <c r="BC94" s="26">
        <f t="shared" si="26"/>
        <v>2965.1</v>
      </c>
      <c r="BD94" s="26">
        <f t="shared" si="26"/>
        <v>0</v>
      </c>
      <c r="BE94" s="26">
        <f t="shared" si="26"/>
        <v>0</v>
      </c>
      <c r="BF94" s="26">
        <f t="shared" si="26"/>
        <v>0</v>
      </c>
      <c r="BG94" s="26">
        <f t="shared" si="26"/>
        <v>0</v>
      </c>
      <c r="BH94" s="26">
        <f t="shared" si="26"/>
        <v>0</v>
      </c>
      <c r="BI94" s="26">
        <f t="shared" si="26"/>
        <v>0</v>
      </c>
      <c r="BJ94" s="26">
        <f t="shared" si="26"/>
        <v>0</v>
      </c>
      <c r="BK94" s="26">
        <f t="shared" si="26"/>
        <v>0</v>
      </c>
      <c r="BL94" s="26">
        <f t="shared" si="26"/>
        <v>0</v>
      </c>
      <c r="BM94" s="26">
        <f t="shared" si="26"/>
        <v>0</v>
      </c>
      <c r="BN94" s="26">
        <f t="shared" si="26"/>
        <v>0</v>
      </c>
      <c r="BO94" s="26">
        <f t="shared" si="26"/>
        <v>0</v>
      </c>
      <c r="BP94" s="26">
        <f t="shared" si="26"/>
        <v>0</v>
      </c>
      <c r="BQ94" s="26">
        <f t="shared" si="26"/>
        <v>252.6</v>
      </c>
      <c r="BR94" s="26">
        <f t="shared" si="26"/>
        <v>0</v>
      </c>
      <c r="BS94" s="26">
        <f t="shared" si="26"/>
        <v>0</v>
      </c>
      <c r="BT94" s="26">
        <f t="shared" si="26"/>
        <v>0</v>
      </c>
      <c r="BU94" s="26">
        <f t="shared" si="26"/>
        <v>0</v>
      </c>
      <c r="BV94" s="26">
        <f t="shared" si="26"/>
        <v>0</v>
      </c>
      <c r="BW94" s="26">
        <f t="shared" si="26"/>
        <v>0</v>
      </c>
      <c r="BX94" s="26">
        <f t="shared" si="26"/>
        <v>0</v>
      </c>
      <c r="BY94" s="26">
        <f t="shared" si="26"/>
        <v>0</v>
      </c>
      <c r="BZ94" s="26">
        <f t="shared" si="26"/>
        <v>0</v>
      </c>
      <c r="CA94" s="26">
        <f t="shared" si="26"/>
        <v>0</v>
      </c>
      <c r="CB94" s="26">
        <f t="shared" si="26"/>
        <v>834.8</v>
      </c>
      <c r="CC94" s="26">
        <f t="shared" si="26"/>
        <v>0</v>
      </c>
      <c r="CD94" s="26">
        <f t="shared" si="26"/>
        <v>0</v>
      </c>
      <c r="CE94" s="26">
        <f t="shared" si="26"/>
        <v>0</v>
      </c>
      <c r="CF94" s="26">
        <f t="shared" si="26"/>
        <v>0</v>
      </c>
      <c r="CG94" s="26">
        <f t="shared" si="26"/>
        <v>0</v>
      </c>
      <c r="CH94" s="26">
        <f t="shared" si="26"/>
        <v>0</v>
      </c>
      <c r="CI94" s="26">
        <f t="shared" si="26"/>
        <v>0</v>
      </c>
      <c r="CJ94" s="26">
        <f t="shared" si="26"/>
        <v>0</v>
      </c>
      <c r="CK94" s="26">
        <f t="shared" si="26"/>
        <v>582.20000000000005</v>
      </c>
      <c r="CL94" s="26">
        <f t="shared" si="26"/>
        <v>0</v>
      </c>
      <c r="CM94" s="26">
        <f t="shared" si="26"/>
        <v>0</v>
      </c>
      <c r="CN94" s="26">
        <f t="shared" si="26"/>
        <v>2355</v>
      </c>
      <c r="CO94" s="26">
        <f t="shared" si="26"/>
        <v>0</v>
      </c>
      <c r="CP94" s="26">
        <f t="shared" si="26"/>
        <v>0</v>
      </c>
      <c r="CQ94" s="26">
        <f t="shared" si="26"/>
        <v>0</v>
      </c>
      <c r="CR94" s="26">
        <f t="shared" si="26"/>
        <v>0</v>
      </c>
      <c r="CS94" s="26">
        <f t="shared" si="26"/>
        <v>0</v>
      </c>
      <c r="CT94" s="26">
        <f t="shared" si="26"/>
        <v>0</v>
      </c>
      <c r="CU94" s="26">
        <f t="shared" si="26"/>
        <v>0</v>
      </c>
      <c r="CV94" s="26">
        <f t="shared" si="26"/>
        <v>0</v>
      </c>
      <c r="CW94" s="26">
        <f t="shared" si="26"/>
        <v>0</v>
      </c>
      <c r="CX94" s="26">
        <f t="shared" si="26"/>
        <v>0</v>
      </c>
      <c r="CY94" s="26">
        <f t="shared" si="26"/>
        <v>0</v>
      </c>
      <c r="CZ94" s="26">
        <f t="shared" si="26"/>
        <v>0</v>
      </c>
      <c r="DA94" s="26">
        <f t="shared" si="26"/>
        <v>0</v>
      </c>
      <c r="DB94" s="26">
        <f t="shared" si="26"/>
        <v>0</v>
      </c>
      <c r="DC94" s="26">
        <f t="shared" si="26"/>
        <v>0</v>
      </c>
      <c r="DD94" s="26">
        <f t="shared" si="26"/>
        <v>0</v>
      </c>
      <c r="DE94" s="26">
        <f t="shared" si="26"/>
        <v>0</v>
      </c>
      <c r="DF94" s="26">
        <f t="shared" si="26"/>
        <v>1383</v>
      </c>
      <c r="DG94" s="26">
        <f t="shared" si="26"/>
        <v>0</v>
      </c>
      <c r="DH94" s="26">
        <f t="shared" si="26"/>
        <v>0</v>
      </c>
      <c r="DI94" s="26">
        <f t="shared" si="26"/>
        <v>79.2</v>
      </c>
      <c r="DJ94" s="26">
        <f t="shared" si="26"/>
        <v>0</v>
      </c>
      <c r="DK94" s="26">
        <f t="shared" si="26"/>
        <v>0</v>
      </c>
      <c r="DL94" s="26">
        <f t="shared" si="26"/>
        <v>0</v>
      </c>
      <c r="DM94" s="26">
        <f t="shared" si="26"/>
        <v>0</v>
      </c>
      <c r="DN94" s="26">
        <f t="shared" si="26"/>
        <v>0</v>
      </c>
      <c r="DO94" s="26">
        <f t="shared" si="26"/>
        <v>0</v>
      </c>
      <c r="DP94" s="26">
        <f t="shared" si="26"/>
        <v>0</v>
      </c>
      <c r="DQ94" s="26">
        <f t="shared" si="26"/>
        <v>0</v>
      </c>
      <c r="DR94" s="26">
        <f t="shared" si="26"/>
        <v>0</v>
      </c>
      <c r="DS94" s="26">
        <f t="shared" si="26"/>
        <v>0</v>
      </c>
      <c r="DT94" s="26">
        <f t="shared" si="26"/>
        <v>0</v>
      </c>
      <c r="DU94" s="26">
        <f t="shared" si="26"/>
        <v>0</v>
      </c>
      <c r="DV94" s="26">
        <f t="shared" si="26"/>
        <v>0</v>
      </c>
      <c r="DW94" s="26">
        <f t="shared" si="26"/>
        <v>0</v>
      </c>
      <c r="DX94" s="26">
        <f t="shared" si="26"/>
        <v>0</v>
      </c>
      <c r="DY94" s="26">
        <f t="shared" si="26"/>
        <v>0</v>
      </c>
      <c r="DZ94" s="26">
        <f t="shared" si="26"/>
        <v>0</v>
      </c>
      <c r="EA94" s="26">
        <f t="shared" si="26"/>
        <v>20</v>
      </c>
      <c r="EB94" s="26">
        <f t="shared" si="26"/>
        <v>0</v>
      </c>
      <c r="EC94" s="26">
        <f t="shared" si="26"/>
        <v>0</v>
      </c>
      <c r="ED94" s="26">
        <f t="shared" si="26"/>
        <v>0</v>
      </c>
      <c r="EE94" s="26">
        <f t="shared" si="26"/>
        <v>0</v>
      </c>
      <c r="EF94" s="26">
        <f t="shared" si="26"/>
        <v>0</v>
      </c>
      <c r="EG94" s="26">
        <f t="shared" si="26"/>
        <v>0</v>
      </c>
      <c r="EH94" s="26">
        <f t="shared" si="26"/>
        <v>0</v>
      </c>
      <c r="EI94" s="26">
        <f t="shared" si="26"/>
        <v>0</v>
      </c>
      <c r="EJ94" s="26">
        <f t="shared" si="26"/>
        <v>0</v>
      </c>
      <c r="EK94" s="26">
        <f t="shared" si="26"/>
        <v>0</v>
      </c>
      <c r="EL94" s="26">
        <f t="shared" si="26"/>
        <v>0</v>
      </c>
      <c r="EM94" s="26">
        <f t="shared" si="26"/>
        <v>0</v>
      </c>
      <c r="EN94" s="26">
        <f t="shared" si="26"/>
        <v>0</v>
      </c>
      <c r="EO94" s="26">
        <f t="shared" si="26"/>
        <v>0</v>
      </c>
      <c r="EP94" s="26">
        <f t="shared" si="26"/>
        <v>0</v>
      </c>
      <c r="EQ94" s="26">
        <f t="shared" si="26"/>
        <v>103</v>
      </c>
      <c r="ER94" s="26">
        <f t="shared" si="26"/>
        <v>0</v>
      </c>
      <c r="ES94" s="26">
        <f t="shared" si="26"/>
        <v>0</v>
      </c>
      <c r="ET94" s="26">
        <f t="shared" si="26"/>
        <v>0</v>
      </c>
      <c r="EU94" s="26">
        <f t="shared" si="26"/>
        <v>0</v>
      </c>
      <c r="EV94" s="26">
        <f t="shared" si="26"/>
        <v>0</v>
      </c>
      <c r="EW94" s="26">
        <f t="shared" si="26"/>
        <v>0</v>
      </c>
      <c r="EX94" s="26">
        <f t="shared" si="26"/>
        <v>0</v>
      </c>
      <c r="EY94" s="26">
        <f t="shared" si="26"/>
        <v>0</v>
      </c>
      <c r="EZ94" s="26">
        <f t="shared" si="26"/>
        <v>0</v>
      </c>
      <c r="FA94" s="26">
        <f t="shared" si="26"/>
        <v>0</v>
      </c>
      <c r="FB94" s="26">
        <f t="shared" si="26"/>
        <v>0</v>
      </c>
      <c r="FC94" s="26">
        <f t="shared" si="26"/>
        <v>0</v>
      </c>
      <c r="FD94" s="26">
        <f t="shared" si="26"/>
        <v>0</v>
      </c>
      <c r="FE94" s="26">
        <f t="shared" si="26"/>
        <v>0</v>
      </c>
      <c r="FF94" s="26">
        <f t="shared" si="26"/>
        <v>0</v>
      </c>
      <c r="FG94" s="26">
        <f t="shared" si="26"/>
        <v>0</v>
      </c>
      <c r="FH94" s="26">
        <f t="shared" si="26"/>
        <v>0</v>
      </c>
      <c r="FI94" s="26">
        <f t="shared" si="26"/>
        <v>0</v>
      </c>
      <c r="FJ94" s="26">
        <f t="shared" si="26"/>
        <v>0</v>
      </c>
      <c r="FK94" s="26">
        <f t="shared" si="26"/>
        <v>0</v>
      </c>
      <c r="FL94" s="26">
        <f t="shared" si="26"/>
        <v>0</v>
      </c>
      <c r="FM94" s="26">
        <f t="shared" si="26"/>
        <v>0</v>
      </c>
      <c r="FN94" s="26">
        <f t="shared" si="26"/>
        <v>0</v>
      </c>
      <c r="FO94" s="26">
        <f t="shared" si="26"/>
        <v>0</v>
      </c>
      <c r="FP94" s="26">
        <f t="shared" si="26"/>
        <v>0</v>
      </c>
      <c r="FQ94" s="26">
        <f t="shared" si="26"/>
        <v>0</v>
      </c>
      <c r="FR94" s="26">
        <f t="shared" si="26"/>
        <v>0</v>
      </c>
      <c r="FS94" s="26">
        <f t="shared" si="26"/>
        <v>0</v>
      </c>
      <c r="FT94" s="26">
        <f t="shared" si="26"/>
        <v>0</v>
      </c>
      <c r="FU94" s="26">
        <f t="shared" si="26"/>
        <v>0</v>
      </c>
      <c r="FV94" s="26">
        <f t="shared" si="26"/>
        <v>0</v>
      </c>
      <c r="FW94" s="26">
        <f t="shared" si="26"/>
        <v>0</v>
      </c>
      <c r="FX94" s="26">
        <f t="shared" si="26"/>
        <v>0</v>
      </c>
      <c r="FY94" s="26"/>
      <c r="FZ94" s="26">
        <f t="shared" ref="FZ94:FZ95" si="27">SUM(C94:FY94)</f>
        <v>20106.899999999998</v>
      </c>
      <c r="GA94" s="25"/>
      <c r="GB94" s="25"/>
      <c r="GC94" s="25"/>
      <c r="GD94" s="25"/>
      <c r="GE94" s="7"/>
      <c r="GF94" s="23"/>
      <c r="GG94" s="23"/>
      <c r="GH94" s="23"/>
      <c r="GI94" s="23"/>
      <c r="GJ94" s="23"/>
      <c r="GK94" s="23"/>
      <c r="GL94" s="23"/>
      <c r="GM94" s="23"/>
    </row>
    <row r="95" spans="1:195" ht="15.5" x14ac:dyDescent="0.35">
      <c r="A95" s="12" t="s">
        <v>553</v>
      </c>
      <c r="B95" s="7" t="s">
        <v>815</v>
      </c>
      <c r="C95" s="26">
        <f t="shared" ref="C95:FX95" si="28">ROUND(C32*2*$A$83,2)</f>
        <v>0</v>
      </c>
      <c r="D95" s="26">
        <f t="shared" si="28"/>
        <v>0</v>
      </c>
      <c r="E95" s="26">
        <f t="shared" si="28"/>
        <v>0</v>
      </c>
      <c r="F95" s="26">
        <f t="shared" si="28"/>
        <v>0</v>
      </c>
      <c r="G95" s="26">
        <f t="shared" si="28"/>
        <v>0</v>
      </c>
      <c r="H95" s="26">
        <f t="shared" si="28"/>
        <v>0</v>
      </c>
      <c r="I95" s="26">
        <f t="shared" si="28"/>
        <v>0</v>
      </c>
      <c r="J95" s="26">
        <f t="shared" si="28"/>
        <v>0</v>
      </c>
      <c r="K95" s="26">
        <f t="shared" si="28"/>
        <v>0</v>
      </c>
      <c r="L95" s="26">
        <f t="shared" si="28"/>
        <v>0</v>
      </c>
      <c r="M95" s="26">
        <f t="shared" si="28"/>
        <v>0</v>
      </c>
      <c r="N95" s="26">
        <f t="shared" si="28"/>
        <v>0</v>
      </c>
      <c r="O95" s="26">
        <f t="shared" si="28"/>
        <v>0</v>
      </c>
      <c r="P95" s="26">
        <f t="shared" si="28"/>
        <v>0</v>
      </c>
      <c r="Q95" s="26">
        <f t="shared" si="28"/>
        <v>0</v>
      </c>
      <c r="R95" s="26">
        <f t="shared" si="28"/>
        <v>0</v>
      </c>
      <c r="S95" s="26">
        <f t="shared" si="28"/>
        <v>0</v>
      </c>
      <c r="T95" s="26">
        <f t="shared" si="28"/>
        <v>0</v>
      </c>
      <c r="U95" s="26">
        <f t="shared" si="28"/>
        <v>0</v>
      </c>
      <c r="V95" s="26">
        <f t="shared" si="28"/>
        <v>0</v>
      </c>
      <c r="W95" s="26">
        <f t="shared" si="28"/>
        <v>0</v>
      </c>
      <c r="X95" s="26">
        <f t="shared" si="28"/>
        <v>0</v>
      </c>
      <c r="Y95" s="26">
        <f t="shared" si="28"/>
        <v>0</v>
      </c>
      <c r="Z95" s="26">
        <f t="shared" si="28"/>
        <v>0</v>
      </c>
      <c r="AA95" s="26">
        <f t="shared" si="28"/>
        <v>0</v>
      </c>
      <c r="AB95" s="26">
        <f t="shared" si="28"/>
        <v>0</v>
      </c>
      <c r="AC95" s="26">
        <f t="shared" si="28"/>
        <v>0</v>
      </c>
      <c r="AD95" s="26">
        <f t="shared" si="28"/>
        <v>0</v>
      </c>
      <c r="AE95" s="26">
        <f t="shared" si="28"/>
        <v>0</v>
      </c>
      <c r="AF95" s="26">
        <f t="shared" si="28"/>
        <v>0</v>
      </c>
      <c r="AG95" s="26">
        <f t="shared" si="28"/>
        <v>0</v>
      </c>
      <c r="AH95" s="26">
        <f t="shared" si="28"/>
        <v>0</v>
      </c>
      <c r="AI95" s="26">
        <f t="shared" si="28"/>
        <v>0</v>
      </c>
      <c r="AJ95" s="26">
        <f t="shared" si="28"/>
        <v>0</v>
      </c>
      <c r="AK95" s="26">
        <f t="shared" si="28"/>
        <v>0</v>
      </c>
      <c r="AL95" s="26">
        <f t="shared" si="28"/>
        <v>0</v>
      </c>
      <c r="AM95" s="26">
        <f t="shared" si="28"/>
        <v>0</v>
      </c>
      <c r="AN95" s="26">
        <f t="shared" si="28"/>
        <v>0</v>
      </c>
      <c r="AO95" s="26">
        <f t="shared" si="28"/>
        <v>0</v>
      </c>
      <c r="AP95" s="26">
        <f t="shared" si="28"/>
        <v>0</v>
      </c>
      <c r="AQ95" s="26">
        <f t="shared" si="28"/>
        <v>0</v>
      </c>
      <c r="AR95" s="26">
        <f t="shared" si="28"/>
        <v>0</v>
      </c>
      <c r="AS95" s="26">
        <f t="shared" si="28"/>
        <v>0</v>
      </c>
      <c r="AT95" s="26">
        <f t="shared" si="28"/>
        <v>0</v>
      </c>
      <c r="AU95" s="26">
        <f t="shared" si="28"/>
        <v>0</v>
      </c>
      <c r="AV95" s="26">
        <f t="shared" si="28"/>
        <v>0</v>
      </c>
      <c r="AW95" s="26">
        <f t="shared" si="28"/>
        <v>0</v>
      </c>
      <c r="AX95" s="26">
        <f t="shared" si="28"/>
        <v>0</v>
      </c>
      <c r="AY95" s="26">
        <f t="shared" si="28"/>
        <v>0</v>
      </c>
      <c r="AZ95" s="26">
        <f t="shared" si="28"/>
        <v>0</v>
      </c>
      <c r="BA95" s="26">
        <f t="shared" si="28"/>
        <v>0</v>
      </c>
      <c r="BB95" s="26">
        <f t="shared" si="28"/>
        <v>0</v>
      </c>
      <c r="BC95" s="26">
        <f t="shared" si="28"/>
        <v>0</v>
      </c>
      <c r="BD95" s="26">
        <f t="shared" si="28"/>
        <v>0</v>
      </c>
      <c r="BE95" s="26">
        <f t="shared" si="28"/>
        <v>0</v>
      </c>
      <c r="BF95" s="26">
        <f t="shared" si="28"/>
        <v>0</v>
      </c>
      <c r="BG95" s="26">
        <f t="shared" si="28"/>
        <v>0</v>
      </c>
      <c r="BH95" s="26">
        <f t="shared" si="28"/>
        <v>0</v>
      </c>
      <c r="BI95" s="26">
        <f t="shared" si="28"/>
        <v>0</v>
      </c>
      <c r="BJ95" s="26">
        <f t="shared" si="28"/>
        <v>0</v>
      </c>
      <c r="BK95" s="26">
        <f t="shared" si="28"/>
        <v>0</v>
      </c>
      <c r="BL95" s="26">
        <f t="shared" si="28"/>
        <v>0</v>
      </c>
      <c r="BM95" s="26">
        <f t="shared" si="28"/>
        <v>0</v>
      </c>
      <c r="BN95" s="26">
        <f t="shared" si="28"/>
        <v>0</v>
      </c>
      <c r="BO95" s="26">
        <f t="shared" si="28"/>
        <v>0</v>
      </c>
      <c r="BP95" s="26">
        <f t="shared" si="28"/>
        <v>0</v>
      </c>
      <c r="BQ95" s="26">
        <f t="shared" si="28"/>
        <v>0</v>
      </c>
      <c r="BR95" s="26">
        <f t="shared" si="28"/>
        <v>0</v>
      </c>
      <c r="BS95" s="26">
        <f t="shared" si="28"/>
        <v>0</v>
      </c>
      <c r="BT95" s="26">
        <f t="shared" si="28"/>
        <v>0</v>
      </c>
      <c r="BU95" s="26">
        <f t="shared" si="28"/>
        <v>0</v>
      </c>
      <c r="BV95" s="26">
        <f t="shared" si="28"/>
        <v>0</v>
      </c>
      <c r="BW95" s="26">
        <f t="shared" si="28"/>
        <v>0</v>
      </c>
      <c r="BX95" s="26">
        <f t="shared" si="28"/>
        <v>0</v>
      </c>
      <c r="BY95" s="26">
        <f t="shared" si="28"/>
        <v>0</v>
      </c>
      <c r="BZ95" s="26">
        <f t="shared" si="28"/>
        <v>0</v>
      </c>
      <c r="CA95" s="26">
        <f t="shared" si="28"/>
        <v>0</v>
      </c>
      <c r="CB95" s="26">
        <f t="shared" si="28"/>
        <v>0</v>
      </c>
      <c r="CC95" s="26">
        <f t="shared" si="28"/>
        <v>0</v>
      </c>
      <c r="CD95" s="26">
        <f t="shared" si="28"/>
        <v>0</v>
      </c>
      <c r="CE95" s="26">
        <f t="shared" si="28"/>
        <v>0</v>
      </c>
      <c r="CF95" s="26">
        <f t="shared" si="28"/>
        <v>0</v>
      </c>
      <c r="CG95" s="26">
        <f t="shared" si="28"/>
        <v>0</v>
      </c>
      <c r="CH95" s="26">
        <f t="shared" si="28"/>
        <v>0</v>
      </c>
      <c r="CI95" s="26">
        <f t="shared" si="28"/>
        <v>0</v>
      </c>
      <c r="CJ95" s="26">
        <f t="shared" si="28"/>
        <v>0</v>
      </c>
      <c r="CK95" s="26">
        <f t="shared" si="28"/>
        <v>0</v>
      </c>
      <c r="CL95" s="26">
        <f t="shared" si="28"/>
        <v>0</v>
      </c>
      <c r="CM95" s="26">
        <f t="shared" si="28"/>
        <v>0</v>
      </c>
      <c r="CN95" s="26">
        <f t="shared" si="28"/>
        <v>0</v>
      </c>
      <c r="CO95" s="26">
        <f t="shared" si="28"/>
        <v>0</v>
      </c>
      <c r="CP95" s="26">
        <f t="shared" si="28"/>
        <v>0</v>
      </c>
      <c r="CQ95" s="26">
        <f t="shared" si="28"/>
        <v>0</v>
      </c>
      <c r="CR95" s="26">
        <f t="shared" si="28"/>
        <v>0</v>
      </c>
      <c r="CS95" s="26">
        <f t="shared" si="28"/>
        <v>0</v>
      </c>
      <c r="CT95" s="26">
        <f t="shared" si="28"/>
        <v>0</v>
      </c>
      <c r="CU95" s="26">
        <f t="shared" si="28"/>
        <v>0</v>
      </c>
      <c r="CV95" s="26">
        <f t="shared" si="28"/>
        <v>0</v>
      </c>
      <c r="CW95" s="26">
        <f t="shared" si="28"/>
        <v>0</v>
      </c>
      <c r="CX95" s="26">
        <f t="shared" si="28"/>
        <v>0</v>
      </c>
      <c r="CY95" s="26">
        <f t="shared" si="28"/>
        <v>0</v>
      </c>
      <c r="CZ95" s="26">
        <f t="shared" si="28"/>
        <v>0</v>
      </c>
      <c r="DA95" s="26">
        <f t="shared" si="28"/>
        <v>0</v>
      </c>
      <c r="DB95" s="26">
        <f t="shared" si="28"/>
        <v>0</v>
      </c>
      <c r="DC95" s="26">
        <f t="shared" si="28"/>
        <v>0</v>
      </c>
      <c r="DD95" s="26">
        <f t="shared" si="28"/>
        <v>0</v>
      </c>
      <c r="DE95" s="26">
        <f t="shared" si="28"/>
        <v>0</v>
      </c>
      <c r="DF95" s="26">
        <f t="shared" si="28"/>
        <v>0</v>
      </c>
      <c r="DG95" s="26">
        <f t="shared" si="28"/>
        <v>0</v>
      </c>
      <c r="DH95" s="26">
        <f t="shared" si="28"/>
        <v>0</v>
      </c>
      <c r="DI95" s="26">
        <f t="shared" si="28"/>
        <v>0</v>
      </c>
      <c r="DJ95" s="26">
        <f t="shared" si="28"/>
        <v>0</v>
      </c>
      <c r="DK95" s="26">
        <f t="shared" si="28"/>
        <v>0</v>
      </c>
      <c r="DL95" s="26">
        <f t="shared" si="28"/>
        <v>0</v>
      </c>
      <c r="DM95" s="26">
        <f t="shared" si="28"/>
        <v>0</v>
      </c>
      <c r="DN95" s="26">
        <f t="shared" si="28"/>
        <v>0</v>
      </c>
      <c r="DO95" s="26">
        <f t="shared" si="28"/>
        <v>0</v>
      </c>
      <c r="DP95" s="26">
        <f t="shared" si="28"/>
        <v>0</v>
      </c>
      <c r="DQ95" s="26">
        <f t="shared" si="28"/>
        <v>0</v>
      </c>
      <c r="DR95" s="26">
        <f t="shared" si="28"/>
        <v>0</v>
      </c>
      <c r="DS95" s="26">
        <f t="shared" si="28"/>
        <v>0</v>
      </c>
      <c r="DT95" s="26">
        <f t="shared" si="28"/>
        <v>0</v>
      </c>
      <c r="DU95" s="26">
        <f t="shared" si="28"/>
        <v>0</v>
      </c>
      <c r="DV95" s="26">
        <f t="shared" si="28"/>
        <v>0</v>
      </c>
      <c r="DW95" s="26">
        <f t="shared" si="28"/>
        <v>0</v>
      </c>
      <c r="DX95" s="26">
        <f t="shared" si="28"/>
        <v>0</v>
      </c>
      <c r="DY95" s="26">
        <f t="shared" si="28"/>
        <v>0</v>
      </c>
      <c r="DZ95" s="26">
        <f t="shared" si="28"/>
        <v>0</v>
      </c>
      <c r="EA95" s="26">
        <f t="shared" si="28"/>
        <v>0</v>
      </c>
      <c r="EB95" s="26">
        <f t="shared" si="28"/>
        <v>0</v>
      </c>
      <c r="EC95" s="26">
        <f t="shared" si="28"/>
        <v>0</v>
      </c>
      <c r="ED95" s="26">
        <f t="shared" si="28"/>
        <v>0</v>
      </c>
      <c r="EE95" s="26">
        <f t="shared" si="28"/>
        <v>0</v>
      </c>
      <c r="EF95" s="26">
        <f t="shared" si="28"/>
        <v>0</v>
      </c>
      <c r="EG95" s="26">
        <f t="shared" si="28"/>
        <v>0</v>
      </c>
      <c r="EH95" s="26">
        <f t="shared" si="28"/>
        <v>0</v>
      </c>
      <c r="EI95" s="26">
        <f t="shared" si="28"/>
        <v>0</v>
      </c>
      <c r="EJ95" s="26">
        <f t="shared" si="28"/>
        <v>0</v>
      </c>
      <c r="EK95" s="26">
        <f t="shared" si="28"/>
        <v>0</v>
      </c>
      <c r="EL95" s="26">
        <f t="shared" si="28"/>
        <v>0</v>
      </c>
      <c r="EM95" s="26">
        <f t="shared" si="28"/>
        <v>0</v>
      </c>
      <c r="EN95" s="26">
        <f t="shared" si="28"/>
        <v>0</v>
      </c>
      <c r="EO95" s="26">
        <f t="shared" si="28"/>
        <v>0</v>
      </c>
      <c r="EP95" s="26">
        <f t="shared" si="28"/>
        <v>0</v>
      </c>
      <c r="EQ95" s="26">
        <f t="shared" si="28"/>
        <v>0</v>
      </c>
      <c r="ER95" s="26">
        <f t="shared" si="28"/>
        <v>0</v>
      </c>
      <c r="ES95" s="26">
        <f t="shared" si="28"/>
        <v>0</v>
      </c>
      <c r="ET95" s="26">
        <f t="shared" si="28"/>
        <v>0</v>
      </c>
      <c r="EU95" s="26">
        <f t="shared" si="28"/>
        <v>0</v>
      </c>
      <c r="EV95" s="26">
        <f t="shared" si="28"/>
        <v>0</v>
      </c>
      <c r="EW95" s="26">
        <f t="shared" si="28"/>
        <v>0</v>
      </c>
      <c r="EX95" s="26">
        <f t="shared" si="28"/>
        <v>0</v>
      </c>
      <c r="EY95" s="26">
        <f t="shared" si="28"/>
        <v>0</v>
      </c>
      <c r="EZ95" s="26">
        <f t="shared" si="28"/>
        <v>0</v>
      </c>
      <c r="FA95" s="26">
        <f t="shared" si="28"/>
        <v>0</v>
      </c>
      <c r="FB95" s="26">
        <f t="shared" si="28"/>
        <v>0</v>
      </c>
      <c r="FC95" s="26">
        <f t="shared" si="28"/>
        <v>0</v>
      </c>
      <c r="FD95" s="26">
        <f t="shared" si="28"/>
        <v>0</v>
      </c>
      <c r="FE95" s="26">
        <f t="shared" si="28"/>
        <v>0</v>
      </c>
      <c r="FF95" s="26">
        <f t="shared" si="28"/>
        <v>0</v>
      </c>
      <c r="FG95" s="26">
        <f t="shared" si="28"/>
        <v>0</v>
      </c>
      <c r="FH95" s="26">
        <f t="shared" si="28"/>
        <v>0</v>
      </c>
      <c r="FI95" s="26">
        <f t="shared" si="28"/>
        <v>0</v>
      </c>
      <c r="FJ95" s="26">
        <f t="shared" si="28"/>
        <v>0</v>
      </c>
      <c r="FK95" s="26">
        <f t="shared" si="28"/>
        <v>0</v>
      </c>
      <c r="FL95" s="26">
        <f t="shared" si="28"/>
        <v>0</v>
      </c>
      <c r="FM95" s="26">
        <f t="shared" si="28"/>
        <v>0</v>
      </c>
      <c r="FN95" s="26">
        <f t="shared" si="28"/>
        <v>0</v>
      </c>
      <c r="FO95" s="26">
        <f t="shared" si="28"/>
        <v>0</v>
      </c>
      <c r="FP95" s="26">
        <f t="shared" si="28"/>
        <v>0</v>
      </c>
      <c r="FQ95" s="26">
        <f t="shared" si="28"/>
        <v>0</v>
      </c>
      <c r="FR95" s="26">
        <f t="shared" si="28"/>
        <v>0</v>
      </c>
      <c r="FS95" s="26">
        <f t="shared" si="28"/>
        <v>0</v>
      </c>
      <c r="FT95" s="26">
        <f t="shared" si="28"/>
        <v>0</v>
      </c>
      <c r="FU95" s="26">
        <f t="shared" si="28"/>
        <v>0</v>
      </c>
      <c r="FV95" s="26">
        <f t="shared" si="28"/>
        <v>0</v>
      </c>
      <c r="FW95" s="26">
        <f t="shared" si="28"/>
        <v>0</v>
      </c>
      <c r="FX95" s="26">
        <f t="shared" si="28"/>
        <v>0</v>
      </c>
      <c r="FY95" s="26"/>
      <c r="FZ95" s="39">
        <f t="shared" si="27"/>
        <v>0</v>
      </c>
      <c r="GA95" s="25"/>
      <c r="GB95" s="26"/>
      <c r="GC95" s="26"/>
      <c r="GD95" s="7"/>
      <c r="GE95" s="7"/>
      <c r="GF95" s="23"/>
      <c r="GG95" s="23"/>
      <c r="GH95" s="23"/>
      <c r="GI95" s="23"/>
      <c r="GJ95" s="23"/>
      <c r="GK95" s="23"/>
      <c r="GL95" s="23"/>
      <c r="GM95" s="23"/>
    </row>
    <row r="96" spans="1:195" ht="15.5" x14ac:dyDescent="0.35">
      <c r="A96" s="12" t="s">
        <v>555</v>
      </c>
      <c r="B96" s="7" t="s">
        <v>816</v>
      </c>
      <c r="C96" s="35">
        <f t="shared" ref="C96:FX96" si="29">ROUND(IF(AND((C90+C93+C94+C95)&lt;50,(C12=0)),50,(C90+C93+C94+C95)),1)</f>
        <v>6384.5</v>
      </c>
      <c r="D96" s="35">
        <f t="shared" si="29"/>
        <v>38102.400000000001</v>
      </c>
      <c r="E96" s="35">
        <f t="shared" si="29"/>
        <v>5738</v>
      </c>
      <c r="F96" s="35">
        <f t="shared" si="29"/>
        <v>22398.6</v>
      </c>
      <c r="G96" s="35">
        <f t="shared" si="29"/>
        <v>1844</v>
      </c>
      <c r="H96" s="35">
        <f t="shared" si="29"/>
        <v>1095.7</v>
      </c>
      <c r="I96" s="35">
        <f t="shared" si="29"/>
        <v>8056</v>
      </c>
      <c r="J96" s="35">
        <f t="shared" si="29"/>
        <v>2066.8000000000002</v>
      </c>
      <c r="K96" s="35">
        <f t="shared" si="29"/>
        <v>251.7</v>
      </c>
      <c r="L96" s="35">
        <f t="shared" si="29"/>
        <v>2133.1</v>
      </c>
      <c r="M96" s="35">
        <f t="shared" si="29"/>
        <v>936.7</v>
      </c>
      <c r="N96" s="35">
        <f t="shared" si="29"/>
        <v>50452.1</v>
      </c>
      <c r="O96" s="35">
        <f t="shared" si="29"/>
        <v>12808.4</v>
      </c>
      <c r="P96" s="35">
        <f t="shared" si="29"/>
        <v>315.3</v>
      </c>
      <c r="Q96" s="35">
        <f t="shared" si="29"/>
        <v>39320.800000000003</v>
      </c>
      <c r="R96" s="35">
        <f t="shared" si="29"/>
        <v>481.8</v>
      </c>
      <c r="S96" s="35">
        <f t="shared" si="29"/>
        <v>1591.4</v>
      </c>
      <c r="T96" s="35">
        <f t="shared" si="29"/>
        <v>161.1</v>
      </c>
      <c r="U96" s="35">
        <f t="shared" si="29"/>
        <v>55.5</v>
      </c>
      <c r="V96" s="35">
        <f t="shared" si="29"/>
        <v>256.39999999999998</v>
      </c>
      <c r="W96" s="35">
        <f t="shared" si="29"/>
        <v>58.7</v>
      </c>
      <c r="X96" s="35">
        <f t="shared" si="29"/>
        <v>50</v>
      </c>
      <c r="Y96" s="35">
        <f t="shared" si="29"/>
        <v>423.8</v>
      </c>
      <c r="Z96" s="35">
        <f t="shared" si="29"/>
        <v>231.1</v>
      </c>
      <c r="AA96" s="35">
        <f t="shared" si="29"/>
        <v>30551.4</v>
      </c>
      <c r="AB96" s="35">
        <f t="shared" si="29"/>
        <v>26947.7</v>
      </c>
      <c r="AC96" s="35">
        <f t="shared" si="29"/>
        <v>906.3</v>
      </c>
      <c r="AD96" s="35">
        <f t="shared" si="29"/>
        <v>1435.1</v>
      </c>
      <c r="AE96" s="35">
        <f t="shared" si="29"/>
        <v>97</v>
      </c>
      <c r="AF96" s="35">
        <f t="shared" si="29"/>
        <v>167.5</v>
      </c>
      <c r="AG96" s="35">
        <f t="shared" si="29"/>
        <v>601.1</v>
      </c>
      <c r="AH96" s="35">
        <f t="shared" si="29"/>
        <v>957.7</v>
      </c>
      <c r="AI96" s="35">
        <f t="shared" si="29"/>
        <v>383</v>
      </c>
      <c r="AJ96" s="35">
        <f t="shared" si="29"/>
        <v>181.5</v>
      </c>
      <c r="AK96" s="35">
        <f t="shared" si="29"/>
        <v>165.7</v>
      </c>
      <c r="AL96" s="35">
        <f t="shared" si="29"/>
        <v>288.5</v>
      </c>
      <c r="AM96" s="35">
        <f t="shared" si="29"/>
        <v>352.6</v>
      </c>
      <c r="AN96" s="35">
        <f t="shared" si="29"/>
        <v>299.5</v>
      </c>
      <c r="AO96" s="35">
        <f t="shared" si="29"/>
        <v>4036</v>
      </c>
      <c r="AP96" s="35">
        <f t="shared" si="29"/>
        <v>83959.6</v>
      </c>
      <c r="AQ96" s="35">
        <f t="shared" si="29"/>
        <v>251</v>
      </c>
      <c r="AR96" s="35">
        <f t="shared" si="29"/>
        <v>60695.1</v>
      </c>
      <c r="AS96" s="35">
        <f t="shared" si="29"/>
        <v>6483</v>
      </c>
      <c r="AT96" s="35">
        <f t="shared" si="29"/>
        <v>2360.1999999999998</v>
      </c>
      <c r="AU96" s="35">
        <f t="shared" si="29"/>
        <v>271</v>
      </c>
      <c r="AV96" s="35">
        <f t="shared" si="29"/>
        <v>305.39999999999998</v>
      </c>
      <c r="AW96" s="35">
        <f t="shared" si="29"/>
        <v>255</v>
      </c>
      <c r="AX96" s="35">
        <f t="shared" si="29"/>
        <v>81</v>
      </c>
      <c r="AY96" s="35">
        <f t="shared" si="29"/>
        <v>406.8</v>
      </c>
      <c r="AZ96" s="35">
        <f t="shared" si="29"/>
        <v>12123.4</v>
      </c>
      <c r="BA96" s="35">
        <f t="shared" si="29"/>
        <v>8895.7999999999993</v>
      </c>
      <c r="BB96" s="35">
        <f t="shared" si="29"/>
        <v>7554.3</v>
      </c>
      <c r="BC96" s="35">
        <f t="shared" si="29"/>
        <v>24177.4</v>
      </c>
      <c r="BD96" s="35">
        <f t="shared" si="29"/>
        <v>3633.5</v>
      </c>
      <c r="BE96" s="35">
        <f t="shared" si="29"/>
        <v>1198.7</v>
      </c>
      <c r="BF96" s="35">
        <f t="shared" si="29"/>
        <v>24386.3</v>
      </c>
      <c r="BG96" s="35">
        <f t="shared" si="29"/>
        <v>920.6</v>
      </c>
      <c r="BH96" s="35">
        <f t="shared" si="29"/>
        <v>543.5</v>
      </c>
      <c r="BI96" s="35">
        <f t="shared" si="29"/>
        <v>257.39999999999998</v>
      </c>
      <c r="BJ96" s="35">
        <f t="shared" si="29"/>
        <v>6297.4</v>
      </c>
      <c r="BK96" s="35">
        <f t="shared" si="29"/>
        <v>21864.7</v>
      </c>
      <c r="BL96" s="35">
        <f t="shared" si="29"/>
        <v>74.3</v>
      </c>
      <c r="BM96" s="35">
        <f t="shared" si="29"/>
        <v>340.8</v>
      </c>
      <c r="BN96" s="35">
        <f t="shared" si="29"/>
        <v>3100.1</v>
      </c>
      <c r="BO96" s="35">
        <f t="shared" si="29"/>
        <v>1254.3</v>
      </c>
      <c r="BP96" s="35">
        <f t="shared" si="29"/>
        <v>160.4</v>
      </c>
      <c r="BQ96" s="35">
        <f t="shared" si="29"/>
        <v>5884.7</v>
      </c>
      <c r="BR96" s="35">
        <f t="shared" si="29"/>
        <v>4488.3999999999996</v>
      </c>
      <c r="BS96" s="35">
        <f t="shared" si="29"/>
        <v>1158.0999999999999</v>
      </c>
      <c r="BT96" s="35">
        <f t="shared" si="29"/>
        <v>372.5</v>
      </c>
      <c r="BU96" s="35">
        <f t="shared" si="29"/>
        <v>393.7</v>
      </c>
      <c r="BV96" s="35">
        <f t="shared" si="29"/>
        <v>1245.3</v>
      </c>
      <c r="BW96" s="35">
        <f t="shared" si="29"/>
        <v>2017.5</v>
      </c>
      <c r="BX96" s="35">
        <f t="shared" si="29"/>
        <v>66.5</v>
      </c>
      <c r="BY96" s="35">
        <f t="shared" si="29"/>
        <v>430.7</v>
      </c>
      <c r="BZ96" s="35">
        <f t="shared" si="29"/>
        <v>228</v>
      </c>
      <c r="CA96" s="35">
        <f t="shared" si="29"/>
        <v>146.19999999999999</v>
      </c>
      <c r="CB96" s="35">
        <f t="shared" si="29"/>
        <v>72575.399999999994</v>
      </c>
      <c r="CC96" s="35">
        <f t="shared" si="29"/>
        <v>189.3</v>
      </c>
      <c r="CD96" s="35">
        <f t="shared" si="29"/>
        <v>50</v>
      </c>
      <c r="CE96" s="35">
        <f t="shared" si="29"/>
        <v>158.30000000000001</v>
      </c>
      <c r="CF96" s="35">
        <f t="shared" si="29"/>
        <v>112.5</v>
      </c>
      <c r="CG96" s="35">
        <f t="shared" si="29"/>
        <v>199.9</v>
      </c>
      <c r="CH96" s="35">
        <f t="shared" si="29"/>
        <v>96.5</v>
      </c>
      <c r="CI96" s="35">
        <f t="shared" si="29"/>
        <v>687.9</v>
      </c>
      <c r="CJ96" s="35">
        <f t="shared" si="29"/>
        <v>872.3</v>
      </c>
      <c r="CK96" s="35">
        <f t="shared" si="29"/>
        <v>4888</v>
      </c>
      <c r="CL96" s="35">
        <f t="shared" si="29"/>
        <v>1228.4000000000001</v>
      </c>
      <c r="CM96" s="35">
        <f t="shared" si="29"/>
        <v>685.4</v>
      </c>
      <c r="CN96" s="35">
        <f t="shared" si="29"/>
        <v>30616.799999999999</v>
      </c>
      <c r="CO96" s="35">
        <f t="shared" si="29"/>
        <v>14324.2</v>
      </c>
      <c r="CP96" s="35">
        <f t="shared" si="29"/>
        <v>929.4</v>
      </c>
      <c r="CQ96" s="35">
        <f t="shared" si="29"/>
        <v>770.1</v>
      </c>
      <c r="CR96" s="35">
        <f t="shared" si="29"/>
        <v>215.8</v>
      </c>
      <c r="CS96" s="35">
        <f t="shared" si="29"/>
        <v>285.5</v>
      </c>
      <c r="CT96" s="35">
        <f t="shared" si="29"/>
        <v>113.5</v>
      </c>
      <c r="CU96" s="35">
        <f t="shared" si="29"/>
        <v>71.8</v>
      </c>
      <c r="CV96" s="35">
        <f t="shared" si="29"/>
        <v>50</v>
      </c>
      <c r="CW96" s="35">
        <f t="shared" si="29"/>
        <v>198.7</v>
      </c>
      <c r="CX96" s="35">
        <f t="shared" si="29"/>
        <v>461.4</v>
      </c>
      <c r="CY96" s="35">
        <f t="shared" si="29"/>
        <v>50</v>
      </c>
      <c r="CZ96" s="35">
        <f t="shared" si="29"/>
        <v>1806.8</v>
      </c>
      <c r="DA96" s="35">
        <f t="shared" si="29"/>
        <v>203.5</v>
      </c>
      <c r="DB96" s="35">
        <f t="shared" si="29"/>
        <v>315.8</v>
      </c>
      <c r="DC96" s="35">
        <f t="shared" si="29"/>
        <v>193</v>
      </c>
      <c r="DD96" s="35">
        <f t="shared" si="29"/>
        <v>174.5</v>
      </c>
      <c r="DE96" s="35">
        <f t="shared" si="29"/>
        <v>285.3</v>
      </c>
      <c r="DF96" s="35">
        <f t="shared" si="29"/>
        <v>20790.099999999999</v>
      </c>
      <c r="DG96" s="35">
        <f t="shared" si="29"/>
        <v>93.5</v>
      </c>
      <c r="DH96" s="35">
        <f t="shared" si="29"/>
        <v>1805.4</v>
      </c>
      <c r="DI96" s="35">
        <f t="shared" si="29"/>
        <v>2448.3000000000002</v>
      </c>
      <c r="DJ96" s="35">
        <f t="shared" si="29"/>
        <v>623</v>
      </c>
      <c r="DK96" s="35">
        <f t="shared" si="29"/>
        <v>477.7</v>
      </c>
      <c r="DL96" s="35">
        <f t="shared" si="29"/>
        <v>5694</v>
      </c>
      <c r="DM96" s="35">
        <f t="shared" si="29"/>
        <v>235</v>
      </c>
      <c r="DN96" s="35">
        <f t="shared" si="29"/>
        <v>1294.5</v>
      </c>
      <c r="DO96" s="35">
        <f t="shared" si="29"/>
        <v>3290</v>
      </c>
      <c r="DP96" s="35">
        <f t="shared" si="29"/>
        <v>200</v>
      </c>
      <c r="DQ96" s="35">
        <f t="shared" si="29"/>
        <v>887</v>
      </c>
      <c r="DR96" s="35">
        <f t="shared" si="29"/>
        <v>1315.2</v>
      </c>
      <c r="DS96" s="35">
        <f t="shared" si="29"/>
        <v>599.9</v>
      </c>
      <c r="DT96" s="35">
        <f t="shared" si="29"/>
        <v>176.5</v>
      </c>
      <c r="DU96" s="35">
        <f t="shared" si="29"/>
        <v>351.4</v>
      </c>
      <c r="DV96" s="35">
        <f t="shared" si="29"/>
        <v>208</v>
      </c>
      <c r="DW96" s="35">
        <f t="shared" si="29"/>
        <v>300.2</v>
      </c>
      <c r="DX96" s="35">
        <f t="shared" si="29"/>
        <v>168</v>
      </c>
      <c r="DY96" s="35">
        <f t="shared" si="29"/>
        <v>296.60000000000002</v>
      </c>
      <c r="DZ96" s="35">
        <f t="shared" si="29"/>
        <v>680.8</v>
      </c>
      <c r="EA96" s="35">
        <f t="shared" si="29"/>
        <v>530.6</v>
      </c>
      <c r="EB96" s="35">
        <f t="shared" si="29"/>
        <v>534.4</v>
      </c>
      <c r="EC96" s="35">
        <f t="shared" si="29"/>
        <v>285.10000000000002</v>
      </c>
      <c r="ED96" s="35">
        <f t="shared" si="29"/>
        <v>1561.8</v>
      </c>
      <c r="EE96" s="35">
        <f t="shared" si="29"/>
        <v>191.6</v>
      </c>
      <c r="EF96" s="35">
        <f t="shared" si="29"/>
        <v>1353.2</v>
      </c>
      <c r="EG96" s="35">
        <f t="shared" si="29"/>
        <v>253.5</v>
      </c>
      <c r="EH96" s="35">
        <f t="shared" si="29"/>
        <v>247.4</v>
      </c>
      <c r="EI96" s="35">
        <f t="shared" si="29"/>
        <v>13865.8</v>
      </c>
      <c r="EJ96" s="35">
        <f t="shared" si="29"/>
        <v>9949.7999999999993</v>
      </c>
      <c r="EK96" s="35">
        <f t="shared" si="29"/>
        <v>668.7</v>
      </c>
      <c r="EL96" s="35">
        <f t="shared" si="29"/>
        <v>459.4</v>
      </c>
      <c r="EM96" s="35">
        <f t="shared" si="29"/>
        <v>378.1</v>
      </c>
      <c r="EN96" s="35">
        <f t="shared" si="29"/>
        <v>896.9</v>
      </c>
      <c r="EO96" s="35">
        <f t="shared" si="29"/>
        <v>305.39999999999998</v>
      </c>
      <c r="EP96" s="35">
        <f t="shared" si="29"/>
        <v>428.5</v>
      </c>
      <c r="EQ96" s="35">
        <f t="shared" si="29"/>
        <v>2614.4</v>
      </c>
      <c r="ER96" s="35">
        <f t="shared" si="29"/>
        <v>307.60000000000002</v>
      </c>
      <c r="ES96" s="35">
        <f t="shared" si="29"/>
        <v>163</v>
      </c>
      <c r="ET96" s="35">
        <f t="shared" si="29"/>
        <v>197.5</v>
      </c>
      <c r="EU96" s="35">
        <f t="shared" si="29"/>
        <v>575.29999999999995</v>
      </c>
      <c r="EV96" s="35">
        <f t="shared" si="29"/>
        <v>72.599999999999994</v>
      </c>
      <c r="EW96" s="35">
        <f t="shared" si="29"/>
        <v>819.4</v>
      </c>
      <c r="EX96" s="35">
        <f t="shared" si="29"/>
        <v>173.5</v>
      </c>
      <c r="EY96" s="35">
        <f t="shared" si="29"/>
        <v>206.5</v>
      </c>
      <c r="EZ96" s="35">
        <f t="shared" si="29"/>
        <v>129.30000000000001</v>
      </c>
      <c r="FA96" s="35">
        <f t="shared" si="29"/>
        <v>3385.2</v>
      </c>
      <c r="FB96" s="35">
        <f t="shared" si="29"/>
        <v>288.10000000000002</v>
      </c>
      <c r="FC96" s="35">
        <f t="shared" si="29"/>
        <v>1822.2</v>
      </c>
      <c r="FD96" s="35">
        <f t="shared" si="29"/>
        <v>402</v>
      </c>
      <c r="FE96" s="35">
        <f t="shared" si="29"/>
        <v>79</v>
      </c>
      <c r="FF96" s="35">
        <f t="shared" si="29"/>
        <v>185</v>
      </c>
      <c r="FG96" s="35">
        <f t="shared" si="29"/>
        <v>120.8</v>
      </c>
      <c r="FH96" s="35">
        <f t="shared" si="29"/>
        <v>70</v>
      </c>
      <c r="FI96" s="35">
        <f t="shared" si="29"/>
        <v>1702.5</v>
      </c>
      <c r="FJ96" s="35">
        <f t="shared" si="29"/>
        <v>2016.5</v>
      </c>
      <c r="FK96" s="35">
        <f t="shared" si="29"/>
        <v>2529.1</v>
      </c>
      <c r="FL96" s="35">
        <f t="shared" si="29"/>
        <v>8538.5</v>
      </c>
      <c r="FM96" s="35">
        <f t="shared" si="29"/>
        <v>3981.5</v>
      </c>
      <c r="FN96" s="35">
        <f t="shared" si="29"/>
        <v>22422.3</v>
      </c>
      <c r="FO96" s="35">
        <f t="shared" si="29"/>
        <v>1117.2</v>
      </c>
      <c r="FP96" s="35">
        <f t="shared" si="29"/>
        <v>2341.5</v>
      </c>
      <c r="FQ96" s="35">
        <f t="shared" si="29"/>
        <v>984.9</v>
      </c>
      <c r="FR96" s="35">
        <f t="shared" si="29"/>
        <v>168.1</v>
      </c>
      <c r="FS96" s="35">
        <f t="shared" si="29"/>
        <v>168.3</v>
      </c>
      <c r="FT96" s="35" t="e">
        <f t="shared" ca="1" si="29"/>
        <v>#NAME?</v>
      </c>
      <c r="FU96" s="35">
        <f t="shared" si="29"/>
        <v>791.1</v>
      </c>
      <c r="FV96" s="35">
        <f t="shared" si="29"/>
        <v>692.7</v>
      </c>
      <c r="FW96" s="35">
        <f t="shared" si="29"/>
        <v>147.5</v>
      </c>
      <c r="FX96" s="35">
        <f t="shared" si="29"/>
        <v>64.5</v>
      </c>
      <c r="FY96" s="26"/>
      <c r="FZ96" s="26" t="e">
        <f t="shared" ref="FZ96:FZ97" ca="1" si="30">SUM(C96:FX96)</f>
        <v>#NAME?</v>
      </c>
      <c r="GA96" s="57"/>
      <c r="GB96" s="23" t="e">
        <f ca="1">FZ96-GA96</f>
        <v>#NAME?</v>
      </c>
      <c r="GC96" s="26"/>
      <c r="GD96" s="7"/>
      <c r="GE96" s="7"/>
      <c r="GF96" s="23"/>
      <c r="GG96" s="23"/>
      <c r="GH96" s="23"/>
      <c r="GI96" s="23"/>
      <c r="GJ96" s="23"/>
      <c r="GK96" s="23"/>
      <c r="GL96" s="23"/>
      <c r="GM96" s="23"/>
    </row>
    <row r="97" spans="1:207" ht="15.5" x14ac:dyDescent="0.35">
      <c r="A97" s="12" t="s">
        <v>557</v>
      </c>
      <c r="B97" s="7" t="s">
        <v>817</v>
      </c>
      <c r="C97" s="26">
        <f t="shared" ref="C97:FX97" si="31">C13</f>
        <v>0</v>
      </c>
      <c r="D97" s="26">
        <f t="shared" si="31"/>
        <v>38</v>
      </c>
      <c r="E97" s="26">
        <f t="shared" si="31"/>
        <v>0</v>
      </c>
      <c r="F97" s="26">
        <f t="shared" si="31"/>
        <v>1</v>
      </c>
      <c r="G97" s="26">
        <f t="shared" si="31"/>
        <v>0</v>
      </c>
      <c r="H97" s="26">
        <f t="shared" si="31"/>
        <v>0</v>
      </c>
      <c r="I97" s="26">
        <f t="shared" si="31"/>
        <v>5</v>
      </c>
      <c r="J97" s="26">
        <f t="shared" si="31"/>
        <v>0</v>
      </c>
      <c r="K97" s="26">
        <f t="shared" si="31"/>
        <v>0</v>
      </c>
      <c r="L97" s="26">
        <f t="shared" si="31"/>
        <v>0</v>
      </c>
      <c r="M97" s="26">
        <f t="shared" si="31"/>
        <v>0</v>
      </c>
      <c r="N97" s="26">
        <f t="shared" si="31"/>
        <v>30.5</v>
      </c>
      <c r="O97" s="26">
        <f t="shared" si="31"/>
        <v>6</v>
      </c>
      <c r="P97" s="26">
        <f t="shared" si="31"/>
        <v>0</v>
      </c>
      <c r="Q97" s="26">
        <f t="shared" si="31"/>
        <v>3</v>
      </c>
      <c r="R97" s="26">
        <f t="shared" si="31"/>
        <v>0</v>
      </c>
      <c r="S97" s="26">
        <f t="shared" si="31"/>
        <v>0</v>
      </c>
      <c r="T97" s="26">
        <f t="shared" si="31"/>
        <v>0</v>
      </c>
      <c r="U97" s="26">
        <f t="shared" si="31"/>
        <v>0</v>
      </c>
      <c r="V97" s="26">
        <f t="shared" si="31"/>
        <v>0</v>
      </c>
      <c r="W97" s="26">
        <f t="shared" si="31"/>
        <v>0</v>
      </c>
      <c r="X97" s="26">
        <f t="shared" si="31"/>
        <v>0</v>
      </c>
      <c r="Y97" s="26">
        <f t="shared" si="31"/>
        <v>0</v>
      </c>
      <c r="Z97" s="26">
        <f t="shared" si="31"/>
        <v>0</v>
      </c>
      <c r="AA97" s="26">
        <f t="shared" si="31"/>
        <v>45</v>
      </c>
      <c r="AB97" s="26">
        <f t="shared" si="31"/>
        <v>1</v>
      </c>
      <c r="AC97" s="26">
        <f t="shared" si="31"/>
        <v>0</v>
      </c>
      <c r="AD97" s="26">
        <f t="shared" si="31"/>
        <v>0</v>
      </c>
      <c r="AE97" s="26">
        <f t="shared" si="31"/>
        <v>0</v>
      </c>
      <c r="AF97" s="26">
        <f t="shared" si="31"/>
        <v>0</v>
      </c>
      <c r="AG97" s="26">
        <f t="shared" si="31"/>
        <v>0</v>
      </c>
      <c r="AH97" s="26">
        <f t="shared" si="31"/>
        <v>0</v>
      </c>
      <c r="AI97" s="26">
        <f t="shared" si="31"/>
        <v>0</v>
      </c>
      <c r="AJ97" s="26">
        <f t="shared" si="31"/>
        <v>0</v>
      </c>
      <c r="AK97" s="26">
        <f t="shared" si="31"/>
        <v>0</v>
      </c>
      <c r="AL97" s="26">
        <f t="shared" si="31"/>
        <v>0</v>
      </c>
      <c r="AM97" s="26">
        <f t="shared" si="31"/>
        <v>0</v>
      </c>
      <c r="AN97" s="26">
        <f t="shared" si="31"/>
        <v>0</v>
      </c>
      <c r="AO97" s="26">
        <f t="shared" si="31"/>
        <v>0</v>
      </c>
      <c r="AP97" s="26">
        <f t="shared" si="31"/>
        <v>7.5</v>
      </c>
      <c r="AQ97" s="26">
        <f t="shared" si="31"/>
        <v>0</v>
      </c>
      <c r="AR97" s="26">
        <f t="shared" si="31"/>
        <v>8</v>
      </c>
      <c r="AS97" s="26">
        <f t="shared" si="31"/>
        <v>1</v>
      </c>
      <c r="AT97" s="26">
        <f t="shared" si="31"/>
        <v>0</v>
      </c>
      <c r="AU97" s="26">
        <f t="shared" si="31"/>
        <v>0</v>
      </c>
      <c r="AV97" s="26">
        <f t="shared" si="31"/>
        <v>0</v>
      </c>
      <c r="AW97" s="26">
        <f t="shared" si="31"/>
        <v>0</v>
      </c>
      <c r="AX97" s="26">
        <f t="shared" si="31"/>
        <v>0</v>
      </c>
      <c r="AY97" s="26">
        <f t="shared" si="31"/>
        <v>0</v>
      </c>
      <c r="AZ97" s="26">
        <f t="shared" si="31"/>
        <v>0</v>
      </c>
      <c r="BA97" s="26">
        <f t="shared" si="31"/>
        <v>0</v>
      </c>
      <c r="BB97" s="26">
        <f t="shared" si="31"/>
        <v>1</v>
      </c>
      <c r="BC97" s="26">
        <f t="shared" si="31"/>
        <v>17.5</v>
      </c>
      <c r="BD97" s="26">
        <f t="shared" si="31"/>
        <v>0</v>
      </c>
      <c r="BE97" s="26">
        <f t="shared" si="31"/>
        <v>0</v>
      </c>
      <c r="BF97" s="26">
        <f t="shared" si="31"/>
        <v>2</v>
      </c>
      <c r="BG97" s="26">
        <f t="shared" si="31"/>
        <v>0</v>
      </c>
      <c r="BH97" s="26">
        <f t="shared" si="31"/>
        <v>0</v>
      </c>
      <c r="BI97" s="26">
        <f t="shared" si="31"/>
        <v>0</v>
      </c>
      <c r="BJ97" s="26">
        <f t="shared" si="31"/>
        <v>2</v>
      </c>
      <c r="BK97" s="26">
        <f t="shared" si="31"/>
        <v>23.5</v>
      </c>
      <c r="BL97" s="26">
        <f t="shared" si="31"/>
        <v>0.5</v>
      </c>
      <c r="BM97" s="26">
        <f t="shared" si="31"/>
        <v>0</v>
      </c>
      <c r="BN97" s="26">
        <f t="shared" si="31"/>
        <v>12</v>
      </c>
      <c r="BO97" s="26">
        <f t="shared" si="31"/>
        <v>0</v>
      </c>
      <c r="BP97" s="26">
        <f t="shared" si="31"/>
        <v>0</v>
      </c>
      <c r="BQ97" s="26">
        <f t="shared" si="31"/>
        <v>0.5</v>
      </c>
      <c r="BR97" s="26">
        <f t="shared" si="31"/>
        <v>0</v>
      </c>
      <c r="BS97" s="26">
        <f t="shared" si="31"/>
        <v>0</v>
      </c>
      <c r="BT97" s="26">
        <f t="shared" si="31"/>
        <v>0</v>
      </c>
      <c r="BU97" s="26">
        <f t="shared" si="31"/>
        <v>0</v>
      </c>
      <c r="BV97" s="26">
        <f t="shared" si="31"/>
        <v>0</v>
      </c>
      <c r="BW97" s="26">
        <f t="shared" si="31"/>
        <v>0</v>
      </c>
      <c r="BX97" s="26">
        <f t="shared" si="31"/>
        <v>0</v>
      </c>
      <c r="BY97" s="26">
        <f t="shared" si="31"/>
        <v>0</v>
      </c>
      <c r="BZ97" s="26">
        <f t="shared" si="31"/>
        <v>0</v>
      </c>
      <c r="CA97" s="26">
        <f t="shared" si="31"/>
        <v>0</v>
      </c>
      <c r="CB97" s="26">
        <f t="shared" si="31"/>
        <v>17</v>
      </c>
      <c r="CC97" s="26">
        <f t="shared" si="31"/>
        <v>0</v>
      </c>
      <c r="CD97" s="26">
        <f t="shared" si="31"/>
        <v>0</v>
      </c>
      <c r="CE97" s="26">
        <f t="shared" si="31"/>
        <v>0</v>
      </c>
      <c r="CF97" s="26">
        <f t="shared" si="31"/>
        <v>0</v>
      </c>
      <c r="CG97" s="26">
        <f t="shared" si="31"/>
        <v>0</v>
      </c>
      <c r="CH97" s="26">
        <f t="shared" si="31"/>
        <v>0</v>
      </c>
      <c r="CI97" s="26">
        <f t="shared" si="31"/>
        <v>0</v>
      </c>
      <c r="CJ97" s="26">
        <f t="shared" si="31"/>
        <v>0</v>
      </c>
      <c r="CK97" s="26">
        <f t="shared" si="31"/>
        <v>0</v>
      </c>
      <c r="CL97" s="26">
        <f t="shared" si="31"/>
        <v>0</v>
      </c>
      <c r="CM97" s="26">
        <f t="shared" si="31"/>
        <v>0</v>
      </c>
      <c r="CN97" s="26">
        <f t="shared" si="31"/>
        <v>25.5</v>
      </c>
      <c r="CO97" s="26">
        <f t="shared" si="31"/>
        <v>1</v>
      </c>
      <c r="CP97" s="26">
        <f t="shared" si="31"/>
        <v>2</v>
      </c>
      <c r="CQ97" s="26">
        <f t="shared" si="31"/>
        <v>0</v>
      </c>
      <c r="CR97" s="26">
        <f t="shared" si="31"/>
        <v>0</v>
      </c>
      <c r="CS97" s="26">
        <f t="shared" si="31"/>
        <v>0</v>
      </c>
      <c r="CT97" s="26">
        <f t="shared" si="31"/>
        <v>0</v>
      </c>
      <c r="CU97" s="26">
        <f t="shared" si="31"/>
        <v>0</v>
      </c>
      <c r="CV97" s="26">
        <f t="shared" si="31"/>
        <v>0</v>
      </c>
      <c r="CW97" s="26">
        <f t="shared" si="31"/>
        <v>0</v>
      </c>
      <c r="CX97" s="26">
        <f t="shared" si="31"/>
        <v>0</v>
      </c>
      <c r="CY97" s="26">
        <f t="shared" si="31"/>
        <v>0</v>
      </c>
      <c r="CZ97" s="26">
        <f t="shared" si="31"/>
        <v>0</v>
      </c>
      <c r="DA97" s="26">
        <f t="shared" si="31"/>
        <v>0</v>
      </c>
      <c r="DB97" s="26">
        <f t="shared" si="31"/>
        <v>0</v>
      </c>
      <c r="DC97" s="26">
        <f t="shared" si="31"/>
        <v>0</v>
      </c>
      <c r="DD97" s="26">
        <f t="shared" si="31"/>
        <v>0</v>
      </c>
      <c r="DE97" s="26">
        <f t="shared" si="31"/>
        <v>0</v>
      </c>
      <c r="DF97" s="26">
        <f t="shared" si="31"/>
        <v>26</v>
      </c>
      <c r="DG97" s="26">
        <f t="shared" si="31"/>
        <v>0</v>
      </c>
      <c r="DH97" s="26">
        <f t="shared" si="31"/>
        <v>0</v>
      </c>
      <c r="DI97" s="26">
        <f t="shared" si="31"/>
        <v>0</v>
      </c>
      <c r="DJ97" s="26">
        <f t="shared" si="31"/>
        <v>0</v>
      </c>
      <c r="DK97" s="26">
        <f t="shared" si="31"/>
        <v>0</v>
      </c>
      <c r="DL97" s="26">
        <f t="shared" si="31"/>
        <v>0</v>
      </c>
      <c r="DM97" s="26">
        <f t="shared" si="31"/>
        <v>0</v>
      </c>
      <c r="DN97" s="26">
        <f t="shared" si="31"/>
        <v>0.5</v>
      </c>
      <c r="DO97" s="26">
        <f t="shared" si="31"/>
        <v>0</v>
      </c>
      <c r="DP97" s="26">
        <f t="shared" si="31"/>
        <v>0</v>
      </c>
      <c r="DQ97" s="26">
        <f t="shared" si="31"/>
        <v>0</v>
      </c>
      <c r="DR97" s="26">
        <f t="shared" si="31"/>
        <v>0</v>
      </c>
      <c r="DS97" s="26">
        <f t="shared" si="31"/>
        <v>0</v>
      </c>
      <c r="DT97" s="26">
        <f t="shared" si="31"/>
        <v>0</v>
      </c>
      <c r="DU97" s="26">
        <f t="shared" si="31"/>
        <v>0</v>
      </c>
      <c r="DV97" s="26">
        <f t="shared" si="31"/>
        <v>0</v>
      </c>
      <c r="DW97" s="26">
        <f t="shared" si="31"/>
        <v>0</v>
      </c>
      <c r="DX97" s="26">
        <f t="shared" si="31"/>
        <v>0</v>
      </c>
      <c r="DY97" s="26">
        <f t="shared" si="31"/>
        <v>0</v>
      </c>
      <c r="DZ97" s="26">
        <f t="shared" si="31"/>
        <v>0</v>
      </c>
      <c r="EA97" s="26">
        <f t="shared" si="31"/>
        <v>0</v>
      </c>
      <c r="EB97" s="26">
        <f t="shared" si="31"/>
        <v>0</v>
      </c>
      <c r="EC97" s="26">
        <f t="shared" si="31"/>
        <v>0</v>
      </c>
      <c r="ED97" s="26">
        <f t="shared" si="31"/>
        <v>0</v>
      </c>
      <c r="EE97" s="26">
        <f t="shared" si="31"/>
        <v>0</v>
      </c>
      <c r="EF97" s="26">
        <f t="shared" si="31"/>
        <v>0</v>
      </c>
      <c r="EG97" s="26">
        <f t="shared" si="31"/>
        <v>0</v>
      </c>
      <c r="EH97" s="26">
        <f t="shared" si="31"/>
        <v>0</v>
      </c>
      <c r="EI97" s="26">
        <f t="shared" si="31"/>
        <v>0</v>
      </c>
      <c r="EJ97" s="26">
        <f t="shared" si="31"/>
        <v>2</v>
      </c>
      <c r="EK97" s="26">
        <f t="shared" si="31"/>
        <v>0</v>
      </c>
      <c r="EL97" s="26">
        <f t="shared" si="31"/>
        <v>0</v>
      </c>
      <c r="EM97" s="26">
        <f t="shared" si="31"/>
        <v>0</v>
      </c>
      <c r="EN97" s="26">
        <f t="shared" si="31"/>
        <v>0</v>
      </c>
      <c r="EO97" s="26">
        <f t="shared" si="31"/>
        <v>0</v>
      </c>
      <c r="EP97" s="26">
        <f t="shared" si="31"/>
        <v>0</v>
      </c>
      <c r="EQ97" s="26">
        <f t="shared" si="31"/>
        <v>0</v>
      </c>
      <c r="ER97" s="26">
        <f t="shared" si="31"/>
        <v>0</v>
      </c>
      <c r="ES97" s="26">
        <f t="shared" si="31"/>
        <v>0</v>
      </c>
      <c r="ET97" s="26">
        <f t="shared" si="31"/>
        <v>0</v>
      </c>
      <c r="EU97" s="26">
        <f t="shared" si="31"/>
        <v>0</v>
      </c>
      <c r="EV97" s="26">
        <f t="shared" si="31"/>
        <v>0</v>
      </c>
      <c r="EW97" s="26">
        <f t="shared" si="31"/>
        <v>0</v>
      </c>
      <c r="EX97" s="26">
        <f t="shared" si="31"/>
        <v>0</v>
      </c>
      <c r="EY97" s="26">
        <f t="shared" si="31"/>
        <v>0</v>
      </c>
      <c r="EZ97" s="26">
        <f t="shared" si="31"/>
        <v>0</v>
      </c>
      <c r="FA97" s="26">
        <f t="shared" si="31"/>
        <v>0</v>
      </c>
      <c r="FB97" s="26">
        <f t="shared" si="31"/>
        <v>0</v>
      </c>
      <c r="FC97" s="26">
        <f t="shared" si="31"/>
        <v>0</v>
      </c>
      <c r="FD97" s="26">
        <f t="shared" si="31"/>
        <v>0</v>
      </c>
      <c r="FE97" s="26">
        <f t="shared" si="31"/>
        <v>0</v>
      </c>
      <c r="FF97" s="26">
        <f t="shared" si="31"/>
        <v>0</v>
      </c>
      <c r="FG97" s="26">
        <f t="shared" si="31"/>
        <v>0</v>
      </c>
      <c r="FH97" s="26">
        <f t="shared" si="31"/>
        <v>0</v>
      </c>
      <c r="FI97" s="26">
        <f t="shared" si="31"/>
        <v>0</v>
      </c>
      <c r="FJ97" s="26">
        <f t="shared" si="31"/>
        <v>0</v>
      </c>
      <c r="FK97" s="26">
        <f t="shared" si="31"/>
        <v>0</v>
      </c>
      <c r="FL97" s="26">
        <f t="shared" si="31"/>
        <v>0</v>
      </c>
      <c r="FM97" s="26">
        <f t="shared" si="31"/>
        <v>0</v>
      </c>
      <c r="FN97" s="26">
        <f t="shared" si="31"/>
        <v>13</v>
      </c>
      <c r="FO97" s="26">
        <f t="shared" si="31"/>
        <v>2</v>
      </c>
      <c r="FP97" s="26">
        <f t="shared" si="31"/>
        <v>0</v>
      </c>
      <c r="FQ97" s="26">
        <f t="shared" si="31"/>
        <v>0</v>
      </c>
      <c r="FR97" s="26">
        <f t="shared" si="31"/>
        <v>0</v>
      </c>
      <c r="FS97" s="26">
        <f t="shared" si="31"/>
        <v>0</v>
      </c>
      <c r="FT97" s="26" t="e">
        <f t="shared" ca="1" si="31"/>
        <v>#NAME?</v>
      </c>
      <c r="FU97" s="26">
        <f t="shared" si="31"/>
        <v>0</v>
      </c>
      <c r="FV97" s="26">
        <f t="shared" si="31"/>
        <v>0</v>
      </c>
      <c r="FW97" s="26">
        <f t="shared" si="31"/>
        <v>0</v>
      </c>
      <c r="FX97" s="26">
        <f t="shared" si="31"/>
        <v>0</v>
      </c>
      <c r="FZ97" s="26" t="e">
        <f t="shared" ca="1" si="30"/>
        <v>#NAME?</v>
      </c>
      <c r="GA97" s="25"/>
      <c r="GB97" s="26"/>
      <c r="GC97" s="26"/>
      <c r="GD97" s="26"/>
      <c r="GE97" s="7"/>
      <c r="GF97" s="23"/>
      <c r="GG97" s="23"/>
      <c r="GH97" s="23"/>
      <c r="GI97" s="23"/>
      <c r="GJ97" s="23"/>
      <c r="GK97" s="23"/>
      <c r="GL97" s="23"/>
      <c r="GM97" s="23"/>
    </row>
    <row r="98" spans="1:207" ht="15.5" x14ac:dyDescent="0.35">
      <c r="A98" s="12" t="s">
        <v>818</v>
      </c>
      <c r="B98" s="7" t="s">
        <v>819</v>
      </c>
      <c r="C98" s="26">
        <f t="shared" ref="C98:FX98" si="32">C34</f>
        <v>0</v>
      </c>
      <c r="D98" s="26">
        <f t="shared" si="32"/>
        <v>0</v>
      </c>
      <c r="E98" s="26">
        <f t="shared" si="32"/>
        <v>0</v>
      </c>
      <c r="F98" s="26">
        <f t="shared" si="32"/>
        <v>0</v>
      </c>
      <c r="G98" s="26">
        <f t="shared" si="32"/>
        <v>0</v>
      </c>
      <c r="H98" s="26">
        <f t="shared" si="32"/>
        <v>0</v>
      </c>
      <c r="I98" s="26">
        <f t="shared" si="32"/>
        <v>0</v>
      </c>
      <c r="J98" s="26">
        <f t="shared" si="32"/>
        <v>0</v>
      </c>
      <c r="K98" s="26">
        <f t="shared" si="32"/>
        <v>0</v>
      </c>
      <c r="L98" s="26">
        <f t="shared" si="32"/>
        <v>0</v>
      </c>
      <c r="M98" s="26">
        <f t="shared" si="32"/>
        <v>0</v>
      </c>
      <c r="N98" s="26">
        <f t="shared" si="32"/>
        <v>0</v>
      </c>
      <c r="O98" s="26">
        <f t="shared" si="32"/>
        <v>0</v>
      </c>
      <c r="P98" s="26">
        <f t="shared" si="32"/>
        <v>0</v>
      </c>
      <c r="Q98" s="26">
        <f t="shared" si="32"/>
        <v>1</v>
      </c>
      <c r="R98" s="26">
        <f t="shared" si="32"/>
        <v>0</v>
      </c>
      <c r="S98" s="26">
        <f t="shared" si="32"/>
        <v>0</v>
      </c>
      <c r="T98" s="26">
        <f t="shared" si="32"/>
        <v>0</v>
      </c>
      <c r="U98" s="26">
        <f t="shared" si="32"/>
        <v>0</v>
      </c>
      <c r="V98" s="26">
        <f t="shared" si="32"/>
        <v>0</v>
      </c>
      <c r="W98" s="26">
        <f t="shared" si="32"/>
        <v>0</v>
      </c>
      <c r="X98" s="26">
        <f t="shared" si="32"/>
        <v>0</v>
      </c>
      <c r="Y98" s="26">
        <f t="shared" si="32"/>
        <v>0</v>
      </c>
      <c r="Z98" s="26">
        <f t="shared" si="32"/>
        <v>0</v>
      </c>
      <c r="AA98" s="26">
        <f t="shared" si="32"/>
        <v>0</v>
      </c>
      <c r="AB98" s="26">
        <f t="shared" si="32"/>
        <v>0</v>
      </c>
      <c r="AC98" s="26">
        <f t="shared" si="32"/>
        <v>0</v>
      </c>
      <c r="AD98" s="26">
        <f t="shared" si="32"/>
        <v>0</v>
      </c>
      <c r="AE98" s="26">
        <f t="shared" si="32"/>
        <v>0</v>
      </c>
      <c r="AF98" s="26">
        <f t="shared" si="32"/>
        <v>0</v>
      </c>
      <c r="AG98" s="26">
        <f t="shared" si="32"/>
        <v>0</v>
      </c>
      <c r="AH98" s="26">
        <f t="shared" si="32"/>
        <v>0</v>
      </c>
      <c r="AI98" s="26">
        <f t="shared" si="32"/>
        <v>0</v>
      </c>
      <c r="AJ98" s="26">
        <f t="shared" si="32"/>
        <v>0</v>
      </c>
      <c r="AK98" s="26">
        <f t="shared" si="32"/>
        <v>0</v>
      </c>
      <c r="AL98" s="26">
        <f t="shared" si="32"/>
        <v>0</v>
      </c>
      <c r="AM98" s="26">
        <f t="shared" si="32"/>
        <v>0</v>
      </c>
      <c r="AN98" s="26">
        <f t="shared" si="32"/>
        <v>0</v>
      </c>
      <c r="AO98" s="26">
        <f t="shared" si="32"/>
        <v>0</v>
      </c>
      <c r="AP98" s="26">
        <f t="shared" si="32"/>
        <v>0</v>
      </c>
      <c r="AQ98" s="26">
        <f t="shared" si="32"/>
        <v>0</v>
      </c>
      <c r="AR98" s="26">
        <f t="shared" si="32"/>
        <v>0</v>
      </c>
      <c r="AS98" s="26">
        <f t="shared" si="32"/>
        <v>0</v>
      </c>
      <c r="AT98" s="26">
        <f t="shared" si="32"/>
        <v>0</v>
      </c>
      <c r="AU98" s="26">
        <f t="shared" si="32"/>
        <v>0</v>
      </c>
      <c r="AV98" s="26">
        <f t="shared" si="32"/>
        <v>0</v>
      </c>
      <c r="AW98" s="26">
        <f t="shared" si="32"/>
        <v>0</v>
      </c>
      <c r="AX98" s="26">
        <f t="shared" si="32"/>
        <v>0</v>
      </c>
      <c r="AY98" s="26">
        <f t="shared" si="32"/>
        <v>0</v>
      </c>
      <c r="AZ98" s="26">
        <f t="shared" si="32"/>
        <v>0</v>
      </c>
      <c r="BA98" s="26">
        <f t="shared" si="32"/>
        <v>0</v>
      </c>
      <c r="BB98" s="26">
        <f t="shared" si="32"/>
        <v>0</v>
      </c>
      <c r="BC98" s="26">
        <f t="shared" si="32"/>
        <v>0</v>
      </c>
      <c r="BD98" s="26">
        <f t="shared" si="32"/>
        <v>0</v>
      </c>
      <c r="BE98" s="26">
        <f t="shared" si="32"/>
        <v>0</v>
      </c>
      <c r="BF98" s="26">
        <f t="shared" si="32"/>
        <v>0</v>
      </c>
      <c r="BG98" s="26">
        <f t="shared" si="32"/>
        <v>0</v>
      </c>
      <c r="BH98" s="26">
        <f t="shared" si="32"/>
        <v>0</v>
      </c>
      <c r="BI98" s="26">
        <f t="shared" si="32"/>
        <v>0</v>
      </c>
      <c r="BJ98" s="26">
        <f t="shared" si="32"/>
        <v>0</v>
      </c>
      <c r="BK98" s="26">
        <f t="shared" si="32"/>
        <v>0</v>
      </c>
      <c r="BL98" s="26">
        <f t="shared" si="32"/>
        <v>0</v>
      </c>
      <c r="BM98" s="26">
        <f t="shared" si="32"/>
        <v>0</v>
      </c>
      <c r="BN98" s="26">
        <f t="shared" si="32"/>
        <v>0</v>
      </c>
      <c r="BO98" s="26">
        <f t="shared" si="32"/>
        <v>0</v>
      </c>
      <c r="BP98" s="26">
        <f t="shared" si="32"/>
        <v>0</v>
      </c>
      <c r="BQ98" s="26">
        <f t="shared" si="32"/>
        <v>0</v>
      </c>
      <c r="BR98" s="26">
        <f t="shared" si="32"/>
        <v>0</v>
      </c>
      <c r="BS98" s="26">
        <f t="shared" si="32"/>
        <v>0</v>
      </c>
      <c r="BT98" s="26">
        <f t="shared" si="32"/>
        <v>0</v>
      </c>
      <c r="BU98" s="26">
        <f t="shared" si="32"/>
        <v>0</v>
      </c>
      <c r="BV98" s="26">
        <f t="shared" si="32"/>
        <v>0</v>
      </c>
      <c r="BW98" s="26">
        <f t="shared" si="32"/>
        <v>0</v>
      </c>
      <c r="BX98" s="26">
        <f t="shared" si="32"/>
        <v>0</v>
      </c>
      <c r="BY98" s="26">
        <f t="shared" si="32"/>
        <v>0</v>
      </c>
      <c r="BZ98" s="26">
        <f t="shared" si="32"/>
        <v>0</v>
      </c>
      <c r="CA98" s="26">
        <f t="shared" si="32"/>
        <v>0</v>
      </c>
      <c r="CB98" s="26">
        <f t="shared" si="32"/>
        <v>0</v>
      </c>
      <c r="CC98" s="26">
        <f t="shared" si="32"/>
        <v>0</v>
      </c>
      <c r="CD98" s="26">
        <f t="shared" si="32"/>
        <v>0</v>
      </c>
      <c r="CE98" s="26">
        <f t="shared" si="32"/>
        <v>0</v>
      </c>
      <c r="CF98" s="26">
        <f t="shared" si="32"/>
        <v>0</v>
      </c>
      <c r="CG98" s="26">
        <f t="shared" si="32"/>
        <v>0</v>
      </c>
      <c r="CH98" s="26">
        <f t="shared" si="32"/>
        <v>0</v>
      </c>
      <c r="CI98" s="26">
        <f t="shared" si="32"/>
        <v>0</v>
      </c>
      <c r="CJ98" s="26">
        <f t="shared" si="32"/>
        <v>0</v>
      </c>
      <c r="CK98" s="26">
        <f t="shared" si="32"/>
        <v>0</v>
      </c>
      <c r="CL98" s="26">
        <f t="shared" si="32"/>
        <v>0</v>
      </c>
      <c r="CM98" s="26">
        <f t="shared" si="32"/>
        <v>0</v>
      </c>
      <c r="CN98" s="26">
        <f t="shared" si="32"/>
        <v>0</v>
      </c>
      <c r="CO98" s="26">
        <f t="shared" si="32"/>
        <v>0</v>
      </c>
      <c r="CP98" s="26">
        <f t="shared" si="32"/>
        <v>0</v>
      </c>
      <c r="CQ98" s="26">
        <f t="shared" si="32"/>
        <v>0</v>
      </c>
      <c r="CR98" s="26">
        <f t="shared" si="32"/>
        <v>0</v>
      </c>
      <c r="CS98" s="26">
        <f t="shared" si="32"/>
        <v>0</v>
      </c>
      <c r="CT98" s="26">
        <f t="shared" si="32"/>
        <v>0</v>
      </c>
      <c r="CU98" s="26">
        <f t="shared" si="32"/>
        <v>0</v>
      </c>
      <c r="CV98" s="26">
        <f t="shared" si="32"/>
        <v>0</v>
      </c>
      <c r="CW98" s="26">
        <f t="shared" si="32"/>
        <v>0</v>
      </c>
      <c r="CX98" s="26">
        <f t="shared" si="32"/>
        <v>0</v>
      </c>
      <c r="CY98" s="26">
        <f t="shared" si="32"/>
        <v>0</v>
      </c>
      <c r="CZ98" s="26">
        <f t="shared" si="32"/>
        <v>0</v>
      </c>
      <c r="DA98" s="26">
        <f t="shared" si="32"/>
        <v>0</v>
      </c>
      <c r="DB98" s="26">
        <f t="shared" si="32"/>
        <v>0</v>
      </c>
      <c r="DC98" s="26">
        <f t="shared" si="32"/>
        <v>0</v>
      </c>
      <c r="DD98" s="26">
        <f t="shared" si="32"/>
        <v>0</v>
      </c>
      <c r="DE98" s="26">
        <f t="shared" si="32"/>
        <v>0</v>
      </c>
      <c r="DF98" s="26">
        <f t="shared" si="32"/>
        <v>0</v>
      </c>
      <c r="DG98" s="26">
        <f t="shared" si="32"/>
        <v>0</v>
      </c>
      <c r="DH98" s="26">
        <f t="shared" si="32"/>
        <v>0</v>
      </c>
      <c r="DI98" s="26">
        <f t="shared" si="32"/>
        <v>0</v>
      </c>
      <c r="DJ98" s="26">
        <f t="shared" si="32"/>
        <v>0</v>
      </c>
      <c r="DK98" s="26">
        <f t="shared" si="32"/>
        <v>0</v>
      </c>
      <c r="DL98" s="26">
        <f t="shared" si="32"/>
        <v>0</v>
      </c>
      <c r="DM98" s="26">
        <f t="shared" si="32"/>
        <v>0</v>
      </c>
      <c r="DN98" s="26">
        <f t="shared" si="32"/>
        <v>0</v>
      </c>
      <c r="DO98" s="26">
        <f t="shared" si="32"/>
        <v>0</v>
      </c>
      <c r="DP98" s="26">
        <f t="shared" si="32"/>
        <v>0</v>
      </c>
      <c r="DQ98" s="26">
        <f t="shared" si="32"/>
        <v>0</v>
      </c>
      <c r="DR98" s="26">
        <f t="shared" si="32"/>
        <v>0</v>
      </c>
      <c r="DS98" s="26">
        <f t="shared" si="32"/>
        <v>0</v>
      </c>
      <c r="DT98" s="26">
        <f t="shared" si="32"/>
        <v>0</v>
      </c>
      <c r="DU98" s="26">
        <f t="shared" si="32"/>
        <v>0</v>
      </c>
      <c r="DV98" s="26">
        <f t="shared" si="32"/>
        <v>0</v>
      </c>
      <c r="DW98" s="26">
        <f t="shared" si="32"/>
        <v>0</v>
      </c>
      <c r="DX98" s="26">
        <f t="shared" si="32"/>
        <v>0</v>
      </c>
      <c r="DY98" s="26">
        <f t="shared" si="32"/>
        <v>0</v>
      </c>
      <c r="DZ98" s="26">
        <f t="shared" si="32"/>
        <v>0</v>
      </c>
      <c r="EA98" s="26">
        <f t="shared" si="32"/>
        <v>0</v>
      </c>
      <c r="EB98" s="26">
        <f t="shared" si="32"/>
        <v>0</v>
      </c>
      <c r="EC98" s="26">
        <f t="shared" si="32"/>
        <v>0</v>
      </c>
      <c r="ED98" s="26">
        <f t="shared" si="32"/>
        <v>0</v>
      </c>
      <c r="EE98" s="26">
        <f t="shared" si="32"/>
        <v>0</v>
      </c>
      <c r="EF98" s="26">
        <f t="shared" si="32"/>
        <v>0</v>
      </c>
      <c r="EG98" s="26">
        <f t="shared" si="32"/>
        <v>0</v>
      </c>
      <c r="EH98" s="26">
        <f t="shared" si="32"/>
        <v>0</v>
      </c>
      <c r="EI98" s="26">
        <f t="shared" si="32"/>
        <v>0</v>
      </c>
      <c r="EJ98" s="26">
        <f t="shared" si="32"/>
        <v>0</v>
      </c>
      <c r="EK98" s="26">
        <f t="shared" si="32"/>
        <v>0</v>
      </c>
      <c r="EL98" s="26">
        <f t="shared" si="32"/>
        <v>0</v>
      </c>
      <c r="EM98" s="26">
        <f t="shared" si="32"/>
        <v>0</v>
      </c>
      <c r="EN98" s="26">
        <f t="shared" si="32"/>
        <v>0</v>
      </c>
      <c r="EO98" s="26">
        <f t="shared" si="32"/>
        <v>0</v>
      </c>
      <c r="EP98" s="26">
        <f t="shared" si="32"/>
        <v>0</v>
      </c>
      <c r="EQ98" s="26">
        <f t="shared" si="32"/>
        <v>0</v>
      </c>
      <c r="ER98" s="26">
        <f t="shared" si="32"/>
        <v>0</v>
      </c>
      <c r="ES98" s="26">
        <f t="shared" si="32"/>
        <v>0</v>
      </c>
      <c r="ET98" s="26">
        <f t="shared" si="32"/>
        <v>0</v>
      </c>
      <c r="EU98" s="26">
        <f t="shared" si="32"/>
        <v>0</v>
      </c>
      <c r="EV98" s="26">
        <f t="shared" si="32"/>
        <v>0</v>
      </c>
      <c r="EW98" s="26">
        <f t="shared" si="32"/>
        <v>0</v>
      </c>
      <c r="EX98" s="26">
        <f t="shared" si="32"/>
        <v>0</v>
      </c>
      <c r="EY98" s="26">
        <f t="shared" si="32"/>
        <v>0</v>
      </c>
      <c r="EZ98" s="26">
        <f t="shared" si="32"/>
        <v>0</v>
      </c>
      <c r="FA98" s="26">
        <f t="shared" si="32"/>
        <v>0</v>
      </c>
      <c r="FB98" s="26">
        <f t="shared" si="32"/>
        <v>0</v>
      </c>
      <c r="FC98" s="26">
        <f t="shared" si="32"/>
        <v>0</v>
      </c>
      <c r="FD98" s="26">
        <f t="shared" si="32"/>
        <v>0</v>
      </c>
      <c r="FE98" s="26">
        <f t="shared" si="32"/>
        <v>0</v>
      </c>
      <c r="FF98" s="26">
        <f t="shared" si="32"/>
        <v>0</v>
      </c>
      <c r="FG98" s="26">
        <f t="shared" si="32"/>
        <v>0</v>
      </c>
      <c r="FH98" s="26">
        <f t="shared" si="32"/>
        <v>0</v>
      </c>
      <c r="FI98" s="26">
        <f t="shared" si="32"/>
        <v>0</v>
      </c>
      <c r="FJ98" s="26">
        <f t="shared" si="32"/>
        <v>0</v>
      </c>
      <c r="FK98" s="26">
        <f t="shared" si="32"/>
        <v>0</v>
      </c>
      <c r="FL98" s="26">
        <f t="shared" si="32"/>
        <v>0</v>
      </c>
      <c r="FM98" s="26">
        <f t="shared" si="32"/>
        <v>0</v>
      </c>
      <c r="FN98" s="26">
        <f t="shared" si="32"/>
        <v>0</v>
      </c>
      <c r="FO98" s="26">
        <f t="shared" si="32"/>
        <v>0</v>
      </c>
      <c r="FP98" s="26">
        <f t="shared" si="32"/>
        <v>0</v>
      </c>
      <c r="FQ98" s="26">
        <f t="shared" si="32"/>
        <v>0</v>
      </c>
      <c r="FR98" s="26">
        <f t="shared" si="32"/>
        <v>0</v>
      </c>
      <c r="FS98" s="26">
        <f t="shared" si="32"/>
        <v>0</v>
      </c>
      <c r="FT98" s="26">
        <f t="shared" si="32"/>
        <v>0</v>
      </c>
      <c r="FU98" s="26">
        <f t="shared" si="32"/>
        <v>0</v>
      </c>
      <c r="FV98" s="26">
        <f t="shared" si="32"/>
        <v>0</v>
      </c>
      <c r="FW98" s="26">
        <f t="shared" si="32"/>
        <v>0</v>
      </c>
      <c r="FX98" s="26">
        <f t="shared" si="32"/>
        <v>0</v>
      </c>
      <c r="FZ98" s="26"/>
      <c r="GA98" s="25"/>
      <c r="GB98" s="26"/>
      <c r="GC98" s="26"/>
      <c r="GD98" s="26"/>
      <c r="GE98" s="7"/>
      <c r="GF98" s="23"/>
      <c r="GG98" s="23"/>
      <c r="GH98" s="23"/>
      <c r="GI98" s="23"/>
      <c r="GJ98" s="23"/>
      <c r="GK98" s="23"/>
      <c r="GL98" s="23"/>
      <c r="GM98" s="23"/>
    </row>
    <row r="99" spans="1:207" ht="15.5" x14ac:dyDescent="0.35">
      <c r="A99" s="12" t="s">
        <v>559</v>
      </c>
      <c r="B99" s="7" t="s">
        <v>820</v>
      </c>
      <c r="C99" s="26">
        <f t="shared" ref="C99:FX99" si="33">C15</f>
        <v>4</v>
      </c>
      <c r="D99" s="26">
        <f t="shared" si="33"/>
        <v>58</v>
      </c>
      <c r="E99" s="26">
        <f t="shared" si="33"/>
        <v>11</v>
      </c>
      <c r="F99" s="26">
        <f t="shared" si="33"/>
        <v>11</v>
      </c>
      <c r="G99" s="26">
        <f t="shared" si="33"/>
        <v>1</v>
      </c>
      <c r="H99" s="26">
        <f t="shared" si="33"/>
        <v>1</v>
      </c>
      <c r="I99" s="26">
        <f t="shared" si="33"/>
        <v>9</v>
      </c>
      <c r="J99" s="26">
        <f t="shared" si="33"/>
        <v>0</v>
      </c>
      <c r="K99" s="26">
        <f t="shared" si="33"/>
        <v>0</v>
      </c>
      <c r="L99" s="26">
        <f t="shared" si="33"/>
        <v>23</v>
      </c>
      <c r="M99" s="26">
        <f t="shared" si="33"/>
        <v>14</v>
      </c>
      <c r="N99" s="26">
        <f t="shared" si="33"/>
        <v>159.5</v>
      </c>
      <c r="O99" s="26">
        <f t="shared" si="33"/>
        <v>98</v>
      </c>
      <c r="P99" s="26">
        <f t="shared" si="33"/>
        <v>0</v>
      </c>
      <c r="Q99" s="26">
        <f t="shared" si="33"/>
        <v>209</v>
      </c>
      <c r="R99" s="26">
        <f t="shared" si="33"/>
        <v>1</v>
      </c>
      <c r="S99" s="26">
        <f t="shared" si="33"/>
        <v>0</v>
      </c>
      <c r="T99" s="26">
        <f t="shared" si="33"/>
        <v>0</v>
      </c>
      <c r="U99" s="26">
        <f t="shared" si="33"/>
        <v>0</v>
      </c>
      <c r="V99" s="26">
        <f t="shared" si="33"/>
        <v>0</v>
      </c>
      <c r="W99" s="26">
        <f t="shared" si="33"/>
        <v>1</v>
      </c>
      <c r="X99" s="26">
        <f t="shared" si="33"/>
        <v>0</v>
      </c>
      <c r="Y99" s="26">
        <f t="shared" si="33"/>
        <v>0</v>
      </c>
      <c r="Z99" s="26">
        <f t="shared" si="33"/>
        <v>0</v>
      </c>
      <c r="AA99" s="26">
        <f t="shared" si="33"/>
        <v>37</v>
      </c>
      <c r="AB99" s="26">
        <f t="shared" si="33"/>
        <v>46.5</v>
      </c>
      <c r="AC99" s="26">
        <f t="shared" si="33"/>
        <v>0</v>
      </c>
      <c r="AD99" s="26">
        <f t="shared" si="33"/>
        <v>6.5</v>
      </c>
      <c r="AE99" s="26">
        <f t="shared" si="33"/>
        <v>0</v>
      </c>
      <c r="AF99" s="26">
        <f t="shared" si="33"/>
        <v>0</v>
      </c>
      <c r="AG99" s="26">
        <f t="shared" si="33"/>
        <v>0</v>
      </c>
      <c r="AH99" s="26">
        <f t="shared" si="33"/>
        <v>0</v>
      </c>
      <c r="AI99" s="26">
        <f t="shared" si="33"/>
        <v>0</v>
      </c>
      <c r="AJ99" s="26">
        <f t="shared" si="33"/>
        <v>0</v>
      </c>
      <c r="AK99" s="26">
        <f t="shared" si="33"/>
        <v>0</v>
      </c>
      <c r="AL99" s="26">
        <f t="shared" si="33"/>
        <v>0</v>
      </c>
      <c r="AM99" s="26">
        <f t="shared" si="33"/>
        <v>0</v>
      </c>
      <c r="AN99" s="26">
        <f t="shared" si="33"/>
        <v>1</v>
      </c>
      <c r="AO99" s="26">
        <f t="shared" si="33"/>
        <v>0</v>
      </c>
      <c r="AP99" s="26">
        <f t="shared" si="33"/>
        <v>191</v>
      </c>
      <c r="AQ99" s="26">
        <f t="shared" si="33"/>
        <v>0</v>
      </c>
      <c r="AR99" s="26">
        <f t="shared" si="33"/>
        <v>155</v>
      </c>
      <c r="AS99" s="26">
        <f t="shared" si="33"/>
        <v>16</v>
      </c>
      <c r="AT99" s="26">
        <f t="shared" si="33"/>
        <v>3</v>
      </c>
      <c r="AU99" s="26">
        <f t="shared" si="33"/>
        <v>0</v>
      </c>
      <c r="AV99" s="26">
        <f t="shared" si="33"/>
        <v>0</v>
      </c>
      <c r="AW99" s="26">
        <f t="shared" si="33"/>
        <v>2</v>
      </c>
      <c r="AX99" s="26">
        <f t="shared" si="33"/>
        <v>0</v>
      </c>
      <c r="AY99" s="26">
        <f t="shared" si="33"/>
        <v>0</v>
      </c>
      <c r="AZ99" s="26">
        <f t="shared" si="33"/>
        <v>1</v>
      </c>
      <c r="BA99" s="26">
        <f t="shared" si="33"/>
        <v>0.5</v>
      </c>
      <c r="BB99" s="26">
        <f t="shared" si="33"/>
        <v>9</v>
      </c>
      <c r="BC99" s="26">
        <f t="shared" si="33"/>
        <v>30</v>
      </c>
      <c r="BD99" s="26">
        <f t="shared" si="33"/>
        <v>4</v>
      </c>
      <c r="BE99" s="26">
        <f t="shared" si="33"/>
        <v>0</v>
      </c>
      <c r="BF99" s="26">
        <f t="shared" si="33"/>
        <v>31.5</v>
      </c>
      <c r="BG99" s="26">
        <f t="shared" si="33"/>
        <v>0</v>
      </c>
      <c r="BH99" s="26">
        <f t="shared" si="33"/>
        <v>12</v>
      </c>
      <c r="BI99" s="26">
        <f t="shared" si="33"/>
        <v>0</v>
      </c>
      <c r="BJ99" s="26">
        <f t="shared" si="33"/>
        <v>15.5</v>
      </c>
      <c r="BK99" s="26">
        <f t="shared" si="33"/>
        <v>83</v>
      </c>
      <c r="BL99" s="26">
        <f t="shared" si="33"/>
        <v>2.5</v>
      </c>
      <c r="BM99" s="26">
        <f t="shared" si="33"/>
        <v>18.5</v>
      </c>
      <c r="BN99" s="26">
        <f t="shared" si="33"/>
        <v>33.5</v>
      </c>
      <c r="BO99" s="26">
        <f t="shared" si="33"/>
        <v>3</v>
      </c>
      <c r="BP99" s="26">
        <f t="shared" si="33"/>
        <v>0</v>
      </c>
      <c r="BQ99" s="26">
        <f t="shared" si="33"/>
        <v>2</v>
      </c>
      <c r="BR99" s="26">
        <f t="shared" si="33"/>
        <v>0</v>
      </c>
      <c r="BS99" s="26">
        <f t="shared" si="33"/>
        <v>0</v>
      </c>
      <c r="BT99" s="26">
        <f t="shared" si="33"/>
        <v>0</v>
      </c>
      <c r="BU99" s="26">
        <f t="shared" si="33"/>
        <v>0</v>
      </c>
      <c r="BV99" s="26">
        <f t="shared" si="33"/>
        <v>0</v>
      </c>
      <c r="BW99" s="26">
        <f t="shared" si="33"/>
        <v>0</v>
      </c>
      <c r="BX99" s="26">
        <f t="shared" si="33"/>
        <v>0</v>
      </c>
      <c r="BY99" s="26">
        <f t="shared" si="33"/>
        <v>0</v>
      </c>
      <c r="BZ99" s="26">
        <f t="shared" si="33"/>
        <v>0</v>
      </c>
      <c r="CA99" s="26">
        <f t="shared" si="33"/>
        <v>0</v>
      </c>
      <c r="CB99" s="26">
        <f t="shared" si="33"/>
        <v>235</v>
      </c>
      <c r="CC99" s="26">
        <f t="shared" si="33"/>
        <v>0</v>
      </c>
      <c r="CD99" s="26">
        <f t="shared" si="33"/>
        <v>0</v>
      </c>
      <c r="CE99" s="26">
        <f t="shared" si="33"/>
        <v>0</v>
      </c>
      <c r="CF99" s="26">
        <f t="shared" si="33"/>
        <v>0</v>
      </c>
      <c r="CG99" s="26">
        <f t="shared" si="33"/>
        <v>0</v>
      </c>
      <c r="CH99" s="26">
        <f t="shared" si="33"/>
        <v>0</v>
      </c>
      <c r="CI99" s="26">
        <f t="shared" si="33"/>
        <v>0</v>
      </c>
      <c r="CJ99" s="26">
        <f t="shared" si="33"/>
        <v>0</v>
      </c>
      <c r="CK99" s="26">
        <f t="shared" si="33"/>
        <v>0</v>
      </c>
      <c r="CL99" s="26">
        <f t="shared" si="33"/>
        <v>4</v>
      </c>
      <c r="CM99" s="26">
        <f t="shared" si="33"/>
        <v>0</v>
      </c>
      <c r="CN99" s="26">
        <f t="shared" si="33"/>
        <v>232</v>
      </c>
      <c r="CO99" s="26">
        <f t="shared" si="33"/>
        <v>69.5</v>
      </c>
      <c r="CP99" s="26">
        <f t="shared" si="33"/>
        <v>3</v>
      </c>
      <c r="CQ99" s="26">
        <f t="shared" si="33"/>
        <v>0</v>
      </c>
      <c r="CR99" s="26">
        <f t="shared" si="33"/>
        <v>0</v>
      </c>
      <c r="CS99" s="26">
        <f t="shared" si="33"/>
        <v>0</v>
      </c>
      <c r="CT99" s="26">
        <f t="shared" si="33"/>
        <v>0</v>
      </c>
      <c r="CU99" s="26">
        <f t="shared" si="33"/>
        <v>2</v>
      </c>
      <c r="CV99" s="26">
        <f t="shared" si="33"/>
        <v>0</v>
      </c>
      <c r="CW99" s="26">
        <f t="shared" si="33"/>
        <v>0</v>
      </c>
      <c r="CX99" s="26">
        <f t="shared" si="33"/>
        <v>0</v>
      </c>
      <c r="CY99" s="26">
        <f t="shared" si="33"/>
        <v>0</v>
      </c>
      <c r="CZ99" s="26">
        <f t="shared" si="33"/>
        <v>0</v>
      </c>
      <c r="DA99" s="26">
        <f t="shared" si="33"/>
        <v>0</v>
      </c>
      <c r="DB99" s="26">
        <f t="shared" si="33"/>
        <v>0</v>
      </c>
      <c r="DC99" s="26">
        <f t="shared" si="33"/>
        <v>0</v>
      </c>
      <c r="DD99" s="26">
        <f t="shared" si="33"/>
        <v>0</v>
      </c>
      <c r="DE99" s="26">
        <f t="shared" si="33"/>
        <v>0</v>
      </c>
      <c r="DF99" s="26">
        <f t="shared" si="33"/>
        <v>18.5</v>
      </c>
      <c r="DG99" s="26">
        <f t="shared" si="33"/>
        <v>0</v>
      </c>
      <c r="DH99" s="26">
        <f t="shared" si="33"/>
        <v>0</v>
      </c>
      <c r="DI99" s="26">
        <f t="shared" si="33"/>
        <v>0</v>
      </c>
      <c r="DJ99" s="26">
        <f t="shared" si="33"/>
        <v>0</v>
      </c>
      <c r="DK99" s="26">
        <f t="shared" si="33"/>
        <v>0</v>
      </c>
      <c r="DL99" s="26">
        <f t="shared" si="33"/>
        <v>0</v>
      </c>
      <c r="DM99" s="26">
        <f t="shared" si="33"/>
        <v>0</v>
      </c>
      <c r="DN99" s="26">
        <f t="shared" si="33"/>
        <v>1</v>
      </c>
      <c r="DO99" s="26">
        <f t="shared" si="33"/>
        <v>0</v>
      </c>
      <c r="DP99" s="26">
        <f t="shared" si="33"/>
        <v>0</v>
      </c>
      <c r="DQ99" s="26">
        <f t="shared" si="33"/>
        <v>1</v>
      </c>
      <c r="DR99" s="26">
        <f t="shared" si="33"/>
        <v>0</v>
      </c>
      <c r="DS99" s="26">
        <f t="shared" si="33"/>
        <v>0</v>
      </c>
      <c r="DT99" s="26">
        <f t="shared" si="33"/>
        <v>0</v>
      </c>
      <c r="DU99" s="26">
        <f t="shared" si="33"/>
        <v>0</v>
      </c>
      <c r="DV99" s="26">
        <f t="shared" si="33"/>
        <v>0</v>
      </c>
      <c r="DW99" s="26">
        <f t="shared" si="33"/>
        <v>0</v>
      </c>
      <c r="DX99" s="26">
        <f t="shared" si="33"/>
        <v>0</v>
      </c>
      <c r="DY99" s="26">
        <f t="shared" si="33"/>
        <v>0</v>
      </c>
      <c r="DZ99" s="26">
        <f t="shared" si="33"/>
        <v>1</v>
      </c>
      <c r="EA99" s="26">
        <f t="shared" si="33"/>
        <v>0</v>
      </c>
      <c r="EB99" s="26">
        <f t="shared" si="33"/>
        <v>0</v>
      </c>
      <c r="EC99" s="26">
        <f t="shared" si="33"/>
        <v>0</v>
      </c>
      <c r="ED99" s="26">
        <f t="shared" si="33"/>
        <v>0</v>
      </c>
      <c r="EE99" s="26">
        <f t="shared" si="33"/>
        <v>0</v>
      </c>
      <c r="EF99" s="26">
        <f t="shared" si="33"/>
        <v>2</v>
      </c>
      <c r="EG99" s="26">
        <f t="shared" si="33"/>
        <v>0</v>
      </c>
      <c r="EH99" s="26">
        <f t="shared" si="33"/>
        <v>0</v>
      </c>
      <c r="EI99" s="26">
        <f t="shared" si="33"/>
        <v>24.5</v>
      </c>
      <c r="EJ99" s="26">
        <f t="shared" si="33"/>
        <v>26</v>
      </c>
      <c r="EK99" s="26">
        <f t="shared" si="33"/>
        <v>0</v>
      </c>
      <c r="EL99" s="26">
        <f t="shared" si="33"/>
        <v>0</v>
      </c>
      <c r="EM99" s="26">
        <f t="shared" si="33"/>
        <v>0</v>
      </c>
      <c r="EN99" s="26">
        <f t="shared" si="33"/>
        <v>0</v>
      </c>
      <c r="EO99" s="26">
        <f t="shared" si="33"/>
        <v>0</v>
      </c>
      <c r="EP99" s="26">
        <f t="shared" si="33"/>
        <v>0</v>
      </c>
      <c r="EQ99" s="26">
        <f t="shared" si="33"/>
        <v>2</v>
      </c>
      <c r="ER99" s="26">
        <f t="shared" si="33"/>
        <v>2</v>
      </c>
      <c r="ES99" s="26">
        <f t="shared" si="33"/>
        <v>0</v>
      </c>
      <c r="ET99" s="26">
        <f t="shared" si="33"/>
        <v>0</v>
      </c>
      <c r="EU99" s="26">
        <f t="shared" si="33"/>
        <v>0</v>
      </c>
      <c r="EV99" s="26">
        <f t="shared" si="33"/>
        <v>0</v>
      </c>
      <c r="EW99" s="26">
        <f t="shared" si="33"/>
        <v>0</v>
      </c>
      <c r="EX99" s="26">
        <f t="shared" si="33"/>
        <v>0</v>
      </c>
      <c r="EY99" s="26">
        <f t="shared" si="33"/>
        <v>0</v>
      </c>
      <c r="EZ99" s="26">
        <f t="shared" si="33"/>
        <v>0</v>
      </c>
      <c r="FA99" s="26">
        <f t="shared" si="33"/>
        <v>12</v>
      </c>
      <c r="FB99" s="26">
        <f t="shared" si="33"/>
        <v>0</v>
      </c>
      <c r="FC99" s="26">
        <f t="shared" si="33"/>
        <v>4</v>
      </c>
      <c r="FD99" s="26">
        <f t="shared" si="33"/>
        <v>0</v>
      </c>
      <c r="FE99" s="26">
        <f t="shared" si="33"/>
        <v>0</v>
      </c>
      <c r="FF99" s="26">
        <f t="shared" si="33"/>
        <v>0</v>
      </c>
      <c r="FG99" s="26">
        <f t="shared" si="33"/>
        <v>0</v>
      </c>
      <c r="FH99" s="26">
        <f t="shared" si="33"/>
        <v>0</v>
      </c>
      <c r="FI99" s="26">
        <f t="shared" si="33"/>
        <v>0</v>
      </c>
      <c r="FJ99" s="26">
        <f t="shared" si="33"/>
        <v>0</v>
      </c>
      <c r="FK99" s="26">
        <f t="shared" si="33"/>
        <v>0</v>
      </c>
      <c r="FL99" s="26">
        <f t="shared" si="33"/>
        <v>0</v>
      </c>
      <c r="FM99" s="26">
        <f t="shared" si="33"/>
        <v>0</v>
      </c>
      <c r="FN99" s="26">
        <f t="shared" si="33"/>
        <v>15.5</v>
      </c>
      <c r="FO99" s="26">
        <f t="shared" si="33"/>
        <v>0</v>
      </c>
      <c r="FP99" s="26">
        <f t="shared" si="33"/>
        <v>0</v>
      </c>
      <c r="FQ99" s="26">
        <f t="shared" si="33"/>
        <v>0</v>
      </c>
      <c r="FR99" s="26">
        <f t="shared" si="33"/>
        <v>0</v>
      </c>
      <c r="FS99" s="26">
        <f t="shared" si="33"/>
        <v>0</v>
      </c>
      <c r="FT99" s="26" t="e">
        <f t="shared" ca="1" si="33"/>
        <v>#NAME?</v>
      </c>
      <c r="FU99" s="26">
        <f t="shared" si="33"/>
        <v>0</v>
      </c>
      <c r="FV99" s="26">
        <f t="shared" si="33"/>
        <v>1</v>
      </c>
      <c r="FW99" s="26">
        <f t="shared" si="33"/>
        <v>2</v>
      </c>
      <c r="FX99" s="26">
        <f t="shared" si="33"/>
        <v>0</v>
      </c>
      <c r="FZ99" s="26"/>
      <c r="GA99" s="25"/>
      <c r="GB99" s="26"/>
      <c r="GC99" s="26"/>
      <c r="GD99" s="26"/>
      <c r="GE99" s="7"/>
      <c r="GF99" s="23"/>
      <c r="GG99" s="23"/>
      <c r="GH99" s="23"/>
      <c r="GI99" s="23"/>
      <c r="GJ99" s="23"/>
      <c r="GK99" s="23"/>
      <c r="GL99" s="23"/>
      <c r="GM99" s="23"/>
    </row>
    <row r="100" spans="1:207" ht="15.5" x14ac:dyDescent="0.35">
      <c r="A100" s="12" t="s">
        <v>561</v>
      </c>
      <c r="B100" s="7" t="s">
        <v>821</v>
      </c>
      <c r="C100" s="26">
        <f t="shared" ref="C100:FX100" si="34">C35</f>
        <v>0</v>
      </c>
      <c r="D100" s="26">
        <f t="shared" si="34"/>
        <v>23</v>
      </c>
      <c r="E100" s="26">
        <f t="shared" si="34"/>
        <v>0</v>
      </c>
      <c r="F100" s="26">
        <f t="shared" si="34"/>
        <v>0</v>
      </c>
      <c r="G100" s="26">
        <f t="shared" si="34"/>
        <v>0</v>
      </c>
      <c r="H100" s="26">
        <f t="shared" si="34"/>
        <v>0</v>
      </c>
      <c r="I100" s="26">
        <f t="shared" si="34"/>
        <v>0</v>
      </c>
      <c r="J100" s="26">
        <f t="shared" si="34"/>
        <v>0</v>
      </c>
      <c r="K100" s="26">
        <f t="shared" si="34"/>
        <v>0</v>
      </c>
      <c r="L100" s="26">
        <f t="shared" si="34"/>
        <v>0</v>
      </c>
      <c r="M100" s="26">
        <f t="shared" si="34"/>
        <v>0</v>
      </c>
      <c r="N100" s="26">
        <f t="shared" si="34"/>
        <v>0</v>
      </c>
      <c r="O100" s="26">
        <f t="shared" si="34"/>
        <v>0</v>
      </c>
      <c r="P100" s="26">
        <f t="shared" si="34"/>
        <v>0</v>
      </c>
      <c r="Q100" s="26">
        <f t="shared" si="34"/>
        <v>0</v>
      </c>
      <c r="R100" s="26">
        <f t="shared" si="34"/>
        <v>0</v>
      </c>
      <c r="S100" s="26">
        <f t="shared" si="34"/>
        <v>0</v>
      </c>
      <c r="T100" s="26">
        <f t="shared" si="34"/>
        <v>0</v>
      </c>
      <c r="U100" s="26">
        <f t="shared" si="34"/>
        <v>0</v>
      </c>
      <c r="V100" s="26">
        <f t="shared" si="34"/>
        <v>0</v>
      </c>
      <c r="W100" s="26">
        <f t="shared" si="34"/>
        <v>0</v>
      </c>
      <c r="X100" s="26">
        <f t="shared" si="34"/>
        <v>0</v>
      </c>
      <c r="Y100" s="26">
        <f t="shared" si="34"/>
        <v>0</v>
      </c>
      <c r="Z100" s="26">
        <f t="shared" si="34"/>
        <v>0</v>
      </c>
      <c r="AA100" s="26">
        <f t="shared" si="34"/>
        <v>0</v>
      </c>
      <c r="AB100" s="26">
        <f t="shared" si="34"/>
        <v>0</v>
      </c>
      <c r="AC100" s="26">
        <f t="shared" si="34"/>
        <v>0</v>
      </c>
      <c r="AD100" s="26">
        <f t="shared" si="34"/>
        <v>0</v>
      </c>
      <c r="AE100" s="26">
        <f t="shared" si="34"/>
        <v>0</v>
      </c>
      <c r="AF100" s="26">
        <f t="shared" si="34"/>
        <v>0</v>
      </c>
      <c r="AG100" s="26">
        <f t="shared" si="34"/>
        <v>0</v>
      </c>
      <c r="AH100" s="26">
        <f t="shared" si="34"/>
        <v>0</v>
      </c>
      <c r="AI100" s="26">
        <f t="shared" si="34"/>
        <v>0</v>
      </c>
      <c r="AJ100" s="26">
        <f t="shared" si="34"/>
        <v>0</v>
      </c>
      <c r="AK100" s="26">
        <f t="shared" si="34"/>
        <v>0</v>
      </c>
      <c r="AL100" s="26">
        <f t="shared" si="34"/>
        <v>0</v>
      </c>
      <c r="AM100" s="26">
        <f t="shared" si="34"/>
        <v>0</v>
      </c>
      <c r="AN100" s="26">
        <f t="shared" si="34"/>
        <v>0</v>
      </c>
      <c r="AO100" s="26">
        <f t="shared" si="34"/>
        <v>0</v>
      </c>
      <c r="AP100" s="26">
        <f t="shared" si="34"/>
        <v>0</v>
      </c>
      <c r="AQ100" s="26">
        <f t="shared" si="34"/>
        <v>0</v>
      </c>
      <c r="AR100" s="26">
        <f t="shared" si="34"/>
        <v>0</v>
      </c>
      <c r="AS100" s="26">
        <f t="shared" si="34"/>
        <v>0</v>
      </c>
      <c r="AT100" s="26">
        <f t="shared" si="34"/>
        <v>0</v>
      </c>
      <c r="AU100" s="26">
        <f t="shared" si="34"/>
        <v>0</v>
      </c>
      <c r="AV100" s="26">
        <f t="shared" si="34"/>
        <v>0</v>
      </c>
      <c r="AW100" s="26">
        <f t="shared" si="34"/>
        <v>0</v>
      </c>
      <c r="AX100" s="26">
        <f t="shared" si="34"/>
        <v>0</v>
      </c>
      <c r="AY100" s="26">
        <f t="shared" si="34"/>
        <v>0</v>
      </c>
      <c r="AZ100" s="26">
        <f t="shared" si="34"/>
        <v>0</v>
      </c>
      <c r="BA100" s="26">
        <f t="shared" si="34"/>
        <v>0</v>
      </c>
      <c r="BB100" s="26">
        <f t="shared" si="34"/>
        <v>0</v>
      </c>
      <c r="BC100" s="26">
        <f t="shared" si="34"/>
        <v>0</v>
      </c>
      <c r="BD100" s="26">
        <f t="shared" si="34"/>
        <v>0</v>
      </c>
      <c r="BE100" s="26">
        <f t="shared" si="34"/>
        <v>0</v>
      </c>
      <c r="BF100" s="26">
        <f t="shared" si="34"/>
        <v>0</v>
      </c>
      <c r="BG100" s="26">
        <f t="shared" si="34"/>
        <v>0</v>
      </c>
      <c r="BH100" s="26">
        <f t="shared" si="34"/>
        <v>0</v>
      </c>
      <c r="BI100" s="26">
        <f t="shared" si="34"/>
        <v>0</v>
      </c>
      <c r="BJ100" s="26">
        <f t="shared" si="34"/>
        <v>0</v>
      </c>
      <c r="BK100" s="26">
        <f t="shared" si="34"/>
        <v>0</v>
      </c>
      <c r="BL100" s="26">
        <f t="shared" si="34"/>
        <v>0</v>
      </c>
      <c r="BM100" s="26">
        <f t="shared" si="34"/>
        <v>0</v>
      </c>
      <c r="BN100" s="26">
        <f t="shared" si="34"/>
        <v>0</v>
      </c>
      <c r="BO100" s="26">
        <f t="shared" si="34"/>
        <v>0</v>
      </c>
      <c r="BP100" s="26">
        <f t="shared" si="34"/>
        <v>0</v>
      </c>
      <c r="BQ100" s="26">
        <f t="shared" si="34"/>
        <v>0</v>
      </c>
      <c r="BR100" s="26">
        <f t="shared" si="34"/>
        <v>0</v>
      </c>
      <c r="BS100" s="26">
        <f t="shared" si="34"/>
        <v>0</v>
      </c>
      <c r="BT100" s="26">
        <f t="shared" si="34"/>
        <v>0</v>
      </c>
      <c r="BU100" s="26">
        <f t="shared" si="34"/>
        <v>0</v>
      </c>
      <c r="BV100" s="26">
        <f t="shared" si="34"/>
        <v>0</v>
      </c>
      <c r="BW100" s="26">
        <f t="shared" si="34"/>
        <v>0</v>
      </c>
      <c r="BX100" s="26">
        <f t="shared" si="34"/>
        <v>0</v>
      </c>
      <c r="BY100" s="26">
        <f t="shared" si="34"/>
        <v>0</v>
      </c>
      <c r="BZ100" s="26">
        <f t="shared" si="34"/>
        <v>0</v>
      </c>
      <c r="CA100" s="26">
        <f t="shared" si="34"/>
        <v>0</v>
      </c>
      <c r="CB100" s="26">
        <f t="shared" si="34"/>
        <v>0</v>
      </c>
      <c r="CC100" s="26">
        <f t="shared" si="34"/>
        <v>0</v>
      </c>
      <c r="CD100" s="26">
        <f t="shared" si="34"/>
        <v>0</v>
      </c>
      <c r="CE100" s="26">
        <f t="shared" si="34"/>
        <v>0</v>
      </c>
      <c r="CF100" s="26">
        <f t="shared" si="34"/>
        <v>0</v>
      </c>
      <c r="CG100" s="26">
        <f t="shared" si="34"/>
        <v>0</v>
      </c>
      <c r="CH100" s="26">
        <f t="shared" si="34"/>
        <v>0</v>
      </c>
      <c r="CI100" s="26">
        <f t="shared" si="34"/>
        <v>0</v>
      </c>
      <c r="CJ100" s="26">
        <f t="shared" si="34"/>
        <v>0</v>
      </c>
      <c r="CK100" s="26">
        <f t="shared" si="34"/>
        <v>0</v>
      </c>
      <c r="CL100" s="26">
        <f t="shared" si="34"/>
        <v>0</v>
      </c>
      <c r="CM100" s="26">
        <f t="shared" si="34"/>
        <v>0</v>
      </c>
      <c r="CN100" s="26">
        <f t="shared" si="34"/>
        <v>0</v>
      </c>
      <c r="CO100" s="26">
        <f t="shared" si="34"/>
        <v>0</v>
      </c>
      <c r="CP100" s="26">
        <f t="shared" si="34"/>
        <v>0</v>
      </c>
      <c r="CQ100" s="26">
        <f t="shared" si="34"/>
        <v>0</v>
      </c>
      <c r="CR100" s="26">
        <f t="shared" si="34"/>
        <v>0</v>
      </c>
      <c r="CS100" s="26">
        <f t="shared" si="34"/>
        <v>0</v>
      </c>
      <c r="CT100" s="26">
        <f t="shared" si="34"/>
        <v>0</v>
      </c>
      <c r="CU100" s="26">
        <f t="shared" si="34"/>
        <v>0</v>
      </c>
      <c r="CV100" s="26">
        <f t="shared" si="34"/>
        <v>0</v>
      </c>
      <c r="CW100" s="26">
        <f t="shared" si="34"/>
        <v>0</v>
      </c>
      <c r="CX100" s="26">
        <f t="shared" si="34"/>
        <v>0</v>
      </c>
      <c r="CY100" s="26">
        <f t="shared" si="34"/>
        <v>0</v>
      </c>
      <c r="CZ100" s="26">
        <f t="shared" si="34"/>
        <v>0</v>
      </c>
      <c r="DA100" s="26">
        <f t="shared" si="34"/>
        <v>0</v>
      </c>
      <c r="DB100" s="26">
        <f t="shared" si="34"/>
        <v>0</v>
      </c>
      <c r="DC100" s="26">
        <f t="shared" si="34"/>
        <v>0</v>
      </c>
      <c r="DD100" s="26">
        <f t="shared" si="34"/>
        <v>0</v>
      </c>
      <c r="DE100" s="26">
        <f t="shared" si="34"/>
        <v>0</v>
      </c>
      <c r="DF100" s="26">
        <f t="shared" si="34"/>
        <v>0</v>
      </c>
      <c r="DG100" s="26">
        <f t="shared" si="34"/>
        <v>0</v>
      </c>
      <c r="DH100" s="26">
        <f t="shared" si="34"/>
        <v>0</v>
      </c>
      <c r="DI100" s="26">
        <f t="shared" si="34"/>
        <v>0</v>
      </c>
      <c r="DJ100" s="26">
        <f t="shared" si="34"/>
        <v>0</v>
      </c>
      <c r="DK100" s="26">
        <f t="shared" si="34"/>
        <v>0</v>
      </c>
      <c r="DL100" s="26">
        <f t="shared" si="34"/>
        <v>0</v>
      </c>
      <c r="DM100" s="26">
        <f t="shared" si="34"/>
        <v>0</v>
      </c>
      <c r="DN100" s="26">
        <f t="shared" si="34"/>
        <v>0</v>
      </c>
      <c r="DO100" s="26">
        <f t="shared" si="34"/>
        <v>0</v>
      </c>
      <c r="DP100" s="26">
        <f t="shared" si="34"/>
        <v>0</v>
      </c>
      <c r="DQ100" s="26">
        <f t="shared" si="34"/>
        <v>0</v>
      </c>
      <c r="DR100" s="26">
        <f t="shared" si="34"/>
        <v>0</v>
      </c>
      <c r="DS100" s="26">
        <f t="shared" si="34"/>
        <v>0</v>
      </c>
      <c r="DT100" s="26">
        <f t="shared" si="34"/>
        <v>0</v>
      </c>
      <c r="DU100" s="26">
        <f t="shared" si="34"/>
        <v>0</v>
      </c>
      <c r="DV100" s="26">
        <f t="shared" si="34"/>
        <v>0</v>
      </c>
      <c r="DW100" s="26">
        <f t="shared" si="34"/>
        <v>0</v>
      </c>
      <c r="DX100" s="26">
        <f t="shared" si="34"/>
        <v>0</v>
      </c>
      <c r="DY100" s="26">
        <f t="shared" si="34"/>
        <v>0</v>
      </c>
      <c r="DZ100" s="26">
        <f t="shared" si="34"/>
        <v>0</v>
      </c>
      <c r="EA100" s="26">
        <f t="shared" si="34"/>
        <v>0</v>
      </c>
      <c r="EB100" s="26">
        <f t="shared" si="34"/>
        <v>0</v>
      </c>
      <c r="EC100" s="26">
        <f t="shared" si="34"/>
        <v>0</v>
      </c>
      <c r="ED100" s="26">
        <f t="shared" si="34"/>
        <v>0</v>
      </c>
      <c r="EE100" s="26">
        <f t="shared" si="34"/>
        <v>0</v>
      </c>
      <c r="EF100" s="26">
        <f t="shared" si="34"/>
        <v>0</v>
      </c>
      <c r="EG100" s="26">
        <f t="shared" si="34"/>
        <v>0</v>
      </c>
      <c r="EH100" s="26">
        <f t="shared" si="34"/>
        <v>0</v>
      </c>
      <c r="EI100" s="26">
        <f t="shared" si="34"/>
        <v>0</v>
      </c>
      <c r="EJ100" s="26">
        <f t="shared" si="34"/>
        <v>0</v>
      </c>
      <c r="EK100" s="26">
        <f t="shared" si="34"/>
        <v>0</v>
      </c>
      <c r="EL100" s="26">
        <f t="shared" si="34"/>
        <v>0</v>
      </c>
      <c r="EM100" s="26">
        <f t="shared" si="34"/>
        <v>0</v>
      </c>
      <c r="EN100" s="26">
        <f t="shared" si="34"/>
        <v>0</v>
      </c>
      <c r="EO100" s="26">
        <f t="shared" si="34"/>
        <v>0</v>
      </c>
      <c r="EP100" s="26">
        <f t="shared" si="34"/>
        <v>0</v>
      </c>
      <c r="EQ100" s="26">
        <f t="shared" si="34"/>
        <v>0</v>
      </c>
      <c r="ER100" s="26">
        <f t="shared" si="34"/>
        <v>0</v>
      </c>
      <c r="ES100" s="26">
        <f t="shared" si="34"/>
        <v>0</v>
      </c>
      <c r="ET100" s="26">
        <f t="shared" si="34"/>
        <v>0</v>
      </c>
      <c r="EU100" s="26">
        <f t="shared" si="34"/>
        <v>0</v>
      </c>
      <c r="EV100" s="26">
        <f t="shared" si="34"/>
        <v>0</v>
      </c>
      <c r="EW100" s="26">
        <f t="shared" si="34"/>
        <v>0</v>
      </c>
      <c r="EX100" s="26">
        <f t="shared" si="34"/>
        <v>0</v>
      </c>
      <c r="EY100" s="26">
        <f t="shared" si="34"/>
        <v>0</v>
      </c>
      <c r="EZ100" s="26">
        <f t="shared" si="34"/>
        <v>0</v>
      </c>
      <c r="FA100" s="26">
        <f t="shared" si="34"/>
        <v>0</v>
      </c>
      <c r="FB100" s="26">
        <f t="shared" si="34"/>
        <v>0</v>
      </c>
      <c r="FC100" s="26">
        <f t="shared" si="34"/>
        <v>0</v>
      </c>
      <c r="FD100" s="26">
        <f t="shared" si="34"/>
        <v>0</v>
      </c>
      <c r="FE100" s="26">
        <f t="shared" si="34"/>
        <v>0</v>
      </c>
      <c r="FF100" s="26">
        <f t="shared" si="34"/>
        <v>0</v>
      </c>
      <c r="FG100" s="26">
        <f t="shared" si="34"/>
        <v>0</v>
      </c>
      <c r="FH100" s="26">
        <f t="shared" si="34"/>
        <v>0</v>
      </c>
      <c r="FI100" s="26">
        <f t="shared" si="34"/>
        <v>0</v>
      </c>
      <c r="FJ100" s="26">
        <f t="shared" si="34"/>
        <v>0</v>
      </c>
      <c r="FK100" s="26">
        <f t="shared" si="34"/>
        <v>0</v>
      </c>
      <c r="FL100" s="26">
        <f t="shared" si="34"/>
        <v>0</v>
      </c>
      <c r="FM100" s="26">
        <f t="shared" si="34"/>
        <v>0</v>
      </c>
      <c r="FN100" s="26">
        <f t="shared" si="34"/>
        <v>0</v>
      </c>
      <c r="FO100" s="26">
        <f t="shared" si="34"/>
        <v>0</v>
      </c>
      <c r="FP100" s="26">
        <f t="shared" si="34"/>
        <v>0</v>
      </c>
      <c r="FQ100" s="26">
        <f t="shared" si="34"/>
        <v>0</v>
      </c>
      <c r="FR100" s="26">
        <f t="shared" si="34"/>
        <v>0</v>
      </c>
      <c r="FS100" s="26">
        <f t="shared" si="34"/>
        <v>0</v>
      </c>
      <c r="FT100" s="26">
        <f t="shared" si="34"/>
        <v>0</v>
      </c>
      <c r="FU100" s="26">
        <f t="shared" si="34"/>
        <v>0</v>
      </c>
      <c r="FV100" s="26">
        <f t="shared" si="34"/>
        <v>0</v>
      </c>
      <c r="FW100" s="26">
        <f t="shared" si="34"/>
        <v>0</v>
      </c>
      <c r="FX100" s="26">
        <f t="shared" si="34"/>
        <v>0</v>
      </c>
      <c r="FY100" s="35"/>
      <c r="FZ100" s="26">
        <f t="shared" ref="FZ100:FZ105" si="35">SUM(C100:FX100)</f>
        <v>23</v>
      </c>
      <c r="GA100" s="25"/>
      <c r="GB100" s="26"/>
      <c r="GC100" s="26"/>
      <c r="GD100" s="26"/>
      <c r="GE100" s="7"/>
      <c r="GF100" s="23"/>
      <c r="GG100" s="23"/>
      <c r="GH100" s="23"/>
      <c r="GI100" s="23"/>
      <c r="GJ100" s="23"/>
      <c r="GK100" s="23"/>
      <c r="GL100" s="23"/>
      <c r="GM100" s="23"/>
    </row>
    <row r="101" spans="1:207" ht="15.5" x14ac:dyDescent="0.35">
      <c r="A101" s="12" t="s">
        <v>565</v>
      </c>
      <c r="B101" s="7" t="s">
        <v>822</v>
      </c>
      <c r="C101" s="25">
        <f t="shared" ref="C101:CM101" si="36">C12</f>
        <v>152</v>
      </c>
      <c r="D101" s="25">
        <f t="shared" si="36"/>
        <v>499</v>
      </c>
      <c r="E101" s="25">
        <f t="shared" si="36"/>
        <v>0</v>
      </c>
      <c r="F101" s="25">
        <f t="shared" si="36"/>
        <v>2031</v>
      </c>
      <c r="G101" s="25">
        <f t="shared" si="36"/>
        <v>0</v>
      </c>
      <c r="H101" s="25">
        <f t="shared" si="36"/>
        <v>0</v>
      </c>
      <c r="I101" s="25">
        <f t="shared" si="36"/>
        <v>0</v>
      </c>
      <c r="J101" s="25">
        <f t="shared" si="36"/>
        <v>0</v>
      </c>
      <c r="K101" s="25">
        <f t="shared" si="36"/>
        <v>0</v>
      </c>
      <c r="L101" s="25">
        <f t="shared" si="36"/>
        <v>0</v>
      </c>
      <c r="M101" s="25">
        <f t="shared" si="36"/>
        <v>0</v>
      </c>
      <c r="N101" s="25">
        <f t="shared" si="36"/>
        <v>0</v>
      </c>
      <c r="O101" s="25">
        <f t="shared" si="36"/>
        <v>0</v>
      </c>
      <c r="P101" s="25">
        <f t="shared" si="36"/>
        <v>0</v>
      </c>
      <c r="Q101" s="25">
        <f t="shared" si="36"/>
        <v>0</v>
      </c>
      <c r="R101" s="25">
        <f t="shared" si="36"/>
        <v>6618</v>
      </c>
      <c r="S101" s="25">
        <f t="shared" si="36"/>
        <v>14</v>
      </c>
      <c r="T101" s="25">
        <f t="shared" si="36"/>
        <v>0</v>
      </c>
      <c r="U101" s="25">
        <f t="shared" si="36"/>
        <v>0</v>
      </c>
      <c r="V101" s="25">
        <f t="shared" si="36"/>
        <v>0</v>
      </c>
      <c r="W101" s="25">
        <f t="shared" si="36"/>
        <v>0</v>
      </c>
      <c r="X101" s="25">
        <f t="shared" si="36"/>
        <v>0</v>
      </c>
      <c r="Y101" s="25">
        <f t="shared" si="36"/>
        <v>473.5</v>
      </c>
      <c r="Z101" s="25">
        <f t="shared" si="36"/>
        <v>0</v>
      </c>
      <c r="AA101" s="25">
        <f t="shared" si="36"/>
        <v>336.5</v>
      </c>
      <c r="AB101" s="25">
        <f t="shared" si="36"/>
        <v>224</v>
      </c>
      <c r="AC101" s="25">
        <f t="shared" si="36"/>
        <v>0</v>
      </c>
      <c r="AD101" s="25">
        <f t="shared" si="36"/>
        <v>0</v>
      </c>
      <c r="AE101" s="25">
        <f t="shared" si="36"/>
        <v>0</v>
      </c>
      <c r="AF101" s="25">
        <f t="shared" si="36"/>
        <v>0</v>
      </c>
      <c r="AG101" s="25">
        <f t="shared" si="36"/>
        <v>0</v>
      </c>
      <c r="AH101" s="25">
        <f t="shared" si="36"/>
        <v>0</v>
      </c>
      <c r="AI101" s="25">
        <f t="shared" si="36"/>
        <v>0</v>
      </c>
      <c r="AJ101" s="25">
        <f t="shared" si="36"/>
        <v>0</v>
      </c>
      <c r="AK101" s="25">
        <f t="shared" si="36"/>
        <v>0</v>
      </c>
      <c r="AL101" s="25">
        <f t="shared" si="36"/>
        <v>0</v>
      </c>
      <c r="AM101" s="25">
        <f t="shared" si="36"/>
        <v>0</v>
      </c>
      <c r="AN101" s="25">
        <f t="shared" si="36"/>
        <v>0</v>
      </c>
      <c r="AO101" s="25">
        <f t="shared" si="36"/>
        <v>370.5</v>
      </c>
      <c r="AP101" s="25">
        <f t="shared" si="36"/>
        <v>595.5</v>
      </c>
      <c r="AQ101" s="25">
        <f t="shared" si="36"/>
        <v>0</v>
      </c>
      <c r="AR101" s="25">
        <f t="shared" si="36"/>
        <v>1303</v>
      </c>
      <c r="AS101" s="25">
        <f t="shared" si="36"/>
        <v>0</v>
      </c>
      <c r="AT101" s="25">
        <f t="shared" si="36"/>
        <v>0</v>
      </c>
      <c r="AU101" s="25">
        <f t="shared" si="36"/>
        <v>0</v>
      </c>
      <c r="AV101" s="25">
        <f t="shared" si="36"/>
        <v>0</v>
      </c>
      <c r="AW101" s="25">
        <f t="shared" si="36"/>
        <v>0</v>
      </c>
      <c r="AX101" s="25">
        <f t="shared" si="36"/>
        <v>0</v>
      </c>
      <c r="AY101" s="25">
        <f t="shared" si="36"/>
        <v>0</v>
      </c>
      <c r="AZ101" s="25">
        <f t="shared" si="36"/>
        <v>98</v>
      </c>
      <c r="BA101" s="25">
        <f t="shared" si="36"/>
        <v>240</v>
      </c>
      <c r="BB101" s="25">
        <f t="shared" si="36"/>
        <v>0</v>
      </c>
      <c r="BC101" s="25">
        <f t="shared" si="36"/>
        <v>475</v>
      </c>
      <c r="BD101" s="25">
        <f t="shared" si="36"/>
        <v>0</v>
      </c>
      <c r="BE101" s="25">
        <f t="shared" si="36"/>
        <v>0</v>
      </c>
      <c r="BF101" s="25">
        <f t="shared" si="36"/>
        <v>1194.5</v>
      </c>
      <c r="BG101" s="25">
        <f t="shared" si="36"/>
        <v>0</v>
      </c>
      <c r="BH101" s="25">
        <f t="shared" si="36"/>
        <v>28</v>
      </c>
      <c r="BI101" s="25">
        <f t="shared" si="36"/>
        <v>0</v>
      </c>
      <c r="BJ101" s="25">
        <f t="shared" si="36"/>
        <v>0</v>
      </c>
      <c r="BK101" s="25">
        <f t="shared" si="36"/>
        <v>13175.5</v>
      </c>
      <c r="BL101" s="25">
        <f t="shared" si="36"/>
        <v>0</v>
      </c>
      <c r="BM101" s="25">
        <f t="shared" si="36"/>
        <v>0</v>
      </c>
      <c r="BN101" s="25">
        <f t="shared" si="36"/>
        <v>0</v>
      </c>
      <c r="BO101" s="25">
        <f t="shared" si="36"/>
        <v>0</v>
      </c>
      <c r="BP101" s="25">
        <f t="shared" si="36"/>
        <v>0</v>
      </c>
      <c r="BQ101" s="25">
        <f t="shared" si="36"/>
        <v>0</v>
      </c>
      <c r="BR101" s="25">
        <f t="shared" si="36"/>
        <v>0</v>
      </c>
      <c r="BS101" s="25">
        <f t="shared" si="36"/>
        <v>0</v>
      </c>
      <c r="BT101" s="25">
        <f t="shared" si="36"/>
        <v>0</v>
      </c>
      <c r="BU101" s="25">
        <f t="shared" si="36"/>
        <v>0</v>
      </c>
      <c r="BV101" s="25">
        <f t="shared" si="36"/>
        <v>0</v>
      </c>
      <c r="BW101" s="25">
        <f t="shared" si="36"/>
        <v>0</v>
      </c>
      <c r="BX101" s="25">
        <f t="shared" si="36"/>
        <v>0</v>
      </c>
      <c r="BY101" s="25">
        <f t="shared" si="36"/>
        <v>0</v>
      </c>
      <c r="BZ101" s="25">
        <f t="shared" si="36"/>
        <v>0</v>
      </c>
      <c r="CA101" s="25">
        <f t="shared" si="36"/>
        <v>0</v>
      </c>
      <c r="CB101" s="25">
        <f t="shared" si="36"/>
        <v>815.5</v>
      </c>
      <c r="CC101" s="25">
        <f t="shared" si="36"/>
        <v>0</v>
      </c>
      <c r="CD101" s="25">
        <f t="shared" si="36"/>
        <v>0</v>
      </c>
      <c r="CE101" s="25">
        <f t="shared" si="36"/>
        <v>0</v>
      </c>
      <c r="CF101" s="25">
        <f t="shared" si="36"/>
        <v>0</v>
      </c>
      <c r="CG101" s="25">
        <f t="shared" si="36"/>
        <v>0</v>
      </c>
      <c r="CH101" s="25">
        <f t="shared" si="36"/>
        <v>0</v>
      </c>
      <c r="CI101" s="25">
        <f t="shared" si="36"/>
        <v>0</v>
      </c>
      <c r="CJ101" s="25">
        <f t="shared" si="36"/>
        <v>0</v>
      </c>
      <c r="CK101" s="25">
        <f t="shared" si="36"/>
        <v>23.5</v>
      </c>
      <c r="CL101" s="25">
        <f t="shared" si="36"/>
        <v>5.5</v>
      </c>
      <c r="CM101" s="25">
        <f t="shared" si="36"/>
        <v>2</v>
      </c>
      <c r="CN101" s="25">
        <f>CN12+CN33</f>
        <v>662</v>
      </c>
      <c r="CO101" s="25">
        <f t="shared" ref="CO101:FX101" si="37">CO12</f>
        <v>0</v>
      </c>
      <c r="CP101" s="25">
        <f t="shared" si="37"/>
        <v>0</v>
      </c>
      <c r="CQ101" s="25">
        <f t="shared" si="37"/>
        <v>0</v>
      </c>
      <c r="CR101" s="25">
        <f t="shared" si="37"/>
        <v>0</v>
      </c>
      <c r="CS101" s="25">
        <f t="shared" si="37"/>
        <v>0</v>
      </c>
      <c r="CT101" s="25">
        <f t="shared" si="37"/>
        <v>0</v>
      </c>
      <c r="CU101" s="25">
        <f t="shared" si="37"/>
        <v>396</v>
      </c>
      <c r="CV101" s="25">
        <f t="shared" si="37"/>
        <v>0</v>
      </c>
      <c r="CW101" s="25">
        <f t="shared" si="37"/>
        <v>0</v>
      </c>
      <c r="CX101" s="25">
        <f t="shared" si="37"/>
        <v>0</v>
      </c>
      <c r="CY101" s="25">
        <f t="shared" si="37"/>
        <v>0</v>
      </c>
      <c r="CZ101" s="25">
        <f t="shared" si="37"/>
        <v>0</v>
      </c>
      <c r="DA101" s="25">
        <f t="shared" si="37"/>
        <v>0</v>
      </c>
      <c r="DB101" s="25">
        <f t="shared" si="37"/>
        <v>0</v>
      </c>
      <c r="DC101" s="25">
        <f t="shared" si="37"/>
        <v>0</v>
      </c>
      <c r="DD101" s="25">
        <f t="shared" si="37"/>
        <v>0</v>
      </c>
      <c r="DE101" s="25">
        <f t="shared" si="37"/>
        <v>0</v>
      </c>
      <c r="DF101" s="25">
        <f t="shared" si="37"/>
        <v>0</v>
      </c>
      <c r="DG101" s="25">
        <f t="shared" si="37"/>
        <v>0</v>
      </c>
      <c r="DH101" s="25">
        <f t="shared" si="37"/>
        <v>0</v>
      </c>
      <c r="DI101" s="25">
        <f t="shared" si="37"/>
        <v>4</v>
      </c>
      <c r="DJ101" s="25">
        <f t="shared" si="37"/>
        <v>1</v>
      </c>
      <c r="DK101" s="25">
        <f t="shared" si="37"/>
        <v>1</v>
      </c>
      <c r="DL101" s="25">
        <f t="shared" si="37"/>
        <v>0</v>
      </c>
      <c r="DM101" s="25">
        <f t="shared" si="37"/>
        <v>0</v>
      </c>
      <c r="DN101" s="25">
        <f t="shared" si="37"/>
        <v>0</v>
      </c>
      <c r="DO101" s="25">
        <f t="shared" si="37"/>
        <v>0</v>
      </c>
      <c r="DP101" s="25">
        <f t="shared" si="37"/>
        <v>0</v>
      </c>
      <c r="DQ101" s="25">
        <f t="shared" si="37"/>
        <v>0</v>
      </c>
      <c r="DR101" s="25">
        <f t="shared" si="37"/>
        <v>0</v>
      </c>
      <c r="DS101" s="25">
        <f t="shared" si="37"/>
        <v>0</v>
      </c>
      <c r="DT101" s="25">
        <f t="shared" si="37"/>
        <v>0</v>
      </c>
      <c r="DU101" s="25">
        <f t="shared" si="37"/>
        <v>0</v>
      </c>
      <c r="DV101" s="25">
        <f t="shared" si="37"/>
        <v>0</v>
      </c>
      <c r="DW101" s="25">
        <f t="shared" si="37"/>
        <v>0</v>
      </c>
      <c r="DX101" s="25">
        <f t="shared" si="37"/>
        <v>0</v>
      </c>
      <c r="DY101" s="25">
        <f t="shared" si="37"/>
        <v>0</v>
      </c>
      <c r="DZ101" s="25">
        <f t="shared" si="37"/>
        <v>0</v>
      </c>
      <c r="EA101" s="25">
        <f t="shared" si="37"/>
        <v>0</v>
      </c>
      <c r="EB101" s="25">
        <f t="shared" si="37"/>
        <v>0</v>
      </c>
      <c r="EC101" s="25">
        <f t="shared" si="37"/>
        <v>0</v>
      </c>
      <c r="ED101" s="25">
        <f t="shared" si="37"/>
        <v>0</v>
      </c>
      <c r="EE101" s="25">
        <f t="shared" si="37"/>
        <v>0</v>
      </c>
      <c r="EF101" s="25">
        <f t="shared" si="37"/>
        <v>0</v>
      </c>
      <c r="EG101" s="25">
        <f t="shared" si="37"/>
        <v>0</v>
      </c>
      <c r="EH101" s="25">
        <f t="shared" si="37"/>
        <v>0</v>
      </c>
      <c r="EI101" s="25">
        <f t="shared" si="37"/>
        <v>0</v>
      </c>
      <c r="EJ101" s="25">
        <f t="shared" si="37"/>
        <v>207.5</v>
      </c>
      <c r="EK101" s="25">
        <f t="shared" si="37"/>
        <v>0</v>
      </c>
      <c r="EL101" s="25">
        <f t="shared" si="37"/>
        <v>0</v>
      </c>
      <c r="EM101" s="25">
        <f t="shared" si="37"/>
        <v>0</v>
      </c>
      <c r="EN101" s="25">
        <f t="shared" si="37"/>
        <v>43</v>
      </c>
      <c r="EO101" s="25">
        <f t="shared" si="37"/>
        <v>0</v>
      </c>
      <c r="EP101" s="25">
        <f t="shared" si="37"/>
        <v>0</v>
      </c>
      <c r="EQ101" s="25">
        <f t="shared" si="37"/>
        <v>0</v>
      </c>
      <c r="ER101" s="25">
        <f t="shared" si="37"/>
        <v>0</v>
      </c>
      <c r="ES101" s="25">
        <f t="shared" si="37"/>
        <v>0</v>
      </c>
      <c r="ET101" s="25">
        <f t="shared" si="37"/>
        <v>0</v>
      </c>
      <c r="EU101" s="25">
        <f t="shared" si="37"/>
        <v>0</v>
      </c>
      <c r="EV101" s="25">
        <f t="shared" si="37"/>
        <v>0</v>
      </c>
      <c r="EW101" s="25">
        <f t="shared" si="37"/>
        <v>0</v>
      </c>
      <c r="EX101" s="25">
        <f t="shared" si="37"/>
        <v>0</v>
      </c>
      <c r="EY101" s="25">
        <f t="shared" si="37"/>
        <v>450</v>
      </c>
      <c r="EZ101" s="25">
        <f t="shared" si="37"/>
        <v>0</v>
      </c>
      <c r="FA101" s="25">
        <f t="shared" si="37"/>
        <v>0</v>
      </c>
      <c r="FB101" s="25">
        <f t="shared" si="37"/>
        <v>0</v>
      </c>
      <c r="FC101" s="25">
        <f t="shared" si="37"/>
        <v>0</v>
      </c>
      <c r="FD101" s="25">
        <f t="shared" si="37"/>
        <v>0</v>
      </c>
      <c r="FE101" s="25">
        <f t="shared" si="37"/>
        <v>0</v>
      </c>
      <c r="FF101" s="25">
        <f t="shared" si="37"/>
        <v>0</v>
      </c>
      <c r="FG101" s="25">
        <f t="shared" si="37"/>
        <v>0</v>
      </c>
      <c r="FH101" s="25">
        <f t="shared" si="37"/>
        <v>0</v>
      </c>
      <c r="FI101" s="25">
        <f t="shared" si="37"/>
        <v>0</v>
      </c>
      <c r="FJ101" s="25">
        <f t="shared" si="37"/>
        <v>0</v>
      </c>
      <c r="FK101" s="25">
        <f t="shared" si="37"/>
        <v>0</v>
      </c>
      <c r="FL101" s="25">
        <f t="shared" si="37"/>
        <v>0</v>
      </c>
      <c r="FM101" s="25">
        <f t="shared" si="37"/>
        <v>0</v>
      </c>
      <c r="FN101" s="25">
        <f t="shared" si="37"/>
        <v>254.5</v>
      </c>
      <c r="FO101" s="25">
        <f t="shared" si="37"/>
        <v>0</v>
      </c>
      <c r="FP101" s="25">
        <f t="shared" si="37"/>
        <v>0</v>
      </c>
      <c r="FQ101" s="25">
        <f t="shared" si="37"/>
        <v>0</v>
      </c>
      <c r="FR101" s="25">
        <f t="shared" si="37"/>
        <v>0</v>
      </c>
      <c r="FS101" s="25">
        <f t="shared" si="37"/>
        <v>0</v>
      </c>
      <c r="FT101" s="25" t="e">
        <f t="shared" ca="1" si="37"/>
        <v>#NAME?</v>
      </c>
      <c r="FU101" s="25">
        <f t="shared" si="37"/>
        <v>0</v>
      </c>
      <c r="FV101" s="25">
        <f t="shared" si="37"/>
        <v>0</v>
      </c>
      <c r="FW101" s="25">
        <f t="shared" si="37"/>
        <v>0</v>
      </c>
      <c r="FX101" s="25">
        <f t="shared" si="37"/>
        <v>0</v>
      </c>
      <c r="FY101" s="35"/>
      <c r="FZ101" s="25" t="e">
        <f t="shared" ca="1" si="35"/>
        <v>#NAME?</v>
      </c>
      <c r="GA101" s="25"/>
      <c r="GB101" s="26"/>
      <c r="GC101" s="26"/>
      <c r="GD101" s="7"/>
      <c r="GE101" s="7"/>
      <c r="GF101" s="23"/>
      <c r="GG101" s="23"/>
      <c r="GH101" s="23"/>
      <c r="GI101" s="23"/>
      <c r="GJ101" s="23"/>
      <c r="GK101" s="23"/>
      <c r="GL101" s="23"/>
      <c r="GM101" s="23"/>
    </row>
    <row r="102" spans="1:207" ht="15.5" x14ac:dyDescent="0.35">
      <c r="A102" s="12" t="s">
        <v>567</v>
      </c>
      <c r="B102" s="7" t="s">
        <v>823</v>
      </c>
      <c r="C102" s="25">
        <f t="shared" ref="C102:CM102" si="38">C33</f>
        <v>0</v>
      </c>
      <c r="D102" s="25">
        <f t="shared" si="38"/>
        <v>0</v>
      </c>
      <c r="E102" s="25">
        <f t="shared" si="38"/>
        <v>0</v>
      </c>
      <c r="F102" s="25">
        <f t="shared" si="38"/>
        <v>0</v>
      </c>
      <c r="G102" s="25">
        <f t="shared" si="38"/>
        <v>0</v>
      </c>
      <c r="H102" s="25">
        <f t="shared" si="38"/>
        <v>0</v>
      </c>
      <c r="I102" s="25">
        <f t="shared" si="38"/>
        <v>0</v>
      </c>
      <c r="J102" s="25">
        <f t="shared" si="38"/>
        <v>0</v>
      </c>
      <c r="K102" s="25">
        <f t="shared" si="38"/>
        <v>0</v>
      </c>
      <c r="L102" s="25">
        <f t="shared" si="38"/>
        <v>0</v>
      </c>
      <c r="M102" s="25">
        <f t="shared" si="38"/>
        <v>0</v>
      </c>
      <c r="N102" s="25">
        <f t="shared" si="38"/>
        <v>0</v>
      </c>
      <c r="O102" s="25">
        <f t="shared" si="38"/>
        <v>0</v>
      </c>
      <c r="P102" s="25">
        <f t="shared" si="38"/>
        <v>0</v>
      </c>
      <c r="Q102" s="25">
        <f t="shared" si="38"/>
        <v>0</v>
      </c>
      <c r="R102" s="25">
        <f t="shared" si="38"/>
        <v>0</v>
      </c>
      <c r="S102" s="25">
        <f t="shared" si="38"/>
        <v>0</v>
      </c>
      <c r="T102" s="25">
        <f t="shared" si="38"/>
        <v>0</v>
      </c>
      <c r="U102" s="25">
        <f t="shared" si="38"/>
        <v>0</v>
      </c>
      <c r="V102" s="25">
        <f t="shared" si="38"/>
        <v>0</v>
      </c>
      <c r="W102" s="25">
        <f t="shared" si="38"/>
        <v>0</v>
      </c>
      <c r="X102" s="25">
        <f t="shared" si="38"/>
        <v>0</v>
      </c>
      <c r="Y102" s="25">
        <f t="shared" si="38"/>
        <v>0</v>
      </c>
      <c r="Z102" s="25">
        <f t="shared" si="38"/>
        <v>0</v>
      </c>
      <c r="AA102" s="25">
        <f t="shared" si="38"/>
        <v>0</v>
      </c>
      <c r="AB102" s="25">
        <f t="shared" si="38"/>
        <v>0</v>
      </c>
      <c r="AC102" s="25">
        <f t="shared" si="38"/>
        <v>0</v>
      </c>
      <c r="AD102" s="25">
        <f t="shared" si="38"/>
        <v>0</v>
      </c>
      <c r="AE102" s="25">
        <f t="shared" si="38"/>
        <v>0</v>
      </c>
      <c r="AF102" s="25">
        <f t="shared" si="38"/>
        <v>0</v>
      </c>
      <c r="AG102" s="25">
        <f t="shared" si="38"/>
        <v>0</v>
      </c>
      <c r="AH102" s="25">
        <f t="shared" si="38"/>
        <v>0</v>
      </c>
      <c r="AI102" s="25">
        <f t="shared" si="38"/>
        <v>0</v>
      </c>
      <c r="AJ102" s="25">
        <f t="shared" si="38"/>
        <v>0</v>
      </c>
      <c r="AK102" s="25">
        <f t="shared" si="38"/>
        <v>0</v>
      </c>
      <c r="AL102" s="25">
        <f t="shared" si="38"/>
        <v>0</v>
      </c>
      <c r="AM102" s="25">
        <f t="shared" si="38"/>
        <v>0</v>
      </c>
      <c r="AN102" s="25">
        <f t="shared" si="38"/>
        <v>0</v>
      </c>
      <c r="AO102" s="25">
        <f t="shared" si="38"/>
        <v>0</v>
      </c>
      <c r="AP102" s="25">
        <f t="shared" si="38"/>
        <v>0</v>
      </c>
      <c r="AQ102" s="25">
        <f t="shared" si="38"/>
        <v>0</v>
      </c>
      <c r="AR102" s="25">
        <f t="shared" si="38"/>
        <v>0</v>
      </c>
      <c r="AS102" s="25">
        <f t="shared" si="38"/>
        <v>0</v>
      </c>
      <c r="AT102" s="25">
        <f t="shared" si="38"/>
        <v>0</v>
      </c>
      <c r="AU102" s="25">
        <f t="shared" si="38"/>
        <v>0</v>
      </c>
      <c r="AV102" s="25">
        <f t="shared" si="38"/>
        <v>0</v>
      </c>
      <c r="AW102" s="25">
        <f t="shared" si="38"/>
        <v>0</v>
      </c>
      <c r="AX102" s="25">
        <f t="shared" si="38"/>
        <v>0</v>
      </c>
      <c r="AY102" s="25">
        <f t="shared" si="38"/>
        <v>0</v>
      </c>
      <c r="AZ102" s="25">
        <f t="shared" si="38"/>
        <v>0</v>
      </c>
      <c r="BA102" s="25">
        <f t="shared" si="38"/>
        <v>0</v>
      </c>
      <c r="BB102" s="25">
        <f t="shared" si="38"/>
        <v>0</v>
      </c>
      <c r="BC102" s="25">
        <f t="shared" si="38"/>
        <v>0</v>
      </c>
      <c r="BD102" s="25">
        <f t="shared" si="38"/>
        <v>0</v>
      </c>
      <c r="BE102" s="25">
        <f t="shared" si="38"/>
        <v>0</v>
      </c>
      <c r="BF102" s="25">
        <f t="shared" si="38"/>
        <v>0</v>
      </c>
      <c r="BG102" s="25">
        <f t="shared" si="38"/>
        <v>0</v>
      </c>
      <c r="BH102" s="25">
        <f t="shared" si="38"/>
        <v>0</v>
      </c>
      <c r="BI102" s="25">
        <f t="shared" si="38"/>
        <v>0</v>
      </c>
      <c r="BJ102" s="25">
        <f t="shared" si="38"/>
        <v>0</v>
      </c>
      <c r="BK102" s="25">
        <f t="shared" si="38"/>
        <v>0</v>
      </c>
      <c r="BL102" s="25">
        <f t="shared" si="38"/>
        <v>0</v>
      </c>
      <c r="BM102" s="25">
        <f t="shared" si="38"/>
        <v>0</v>
      </c>
      <c r="BN102" s="25">
        <f t="shared" si="38"/>
        <v>0</v>
      </c>
      <c r="BO102" s="25">
        <f t="shared" si="38"/>
        <v>0</v>
      </c>
      <c r="BP102" s="25">
        <f t="shared" si="38"/>
        <v>0</v>
      </c>
      <c r="BQ102" s="25">
        <f t="shared" si="38"/>
        <v>0</v>
      </c>
      <c r="BR102" s="25">
        <f t="shared" si="38"/>
        <v>0</v>
      </c>
      <c r="BS102" s="25">
        <f t="shared" si="38"/>
        <v>0</v>
      </c>
      <c r="BT102" s="25">
        <f t="shared" si="38"/>
        <v>0</v>
      </c>
      <c r="BU102" s="25">
        <f t="shared" si="38"/>
        <v>0</v>
      </c>
      <c r="BV102" s="25">
        <f t="shared" si="38"/>
        <v>0</v>
      </c>
      <c r="BW102" s="25">
        <f t="shared" si="38"/>
        <v>0</v>
      </c>
      <c r="BX102" s="25">
        <f t="shared" si="38"/>
        <v>0</v>
      </c>
      <c r="BY102" s="25">
        <f t="shared" si="38"/>
        <v>0</v>
      </c>
      <c r="BZ102" s="25">
        <f t="shared" si="38"/>
        <v>0</v>
      </c>
      <c r="CA102" s="25">
        <f t="shared" si="38"/>
        <v>0</v>
      </c>
      <c r="CB102" s="25">
        <f t="shared" si="38"/>
        <v>0</v>
      </c>
      <c r="CC102" s="25">
        <f t="shared" si="38"/>
        <v>0</v>
      </c>
      <c r="CD102" s="25">
        <f t="shared" si="38"/>
        <v>0</v>
      </c>
      <c r="CE102" s="25">
        <f t="shared" si="38"/>
        <v>0</v>
      </c>
      <c r="CF102" s="25">
        <f t="shared" si="38"/>
        <v>0</v>
      </c>
      <c r="CG102" s="25">
        <f t="shared" si="38"/>
        <v>0</v>
      </c>
      <c r="CH102" s="25">
        <f t="shared" si="38"/>
        <v>0</v>
      </c>
      <c r="CI102" s="25">
        <f t="shared" si="38"/>
        <v>0</v>
      </c>
      <c r="CJ102" s="25">
        <f t="shared" si="38"/>
        <v>0</v>
      </c>
      <c r="CK102" s="25">
        <f t="shared" si="38"/>
        <v>0</v>
      </c>
      <c r="CL102" s="25">
        <f t="shared" si="38"/>
        <v>0</v>
      </c>
      <c r="CM102" s="25">
        <f t="shared" si="38"/>
        <v>0</v>
      </c>
      <c r="CN102" s="25">
        <v>0</v>
      </c>
      <c r="CO102" s="25">
        <f t="shared" ref="CO102:FX102" si="39">CO33</f>
        <v>0</v>
      </c>
      <c r="CP102" s="25">
        <f t="shared" si="39"/>
        <v>0</v>
      </c>
      <c r="CQ102" s="25">
        <f t="shared" si="39"/>
        <v>0</v>
      </c>
      <c r="CR102" s="25">
        <f t="shared" si="39"/>
        <v>0</v>
      </c>
      <c r="CS102" s="25">
        <f t="shared" si="39"/>
        <v>0</v>
      </c>
      <c r="CT102" s="25">
        <f t="shared" si="39"/>
        <v>0</v>
      </c>
      <c r="CU102" s="25">
        <f t="shared" si="39"/>
        <v>0</v>
      </c>
      <c r="CV102" s="25">
        <f t="shared" si="39"/>
        <v>0</v>
      </c>
      <c r="CW102" s="25">
        <f t="shared" si="39"/>
        <v>0</v>
      </c>
      <c r="CX102" s="25">
        <f t="shared" si="39"/>
        <v>0</v>
      </c>
      <c r="CY102" s="25">
        <f t="shared" si="39"/>
        <v>0</v>
      </c>
      <c r="CZ102" s="25">
        <f t="shared" si="39"/>
        <v>0</v>
      </c>
      <c r="DA102" s="25">
        <f t="shared" si="39"/>
        <v>0</v>
      </c>
      <c r="DB102" s="25">
        <f t="shared" si="39"/>
        <v>0</v>
      </c>
      <c r="DC102" s="25">
        <f t="shared" si="39"/>
        <v>0</v>
      </c>
      <c r="DD102" s="25">
        <f t="shared" si="39"/>
        <v>0</v>
      </c>
      <c r="DE102" s="25">
        <f t="shared" si="39"/>
        <v>0</v>
      </c>
      <c r="DF102" s="25">
        <f t="shared" si="39"/>
        <v>0</v>
      </c>
      <c r="DG102" s="25">
        <f t="shared" si="39"/>
        <v>0</v>
      </c>
      <c r="DH102" s="25">
        <f t="shared" si="39"/>
        <v>0</v>
      </c>
      <c r="DI102" s="25">
        <f t="shared" si="39"/>
        <v>0</v>
      </c>
      <c r="DJ102" s="25">
        <f t="shared" si="39"/>
        <v>0</v>
      </c>
      <c r="DK102" s="25">
        <f t="shared" si="39"/>
        <v>0</v>
      </c>
      <c r="DL102" s="25">
        <f t="shared" si="39"/>
        <v>0</v>
      </c>
      <c r="DM102" s="25">
        <f t="shared" si="39"/>
        <v>0</v>
      </c>
      <c r="DN102" s="25">
        <f t="shared" si="39"/>
        <v>0</v>
      </c>
      <c r="DO102" s="25">
        <f t="shared" si="39"/>
        <v>0</v>
      </c>
      <c r="DP102" s="25">
        <f t="shared" si="39"/>
        <v>0</v>
      </c>
      <c r="DQ102" s="25">
        <f t="shared" si="39"/>
        <v>0</v>
      </c>
      <c r="DR102" s="25">
        <f t="shared" si="39"/>
        <v>0</v>
      </c>
      <c r="DS102" s="25">
        <f t="shared" si="39"/>
        <v>0</v>
      </c>
      <c r="DT102" s="25">
        <f t="shared" si="39"/>
        <v>0</v>
      </c>
      <c r="DU102" s="25">
        <f t="shared" si="39"/>
        <v>0</v>
      </c>
      <c r="DV102" s="25">
        <f t="shared" si="39"/>
        <v>0</v>
      </c>
      <c r="DW102" s="25">
        <f t="shared" si="39"/>
        <v>0</v>
      </c>
      <c r="DX102" s="25">
        <f t="shared" si="39"/>
        <v>0</v>
      </c>
      <c r="DY102" s="25">
        <f t="shared" si="39"/>
        <v>0</v>
      </c>
      <c r="DZ102" s="25">
        <f t="shared" si="39"/>
        <v>0</v>
      </c>
      <c r="EA102" s="25">
        <f t="shared" si="39"/>
        <v>0</v>
      </c>
      <c r="EB102" s="25">
        <f t="shared" si="39"/>
        <v>0</v>
      </c>
      <c r="EC102" s="25">
        <f t="shared" si="39"/>
        <v>0</v>
      </c>
      <c r="ED102" s="25">
        <f t="shared" si="39"/>
        <v>0</v>
      </c>
      <c r="EE102" s="25">
        <f t="shared" si="39"/>
        <v>0</v>
      </c>
      <c r="EF102" s="25">
        <f t="shared" si="39"/>
        <v>0</v>
      </c>
      <c r="EG102" s="25">
        <f t="shared" si="39"/>
        <v>0</v>
      </c>
      <c r="EH102" s="25">
        <f t="shared" si="39"/>
        <v>0</v>
      </c>
      <c r="EI102" s="25">
        <f t="shared" si="39"/>
        <v>0</v>
      </c>
      <c r="EJ102" s="25">
        <f t="shared" si="39"/>
        <v>0</v>
      </c>
      <c r="EK102" s="25">
        <f t="shared" si="39"/>
        <v>0</v>
      </c>
      <c r="EL102" s="25">
        <f t="shared" si="39"/>
        <v>0</v>
      </c>
      <c r="EM102" s="25">
        <f t="shared" si="39"/>
        <v>0</v>
      </c>
      <c r="EN102" s="25">
        <f t="shared" si="39"/>
        <v>0</v>
      </c>
      <c r="EO102" s="25">
        <f t="shared" si="39"/>
        <v>0</v>
      </c>
      <c r="EP102" s="25">
        <f t="shared" si="39"/>
        <v>0</v>
      </c>
      <c r="EQ102" s="25">
        <f t="shared" si="39"/>
        <v>0</v>
      </c>
      <c r="ER102" s="25">
        <f t="shared" si="39"/>
        <v>0</v>
      </c>
      <c r="ES102" s="25">
        <f t="shared" si="39"/>
        <v>0</v>
      </c>
      <c r="ET102" s="25">
        <f t="shared" si="39"/>
        <v>0</v>
      </c>
      <c r="EU102" s="25">
        <f t="shared" si="39"/>
        <v>0</v>
      </c>
      <c r="EV102" s="25">
        <f t="shared" si="39"/>
        <v>0</v>
      </c>
      <c r="EW102" s="25">
        <f t="shared" si="39"/>
        <v>0</v>
      </c>
      <c r="EX102" s="25">
        <f t="shared" si="39"/>
        <v>0</v>
      </c>
      <c r="EY102" s="25">
        <f t="shared" si="39"/>
        <v>0</v>
      </c>
      <c r="EZ102" s="25">
        <f t="shared" si="39"/>
        <v>0</v>
      </c>
      <c r="FA102" s="25">
        <f t="shared" si="39"/>
        <v>0</v>
      </c>
      <c r="FB102" s="25">
        <f t="shared" si="39"/>
        <v>0</v>
      </c>
      <c r="FC102" s="25">
        <f t="shared" si="39"/>
        <v>0</v>
      </c>
      <c r="FD102" s="25">
        <f t="shared" si="39"/>
        <v>0</v>
      </c>
      <c r="FE102" s="25">
        <f t="shared" si="39"/>
        <v>0</v>
      </c>
      <c r="FF102" s="25">
        <f t="shared" si="39"/>
        <v>0</v>
      </c>
      <c r="FG102" s="25">
        <f t="shared" si="39"/>
        <v>0</v>
      </c>
      <c r="FH102" s="25">
        <f t="shared" si="39"/>
        <v>0</v>
      </c>
      <c r="FI102" s="25">
        <f t="shared" si="39"/>
        <v>0</v>
      </c>
      <c r="FJ102" s="25">
        <f t="shared" si="39"/>
        <v>0</v>
      </c>
      <c r="FK102" s="25">
        <f t="shared" si="39"/>
        <v>0</v>
      </c>
      <c r="FL102" s="25">
        <f t="shared" si="39"/>
        <v>0</v>
      </c>
      <c r="FM102" s="25">
        <f t="shared" si="39"/>
        <v>0</v>
      </c>
      <c r="FN102" s="25">
        <f t="shared" si="39"/>
        <v>0</v>
      </c>
      <c r="FO102" s="25">
        <f t="shared" si="39"/>
        <v>0</v>
      </c>
      <c r="FP102" s="25">
        <f t="shared" si="39"/>
        <v>0</v>
      </c>
      <c r="FQ102" s="25">
        <f t="shared" si="39"/>
        <v>0</v>
      </c>
      <c r="FR102" s="25">
        <f t="shared" si="39"/>
        <v>0</v>
      </c>
      <c r="FS102" s="25">
        <f t="shared" si="39"/>
        <v>0</v>
      </c>
      <c r="FT102" s="25">
        <f t="shared" si="39"/>
        <v>0</v>
      </c>
      <c r="FU102" s="25">
        <f t="shared" si="39"/>
        <v>0</v>
      </c>
      <c r="FV102" s="25">
        <f t="shared" si="39"/>
        <v>0</v>
      </c>
      <c r="FW102" s="25">
        <f t="shared" si="39"/>
        <v>0</v>
      </c>
      <c r="FX102" s="25">
        <f t="shared" si="39"/>
        <v>0</v>
      </c>
      <c r="FY102" s="25"/>
      <c r="FZ102" s="25">
        <f t="shared" si="35"/>
        <v>0</v>
      </c>
      <c r="GA102" s="58"/>
      <c r="GB102" s="26"/>
      <c r="GC102" s="26"/>
      <c r="GD102" s="7"/>
      <c r="GE102" s="7"/>
      <c r="GF102" s="23"/>
      <c r="GG102" s="23"/>
      <c r="GH102" s="23"/>
      <c r="GI102" s="23"/>
      <c r="GJ102" s="23"/>
      <c r="GK102" s="23"/>
      <c r="GL102" s="23"/>
      <c r="GM102" s="23"/>
    </row>
    <row r="103" spans="1:207" ht="15.5" x14ac:dyDescent="0.35">
      <c r="A103" s="12" t="s">
        <v>2</v>
      </c>
      <c r="B103" s="7" t="s">
        <v>824</v>
      </c>
      <c r="C103" s="35">
        <f t="shared" ref="C103:AQ103" si="40">ROUND(SUM(C96:C102),1)</f>
        <v>6540.5</v>
      </c>
      <c r="D103" s="35">
        <f t="shared" si="40"/>
        <v>38720.400000000001</v>
      </c>
      <c r="E103" s="35">
        <f t="shared" si="40"/>
        <v>5749</v>
      </c>
      <c r="F103" s="35">
        <f t="shared" si="40"/>
        <v>24441.599999999999</v>
      </c>
      <c r="G103" s="35">
        <f t="shared" si="40"/>
        <v>1845</v>
      </c>
      <c r="H103" s="35">
        <f t="shared" si="40"/>
        <v>1096.7</v>
      </c>
      <c r="I103" s="35">
        <f t="shared" si="40"/>
        <v>8070</v>
      </c>
      <c r="J103" s="35">
        <f t="shared" si="40"/>
        <v>2066.8000000000002</v>
      </c>
      <c r="K103" s="35">
        <f t="shared" si="40"/>
        <v>251.7</v>
      </c>
      <c r="L103" s="35">
        <f t="shared" si="40"/>
        <v>2156.1</v>
      </c>
      <c r="M103" s="35">
        <f t="shared" si="40"/>
        <v>950.7</v>
      </c>
      <c r="N103" s="35">
        <f t="shared" si="40"/>
        <v>50642.1</v>
      </c>
      <c r="O103" s="35">
        <f t="shared" si="40"/>
        <v>12912.4</v>
      </c>
      <c r="P103" s="35">
        <f t="shared" si="40"/>
        <v>315.3</v>
      </c>
      <c r="Q103" s="35">
        <f t="shared" si="40"/>
        <v>39533.800000000003</v>
      </c>
      <c r="R103" s="35">
        <f t="shared" si="40"/>
        <v>7100.8</v>
      </c>
      <c r="S103" s="35">
        <f t="shared" si="40"/>
        <v>1605.4</v>
      </c>
      <c r="T103" s="35">
        <f t="shared" si="40"/>
        <v>161.1</v>
      </c>
      <c r="U103" s="35">
        <f t="shared" si="40"/>
        <v>55.5</v>
      </c>
      <c r="V103" s="35">
        <f t="shared" si="40"/>
        <v>256.39999999999998</v>
      </c>
      <c r="W103" s="35">
        <f t="shared" si="40"/>
        <v>59.7</v>
      </c>
      <c r="X103" s="35">
        <f t="shared" si="40"/>
        <v>50</v>
      </c>
      <c r="Y103" s="35">
        <f t="shared" si="40"/>
        <v>897.3</v>
      </c>
      <c r="Z103" s="35">
        <f t="shared" si="40"/>
        <v>231.1</v>
      </c>
      <c r="AA103" s="35">
        <f t="shared" si="40"/>
        <v>30969.9</v>
      </c>
      <c r="AB103" s="35">
        <f t="shared" si="40"/>
        <v>27219.200000000001</v>
      </c>
      <c r="AC103" s="35">
        <f t="shared" si="40"/>
        <v>906.3</v>
      </c>
      <c r="AD103" s="35">
        <f t="shared" si="40"/>
        <v>1441.6</v>
      </c>
      <c r="AE103" s="35">
        <f t="shared" si="40"/>
        <v>97</v>
      </c>
      <c r="AF103" s="35">
        <f t="shared" si="40"/>
        <v>167.5</v>
      </c>
      <c r="AG103" s="35">
        <f t="shared" si="40"/>
        <v>601.1</v>
      </c>
      <c r="AH103" s="35">
        <f t="shared" si="40"/>
        <v>957.7</v>
      </c>
      <c r="AI103" s="35">
        <f t="shared" si="40"/>
        <v>383</v>
      </c>
      <c r="AJ103" s="35">
        <f t="shared" si="40"/>
        <v>181.5</v>
      </c>
      <c r="AK103" s="35">
        <f t="shared" si="40"/>
        <v>165.7</v>
      </c>
      <c r="AL103" s="35">
        <f t="shared" si="40"/>
        <v>288.5</v>
      </c>
      <c r="AM103" s="35">
        <f t="shared" si="40"/>
        <v>352.6</v>
      </c>
      <c r="AN103" s="35">
        <f t="shared" si="40"/>
        <v>300.5</v>
      </c>
      <c r="AO103" s="35">
        <f t="shared" si="40"/>
        <v>4406.5</v>
      </c>
      <c r="AP103" s="35">
        <f t="shared" si="40"/>
        <v>84753.600000000006</v>
      </c>
      <c r="AQ103" s="35">
        <f t="shared" si="40"/>
        <v>251</v>
      </c>
      <c r="AR103" s="35">
        <f>ROUND(SUM(AR96:AR102),2)</f>
        <v>62161.1</v>
      </c>
      <c r="AS103" s="35">
        <f t="shared" ref="AS103:FX103" si="41">ROUND(SUM(AS96:AS102),1)</f>
        <v>6500</v>
      </c>
      <c r="AT103" s="35">
        <f t="shared" si="41"/>
        <v>2363.1999999999998</v>
      </c>
      <c r="AU103" s="35">
        <f t="shared" si="41"/>
        <v>271</v>
      </c>
      <c r="AV103" s="35">
        <f t="shared" si="41"/>
        <v>305.39999999999998</v>
      </c>
      <c r="AW103" s="35">
        <f t="shared" si="41"/>
        <v>257</v>
      </c>
      <c r="AX103" s="35">
        <f t="shared" si="41"/>
        <v>81</v>
      </c>
      <c r="AY103" s="35">
        <f t="shared" si="41"/>
        <v>406.8</v>
      </c>
      <c r="AZ103" s="35">
        <f t="shared" si="41"/>
        <v>12222.4</v>
      </c>
      <c r="BA103" s="35">
        <f t="shared" si="41"/>
        <v>9136.2999999999993</v>
      </c>
      <c r="BB103" s="35">
        <f t="shared" si="41"/>
        <v>7564.3</v>
      </c>
      <c r="BC103" s="35">
        <f t="shared" si="41"/>
        <v>24699.9</v>
      </c>
      <c r="BD103" s="35">
        <f t="shared" si="41"/>
        <v>3637.5</v>
      </c>
      <c r="BE103" s="35">
        <f t="shared" si="41"/>
        <v>1198.7</v>
      </c>
      <c r="BF103" s="35">
        <f t="shared" si="41"/>
        <v>25614.3</v>
      </c>
      <c r="BG103" s="35">
        <f t="shared" si="41"/>
        <v>920.6</v>
      </c>
      <c r="BH103" s="35">
        <f t="shared" si="41"/>
        <v>583.5</v>
      </c>
      <c r="BI103" s="35">
        <f t="shared" si="41"/>
        <v>257.39999999999998</v>
      </c>
      <c r="BJ103" s="35">
        <f t="shared" si="41"/>
        <v>6314.9</v>
      </c>
      <c r="BK103" s="35">
        <f t="shared" si="41"/>
        <v>35146.699999999997</v>
      </c>
      <c r="BL103" s="35">
        <f t="shared" si="41"/>
        <v>77.3</v>
      </c>
      <c r="BM103" s="35">
        <f t="shared" si="41"/>
        <v>359.3</v>
      </c>
      <c r="BN103" s="35">
        <f t="shared" si="41"/>
        <v>3145.6</v>
      </c>
      <c r="BO103" s="35">
        <f t="shared" si="41"/>
        <v>1257.3</v>
      </c>
      <c r="BP103" s="35">
        <f t="shared" si="41"/>
        <v>160.4</v>
      </c>
      <c r="BQ103" s="35">
        <f t="shared" si="41"/>
        <v>5887.2</v>
      </c>
      <c r="BR103" s="35">
        <f t="shared" si="41"/>
        <v>4488.3999999999996</v>
      </c>
      <c r="BS103" s="35">
        <f t="shared" si="41"/>
        <v>1158.0999999999999</v>
      </c>
      <c r="BT103" s="35">
        <f t="shared" si="41"/>
        <v>372.5</v>
      </c>
      <c r="BU103" s="35">
        <f t="shared" si="41"/>
        <v>393.7</v>
      </c>
      <c r="BV103" s="35">
        <f t="shared" si="41"/>
        <v>1245.3</v>
      </c>
      <c r="BW103" s="35">
        <f t="shared" si="41"/>
        <v>2017.5</v>
      </c>
      <c r="BX103" s="35">
        <f t="shared" si="41"/>
        <v>66.5</v>
      </c>
      <c r="BY103" s="35">
        <f t="shared" si="41"/>
        <v>430.7</v>
      </c>
      <c r="BZ103" s="35">
        <f t="shared" si="41"/>
        <v>228</v>
      </c>
      <c r="CA103" s="35">
        <f t="shared" si="41"/>
        <v>146.19999999999999</v>
      </c>
      <c r="CB103" s="35">
        <f t="shared" si="41"/>
        <v>73642.899999999994</v>
      </c>
      <c r="CC103" s="35">
        <f t="shared" si="41"/>
        <v>189.3</v>
      </c>
      <c r="CD103" s="35">
        <f t="shared" si="41"/>
        <v>50</v>
      </c>
      <c r="CE103" s="35">
        <f t="shared" si="41"/>
        <v>158.30000000000001</v>
      </c>
      <c r="CF103" s="35">
        <f t="shared" si="41"/>
        <v>112.5</v>
      </c>
      <c r="CG103" s="35">
        <f t="shared" si="41"/>
        <v>199.9</v>
      </c>
      <c r="CH103" s="35">
        <f t="shared" si="41"/>
        <v>96.5</v>
      </c>
      <c r="CI103" s="35">
        <f t="shared" si="41"/>
        <v>687.9</v>
      </c>
      <c r="CJ103" s="35">
        <f t="shared" si="41"/>
        <v>872.3</v>
      </c>
      <c r="CK103" s="35">
        <f t="shared" si="41"/>
        <v>4911.5</v>
      </c>
      <c r="CL103" s="35">
        <f t="shared" si="41"/>
        <v>1237.9000000000001</v>
      </c>
      <c r="CM103" s="35">
        <f t="shared" si="41"/>
        <v>687.4</v>
      </c>
      <c r="CN103" s="35">
        <f t="shared" si="41"/>
        <v>31536.3</v>
      </c>
      <c r="CO103" s="35">
        <f t="shared" si="41"/>
        <v>14394.7</v>
      </c>
      <c r="CP103" s="35">
        <f t="shared" si="41"/>
        <v>934.4</v>
      </c>
      <c r="CQ103" s="35">
        <f t="shared" si="41"/>
        <v>770.1</v>
      </c>
      <c r="CR103" s="35">
        <f t="shared" si="41"/>
        <v>215.8</v>
      </c>
      <c r="CS103" s="35">
        <f t="shared" si="41"/>
        <v>285.5</v>
      </c>
      <c r="CT103" s="35">
        <f t="shared" si="41"/>
        <v>113.5</v>
      </c>
      <c r="CU103" s="35">
        <f t="shared" si="41"/>
        <v>469.8</v>
      </c>
      <c r="CV103" s="35">
        <f t="shared" si="41"/>
        <v>50</v>
      </c>
      <c r="CW103" s="35">
        <f t="shared" si="41"/>
        <v>198.7</v>
      </c>
      <c r="CX103" s="35">
        <f t="shared" si="41"/>
        <v>461.4</v>
      </c>
      <c r="CY103" s="35">
        <f t="shared" si="41"/>
        <v>50</v>
      </c>
      <c r="CZ103" s="35">
        <f t="shared" si="41"/>
        <v>1806.8</v>
      </c>
      <c r="DA103" s="35">
        <f t="shared" si="41"/>
        <v>203.5</v>
      </c>
      <c r="DB103" s="35">
        <f t="shared" si="41"/>
        <v>315.8</v>
      </c>
      <c r="DC103" s="35">
        <f t="shared" si="41"/>
        <v>193</v>
      </c>
      <c r="DD103" s="35">
        <f t="shared" si="41"/>
        <v>174.5</v>
      </c>
      <c r="DE103" s="35">
        <f t="shared" si="41"/>
        <v>285.3</v>
      </c>
      <c r="DF103" s="35">
        <f t="shared" si="41"/>
        <v>20834.599999999999</v>
      </c>
      <c r="DG103" s="35">
        <f t="shared" si="41"/>
        <v>93.5</v>
      </c>
      <c r="DH103" s="35">
        <f t="shared" si="41"/>
        <v>1805.4</v>
      </c>
      <c r="DI103" s="35">
        <f t="shared" si="41"/>
        <v>2452.3000000000002</v>
      </c>
      <c r="DJ103" s="35">
        <f t="shared" si="41"/>
        <v>624</v>
      </c>
      <c r="DK103" s="35">
        <f t="shared" si="41"/>
        <v>478.7</v>
      </c>
      <c r="DL103" s="35">
        <f t="shared" si="41"/>
        <v>5694</v>
      </c>
      <c r="DM103" s="35">
        <f t="shared" si="41"/>
        <v>235</v>
      </c>
      <c r="DN103" s="35">
        <f t="shared" si="41"/>
        <v>1296</v>
      </c>
      <c r="DO103" s="35">
        <f t="shared" si="41"/>
        <v>3290</v>
      </c>
      <c r="DP103" s="35">
        <f t="shared" si="41"/>
        <v>200</v>
      </c>
      <c r="DQ103" s="35">
        <f t="shared" si="41"/>
        <v>888</v>
      </c>
      <c r="DR103" s="35">
        <f t="shared" si="41"/>
        <v>1315.2</v>
      </c>
      <c r="DS103" s="35">
        <f t="shared" si="41"/>
        <v>599.9</v>
      </c>
      <c r="DT103" s="35">
        <f t="shared" si="41"/>
        <v>176.5</v>
      </c>
      <c r="DU103" s="35">
        <f t="shared" si="41"/>
        <v>351.4</v>
      </c>
      <c r="DV103" s="35">
        <f t="shared" si="41"/>
        <v>208</v>
      </c>
      <c r="DW103" s="35">
        <f t="shared" si="41"/>
        <v>300.2</v>
      </c>
      <c r="DX103" s="35">
        <f t="shared" si="41"/>
        <v>168</v>
      </c>
      <c r="DY103" s="35">
        <f t="shared" si="41"/>
        <v>296.60000000000002</v>
      </c>
      <c r="DZ103" s="35">
        <f t="shared" si="41"/>
        <v>681.8</v>
      </c>
      <c r="EA103" s="35">
        <f t="shared" si="41"/>
        <v>530.6</v>
      </c>
      <c r="EB103" s="35">
        <f t="shared" si="41"/>
        <v>534.4</v>
      </c>
      <c r="EC103" s="35">
        <f t="shared" si="41"/>
        <v>285.10000000000002</v>
      </c>
      <c r="ED103" s="35">
        <f t="shared" si="41"/>
        <v>1561.8</v>
      </c>
      <c r="EE103" s="35">
        <f t="shared" si="41"/>
        <v>191.6</v>
      </c>
      <c r="EF103" s="35">
        <f t="shared" si="41"/>
        <v>1355.2</v>
      </c>
      <c r="EG103" s="35">
        <f t="shared" si="41"/>
        <v>253.5</v>
      </c>
      <c r="EH103" s="35">
        <f t="shared" si="41"/>
        <v>247.4</v>
      </c>
      <c r="EI103" s="35">
        <f t="shared" si="41"/>
        <v>13890.3</v>
      </c>
      <c r="EJ103" s="35">
        <f t="shared" si="41"/>
        <v>10185.299999999999</v>
      </c>
      <c r="EK103" s="35">
        <f t="shared" si="41"/>
        <v>668.7</v>
      </c>
      <c r="EL103" s="35">
        <f t="shared" si="41"/>
        <v>459.4</v>
      </c>
      <c r="EM103" s="35">
        <f t="shared" si="41"/>
        <v>378.1</v>
      </c>
      <c r="EN103" s="35">
        <f t="shared" si="41"/>
        <v>939.9</v>
      </c>
      <c r="EO103" s="35">
        <f t="shared" si="41"/>
        <v>305.39999999999998</v>
      </c>
      <c r="EP103" s="35">
        <f t="shared" si="41"/>
        <v>428.5</v>
      </c>
      <c r="EQ103" s="35">
        <f t="shared" si="41"/>
        <v>2616.4</v>
      </c>
      <c r="ER103" s="35">
        <f t="shared" si="41"/>
        <v>309.60000000000002</v>
      </c>
      <c r="ES103" s="35">
        <f t="shared" si="41"/>
        <v>163</v>
      </c>
      <c r="ET103" s="35">
        <f t="shared" si="41"/>
        <v>197.5</v>
      </c>
      <c r="EU103" s="35">
        <f t="shared" si="41"/>
        <v>575.29999999999995</v>
      </c>
      <c r="EV103" s="35">
        <f t="shared" si="41"/>
        <v>72.599999999999994</v>
      </c>
      <c r="EW103" s="35">
        <f t="shared" si="41"/>
        <v>819.4</v>
      </c>
      <c r="EX103" s="35">
        <f t="shared" si="41"/>
        <v>173.5</v>
      </c>
      <c r="EY103" s="35">
        <f t="shared" si="41"/>
        <v>656.5</v>
      </c>
      <c r="EZ103" s="35">
        <f t="shared" si="41"/>
        <v>129.30000000000001</v>
      </c>
      <c r="FA103" s="35">
        <f t="shared" si="41"/>
        <v>3397.2</v>
      </c>
      <c r="FB103" s="35">
        <f t="shared" si="41"/>
        <v>288.10000000000002</v>
      </c>
      <c r="FC103" s="35">
        <f t="shared" si="41"/>
        <v>1826.2</v>
      </c>
      <c r="FD103" s="35">
        <f t="shared" si="41"/>
        <v>402</v>
      </c>
      <c r="FE103" s="35">
        <f t="shared" si="41"/>
        <v>79</v>
      </c>
      <c r="FF103" s="35">
        <f t="shared" si="41"/>
        <v>185</v>
      </c>
      <c r="FG103" s="35">
        <f t="shared" si="41"/>
        <v>120.8</v>
      </c>
      <c r="FH103" s="35">
        <f t="shared" si="41"/>
        <v>70</v>
      </c>
      <c r="FI103" s="35">
        <f t="shared" si="41"/>
        <v>1702.5</v>
      </c>
      <c r="FJ103" s="35">
        <f t="shared" si="41"/>
        <v>2016.5</v>
      </c>
      <c r="FK103" s="35">
        <f t="shared" si="41"/>
        <v>2529.1</v>
      </c>
      <c r="FL103" s="35">
        <f t="shared" si="41"/>
        <v>8538.5</v>
      </c>
      <c r="FM103" s="35">
        <f t="shared" si="41"/>
        <v>3981.5</v>
      </c>
      <c r="FN103" s="35">
        <f t="shared" si="41"/>
        <v>22705.3</v>
      </c>
      <c r="FO103" s="35">
        <f t="shared" si="41"/>
        <v>1119.2</v>
      </c>
      <c r="FP103" s="35">
        <f t="shared" si="41"/>
        <v>2341.5</v>
      </c>
      <c r="FQ103" s="35">
        <f t="shared" si="41"/>
        <v>984.9</v>
      </c>
      <c r="FR103" s="35">
        <f t="shared" si="41"/>
        <v>168.1</v>
      </c>
      <c r="FS103" s="35">
        <f t="shared" si="41"/>
        <v>168.3</v>
      </c>
      <c r="FT103" s="35" t="e">
        <f t="shared" ca="1" si="41"/>
        <v>#NAME?</v>
      </c>
      <c r="FU103" s="35">
        <f t="shared" si="41"/>
        <v>791.1</v>
      </c>
      <c r="FV103" s="35">
        <f t="shared" si="41"/>
        <v>693.7</v>
      </c>
      <c r="FW103" s="35">
        <f t="shared" si="41"/>
        <v>149.5</v>
      </c>
      <c r="FX103" s="35">
        <f t="shared" si="41"/>
        <v>64.5</v>
      </c>
      <c r="FY103" s="25"/>
      <c r="FZ103" s="59" t="e">
        <f t="shared" ca="1" si="35"/>
        <v>#NAME?</v>
      </c>
      <c r="GA103" s="57"/>
      <c r="GB103" s="26" t="e">
        <f ca="1">FZ103-GA103</f>
        <v>#NAME?</v>
      </c>
      <c r="GC103" s="26"/>
      <c r="GD103" s="7"/>
      <c r="GE103" s="7"/>
      <c r="GF103" s="23"/>
      <c r="GG103" s="23"/>
      <c r="GH103" s="23"/>
      <c r="GI103" s="23"/>
      <c r="GJ103" s="23"/>
      <c r="GK103" s="23"/>
      <c r="GL103" s="23"/>
      <c r="GM103" s="23"/>
    </row>
    <row r="104" spans="1:207" ht="15.5" x14ac:dyDescent="0.35">
      <c r="A104" s="12" t="s">
        <v>570</v>
      </c>
      <c r="B104" s="5" t="s">
        <v>825</v>
      </c>
      <c r="C104" s="26">
        <f t="shared" ref="C104:FX104" si="42">C103-C105</f>
        <v>6540.5</v>
      </c>
      <c r="D104" s="26">
        <f t="shared" si="42"/>
        <v>34024.5</v>
      </c>
      <c r="E104" s="26">
        <f t="shared" si="42"/>
        <v>5086.3</v>
      </c>
      <c r="F104" s="26">
        <f t="shared" si="42"/>
        <v>23508.3</v>
      </c>
      <c r="G104" s="26">
        <f t="shared" si="42"/>
        <v>1845</v>
      </c>
      <c r="H104" s="26">
        <f t="shared" si="42"/>
        <v>1096.7</v>
      </c>
      <c r="I104" s="26">
        <f t="shared" si="42"/>
        <v>7319.8</v>
      </c>
      <c r="J104" s="26">
        <f t="shared" si="42"/>
        <v>2066.8000000000002</v>
      </c>
      <c r="K104" s="26">
        <f t="shared" si="42"/>
        <v>251.7</v>
      </c>
      <c r="L104" s="26">
        <f t="shared" si="42"/>
        <v>2156.1</v>
      </c>
      <c r="M104" s="26">
        <f t="shared" si="42"/>
        <v>950.7</v>
      </c>
      <c r="N104" s="26">
        <f t="shared" si="42"/>
        <v>50552.1</v>
      </c>
      <c r="O104" s="26">
        <f t="shared" si="42"/>
        <v>12912.4</v>
      </c>
      <c r="P104" s="26">
        <f t="shared" si="42"/>
        <v>315.3</v>
      </c>
      <c r="Q104" s="26">
        <f t="shared" si="42"/>
        <v>37572.5</v>
      </c>
      <c r="R104" s="26">
        <f t="shared" si="42"/>
        <v>7100.8</v>
      </c>
      <c r="S104" s="26">
        <f t="shared" si="42"/>
        <v>1605.4</v>
      </c>
      <c r="T104" s="26">
        <f t="shared" si="42"/>
        <v>161.1</v>
      </c>
      <c r="U104" s="26">
        <f t="shared" si="42"/>
        <v>55.5</v>
      </c>
      <c r="V104" s="26">
        <f t="shared" si="42"/>
        <v>256.39999999999998</v>
      </c>
      <c r="W104" s="26">
        <f t="shared" si="42"/>
        <v>59.7</v>
      </c>
      <c r="X104" s="26">
        <f t="shared" si="42"/>
        <v>50</v>
      </c>
      <c r="Y104" s="26">
        <f t="shared" si="42"/>
        <v>897.3</v>
      </c>
      <c r="Z104" s="26">
        <f t="shared" si="42"/>
        <v>231.1</v>
      </c>
      <c r="AA104" s="26">
        <f t="shared" si="42"/>
        <v>30969.9</v>
      </c>
      <c r="AB104" s="26">
        <f t="shared" si="42"/>
        <v>27219.200000000001</v>
      </c>
      <c r="AC104" s="26">
        <f t="shared" si="42"/>
        <v>906.3</v>
      </c>
      <c r="AD104" s="26">
        <f t="shared" si="42"/>
        <v>1287.5999999999999</v>
      </c>
      <c r="AE104" s="26">
        <f t="shared" si="42"/>
        <v>97</v>
      </c>
      <c r="AF104" s="26">
        <f t="shared" si="42"/>
        <v>167.5</v>
      </c>
      <c r="AG104" s="26">
        <f t="shared" si="42"/>
        <v>601.1</v>
      </c>
      <c r="AH104" s="26">
        <f t="shared" si="42"/>
        <v>957.7</v>
      </c>
      <c r="AI104" s="26">
        <f t="shared" si="42"/>
        <v>383</v>
      </c>
      <c r="AJ104" s="26">
        <f t="shared" si="42"/>
        <v>181.5</v>
      </c>
      <c r="AK104" s="26">
        <f t="shared" si="42"/>
        <v>165.7</v>
      </c>
      <c r="AL104" s="26">
        <f t="shared" si="42"/>
        <v>288.5</v>
      </c>
      <c r="AM104" s="26">
        <f t="shared" si="42"/>
        <v>352.6</v>
      </c>
      <c r="AN104" s="26">
        <f t="shared" si="42"/>
        <v>300.5</v>
      </c>
      <c r="AO104" s="26">
        <f t="shared" si="42"/>
        <v>4406.5</v>
      </c>
      <c r="AP104" s="26">
        <f t="shared" si="42"/>
        <v>84753.600000000006</v>
      </c>
      <c r="AQ104" s="26">
        <f t="shared" si="42"/>
        <v>251</v>
      </c>
      <c r="AR104" s="26">
        <f t="shared" si="42"/>
        <v>60153.799999999996</v>
      </c>
      <c r="AS104" s="26">
        <f t="shared" si="42"/>
        <v>6199.7</v>
      </c>
      <c r="AT104" s="26">
        <f t="shared" si="42"/>
        <v>2363.1999999999998</v>
      </c>
      <c r="AU104" s="26">
        <f t="shared" si="42"/>
        <v>271</v>
      </c>
      <c r="AV104" s="26">
        <f t="shared" si="42"/>
        <v>305.39999999999998</v>
      </c>
      <c r="AW104" s="26">
        <f t="shared" si="42"/>
        <v>257</v>
      </c>
      <c r="AX104" s="26">
        <f t="shared" si="42"/>
        <v>81</v>
      </c>
      <c r="AY104" s="26">
        <f t="shared" si="42"/>
        <v>406.8</v>
      </c>
      <c r="AZ104" s="26">
        <f t="shared" si="42"/>
        <v>12222.4</v>
      </c>
      <c r="BA104" s="26">
        <f t="shared" si="42"/>
        <v>9136.2999999999993</v>
      </c>
      <c r="BB104" s="26">
        <f t="shared" si="42"/>
        <v>7564.3</v>
      </c>
      <c r="BC104" s="26">
        <f t="shared" si="42"/>
        <v>21734.800000000003</v>
      </c>
      <c r="BD104" s="26">
        <f t="shared" si="42"/>
        <v>3637.5</v>
      </c>
      <c r="BE104" s="26">
        <f t="shared" si="42"/>
        <v>1198.7</v>
      </c>
      <c r="BF104" s="26">
        <f t="shared" si="42"/>
        <v>25614.3</v>
      </c>
      <c r="BG104" s="26">
        <f t="shared" si="42"/>
        <v>920.6</v>
      </c>
      <c r="BH104" s="26">
        <f t="shared" si="42"/>
        <v>583.5</v>
      </c>
      <c r="BI104" s="26">
        <f t="shared" si="42"/>
        <v>257.39999999999998</v>
      </c>
      <c r="BJ104" s="26">
        <f t="shared" si="42"/>
        <v>6314.9</v>
      </c>
      <c r="BK104" s="26">
        <f t="shared" si="42"/>
        <v>35146.699999999997</v>
      </c>
      <c r="BL104" s="26">
        <f t="shared" si="42"/>
        <v>77.3</v>
      </c>
      <c r="BM104" s="26">
        <f t="shared" si="42"/>
        <v>359.3</v>
      </c>
      <c r="BN104" s="26">
        <f t="shared" si="42"/>
        <v>3145.6</v>
      </c>
      <c r="BO104" s="26">
        <f t="shared" si="42"/>
        <v>1257.3</v>
      </c>
      <c r="BP104" s="26">
        <f t="shared" si="42"/>
        <v>160.4</v>
      </c>
      <c r="BQ104" s="26">
        <f t="shared" si="42"/>
        <v>5634.5999999999995</v>
      </c>
      <c r="BR104" s="26">
        <f t="shared" si="42"/>
        <v>4488.3999999999996</v>
      </c>
      <c r="BS104" s="26">
        <f t="shared" si="42"/>
        <v>1158.0999999999999</v>
      </c>
      <c r="BT104" s="26">
        <f t="shared" si="42"/>
        <v>372.5</v>
      </c>
      <c r="BU104" s="26">
        <f t="shared" si="42"/>
        <v>393.7</v>
      </c>
      <c r="BV104" s="26">
        <f t="shared" si="42"/>
        <v>1245.3</v>
      </c>
      <c r="BW104" s="26">
        <f t="shared" si="42"/>
        <v>2017.5</v>
      </c>
      <c r="BX104" s="26">
        <f t="shared" si="42"/>
        <v>66.5</v>
      </c>
      <c r="BY104" s="26">
        <f t="shared" si="42"/>
        <v>430.7</v>
      </c>
      <c r="BZ104" s="26">
        <f t="shared" si="42"/>
        <v>228</v>
      </c>
      <c r="CA104" s="26">
        <f t="shared" si="42"/>
        <v>146.19999999999999</v>
      </c>
      <c r="CB104" s="26">
        <f t="shared" si="42"/>
        <v>72808.099999999991</v>
      </c>
      <c r="CC104" s="26">
        <f t="shared" si="42"/>
        <v>189.3</v>
      </c>
      <c r="CD104" s="26">
        <f t="shared" si="42"/>
        <v>50</v>
      </c>
      <c r="CE104" s="26">
        <f t="shared" si="42"/>
        <v>158.30000000000001</v>
      </c>
      <c r="CF104" s="26">
        <f t="shared" si="42"/>
        <v>112.5</v>
      </c>
      <c r="CG104" s="26">
        <f t="shared" si="42"/>
        <v>199.9</v>
      </c>
      <c r="CH104" s="26">
        <f t="shared" si="42"/>
        <v>96.5</v>
      </c>
      <c r="CI104" s="26">
        <f t="shared" si="42"/>
        <v>687.9</v>
      </c>
      <c r="CJ104" s="26">
        <f t="shared" si="42"/>
        <v>872.3</v>
      </c>
      <c r="CK104" s="26">
        <f t="shared" si="42"/>
        <v>4329.3</v>
      </c>
      <c r="CL104" s="26">
        <f t="shared" si="42"/>
        <v>1237.9000000000001</v>
      </c>
      <c r="CM104" s="26">
        <f t="shared" si="42"/>
        <v>687.4</v>
      </c>
      <c r="CN104" s="26">
        <f t="shared" si="42"/>
        <v>29181.3</v>
      </c>
      <c r="CO104" s="26">
        <f t="shared" si="42"/>
        <v>14394.7</v>
      </c>
      <c r="CP104" s="26">
        <f t="shared" si="42"/>
        <v>934.4</v>
      </c>
      <c r="CQ104" s="26">
        <f t="shared" si="42"/>
        <v>770.1</v>
      </c>
      <c r="CR104" s="26">
        <f t="shared" si="42"/>
        <v>215.8</v>
      </c>
      <c r="CS104" s="26">
        <f t="shared" si="42"/>
        <v>285.5</v>
      </c>
      <c r="CT104" s="26">
        <f t="shared" si="42"/>
        <v>113.5</v>
      </c>
      <c r="CU104" s="26">
        <f t="shared" si="42"/>
        <v>469.8</v>
      </c>
      <c r="CV104" s="26">
        <f t="shared" si="42"/>
        <v>50</v>
      </c>
      <c r="CW104" s="26">
        <f t="shared" si="42"/>
        <v>198.7</v>
      </c>
      <c r="CX104" s="26">
        <f t="shared" si="42"/>
        <v>461.4</v>
      </c>
      <c r="CY104" s="26">
        <f t="shared" si="42"/>
        <v>50</v>
      </c>
      <c r="CZ104" s="26">
        <f t="shared" si="42"/>
        <v>1806.8</v>
      </c>
      <c r="DA104" s="26">
        <f t="shared" si="42"/>
        <v>203.5</v>
      </c>
      <c r="DB104" s="26">
        <f t="shared" si="42"/>
        <v>315.8</v>
      </c>
      <c r="DC104" s="26">
        <f t="shared" si="42"/>
        <v>193</v>
      </c>
      <c r="DD104" s="26">
        <f t="shared" si="42"/>
        <v>174.5</v>
      </c>
      <c r="DE104" s="26">
        <f t="shared" si="42"/>
        <v>285.3</v>
      </c>
      <c r="DF104" s="26">
        <f t="shared" si="42"/>
        <v>19451.599999999999</v>
      </c>
      <c r="DG104" s="26">
        <f t="shared" si="42"/>
        <v>93.5</v>
      </c>
      <c r="DH104" s="26">
        <f t="shared" si="42"/>
        <v>1805.4</v>
      </c>
      <c r="DI104" s="26">
        <f t="shared" si="42"/>
        <v>2373.1000000000004</v>
      </c>
      <c r="DJ104" s="26">
        <f t="shared" si="42"/>
        <v>624</v>
      </c>
      <c r="DK104" s="26">
        <f t="shared" si="42"/>
        <v>478.7</v>
      </c>
      <c r="DL104" s="26">
        <f t="shared" si="42"/>
        <v>5694</v>
      </c>
      <c r="DM104" s="26">
        <f t="shared" si="42"/>
        <v>235</v>
      </c>
      <c r="DN104" s="26">
        <f t="shared" si="42"/>
        <v>1296</v>
      </c>
      <c r="DO104" s="26">
        <f t="shared" si="42"/>
        <v>3290</v>
      </c>
      <c r="DP104" s="26">
        <f t="shared" si="42"/>
        <v>200</v>
      </c>
      <c r="DQ104" s="26">
        <f t="shared" si="42"/>
        <v>888</v>
      </c>
      <c r="DR104" s="26">
        <f t="shared" si="42"/>
        <v>1315.2</v>
      </c>
      <c r="DS104" s="26">
        <f t="shared" si="42"/>
        <v>599.9</v>
      </c>
      <c r="DT104" s="26">
        <f t="shared" si="42"/>
        <v>176.5</v>
      </c>
      <c r="DU104" s="26">
        <f t="shared" si="42"/>
        <v>351.4</v>
      </c>
      <c r="DV104" s="26">
        <f t="shared" si="42"/>
        <v>208</v>
      </c>
      <c r="DW104" s="26">
        <f t="shared" si="42"/>
        <v>300.2</v>
      </c>
      <c r="DX104" s="26">
        <f t="shared" si="42"/>
        <v>168</v>
      </c>
      <c r="DY104" s="26">
        <f t="shared" si="42"/>
        <v>296.60000000000002</v>
      </c>
      <c r="DZ104" s="26">
        <f t="shared" si="42"/>
        <v>681.8</v>
      </c>
      <c r="EA104" s="26">
        <f t="shared" si="42"/>
        <v>510.6</v>
      </c>
      <c r="EB104" s="26">
        <f t="shared" si="42"/>
        <v>534.4</v>
      </c>
      <c r="EC104" s="26">
        <f t="shared" si="42"/>
        <v>285.10000000000002</v>
      </c>
      <c r="ED104" s="26">
        <f t="shared" si="42"/>
        <v>1561.8</v>
      </c>
      <c r="EE104" s="26">
        <f t="shared" si="42"/>
        <v>191.6</v>
      </c>
      <c r="EF104" s="26">
        <f t="shared" si="42"/>
        <v>1355.2</v>
      </c>
      <c r="EG104" s="26">
        <f t="shared" si="42"/>
        <v>253.5</v>
      </c>
      <c r="EH104" s="26">
        <f t="shared" si="42"/>
        <v>247.4</v>
      </c>
      <c r="EI104" s="26">
        <f t="shared" si="42"/>
        <v>13890.3</v>
      </c>
      <c r="EJ104" s="26">
        <f t="shared" si="42"/>
        <v>10185.299999999999</v>
      </c>
      <c r="EK104" s="26">
        <f t="shared" si="42"/>
        <v>668.7</v>
      </c>
      <c r="EL104" s="26">
        <f t="shared" si="42"/>
        <v>459.4</v>
      </c>
      <c r="EM104" s="26">
        <f t="shared" si="42"/>
        <v>378.1</v>
      </c>
      <c r="EN104" s="26">
        <f t="shared" si="42"/>
        <v>939.9</v>
      </c>
      <c r="EO104" s="26">
        <f t="shared" si="42"/>
        <v>305.39999999999998</v>
      </c>
      <c r="EP104" s="26">
        <f t="shared" si="42"/>
        <v>428.5</v>
      </c>
      <c r="EQ104" s="26">
        <f t="shared" si="42"/>
        <v>2513.4</v>
      </c>
      <c r="ER104" s="26">
        <f t="shared" si="42"/>
        <v>309.60000000000002</v>
      </c>
      <c r="ES104" s="26">
        <f t="shared" si="42"/>
        <v>163</v>
      </c>
      <c r="ET104" s="26">
        <f t="shared" si="42"/>
        <v>197.5</v>
      </c>
      <c r="EU104" s="26">
        <f t="shared" si="42"/>
        <v>575.29999999999995</v>
      </c>
      <c r="EV104" s="26">
        <f t="shared" si="42"/>
        <v>72.599999999999994</v>
      </c>
      <c r="EW104" s="26">
        <f t="shared" si="42"/>
        <v>819.4</v>
      </c>
      <c r="EX104" s="26">
        <f t="shared" si="42"/>
        <v>173.5</v>
      </c>
      <c r="EY104" s="26">
        <f t="shared" si="42"/>
        <v>656.5</v>
      </c>
      <c r="EZ104" s="26">
        <f t="shared" si="42"/>
        <v>129.30000000000001</v>
      </c>
      <c r="FA104" s="26">
        <f t="shared" si="42"/>
        <v>3397.2</v>
      </c>
      <c r="FB104" s="26">
        <f t="shared" si="42"/>
        <v>288.10000000000002</v>
      </c>
      <c r="FC104" s="26">
        <f t="shared" si="42"/>
        <v>1826.2</v>
      </c>
      <c r="FD104" s="26">
        <f t="shared" si="42"/>
        <v>402</v>
      </c>
      <c r="FE104" s="26">
        <f t="shared" si="42"/>
        <v>79</v>
      </c>
      <c r="FF104" s="26">
        <f t="shared" si="42"/>
        <v>185</v>
      </c>
      <c r="FG104" s="26">
        <f t="shared" si="42"/>
        <v>120.8</v>
      </c>
      <c r="FH104" s="26">
        <f t="shared" si="42"/>
        <v>70</v>
      </c>
      <c r="FI104" s="26">
        <f t="shared" si="42"/>
        <v>1702.5</v>
      </c>
      <c r="FJ104" s="26">
        <f t="shared" si="42"/>
        <v>2016.5</v>
      </c>
      <c r="FK104" s="26">
        <f t="shared" si="42"/>
        <v>2529.1</v>
      </c>
      <c r="FL104" s="26">
        <f t="shared" si="42"/>
        <v>8538.5</v>
      </c>
      <c r="FM104" s="26">
        <f t="shared" si="42"/>
        <v>3981.5</v>
      </c>
      <c r="FN104" s="26">
        <f t="shared" si="42"/>
        <v>22705.3</v>
      </c>
      <c r="FO104" s="26">
        <f t="shared" si="42"/>
        <v>1119.2</v>
      </c>
      <c r="FP104" s="26">
        <f t="shared" si="42"/>
        <v>2341.5</v>
      </c>
      <c r="FQ104" s="26">
        <f t="shared" si="42"/>
        <v>984.9</v>
      </c>
      <c r="FR104" s="26">
        <f t="shared" si="42"/>
        <v>168.1</v>
      </c>
      <c r="FS104" s="26">
        <f t="shared" si="42"/>
        <v>168.3</v>
      </c>
      <c r="FT104" s="26" t="e">
        <f t="shared" ca="1" si="42"/>
        <v>#NAME?</v>
      </c>
      <c r="FU104" s="26">
        <f t="shared" si="42"/>
        <v>791.1</v>
      </c>
      <c r="FV104" s="26">
        <f t="shared" si="42"/>
        <v>693.7</v>
      </c>
      <c r="FW104" s="26">
        <f t="shared" si="42"/>
        <v>149.5</v>
      </c>
      <c r="FX104" s="26">
        <f t="shared" si="42"/>
        <v>64.5</v>
      </c>
      <c r="FZ104" s="25" t="e">
        <f t="shared" ca="1" si="35"/>
        <v>#NAME?</v>
      </c>
      <c r="GA104" s="25"/>
      <c r="GB104" s="25"/>
      <c r="GC104" s="25"/>
      <c r="GD104" s="7"/>
      <c r="GE104" s="7"/>
      <c r="GF104" s="23"/>
      <c r="GG104" s="23"/>
      <c r="GH104" s="23"/>
      <c r="GI104" s="23"/>
      <c r="GJ104" s="23"/>
      <c r="GK104" s="23"/>
      <c r="GL104" s="23"/>
      <c r="GM104" s="23"/>
    </row>
    <row r="105" spans="1:207" ht="15.5" x14ac:dyDescent="0.35">
      <c r="A105" s="12" t="s">
        <v>572</v>
      </c>
      <c r="B105" s="5" t="s">
        <v>826</v>
      </c>
      <c r="C105" s="23">
        <f t="shared" ref="C105:FX105" si="43">C94+C95+C102+C100</f>
        <v>0</v>
      </c>
      <c r="D105" s="23">
        <f t="shared" si="43"/>
        <v>4695.8999999999996</v>
      </c>
      <c r="E105" s="23">
        <f t="shared" si="43"/>
        <v>662.7</v>
      </c>
      <c r="F105" s="23">
        <f t="shared" si="43"/>
        <v>933.3</v>
      </c>
      <c r="G105" s="23">
        <f t="shared" si="43"/>
        <v>0</v>
      </c>
      <c r="H105" s="23">
        <f t="shared" si="43"/>
        <v>0</v>
      </c>
      <c r="I105" s="23">
        <f t="shared" si="43"/>
        <v>750.2</v>
      </c>
      <c r="J105" s="23">
        <f t="shared" si="43"/>
        <v>0</v>
      </c>
      <c r="K105" s="23">
        <f t="shared" si="43"/>
        <v>0</v>
      </c>
      <c r="L105" s="23">
        <f t="shared" si="43"/>
        <v>0</v>
      </c>
      <c r="M105" s="23">
        <f t="shared" si="43"/>
        <v>0</v>
      </c>
      <c r="N105" s="23">
        <f t="shared" si="43"/>
        <v>90</v>
      </c>
      <c r="O105" s="23">
        <f t="shared" si="43"/>
        <v>0</v>
      </c>
      <c r="P105" s="23">
        <f t="shared" si="43"/>
        <v>0</v>
      </c>
      <c r="Q105" s="23">
        <f t="shared" si="43"/>
        <v>1961.3</v>
      </c>
      <c r="R105" s="23">
        <f t="shared" si="43"/>
        <v>0</v>
      </c>
      <c r="S105" s="23">
        <f t="shared" si="43"/>
        <v>0</v>
      </c>
      <c r="T105" s="23">
        <f t="shared" si="43"/>
        <v>0</v>
      </c>
      <c r="U105" s="23">
        <f t="shared" si="43"/>
        <v>0</v>
      </c>
      <c r="V105" s="23">
        <f t="shared" si="43"/>
        <v>0</v>
      </c>
      <c r="W105" s="23">
        <f t="shared" si="43"/>
        <v>0</v>
      </c>
      <c r="X105" s="23">
        <f t="shared" si="43"/>
        <v>0</v>
      </c>
      <c r="Y105" s="23">
        <f t="shared" si="43"/>
        <v>0</v>
      </c>
      <c r="Z105" s="23">
        <f t="shared" si="43"/>
        <v>0</v>
      </c>
      <c r="AA105" s="23">
        <f t="shared" si="43"/>
        <v>0</v>
      </c>
      <c r="AB105" s="23">
        <f t="shared" si="43"/>
        <v>0</v>
      </c>
      <c r="AC105" s="23">
        <f t="shared" si="43"/>
        <v>0</v>
      </c>
      <c r="AD105" s="23">
        <f t="shared" si="43"/>
        <v>154</v>
      </c>
      <c r="AE105" s="23">
        <f t="shared" si="43"/>
        <v>0</v>
      </c>
      <c r="AF105" s="23">
        <f t="shared" si="43"/>
        <v>0</v>
      </c>
      <c r="AG105" s="23">
        <f t="shared" si="43"/>
        <v>0</v>
      </c>
      <c r="AH105" s="23">
        <f t="shared" si="43"/>
        <v>0</v>
      </c>
      <c r="AI105" s="23">
        <f t="shared" si="43"/>
        <v>0</v>
      </c>
      <c r="AJ105" s="23">
        <f t="shared" si="43"/>
        <v>0</v>
      </c>
      <c r="AK105" s="23">
        <f t="shared" si="43"/>
        <v>0</v>
      </c>
      <c r="AL105" s="23">
        <f t="shared" si="43"/>
        <v>0</v>
      </c>
      <c r="AM105" s="23">
        <f t="shared" si="43"/>
        <v>0</v>
      </c>
      <c r="AN105" s="23">
        <f t="shared" si="43"/>
        <v>0</v>
      </c>
      <c r="AO105" s="23">
        <f t="shared" si="43"/>
        <v>0</v>
      </c>
      <c r="AP105" s="23">
        <f t="shared" si="43"/>
        <v>0</v>
      </c>
      <c r="AQ105" s="23">
        <f t="shared" si="43"/>
        <v>0</v>
      </c>
      <c r="AR105" s="23">
        <f t="shared" si="43"/>
        <v>2007.3</v>
      </c>
      <c r="AS105" s="23">
        <f t="shared" si="43"/>
        <v>300.3</v>
      </c>
      <c r="AT105" s="23">
        <f t="shared" si="43"/>
        <v>0</v>
      </c>
      <c r="AU105" s="23">
        <f t="shared" si="43"/>
        <v>0</v>
      </c>
      <c r="AV105" s="23">
        <f t="shared" si="43"/>
        <v>0</v>
      </c>
      <c r="AW105" s="23">
        <f t="shared" si="43"/>
        <v>0</v>
      </c>
      <c r="AX105" s="23">
        <f t="shared" si="43"/>
        <v>0</v>
      </c>
      <c r="AY105" s="23">
        <f t="shared" si="43"/>
        <v>0</v>
      </c>
      <c r="AZ105" s="23">
        <f t="shared" si="43"/>
        <v>0</v>
      </c>
      <c r="BA105" s="23">
        <f t="shared" si="43"/>
        <v>0</v>
      </c>
      <c r="BB105" s="23">
        <f t="shared" si="43"/>
        <v>0</v>
      </c>
      <c r="BC105" s="23">
        <f t="shared" si="43"/>
        <v>2965.1</v>
      </c>
      <c r="BD105" s="23">
        <f t="shared" si="43"/>
        <v>0</v>
      </c>
      <c r="BE105" s="23">
        <f t="shared" si="43"/>
        <v>0</v>
      </c>
      <c r="BF105" s="23">
        <f t="shared" si="43"/>
        <v>0</v>
      </c>
      <c r="BG105" s="23">
        <f t="shared" si="43"/>
        <v>0</v>
      </c>
      <c r="BH105" s="23">
        <f t="shared" si="43"/>
        <v>0</v>
      </c>
      <c r="BI105" s="23">
        <f t="shared" si="43"/>
        <v>0</v>
      </c>
      <c r="BJ105" s="23">
        <f t="shared" si="43"/>
        <v>0</v>
      </c>
      <c r="BK105" s="23">
        <f t="shared" si="43"/>
        <v>0</v>
      </c>
      <c r="BL105" s="23">
        <f t="shared" si="43"/>
        <v>0</v>
      </c>
      <c r="BM105" s="23">
        <f t="shared" si="43"/>
        <v>0</v>
      </c>
      <c r="BN105" s="23">
        <f t="shared" si="43"/>
        <v>0</v>
      </c>
      <c r="BO105" s="23">
        <f t="shared" si="43"/>
        <v>0</v>
      </c>
      <c r="BP105" s="23">
        <f t="shared" si="43"/>
        <v>0</v>
      </c>
      <c r="BQ105" s="23">
        <f t="shared" si="43"/>
        <v>252.6</v>
      </c>
      <c r="BR105" s="23">
        <f t="shared" si="43"/>
        <v>0</v>
      </c>
      <c r="BS105" s="23">
        <f t="shared" si="43"/>
        <v>0</v>
      </c>
      <c r="BT105" s="23">
        <f t="shared" si="43"/>
        <v>0</v>
      </c>
      <c r="BU105" s="23">
        <f t="shared" si="43"/>
        <v>0</v>
      </c>
      <c r="BV105" s="23">
        <f t="shared" si="43"/>
        <v>0</v>
      </c>
      <c r="BW105" s="23">
        <f t="shared" si="43"/>
        <v>0</v>
      </c>
      <c r="BX105" s="23">
        <f t="shared" si="43"/>
        <v>0</v>
      </c>
      <c r="BY105" s="23">
        <f t="shared" si="43"/>
        <v>0</v>
      </c>
      <c r="BZ105" s="23">
        <f t="shared" si="43"/>
        <v>0</v>
      </c>
      <c r="CA105" s="23">
        <f t="shared" si="43"/>
        <v>0</v>
      </c>
      <c r="CB105" s="23">
        <f t="shared" si="43"/>
        <v>834.8</v>
      </c>
      <c r="CC105" s="23">
        <f t="shared" si="43"/>
        <v>0</v>
      </c>
      <c r="CD105" s="23">
        <f t="shared" si="43"/>
        <v>0</v>
      </c>
      <c r="CE105" s="23">
        <f t="shared" si="43"/>
        <v>0</v>
      </c>
      <c r="CF105" s="23">
        <f t="shared" si="43"/>
        <v>0</v>
      </c>
      <c r="CG105" s="23">
        <f t="shared" si="43"/>
        <v>0</v>
      </c>
      <c r="CH105" s="23">
        <f t="shared" si="43"/>
        <v>0</v>
      </c>
      <c r="CI105" s="23">
        <f t="shared" si="43"/>
        <v>0</v>
      </c>
      <c r="CJ105" s="23">
        <f t="shared" si="43"/>
        <v>0</v>
      </c>
      <c r="CK105" s="23">
        <f t="shared" si="43"/>
        <v>582.20000000000005</v>
      </c>
      <c r="CL105" s="23">
        <f t="shared" si="43"/>
        <v>0</v>
      </c>
      <c r="CM105" s="23">
        <f t="shared" si="43"/>
        <v>0</v>
      </c>
      <c r="CN105" s="23">
        <f t="shared" si="43"/>
        <v>2355</v>
      </c>
      <c r="CO105" s="23">
        <f t="shared" si="43"/>
        <v>0</v>
      </c>
      <c r="CP105" s="23">
        <f t="shared" si="43"/>
        <v>0</v>
      </c>
      <c r="CQ105" s="23">
        <f t="shared" si="43"/>
        <v>0</v>
      </c>
      <c r="CR105" s="23">
        <f t="shared" si="43"/>
        <v>0</v>
      </c>
      <c r="CS105" s="23">
        <f t="shared" si="43"/>
        <v>0</v>
      </c>
      <c r="CT105" s="23">
        <f t="shared" si="43"/>
        <v>0</v>
      </c>
      <c r="CU105" s="23">
        <f t="shared" si="43"/>
        <v>0</v>
      </c>
      <c r="CV105" s="23">
        <f t="shared" si="43"/>
        <v>0</v>
      </c>
      <c r="CW105" s="23">
        <f t="shared" si="43"/>
        <v>0</v>
      </c>
      <c r="CX105" s="23">
        <f t="shared" si="43"/>
        <v>0</v>
      </c>
      <c r="CY105" s="23">
        <f t="shared" si="43"/>
        <v>0</v>
      </c>
      <c r="CZ105" s="23">
        <f t="shared" si="43"/>
        <v>0</v>
      </c>
      <c r="DA105" s="23">
        <f t="shared" si="43"/>
        <v>0</v>
      </c>
      <c r="DB105" s="23">
        <f t="shared" si="43"/>
        <v>0</v>
      </c>
      <c r="DC105" s="23">
        <f t="shared" si="43"/>
        <v>0</v>
      </c>
      <c r="DD105" s="23">
        <f t="shared" si="43"/>
        <v>0</v>
      </c>
      <c r="DE105" s="23">
        <f t="shared" si="43"/>
        <v>0</v>
      </c>
      <c r="DF105" s="23">
        <f t="shared" si="43"/>
        <v>1383</v>
      </c>
      <c r="DG105" s="23">
        <f t="shared" si="43"/>
        <v>0</v>
      </c>
      <c r="DH105" s="23">
        <f t="shared" si="43"/>
        <v>0</v>
      </c>
      <c r="DI105" s="23">
        <f t="shared" si="43"/>
        <v>79.2</v>
      </c>
      <c r="DJ105" s="23">
        <f t="shared" si="43"/>
        <v>0</v>
      </c>
      <c r="DK105" s="23">
        <f t="shared" si="43"/>
        <v>0</v>
      </c>
      <c r="DL105" s="23">
        <f t="shared" si="43"/>
        <v>0</v>
      </c>
      <c r="DM105" s="23">
        <f t="shared" si="43"/>
        <v>0</v>
      </c>
      <c r="DN105" s="23">
        <f t="shared" si="43"/>
        <v>0</v>
      </c>
      <c r="DO105" s="23">
        <f t="shared" si="43"/>
        <v>0</v>
      </c>
      <c r="DP105" s="23">
        <f t="shared" si="43"/>
        <v>0</v>
      </c>
      <c r="DQ105" s="23">
        <f t="shared" si="43"/>
        <v>0</v>
      </c>
      <c r="DR105" s="23">
        <f t="shared" si="43"/>
        <v>0</v>
      </c>
      <c r="DS105" s="23">
        <f t="shared" si="43"/>
        <v>0</v>
      </c>
      <c r="DT105" s="23">
        <f t="shared" si="43"/>
        <v>0</v>
      </c>
      <c r="DU105" s="23">
        <f t="shared" si="43"/>
        <v>0</v>
      </c>
      <c r="DV105" s="23">
        <f t="shared" si="43"/>
        <v>0</v>
      </c>
      <c r="DW105" s="23">
        <f t="shared" si="43"/>
        <v>0</v>
      </c>
      <c r="DX105" s="23">
        <f t="shared" si="43"/>
        <v>0</v>
      </c>
      <c r="DY105" s="23">
        <f t="shared" si="43"/>
        <v>0</v>
      </c>
      <c r="DZ105" s="23">
        <f t="shared" si="43"/>
        <v>0</v>
      </c>
      <c r="EA105" s="23">
        <f t="shared" si="43"/>
        <v>20</v>
      </c>
      <c r="EB105" s="23">
        <f t="shared" si="43"/>
        <v>0</v>
      </c>
      <c r="EC105" s="23">
        <f t="shared" si="43"/>
        <v>0</v>
      </c>
      <c r="ED105" s="23">
        <f t="shared" si="43"/>
        <v>0</v>
      </c>
      <c r="EE105" s="23">
        <f t="shared" si="43"/>
        <v>0</v>
      </c>
      <c r="EF105" s="23">
        <f t="shared" si="43"/>
        <v>0</v>
      </c>
      <c r="EG105" s="23">
        <f t="shared" si="43"/>
        <v>0</v>
      </c>
      <c r="EH105" s="23">
        <f t="shared" si="43"/>
        <v>0</v>
      </c>
      <c r="EI105" s="23">
        <f t="shared" si="43"/>
        <v>0</v>
      </c>
      <c r="EJ105" s="23">
        <f t="shared" si="43"/>
        <v>0</v>
      </c>
      <c r="EK105" s="23">
        <f t="shared" si="43"/>
        <v>0</v>
      </c>
      <c r="EL105" s="23">
        <f t="shared" si="43"/>
        <v>0</v>
      </c>
      <c r="EM105" s="23">
        <f t="shared" si="43"/>
        <v>0</v>
      </c>
      <c r="EN105" s="23">
        <f t="shared" si="43"/>
        <v>0</v>
      </c>
      <c r="EO105" s="23">
        <f t="shared" si="43"/>
        <v>0</v>
      </c>
      <c r="EP105" s="23">
        <f t="shared" si="43"/>
        <v>0</v>
      </c>
      <c r="EQ105" s="23">
        <f t="shared" si="43"/>
        <v>103</v>
      </c>
      <c r="ER105" s="23">
        <f t="shared" si="43"/>
        <v>0</v>
      </c>
      <c r="ES105" s="23">
        <f t="shared" si="43"/>
        <v>0</v>
      </c>
      <c r="ET105" s="23">
        <f t="shared" si="43"/>
        <v>0</v>
      </c>
      <c r="EU105" s="23">
        <f t="shared" si="43"/>
        <v>0</v>
      </c>
      <c r="EV105" s="23">
        <f t="shared" si="43"/>
        <v>0</v>
      </c>
      <c r="EW105" s="23">
        <f t="shared" si="43"/>
        <v>0</v>
      </c>
      <c r="EX105" s="23">
        <f t="shared" si="43"/>
        <v>0</v>
      </c>
      <c r="EY105" s="23">
        <f t="shared" si="43"/>
        <v>0</v>
      </c>
      <c r="EZ105" s="23">
        <f t="shared" si="43"/>
        <v>0</v>
      </c>
      <c r="FA105" s="23">
        <f t="shared" si="43"/>
        <v>0</v>
      </c>
      <c r="FB105" s="23">
        <f t="shared" si="43"/>
        <v>0</v>
      </c>
      <c r="FC105" s="23">
        <f t="shared" si="43"/>
        <v>0</v>
      </c>
      <c r="FD105" s="23">
        <f t="shared" si="43"/>
        <v>0</v>
      </c>
      <c r="FE105" s="23">
        <f t="shared" si="43"/>
        <v>0</v>
      </c>
      <c r="FF105" s="23">
        <f t="shared" si="43"/>
        <v>0</v>
      </c>
      <c r="FG105" s="23">
        <f t="shared" si="43"/>
        <v>0</v>
      </c>
      <c r="FH105" s="23">
        <f t="shared" si="43"/>
        <v>0</v>
      </c>
      <c r="FI105" s="23">
        <f t="shared" si="43"/>
        <v>0</v>
      </c>
      <c r="FJ105" s="23">
        <f t="shared" si="43"/>
        <v>0</v>
      </c>
      <c r="FK105" s="23">
        <f t="shared" si="43"/>
        <v>0</v>
      </c>
      <c r="FL105" s="23">
        <f t="shared" si="43"/>
        <v>0</v>
      </c>
      <c r="FM105" s="23">
        <f t="shared" si="43"/>
        <v>0</v>
      </c>
      <c r="FN105" s="23">
        <f t="shared" si="43"/>
        <v>0</v>
      </c>
      <c r="FO105" s="23">
        <f t="shared" si="43"/>
        <v>0</v>
      </c>
      <c r="FP105" s="23">
        <f t="shared" si="43"/>
        <v>0</v>
      </c>
      <c r="FQ105" s="23">
        <f t="shared" si="43"/>
        <v>0</v>
      </c>
      <c r="FR105" s="23">
        <f t="shared" si="43"/>
        <v>0</v>
      </c>
      <c r="FS105" s="23">
        <f t="shared" si="43"/>
        <v>0</v>
      </c>
      <c r="FT105" s="23">
        <f t="shared" si="43"/>
        <v>0</v>
      </c>
      <c r="FU105" s="23">
        <f t="shared" si="43"/>
        <v>0</v>
      </c>
      <c r="FV105" s="23">
        <f t="shared" si="43"/>
        <v>0</v>
      </c>
      <c r="FW105" s="23">
        <f t="shared" si="43"/>
        <v>0</v>
      </c>
      <c r="FX105" s="23">
        <f t="shared" si="43"/>
        <v>0</v>
      </c>
      <c r="FY105" s="25"/>
      <c r="FZ105" s="25">
        <f t="shared" si="35"/>
        <v>20129.899999999998</v>
      </c>
      <c r="GA105" s="7"/>
      <c r="GB105" s="25"/>
      <c r="GC105" s="25"/>
      <c r="GD105" s="25"/>
      <c r="GE105" s="7"/>
      <c r="GF105" s="23"/>
      <c r="GG105" s="23"/>
      <c r="GH105" s="23"/>
      <c r="GI105" s="23"/>
      <c r="GJ105" s="23"/>
      <c r="GK105" s="23"/>
      <c r="GL105" s="23"/>
      <c r="GM105" s="23"/>
    </row>
    <row r="106" spans="1:207" ht="15.5" x14ac:dyDescent="0.35">
      <c r="A106" s="12"/>
      <c r="B106" s="5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5"/>
      <c r="FZ106" s="25"/>
      <c r="GA106" s="7"/>
      <c r="GB106" s="25"/>
      <c r="GC106" s="25"/>
      <c r="GD106" s="25"/>
      <c r="GE106" s="7"/>
      <c r="GF106" s="23"/>
      <c r="GG106" s="23"/>
      <c r="GH106" s="23"/>
      <c r="GI106" s="23"/>
      <c r="GJ106" s="23"/>
      <c r="GK106" s="23"/>
      <c r="GL106" s="23"/>
      <c r="GM106" s="23"/>
    </row>
    <row r="107" spans="1:207" ht="15.5" x14ac:dyDescent="0.35">
      <c r="A107" s="12"/>
      <c r="B107" s="5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5"/>
      <c r="FZ107" s="25"/>
      <c r="GA107" s="7"/>
      <c r="GB107" s="25"/>
      <c r="GC107" s="25"/>
      <c r="GD107" s="25"/>
      <c r="GE107" s="7"/>
      <c r="GF107" s="23"/>
      <c r="GG107" s="23"/>
      <c r="GH107" s="23"/>
      <c r="GI107" s="23"/>
      <c r="GJ107" s="23"/>
      <c r="GK107" s="23"/>
      <c r="GL107" s="23"/>
      <c r="GM107" s="23"/>
    </row>
    <row r="108" spans="1:207" ht="15.5" x14ac:dyDescent="0.35">
      <c r="A108" s="58"/>
      <c r="B108" s="100" t="s">
        <v>827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31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</row>
    <row r="109" spans="1:207" ht="15.5" x14ac:dyDescent="0.35">
      <c r="A109" s="12" t="s">
        <v>828</v>
      </c>
      <c r="B109" s="7" t="s">
        <v>829</v>
      </c>
      <c r="C109" s="33">
        <f t="shared" ref="C109:FX109" si="44">IF(AND(C22&gt;0,C103&lt;=500),C103-ROUND((C22*0.65),1),0)</f>
        <v>0</v>
      </c>
      <c r="D109" s="33">
        <f t="shared" si="44"/>
        <v>0</v>
      </c>
      <c r="E109" s="33">
        <f t="shared" si="44"/>
        <v>0</v>
      </c>
      <c r="F109" s="33">
        <f t="shared" si="44"/>
        <v>0</v>
      </c>
      <c r="G109" s="33">
        <f t="shared" si="44"/>
        <v>0</v>
      </c>
      <c r="H109" s="33">
        <f t="shared" si="44"/>
        <v>0</v>
      </c>
      <c r="I109" s="33">
        <f t="shared" si="44"/>
        <v>0</v>
      </c>
      <c r="J109" s="33">
        <f t="shared" si="44"/>
        <v>0</v>
      </c>
      <c r="K109" s="33">
        <f t="shared" si="44"/>
        <v>0</v>
      </c>
      <c r="L109" s="33">
        <f t="shared" si="44"/>
        <v>0</v>
      </c>
      <c r="M109" s="33">
        <f t="shared" si="44"/>
        <v>0</v>
      </c>
      <c r="N109" s="33">
        <f t="shared" si="44"/>
        <v>0</v>
      </c>
      <c r="O109" s="33">
        <f t="shared" si="44"/>
        <v>0</v>
      </c>
      <c r="P109" s="33">
        <f t="shared" si="44"/>
        <v>0</v>
      </c>
      <c r="Q109" s="33">
        <f t="shared" si="44"/>
        <v>0</v>
      </c>
      <c r="R109" s="33">
        <f t="shared" si="44"/>
        <v>0</v>
      </c>
      <c r="S109" s="33">
        <f t="shared" si="44"/>
        <v>0</v>
      </c>
      <c r="T109" s="33">
        <f t="shared" si="44"/>
        <v>0</v>
      </c>
      <c r="U109" s="33">
        <f t="shared" si="44"/>
        <v>0</v>
      </c>
      <c r="V109" s="33">
        <f t="shared" si="44"/>
        <v>0</v>
      </c>
      <c r="W109" s="33">
        <f t="shared" si="44"/>
        <v>0</v>
      </c>
      <c r="X109" s="33">
        <f t="shared" si="44"/>
        <v>0</v>
      </c>
      <c r="Y109" s="33">
        <f t="shared" si="44"/>
        <v>0</v>
      </c>
      <c r="Z109" s="33">
        <f t="shared" si="44"/>
        <v>0</v>
      </c>
      <c r="AA109" s="33">
        <f t="shared" si="44"/>
        <v>0</v>
      </c>
      <c r="AB109" s="33">
        <f t="shared" si="44"/>
        <v>0</v>
      </c>
      <c r="AC109" s="33">
        <f t="shared" si="44"/>
        <v>0</v>
      </c>
      <c r="AD109" s="33">
        <f t="shared" si="44"/>
        <v>0</v>
      </c>
      <c r="AE109" s="33">
        <f t="shared" si="44"/>
        <v>0</v>
      </c>
      <c r="AF109" s="33">
        <f t="shared" si="44"/>
        <v>0</v>
      </c>
      <c r="AG109" s="33">
        <f t="shared" si="44"/>
        <v>0</v>
      </c>
      <c r="AH109" s="33">
        <f t="shared" si="44"/>
        <v>0</v>
      </c>
      <c r="AI109" s="33">
        <f t="shared" si="44"/>
        <v>0</v>
      </c>
      <c r="AJ109" s="33">
        <f t="shared" si="44"/>
        <v>0</v>
      </c>
      <c r="AK109" s="33">
        <f t="shared" si="44"/>
        <v>0</v>
      </c>
      <c r="AL109" s="33">
        <f t="shared" si="44"/>
        <v>0</v>
      </c>
      <c r="AM109" s="33">
        <f t="shared" si="44"/>
        <v>0</v>
      </c>
      <c r="AN109" s="33">
        <f t="shared" si="44"/>
        <v>0</v>
      </c>
      <c r="AO109" s="33">
        <f t="shared" si="44"/>
        <v>0</v>
      </c>
      <c r="AP109" s="33">
        <f t="shared" si="44"/>
        <v>0</v>
      </c>
      <c r="AQ109" s="33">
        <f t="shared" si="44"/>
        <v>0</v>
      </c>
      <c r="AR109" s="33">
        <f t="shared" si="44"/>
        <v>0</v>
      </c>
      <c r="AS109" s="33">
        <f t="shared" si="44"/>
        <v>0</v>
      </c>
      <c r="AT109" s="33">
        <f t="shared" si="44"/>
        <v>0</v>
      </c>
      <c r="AU109" s="33">
        <f t="shared" si="44"/>
        <v>0</v>
      </c>
      <c r="AV109" s="33">
        <f t="shared" si="44"/>
        <v>0</v>
      </c>
      <c r="AW109" s="33">
        <f t="shared" si="44"/>
        <v>0</v>
      </c>
      <c r="AX109" s="33">
        <f t="shared" si="44"/>
        <v>0</v>
      </c>
      <c r="AY109" s="33">
        <f t="shared" si="44"/>
        <v>0</v>
      </c>
      <c r="AZ109" s="33">
        <f t="shared" si="44"/>
        <v>0</v>
      </c>
      <c r="BA109" s="33">
        <f t="shared" si="44"/>
        <v>0</v>
      </c>
      <c r="BB109" s="33">
        <f t="shared" si="44"/>
        <v>0</v>
      </c>
      <c r="BC109" s="33">
        <f t="shared" si="44"/>
        <v>0</v>
      </c>
      <c r="BD109" s="33">
        <f t="shared" si="44"/>
        <v>0</v>
      </c>
      <c r="BE109" s="33">
        <f t="shared" si="44"/>
        <v>0</v>
      </c>
      <c r="BF109" s="33">
        <f t="shared" si="44"/>
        <v>0</v>
      </c>
      <c r="BG109" s="33">
        <f t="shared" si="44"/>
        <v>0</v>
      </c>
      <c r="BH109" s="33">
        <f t="shared" si="44"/>
        <v>0</v>
      </c>
      <c r="BI109" s="33">
        <f t="shared" si="44"/>
        <v>0</v>
      </c>
      <c r="BJ109" s="33">
        <f t="shared" si="44"/>
        <v>0</v>
      </c>
      <c r="BK109" s="33">
        <f t="shared" si="44"/>
        <v>0</v>
      </c>
      <c r="BL109" s="33">
        <f t="shared" si="44"/>
        <v>0</v>
      </c>
      <c r="BM109" s="33">
        <f t="shared" si="44"/>
        <v>0</v>
      </c>
      <c r="BN109" s="33">
        <f t="shared" si="44"/>
        <v>0</v>
      </c>
      <c r="BO109" s="33">
        <f t="shared" si="44"/>
        <v>0</v>
      </c>
      <c r="BP109" s="33">
        <f t="shared" si="44"/>
        <v>0</v>
      </c>
      <c r="BQ109" s="33">
        <f t="shared" si="44"/>
        <v>0</v>
      </c>
      <c r="BR109" s="33">
        <f t="shared" si="44"/>
        <v>0</v>
      </c>
      <c r="BS109" s="33">
        <f t="shared" si="44"/>
        <v>0</v>
      </c>
      <c r="BT109" s="33">
        <f t="shared" si="44"/>
        <v>0</v>
      </c>
      <c r="BU109" s="33">
        <f t="shared" si="44"/>
        <v>0</v>
      </c>
      <c r="BV109" s="33">
        <f t="shared" si="44"/>
        <v>0</v>
      </c>
      <c r="BW109" s="33">
        <f t="shared" si="44"/>
        <v>0</v>
      </c>
      <c r="BX109" s="33">
        <f t="shared" si="44"/>
        <v>0</v>
      </c>
      <c r="BY109" s="33">
        <f t="shared" si="44"/>
        <v>384.2</v>
      </c>
      <c r="BZ109" s="33">
        <f t="shared" si="44"/>
        <v>0</v>
      </c>
      <c r="CA109" s="33">
        <f t="shared" si="44"/>
        <v>0</v>
      </c>
      <c r="CB109" s="33">
        <f t="shared" si="44"/>
        <v>0</v>
      </c>
      <c r="CC109" s="33">
        <f t="shared" si="44"/>
        <v>0</v>
      </c>
      <c r="CD109" s="33">
        <f t="shared" si="44"/>
        <v>0</v>
      </c>
      <c r="CE109" s="33">
        <f t="shared" si="44"/>
        <v>0</v>
      </c>
      <c r="CF109" s="33">
        <f t="shared" si="44"/>
        <v>0</v>
      </c>
      <c r="CG109" s="33">
        <f t="shared" si="44"/>
        <v>0</v>
      </c>
      <c r="CH109" s="33">
        <f t="shared" si="44"/>
        <v>0</v>
      </c>
      <c r="CI109" s="33">
        <f t="shared" si="44"/>
        <v>0</v>
      </c>
      <c r="CJ109" s="33">
        <f t="shared" si="44"/>
        <v>0</v>
      </c>
      <c r="CK109" s="33">
        <f t="shared" si="44"/>
        <v>0</v>
      </c>
      <c r="CL109" s="33">
        <f t="shared" si="44"/>
        <v>0</v>
      </c>
      <c r="CM109" s="33">
        <f t="shared" si="44"/>
        <v>0</v>
      </c>
      <c r="CN109" s="33">
        <f t="shared" si="44"/>
        <v>0</v>
      </c>
      <c r="CO109" s="33">
        <f t="shared" si="44"/>
        <v>0</v>
      </c>
      <c r="CP109" s="33">
        <f t="shared" si="44"/>
        <v>0</v>
      </c>
      <c r="CQ109" s="33">
        <f t="shared" si="44"/>
        <v>0</v>
      </c>
      <c r="CR109" s="33">
        <f t="shared" si="44"/>
        <v>0</v>
      </c>
      <c r="CS109" s="33">
        <f t="shared" si="44"/>
        <v>0</v>
      </c>
      <c r="CT109" s="33">
        <f t="shared" si="44"/>
        <v>0</v>
      </c>
      <c r="CU109" s="33">
        <f t="shared" si="44"/>
        <v>0</v>
      </c>
      <c r="CV109" s="33">
        <f t="shared" si="44"/>
        <v>0</v>
      </c>
      <c r="CW109" s="33">
        <f t="shared" si="44"/>
        <v>0</v>
      </c>
      <c r="CX109" s="33">
        <f t="shared" si="44"/>
        <v>0</v>
      </c>
      <c r="CY109" s="33">
        <f t="shared" si="44"/>
        <v>0</v>
      </c>
      <c r="CZ109" s="33">
        <f t="shared" si="44"/>
        <v>0</v>
      </c>
      <c r="DA109" s="33">
        <f t="shared" si="44"/>
        <v>0</v>
      </c>
      <c r="DB109" s="33">
        <f t="shared" si="44"/>
        <v>0</v>
      </c>
      <c r="DC109" s="33">
        <f t="shared" si="44"/>
        <v>0</v>
      </c>
      <c r="DD109" s="33">
        <f t="shared" si="44"/>
        <v>0</v>
      </c>
      <c r="DE109" s="33">
        <f t="shared" si="44"/>
        <v>0</v>
      </c>
      <c r="DF109" s="33">
        <f t="shared" si="44"/>
        <v>0</v>
      </c>
      <c r="DG109" s="33">
        <f t="shared" si="44"/>
        <v>0</v>
      </c>
      <c r="DH109" s="33">
        <f t="shared" si="44"/>
        <v>0</v>
      </c>
      <c r="DI109" s="33">
        <f t="shared" si="44"/>
        <v>0</v>
      </c>
      <c r="DJ109" s="33">
        <f t="shared" si="44"/>
        <v>0</v>
      </c>
      <c r="DK109" s="33">
        <f t="shared" si="44"/>
        <v>0</v>
      </c>
      <c r="DL109" s="33">
        <f t="shared" si="44"/>
        <v>0</v>
      </c>
      <c r="DM109" s="33">
        <f t="shared" si="44"/>
        <v>0</v>
      </c>
      <c r="DN109" s="33">
        <f t="shared" si="44"/>
        <v>0</v>
      </c>
      <c r="DO109" s="33">
        <f t="shared" si="44"/>
        <v>0</v>
      </c>
      <c r="DP109" s="33">
        <f t="shared" si="44"/>
        <v>0</v>
      </c>
      <c r="DQ109" s="33">
        <f t="shared" si="44"/>
        <v>0</v>
      </c>
      <c r="DR109" s="33">
        <f t="shared" si="44"/>
        <v>0</v>
      </c>
      <c r="DS109" s="33">
        <f t="shared" si="44"/>
        <v>0</v>
      </c>
      <c r="DT109" s="33">
        <f t="shared" si="44"/>
        <v>0</v>
      </c>
      <c r="DU109" s="33">
        <f t="shared" si="44"/>
        <v>0</v>
      </c>
      <c r="DV109" s="33">
        <f t="shared" si="44"/>
        <v>0</v>
      </c>
      <c r="DW109" s="33">
        <f t="shared" si="44"/>
        <v>0</v>
      </c>
      <c r="DX109" s="33">
        <f t="shared" si="44"/>
        <v>0</v>
      </c>
      <c r="DY109" s="33">
        <f t="shared" si="44"/>
        <v>0</v>
      </c>
      <c r="DZ109" s="33">
        <f t="shared" si="44"/>
        <v>0</v>
      </c>
      <c r="EA109" s="33">
        <f t="shared" si="44"/>
        <v>0</v>
      </c>
      <c r="EB109" s="33">
        <f t="shared" si="44"/>
        <v>0</v>
      </c>
      <c r="EC109" s="33">
        <f t="shared" si="44"/>
        <v>0</v>
      </c>
      <c r="ED109" s="33">
        <f t="shared" si="44"/>
        <v>0</v>
      </c>
      <c r="EE109" s="33">
        <f t="shared" si="44"/>
        <v>0</v>
      </c>
      <c r="EF109" s="33">
        <f t="shared" si="44"/>
        <v>0</v>
      </c>
      <c r="EG109" s="33">
        <f t="shared" si="44"/>
        <v>0</v>
      </c>
      <c r="EH109" s="33">
        <f t="shared" si="44"/>
        <v>0</v>
      </c>
      <c r="EI109" s="33">
        <f t="shared" si="44"/>
        <v>0</v>
      </c>
      <c r="EJ109" s="33">
        <f t="shared" si="44"/>
        <v>0</v>
      </c>
      <c r="EK109" s="33">
        <f t="shared" si="44"/>
        <v>0</v>
      </c>
      <c r="EL109" s="33">
        <f t="shared" si="44"/>
        <v>0</v>
      </c>
      <c r="EM109" s="33">
        <f t="shared" si="44"/>
        <v>0</v>
      </c>
      <c r="EN109" s="33">
        <f t="shared" si="44"/>
        <v>0</v>
      </c>
      <c r="EO109" s="33">
        <f t="shared" si="44"/>
        <v>0</v>
      </c>
      <c r="EP109" s="33">
        <f t="shared" si="44"/>
        <v>0</v>
      </c>
      <c r="EQ109" s="33">
        <f t="shared" si="44"/>
        <v>0</v>
      </c>
      <c r="ER109" s="33">
        <f t="shared" si="44"/>
        <v>0</v>
      </c>
      <c r="ES109" s="33">
        <f t="shared" si="44"/>
        <v>0</v>
      </c>
      <c r="ET109" s="33">
        <f t="shared" si="44"/>
        <v>132.5</v>
      </c>
      <c r="EU109" s="33">
        <f t="shared" si="44"/>
        <v>0</v>
      </c>
      <c r="EV109" s="33">
        <f t="shared" si="44"/>
        <v>0</v>
      </c>
      <c r="EW109" s="33">
        <f t="shared" si="44"/>
        <v>0</v>
      </c>
      <c r="EX109" s="33">
        <f t="shared" si="44"/>
        <v>0</v>
      </c>
      <c r="EY109" s="33">
        <f t="shared" si="44"/>
        <v>0</v>
      </c>
      <c r="EZ109" s="33">
        <f t="shared" si="44"/>
        <v>0</v>
      </c>
      <c r="FA109" s="33">
        <f t="shared" si="44"/>
        <v>0</v>
      </c>
      <c r="FB109" s="33">
        <f t="shared" si="44"/>
        <v>0</v>
      </c>
      <c r="FC109" s="33">
        <f t="shared" si="44"/>
        <v>0</v>
      </c>
      <c r="FD109" s="33">
        <f t="shared" si="44"/>
        <v>0</v>
      </c>
      <c r="FE109" s="33">
        <f t="shared" si="44"/>
        <v>0</v>
      </c>
      <c r="FF109" s="33">
        <f t="shared" si="44"/>
        <v>0</v>
      </c>
      <c r="FG109" s="33">
        <f t="shared" si="44"/>
        <v>0</v>
      </c>
      <c r="FH109" s="33">
        <f t="shared" si="44"/>
        <v>0</v>
      </c>
      <c r="FI109" s="33">
        <f t="shared" si="44"/>
        <v>0</v>
      </c>
      <c r="FJ109" s="33">
        <f t="shared" si="44"/>
        <v>0</v>
      </c>
      <c r="FK109" s="33">
        <f t="shared" si="44"/>
        <v>0</v>
      </c>
      <c r="FL109" s="33">
        <f t="shared" si="44"/>
        <v>0</v>
      </c>
      <c r="FM109" s="33">
        <f t="shared" si="44"/>
        <v>0</v>
      </c>
      <c r="FN109" s="33">
        <f t="shared" si="44"/>
        <v>0</v>
      </c>
      <c r="FO109" s="33">
        <f t="shared" si="44"/>
        <v>0</v>
      </c>
      <c r="FP109" s="33">
        <f t="shared" si="44"/>
        <v>0</v>
      </c>
      <c r="FQ109" s="33">
        <f t="shared" si="44"/>
        <v>0</v>
      </c>
      <c r="FR109" s="33">
        <f t="shared" si="44"/>
        <v>0</v>
      </c>
      <c r="FS109" s="33">
        <f t="shared" si="44"/>
        <v>0</v>
      </c>
      <c r="FT109" s="33" t="e">
        <f t="shared" ca="1" si="44"/>
        <v>#NAME?</v>
      </c>
      <c r="FU109" s="33">
        <f t="shared" si="44"/>
        <v>0</v>
      </c>
      <c r="FV109" s="33">
        <f t="shared" si="44"/>
        <v>0</v>
      </c>
      <c r="FW109" s="33">
        <f t="shared" si="44"/>
        <v>0</v>
      </c>
      <c r="FX109" s="33">
        <f t="shared" si="44"/>
        <v>0</v>
      </c>
      <c r="FY109" s="26"/>
      <c r="FZ109" s="25" t="e">
        <f ca="1">SUM(C109:FY109)</f>
        <v>#NAME?</v>
      </c>
      <c r="GA109" s="31"/>
      <c r="GB109" s="26"/>
      <c r="GC109" s="25"/>
      <c r="GD109" s="25"/>
      <c r="GE109" s="23"/>
      <c r="GF109" s="23"/>
      <c r="GG109" s="23"/>
      <c r="GH109" s="23"/>
      <c r="GI109" s="23"/>
      <c r="GJ109" s="23"/>
      <c r="GK109" s="23"/>
    </row>
    <row r="110" spans="1:207" ht="15.5" x14ac:dyDescent="0.35">
      <c r="A110" s="7"/>
      <c r="B110" s="7" t="s">
        <v>830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26"/>
      <c r="FZ110" s="25"/>
      <c r="GA110" s="31"/>
      <c r="GB110" s="26"/>
      <c r="GC110" s="25"/>
      <c r="GD110" s="25"/>
      <c r="GE110" s="23"/>
      <c r="GF110" s="23"/>
      <c r="GG110" s="23"/>
      <c r="GH110" s="23"/>
      <c r="GI110" s="23"/>
      <c r="GJ110" s="23"/>
      <c r="GK110" s="23"/>
      <c r="GL110" s="31"/>
      <c r="GM110" s="31"/>
      <c r="GN110" s="31"/>
      <c r="GO110" s="31"/>
      <c r="GP110" s="31"/>
      <c r="GQ110" s="31"/>
      <c r="GR110" s="31"/>
      <c r="GS110" s="31"/>
    </row>
    <row r="111" spans="1:207" ht="15.5" x14ac:dyDescent="0.35">
      <c r="A111" s="12" t="s">
        <v>831</v>
      </c>
      <c r="B111" s="7" t="s">
        <v>832</v>
      </c>
      <c r="C111" s="31">
        <f t="shared" ref="C111:FX111" si="45">IF(C109&gt;0,ROUND(IF(C109&lt;276,((276-C109)*0.00376159)+1.5457,IF(C109&lt;459,((459-C109)*0.00167869)+1.2385,IF(C109&lt;1027,((1027-C109)*0.00020599)+1.1215,0))),4),0)</f>
        <v>0</v>
      </c>
      <c r="D111" s="31">
        <f t="shared" si="45"/>
        <v>0</v>
      </c>
      <c r="E111" s="31">
        <f t="shared" si="45"/>
        <v>0</v>
      </c>
      <c r="F111" s="31">
        <f t="shared" si="45"/>
        <v>0</v>
      </c>
      <c r="G111" s="31">
        <f t="shared" si="45"/>
        <v>0</v>
      </c>
      <c r="H111" s="31">
        <f t="shared" si="45"/>
        <v>0</v>
      </c>
      <c r="I111" s="31">
        <f t="shared" si="45"/>
        <v>0</v>
      </c>
      <c r="J111" s="31">
        <f t="shared" si="45"/>
        <v>0</v>
      </c>
      <c r="K111" s="31">
        <f t="shared" si="45"/>
        <v>0</v>
      </c>
      <c r="L111" s="31">
        <f t="shared" si="45"/>
        <v>0</v>
      </c>
      <c r="M111" s="31">
        <f t="shared" si="45"/>
        <v>0</v>
      </c>
      <c r="N111" s="31">
        <f t="shared" si="45"/>
        <v>0</v>
      </c>
      <c r="O111" s="31">
        <f t="shared" si="45"/>
        <v>0</v>
      </c>
      <c r="P111" s="31">
        <f t="shared" si="45"/>
        <v>0</v>
      </c>
      <c r="Q111" s="31">
        <f t="shared" si="45"/>
        <v>0</v>
      </c>
      <c r="R111" s="31">
        <f t="shared" si="45"/>
        <v>0</v>
      </c>
      <c r="S111" s="31">
        <f t="shared" si="45"/>
        <v>0</v>
      </c>
      <c r="T111" s="31">
        <f t="shared" si="45"/>
        <v>0</v>
      </c>
      <c r="U111" s="31">
        <f t="shared" si="45"/>
        <v>0</v>
      </c>
      <c r="V111" s="31">
        <f t="shared" si="45"/>
        <v>0</v>
      </c>
      <c r="W111" s="31">
        <f t="shared" si="45"/>
        <v>0</v>
      </c>
      <c r="X111" s="31">
        <f t="shared" si="45"/>
        <v>0</v>
      </c>
      <c r="Y111" s="31">
        <f t="shared" si="45"/>
        <v>0</v>
      </c>
      <c r="Z111" s="31">
        <f t="shared" si="45"/>
        <v>0</v>
      </c>
      <c r="AA111" s="31">
        <f t="shared" si="45"/>
        <v>0</v>
      </c>
      <c r="AB111" s="31">
        <f t="shared" si="45"/>
        <v>0</v>
      </c>
      <c r="AC111" s="31">
        <f t="shared" si="45"/>
        <v>0</v>
      </c>
      <c r="AD111" s="31">
        <f t="shared" si="45"/>
        <v>0</v>
      </c>
      <c r="AE111" s="31">
        <f t="shared" si="45"/>
        <v>0</v>
      </c>
      <c r="AF111" s="31">
        <f t="shared" si="45"/>
        <v>0</v>
      </c>
      <c r="AG111" s="31">
        <f t="shared" si="45"/>
        <v>0</v>
      </c>
      <c r="AH111" s="31">
        <f t="shared" si="45"/>
        <v>0</v>
      </c>
      <c r="AI111" s="31">
        <f t="shared" si="45"/>
        <v>0</v>
      </c>
      <c r="AJ111" s="31">
        <f t="shared" si="45"/>
        <v>0</v>
      </c>
      <c r="AK111" s="31">
        <f t="shared" si="45"/>
        <v>0</v>
      </c>
      <c r="AL111" s="31">
        <f t="shared" si="45"/>
        <v>0</v>
      </c>
      <c r="AM111" s="31">
        <f t="shared" si="45"/>
        <v>0</v>
      </c>
      <c r="AN111" s="31">
        <f t="shared" si="45"/>
        <v>0</v>
      </c>
      <c r="AO111" s="31">
        <f t="shared" si="45"/>
        <v>0</v>
      </c>
      <c r="AP111" s="31">
        <f t="shared" si="45"/>
        <v>0</v>
      </c>
      <c r="AQ111" s="31">
        <f t="shared" si="45"/>
        <v>0</v>
      </c>
      <c r="AR111" s="31">
        <f t="shared" si="45"/>
        <v>0</v>
      </c>
      <c r="AS111" s="31">
        <f t="shared" si="45"/>
        <v>0</v>
      </c>
      <c r="AT111" s="31">
        <f t="shared" si="45"/>
        <v>0</v>
      </c>
      <c r="AU111" s="31">
        <f t="shared" si="45"/>
        <v>0</v>
      </c>
      <c r="AV111" s="31">
        <f t="shared" si="45"/>
        <v>0</v>
      </c>
      <c r="AW111" s="31">
        <f t="shared" si="45"/>
        <v>0</v>
      </c>
      <c r="AX111" s="31">
        <f t="shared" si="45"/>
        <v>0</v>
      </c>
      <c r="AY111" s="31">
        <f t="shared" si="45"/>
        <v>0</v>
      </c>
      <c r="AZ111" s="31">
        <f t="shared" si="45"/>
        <v>0</v>
      </c>
      <c r="BA111" s="31">
        <f t="shared" si="45"/>
        <v>0</v>
      </c>
      <c r="BB111" s="31">
        <f t="shared" si="45"/>
        <v>0</v>
      </c>
      <c r="BC111" s="31">
        <f t="shared" si="45"/>
        <v>0</v>
      </c>
      <c r="BD111" s="31">
        <f t="shared" si="45"/>
        <v>0</v>
      </c>
      <c r="BE111" s="31">
        <f t="shared" si="45"/>
        <v>0</v>
      </c>
      <c r="BF111" s="31">
        <f t="shared" si="45"/>
        <v>0</v>
      </c>
      <c r="BG111" s="31">
        <f t="shared" si="45"/>
        <v>0</v>
      </c>
      <c r="BH111" s="31">
        <f t="shared" si="45"/>
        <v>0</v>
      </c>
      <c r="BI111" s="31">
        <f t="shared" si="45"/>
        <v>0</v>
      </c>
      <c r="BJ111" s="31">
        <f t="shared" si="45"/>
        <v>0</v>
      </c>
      <c r="BK111" s="31">
        <f t="shared" si="45"/>
        <v>0</v>
      </c>
      <c r="BL111" s="31">
        <f t="shared" si="45"/>
        <v>0</v>
      </c>
      <c r="BM111" s="31">
        <f t="shared" si="45"/>
        <v>0</v>
      </c>
      <c r="BN111" s="31">
        <f t="shared" si="45"/>
        <v>0</v>
      </c>
      <c r="BO111" s="31">
        <f t="shared" si="45"/>
        <v>0</v>
      </c>
      <c r="BP111" s="31">
        <f t="shared" si="45"/>
        <v>0</v>
      </c>
      <c r="BQ111" s="31">
        <f t="shared" si="45"/>
        <v>0</v>
      </c>
      <c r="BR111" s="31">
        <f t="shared" si="45"/>
        <v>0</v>
      </c>
      <c r="BS111" s="31">
        <f t="shared" si="45"/>
        <v>0</v>
      </c>
      <c r="BT111" s="31">
        <f t="shared" si="45"/>
        <v>0</v>
      </c>
      <c r="BU111" s="31">
        <f t="shared" si="45"/>
        <v>0</v>
      </c>
      <c r="BV111" s="31">
        <f t="shared" si="45"/>
        <v>0</v>
      </c>
      <c r="BW111" s="31">
        <f t="shared" si="45"/>
        <v>0</v>
      </c>
      <c r="BX111" s="31">
        <f t="shared" si="45"/>
        <v>0</v>
      </c>
      <c r="BY111" s="31">
        <f t="shared" si="45"/>
        <v>1.3641000000000001</v>
      </c>
      <c r="BZ111" s="31">
        <f t="shared" si="45"/>
        <v>0</v>
      </c>
      <c r="CA111" s="31">
        <f t="shared" si="45"/>
        <v>0</v>
      </c>
      <c r="CB111" s="31">
        <f t="shared" si="45"/>
        <v>0</v>
      </c>
      <c r="CC111" s="31">
        <f t="shared" si="45"/>
        <v>0</v>
      </c>
      <c r="CD111" s="31">
        <f t="shared" si="45"/>
        <v>0</v>
      </c>
      <c r="CE111" s="31">
        <f t="shared" si="45"/>
        <v>0</v>
      </c>
      <c r="CF111" s="31">
        <f t="shared" si="45"/>
        <v>0</v>
      </c>
      <c r="CG111" s="31">
        <f t="shared" si="45"/>
        <v>0</v>
      </c>
      <c r="CH111" s="31">
        <f t="shared" si="45"/>
        <v>0</v>
      </c>
      <c r="CI111" s="31">
        <f t="shared" si="45"/>
        <v>0</v>
      </c>
      <c r="CJ111" s="31">
        <f t="shared" si="45"/>
        <v>0</v>
      </c>
      <c r="CK111" s="31">
        <f t="shared" si="45"/>
        <v>0</v>
      </c>
      <c r="CL111" s="31">
        <f t="shared" si="45"/>
        <v>0</v>
      </c>
      <c r="CM111" s="31">
        <f t="shared" si="45"/>
        <v>0</v>
      </c>
      <c r="CN111" s="31">
        <f t="shared" si="45"/>
        <v>0</v>
      </c>
      <c r="CO111" s="31">
        <f t="shared" si="45"/>
        <v>0</v>
      </c>
      <c r="CP111" s="31">
        <f t="shared" si="45"/>
        <v>0</v>
      </c>
      <c r="CQ111" s="31">
        <f t="shared" si="45"/>
        <v>0</v>
      </c>
      <c r="CR111" s="31">
        <f t="shared" si="45"/>
        <v>0</v>
      </c>
      <c r="CS111" s="31">
        <f t="shared" si="45"/>
        <v>0</v>
      </c>
      <c r="CT111" s="31">
        <f t="shared" si="45"/>
        <v>0</v>
      </c>
      <c r="CU111" s="31">
        <f t="shared" si="45"/>
        <v>0</v>
      </c>
      <c r="CV111" s="31">
        <f t="shared" si="45"/>
        <v>0</v>
      </c>
      <c r="CW111" s="31">
        <f t="shared" si="45"/>
        <v>0</v>
      </c>
      <c r="CX111" s="31">
        <f t="shared" si="45"/>
        <v>0</v>
      </c>
      <c r="CY111" s="31">
        <f t="shared" si="45"/>
        <v>0</v>
      </c>
      <c r="CZ111" s="31">
        <f t="shared" si="45"/>
        <v>0</v>
      </c>
      <c r="DA111" s="31">
        <f t="shared" si="45"/>
        <v>0</v>
      </c>
      <c r="DB111" s="31">
        <f t="shared" si="45"/>
        <v>0</v>
      </c>
      <c r="DC111" s="31">
        <f t="shared" si="45"/>
        <v>0</v>
      </c>
      <c r="DD111" s="31">
        <f t="shared" si="45"/>
        <v>0</v>
      </c>
      <c r="DE111" s="31">
        <f t="shared" si="45"/>
        <v>0</v>
      </c>
      <c r="DF111" s="31">
        <f t="shared" si="45"/>
        <v>0</v>
      </c>
      <c r="DG111" s="31">
        <f t="shared" si="45"/>
        <v>0</v>
      </c>
      <c r="DH111" s="31">
        <f t="shared" si="45"/>
        <v>0</v>
      </c>
      <c r="DI111" s="31">
        <f t="shared" si="45"/>
        <v>0</v>
      </c>
      <c r="DJ111" s="31">
        <f t="shared" si="45"/>
        <v>0</v>
      </c>
      <c r="DK111" s="31">
        <f t="shared" si="45"/>
        <v>0</v>
      </c>
      <c r="DL111" s="31">
        <f t="shared" si="45"/>
        <v>0</v>
      </c>
      <c r="DM111" s="31">
        <f t="shared" si="45"/>
        <v>0</v>
      </c>
      <c r="DN111" s="31">
        <f t="shared" si="45"/>
        <v>0</v>
      </c>
      <c r="DO111" s="31">
        <f t="shared" si="45"/>
        <v>0</v>
      </c>
      <c r="DP111" s="31">
        <f t="shared" si="45"/>
        <v>0</v>
      </c>
      <c r="DQ111" s="31">
        <f t="shared" si="45"/>
        <v>0</v>
      </c>
      <c r="DR111" s="31">
        <f t="shared" si="45"/>
        <v>0</v>
      </c>
      <c r="DS111" s="31">
        <f t="shared" si="45"/>
        <v>0</v>
      </c>
      <c r="DT111" s="31">
        <f t="shared" si="45"/>
        <v>0</v>
      </c>
      <c r="DU111" s="31">
        <f t="shared" si="45"/>
        <v>0</v>
      </c>
      <c r="DV111" s="31">
        <f t="shared" si="45"/>
        <v>0</v>
      </c>
      <c r="DW111" s="31">
        <f t="shared" si="45"/>
        <v>0</v>
      </c>
      <c r="DX111" s="31">
        <f t="shared" si="45"/>
        <v>0</v>
      </c>
      <c r="DY111" s="31">
        <f t="shared" si="45"/>
        <v>0</v>
      </c>
      <c r="DZ111" s="31">
        <f t="shared" si="45"/>
        <v>0</v>
      </c>
      <c r="EA111" s="31">
        <f t="shared" si="45"/>
        <v>0</v>
      </c>
      <c r="EB111" s="31">
        <f t="shared" si="45"/>
        <v>0</v>
      </c>
      <c r="EC111" s="31">
        <f t="shared" si="45"/>
        <v>0</v>
      </c>
      <c r="ED111" s="31">
        <f t="shared" si="45"/>
        <v>0</v>
      </c>
      <c r="EE111" s="31">
        <f t="shared" si="45"/>
        <v>0</v>
      </c>
      <c r="EF111" s="31">
        <f t="shared" si="45"/>
        <v>0</v>
      </c>
      <c r="EG111" s="31">
        <f t="shared" si="45"/>
        <v>0</v>
      </c>
      <c r="EH111" s="31">
        <f t="shared" si="45"/>
        <v>0</v>
      </c>
      <c r="EI111" s="31">
        <f t="shared" si="45"/>
        <v>0</v>
      </c>
      <c r="EJ111" s="31">
        <f t="shared" si="45"/>
        <v>0</v>
      </c>
      <c r="EK111" s="31">
        <f t="shared" si="45"/>
        <v>0</v>
      </c>
      <c r="EL111" s="31">
        <f t="shared" si="45"/>
        <v>0</v>
      </c>
      <c r="EM111" s="31">
        <f t="shared" si="45"/>
        <v>0</v>
      </c>
      <c r="EN111" s="31">
        <f t="shared" si="45"/>
        <v>0</v>
      </c>
      <c r="EO111" s="31">
        <f t="shared" si="45"/>
        <v>0</v>
      </c>
      <c r="EP111" s="31">
        <f t="shared" si="45"/>
        <v>0</v>
      </c>
      <c r="EQ111" s="31">
        <f t="shared" si="45"/>
        <v>0</v>
      </c>
      <c r="ER111" s="31">
        <f t="shared" si="45"/>
        <v>0</v>
      </c>
      <c r="ES111" s="31">
        <f t="shared" si="45"/>
        <v>0</v>
      </c>
      <c r="ET111" s="31">
        <f t="shared" si="45"/>
        <v>2.0855000000000001</v>
      </c>
      <c r="EU111" s="31">
        <f t="shared" si="45"/>
        <v>0</v>
      </c>
      <c r="EV111" s="31">
        <f t="shared" si="45"/>
        <v>0</v>
      </c>
      <c r="EW111" s="31">
        <f t="shared" si="45"/>
        <v>0</v>
      </c>
      <c r="EX111" s="31">
        <f t="shared" si="45"/>
        <v>0</v>
      </c>
      <c r="EY111" s="31">
        <f t="shared" si="45"/>
        <v>0</v>
      </c>
      <c r="EZ111" s="31">
        <f t="shared" si="45"/>
        <v>0</v>
      </c>
      <c r="FA111" s="31">
        <f t="shared" si="45"/>
        <v>0</v>
      </c>
      <c r="FB111" s="31">
        <f t="shared" si="45"/>
        <v>0</v>
      </c>
      <c r="FC111" s="31">
        <f t="shared" si="45"/>
        <v>0</v>
      </c>
      <c r="FD111" s="31">
        <f t="shared" si="45"/>
        <v>0</v>
      </c>
      <c r="FE111" s="31">
        <f t="shared" si="45"/>
        <v>0</v>
      </c>
      <c r="FF111" s="31">
        <f t="shared" si="45"/>
        <v>0</v>
      </c>
      <c r="FG111" s="31">
        <f t="shared" si="45"/>
        <v>0</v>
      </c>
      <c r="FH111" s="31">
        <f t="shared" si="45"/>
        <v>0</v>
      </c>
      <c r="FI111" s="31">
        <f t="shared" si="45"/>
        <v>0</v>
      </c>
      <c r="FJ111" s="31">
        <f t="shared" si="45"/>
        <v>0</v>
      </c>
      <c r="FK111" s="31">
        <f t="shared" si="45"/>
        <v>0</v>
      </c>
      <c r="FL111" s="31">
        <f t="shared" si="45"/>
        <v>0</v>
      </c>
      <c r="FM111" s="31">
        <f t="shared" si="45"/>
        <v>0</v>
      </c>
      <c r="FN111" s="31">
        <f t="shared" si="45"/>
        <v>0</v>
      </c>
      <c r="FO111" s="31">
        <f t="shared" si="45"/>
        <v>0</v>
      </c>
      <c r="FP111" s="31">
        <f t="shared" si="45"/>
        <v>0</v>
      </c>
      <c r="FQ111" s="31">
        <f t="shared" si="45"/>
        <v>0</v>
      </c>
      <c r="FR111" s="31">
        <f t="shared" si="45"/>
        <v>0</v>
      </c>
      <c r="FS111" s="31">
        <f t="shared" si="45"/>
        <v>0</v>
      </c>
      <c r="FT111" s="31" t="e">
        <f t="shared" ca="1" si="45"/>
        <v>#NAME?</v>
      </c>
      <c r="FU111" s="31">
        <f t="shared" si="45"/>
        <v>0</v>
      </c>
      <c r="FV111" s="31">
        <f t="shared" si="45"/>
        <v>0</v>
      </c>
      <c r="FW111" s="31">
        <f t="shared" si="45"/>
        <v>0</v>
      </c>
      <c r="FX111" s="31">
        <f t="shared" si="45"/>
        <v>0</v>
      </c>
      <c r="FY111" s="102"/>
      <c r="FZ111" s="7"/>
      <c r="GA111" s="7"/>
      <c r="GB111" s="26"/>
      <c r="GC111" s="25"/>
      <c r="GD111" s="25"/>
      <c r="GE111" s="23"/>
      <c r="GF111" s="23"/>
      <c r="GG111" s="23"/>
      <c r="GH111" s="23"/>
      <c r="GI111" s="23"/>
      <c r="GJ111" s="23"/>
      <c r="GK111" s="23"/>
    </row>
    <row r="112" spans="1:207" ht="15.5" x14ac:dyDescent="0.35">
      <c r="A112" s="12" t="s">
        <v>833</v>
      </c>
      <c r="B112" s="7" t="s">
        <v>834</v>
      </c>
      <c r="C112" s="31">
        <f t="shared" ref="C112:FX112" si="46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31">
        <f t="shared" si="46"/>
        <v>1.0297000000000001</v>
      </c>
      <c r="E112" s="31">
        <f t="shared" si="46"/>
        <v>1.0297000000000001</v>
      </c>
      <c r="F112" s="31">
        <f t="shared" si="46"/>
        <v>1.0297000000000001</v>
      </c>
      <c r="G112" s="31">
        <f t="shared" si="46"/>
        <v>1.0773999999999999</v>
      </c>
      <c r="H112" s="31">
        <f t="shared" si="46"/>
        <v>1.1176999999999999</v>
      </c>
      <c r="I112" s="31">
        <f t="shared" si="46"/>
        <v>1.0297000000000001</v>
      </c>
      <c r="J112" s="31">
        <f t="shared" si="46"/>
        <v>1.0654999999999999</v>
      </c>
      <c r="K112" s="31">
        <f t="shared" si="46"/>
        <v>1.6371</v>
      </c>
      <c r="L112" s="31">
        <f t="shared" si="46"/>
        <v>1.0607</v>
      </c>
      <c r="M112" s="31">
        <f t="shared" si="46"/>
        <v>1.1372</v>
      </c>
      <c r="N112" s="31">
        <f t="shared" si="46"/>
        <v>1.0297000000000001</v>
      </c>
      <c r="O112" s="31">
        <f t="shared" si="46"/>
        <v>1.0297000000000001</v>
      </c>
      <c r="P112" s="31">
        <f t="shared" si="46"/>
        <v>1.4797</v>
      </c>
      <c r="Q112" s="31">
        <f t="shared" si="46"/>
        <v>1.0297000000000001</v>
      </c>
      <c r="R112" s="31">
        <f t="shared" si="46"/>
        <v>1.0297000000000001</v>
      </c>
      <c r="S112" s="31">
        <f t="shared" si="46"/>
        <v>1.0903</v>
      </c>
      <c r="T112" s="31">
        <f t="shared" si="46"/>
        <v>1.9779</v>
      </c>
      <c r="U112" s="31">
        <f t="shared" si="46"/>
        <v>2.3751000000000002</v>
      </c>
      <c r="V112" s="31">
        <f t="shared" si="46"/>
        <v>1.6194</v>
      </c>
      <c r="W112" s="31">
        <f t="shared" si="46"/>
        <v>2.3593000000000002</v>
      </c>
      <c r="X112" s="31">
        <f t="shared" si="46"/>
        <v>2.3957999999999999</v>
      </c>
      <c r="Y112" s="31">
        <f t="shared" si="46"/>
        <v>1.1482000000000001</v>
      </c>
      <c r="Z112" s="31">
        <f t="shared" si="46"/>
        <v>1.7145999999999999</v>
      </c>
      <c r="AA112" s="31">
        <f t="shared" si="46"/>
        <v>1.0297000000000001</v>
      </c>
      <c r="AB112" s="31">
        <f t="shared" si="46"/>
        <v>1.0297000000000001</v>
      </c>
      <c r="AC112" s="31">
        <f t="shared" si="46"/>
        <v>1.1464000000000001</v>
      </c>
      <c r="AD112" s="31">
        <f t="shared" si="46"/>
        <v>1.0992</v>
      </c>
      <c r="AE112" s="31">
        <f t="shared" si="46"/>
        <v>2.2189999999999999</v>
      </c>
      <c r="AF112" s="31">
        <f t="shared" si="46"/>
        <v>1.9538</v>
      </c>
      <c r="AG112" s="31">
        <f t="shared" si="46"/>
        <v>1.2092000000000001</v>
      </c>
      <c r="AH112" s="31">
        <f t="shared" si="46"/>
        <v>1.1357999999999999</v>
      </c>
      <c r="AI112" s="31">
        <f t="shared" si="46"/>
        <v>1.3661000000000001</v>
      </c>
      <c r="AJ112" s="31">
        <f t="shared" si="46"/>
        <v>1.9012</v>
      </c>
      <c r="AK112" s="31">
        <f t="shared" si="46"/>
        <v>1.9605999999999999</v>
      </c>
      <c r="AL112" s="31">
        <f t="shared" si="46"/>
        <v>1.5246999999999999</v>
      </c>
      <c r="AM112" s="31">
        <f t="shared" si="46"/>
        <v>1.4171</v>
      </c>
      <c r="AN112" s="31">
        <f t="shared" si="46"/>
        <v>1.5045999999999999</v>
      </c>
      <c r="AO112" s="31">
        <f t="shared" si="46"/>
        <v>1.0325</v>
      </c>
      <c r="AP112" s="31">
        <f t="shared" si="46"/>
        <v>1.0297000000000001</v>
      </c>
      <c r="AQ112" s="31">
        <f t="shared" si="46"/>
        <v>1.6396999999999999</v>
      </c>
      <c r="AR112" s="31">
        <f t="shared" si="46"/>
        <v>1.0297000000000001</v>
      </c>
      <c r="AS112" s="31">
        <f t="shared" si="46"/>
        <v>1.0297000000000001</v>
      </c>
      <c r="AT112" s="31">
        <f t="shared" si="46"/>
        <v>1.0523</v>
      </c>
      <c r="AU112" s="31">
        <f t="shared" si="46"/>
        <v>1.5645</v>
      </c>
      <c r="AV112" s="31">
        <f t="shared" si="46"/>
        <v>1.4963</v>
      </c>
      <c r="AW112" s="31">
        <f t="shared" si="46"/>
        <v>1.6172</v>
      </c>
      <c r="AX112" s="31">
        <f t="shared" si="46"/>
        <v>2.2791999999999999</v>
      </c>
      <c r="AY112" s="31">
        <f t="shared" si="46"/>
        <v>1.3261000000000001</v>
      </c>
      <c r="AZ112" s="31">
        <f t="shared" si="46"/>
        <v>1.0297000000000001</v>
      </c>
      <c r="BA112" s="31">
        <f t="shared" si="46"/>
        <v>1.0297000000000001</v>
      </c>
      <c r="BB112" s="31">
        <f t="shared" si="46"/>
        <v>1.0297000000000001</v>
      </c>
      <c r="BC112" s="31">
        <f t="shared" si="46"/>
        <v>1.0297000000000001</v>
      </c>
      <c r="BD112" s="31">
        <f t="shared" si="46"/>
        <v>1.0361</v>
      </c>
      <c r="BE112" s="31">
        <f t="shared" si="46"/>
        <v>1.1122000000000001</v>
      </c>
      <c r="BF112" s="31">
        <f t="shared" si="46"/>
        <v>1.0297000000000001</v>
      </c>
      <c r="BG112" s="31">
        <f t="shared" si="46"/>
        <v>1.1434</v>
      </c>
      <c r="BH112" s="31">
        <f t="shared" si="46"/>
        <v>1.2129000000000001</v>
      </c>
      <c r="BI112" s="31">
        <f t="shared" si="46"/>
        <v>1.6156999999999999</v>
      </c>
      <c r="BJ112" s="31">
        <f t="shared" si="46"/>
        <v>1.0297000000000001</v>
      </c>
      <c r="BK112" s="31">
        <f t="shared" si="46"/>
        <v>1.0297000000000001</v>
      </c>
      <c r="BL112" s="31">
        <f t="shared" si="46"/>
        <v>2.2930999999999999</v>
      </c>
      <c r="BM112" s="31">
        <f t="shared" si="46"/>
        <v>1.4058999999999999</v>
      </c>
      <c r="BN112" s="31">
        <f t="shared" si="46"/>
        <v>1.0416000000000001</v>
      </c>
      <c r="BO112" s="31">
        <f t="shared" si="46"/>
        <v>1.1091</v>
      </c>
      <c r="BP112" s="31">
        <f t="shared" si="46"/>
        <v>1.9804999999999999</v>
      </c>
      <c r="BQ112" s="31">
        <f t="shared" si="46"/>
        <v>1.0297000000000001</v>
      </c>
      <c r="BR112" s="31">
        <f t="shared" si="46"/>
        <v>1.0321</v>
      </c>
      <c r="BS112" s="31">
        <f t="shared" si="46"/>
        <v>1.1144000000000001</v>
      </c>
      <c r="BT112" s="31">
        <f t="shared" si="46"/>
        <v>1.3836999999999999</v>
      </c>
      <c r="BU112" s="31">
        <f t="shared" si="46"/>
        <v>1.3481000000000001</v>
      </c>
      <c r="BV112" s="31">
        <f t="shared" si="46"/>
        <v>1.1096999999999999</v>
      </c>
      <c r="BW112" s="31">
        <f t="shared" si="46"/>
        <v>1.0681</v>
      </c>
      <c r="BX112" s="31">
        <f t="shared" si="46"/>
        <v>2.3338000000000001</v>
      </c>
      <c r="BY112" s="31">
        <f t="shared" si="46"/>
        <v>1.286</v>
      </c>
      <c r="BZ112" s="31">
        <f t="shared" si="46"/>
        <v>1.7262999999999999</v>
      </c>
      <c r="CA112" s="31">
        <f t="shared" si="46"/>
        <v>2.0339999999999998</v>
      </c>
      <c r="CB112" s="31">
        <f t="shared" si="46"/>
        <v>1.0297000000000001</v>
      </c>
      <c r="CC112" s="31">
        <f t="shared" si="46"/>
        <v>1.8717999999999999</v>
      </c>
      <c r="CD112" s="31">
        <f t="shared" si="46"/>
        <v>2.3957999999999999</v>
      </c>
      <c r="CE112" s="31">
        <f t="shared" si="46"/>
        <v>1.9883999999999999</v>
      </c>
      <c r="CF112" s="31">
        <f t="shared" si="46"/>
        <v>2.1606999999999998</v>
      </c>
      <c r="CG112" s="31">
        <f t="shared" si="46"/>
        <v>1.8320000000000001</v>
      </c>
      <c r="CH112" s="31">
        <f t="shared" si="46"/>
        <v>2.2208999999999999</v>
      </c>
      <c r="CI112" s="31">
        <f t="shared" si="46"/>
        <v>1.1914</v>
      </c>
      <c r="CJ112" s="31">
        <f t="shared" si="46"/>
        <v>1.1534</v>
      </c>
      <c r="CK112" s="31">
        <f t="shared" si="46"/>
        <v>1.0301</v>
      </c>
      <c r="CL112" s="31">
        <f t="shared" si="46"/>
        <v>1.1101000000000001</v>
      </c>
      <c r="CM112" s="31">
        <f t="shared" si="46"/>
        <v>1.1915</v>
      </c>
      <c r="CN112" s="31">
        <f t="shared" si="46"/>
        <v>1.0297000000000001</v>
      </c>
      <c r="CO112" s="31">
        <f t="shared" si="46"/>
        <v>1.0297000000000001</v>
      </c>
      <c r="CP112" s="31">
        <f t="shared" si="46"/>
        <v>1.1406000000000001</v>
      </c>
      <c r="CQ112" s="31">
        <f t="shared" si="46"/>
        <v>1.1744000000000001</v>
      </c>
      <c r="CR112" s="31">
        <f t="shared" si="46"/>
        <v>1.7721</v>
      </c>
      <c r="CS112" s="31">
        <f t="shared" si="46"/>
        <v>1.5298</v>
      </c>
      <c r="CT112" s="31">
        <f t="shared" si="46"/>
        <v>2.157</v>
      </c>
      <c r="CU112" s="31">
        <f t="shared" si="46"/>
        <v>1.2363</v>
      </c>
      <c r="CV112" s="31">
        <f t="shared" si="46"/>
        <v>2.3957999999999999</v>
      </c>
      <c r="CW112" s="31">
        <f t="shared" si="46"/>
        <v>1.8365</v>
      </c>
      <c r="CX112" s="31">
        <f t="shared" si="46"/>
        <v>1.238</v>
      </c>
      <c r="CY112" s="31">
        <f t="shared" si="46"/>
        <v>2.3957999999999999</v>
      </c>
      <c r="CZ112" s="31">
        <f t="shared" si="46"/>
        <v>1.0794999999999999</v>
      </c>
      <c r="DA112" s="31">
        <f t="shared" si="46"/>
        <v>1.8184</v>
      </c>
      <c r="DB112" s="31">
        <f t="shared" si="46"/>
        <v>1.4789000000000001</v>
      </c>
      <c r="DC112" s="31">
        <f t="shared" si="46"/>
        <v>1.8579000000000001</v>
      </c>
      <c r="DD112" s="31">
        <f t="shared" si="46"/>
        <v>1.9275</v>
      </c>
      <c r="DE112" s="31">
        <f t="shared" si="46"/>
        <v>1.5301</v>
      </c>
      <c r="DF112" s="31">
        <f t="shared" si="46"/>
        <v>1.0297000000000001</v>
      </c>
      <c r="DG112" s="31">
        <f t="shared" si="46"/>
        <v>2.2322000000000002</v>
      </c>
      <c r="DH112" s="31">
        <f t="shared" si="46"/>
        <v>1.0795999999999999</v>
      </c>
      <c r="DI112" s="31">
        <f t="shared" si="46"/>
        <v>1.0510999999999999</v>
      </c>
      <c r="DJ112" s="31">
        <f t="shared" si="46"/>
        <v>1.2044999999999999</v>
      </c>
      <c r="DK112" s="31">
        <f t="shared" si="46"/>
        <v>1.2343999999999999</v>
      </c>
      <c r="DL112" s="31">
        <f t="shared" si="46"/>
        <v>1.0297000000000001</v>
      </c>
      <c r="DM112" s="31">
        <f t="shared" si="46"/>
        <v>1.6999</v>
      </c>
      <c r="DN112" s="31">
        <f t="shared" si="46"/>
        <v>1.107</v>
      </c>
      <c r="DO112" s="31">
        <f t="shared" si="46"/>
        <v>1.0397000000000001</v>
      </c>
      <c r="DP112" s="31">
        <f t="shared" si="46"/>
        <v>1.8315999999999999</v>
      </c>
      <c r="DQ112" s="31">
        <f t="shared" si="46"/>
        <v>1.1500999999999999</v>
      </c>
      <c r="DR112" s="31">
        <f t="shared" si="46"/>
        <v>1.1060000000000001</v>
      </c>
      <c r="DS112" s="31">
        <f t="shared" si="46"/>
        <v>1.2095</v>
      </c>
      <c r="DT112" s="31">
        <f t="shared" si="46"/>
        <v>1.92</v>
      </c>
      <c r="DU112" s="31">
        <f t="shared" si="46"/>
        <v>1.4191</v>
      </c>
      <c r="DV112" s="31">
        <f t="shared" si="46"/>
        <v>1.8015000000000001</v>
      </c>
      <c r="DW112" s="31">
        <f t="shared" si="46"/>
        <v>1.5051000000000001</v>
      </c>
      <c r="DX112" s="31">
        <f t="shared" si="46"/>
        <v>1.952</v>
      </c>
      <c r="DY112" s="31">
        <f t="shared" si="46"/>
        <v>1.5111000000000001</v>
      </c>
      <c r="DZ112" s="31">
        <f t="shared" si="46"/>
        <v>1.1926000000000001</v>
      </c>
      <c r="EA112" s="31">
        <f t="shared" si="46"/>
        <v>1.2238</v>
      </c>
      <c r="EB112" s="31">
        <f t="shared" si="46"/>
        <v>1.2230000000000001</v>
      </c>
      <c r="EC112" s="31">
        <f t="shared" si="46"/>
        <v>1.5304</v>
      </c>
      <c r="ED112" s="31">
        <f t="shared" si="46"/>
        <v>1.0927</v>
      </c>
      <c r="EE112" s="31">
        <f t="shared" si="46"/>
        <v>1.8632</v>
      </c>
      <c r="EF112" s="31">
        <f t="shared" si="46"/>
        <v>1.1037999999999999</v>
      </c>
      <c r="EG112" s="31">
        <f t="shared" si="46"/>
        <v>1.6303000000000001</v>
      </c>
      <c r="EH112" s="31">
        <f t="shared" si="46"/>
        <v>1.6533</v>
      </c>
      <c r="EI112" s="31">
        <f t="shared" si="46"/>
        <v>1.0297000000000001</v>
      </c>
      <c r="EJ112" s="31">
        <f t="shared" si="46"/>
        <v>1.0297000000000001</v>
      </c>
      <c r="EK112" s="31">
        <f t="shared" si="46"/>
        <v>1.1953</v>
      </c>
      <c r="EL112" s="31">
        <f t="shared" si="46"/>
        <v>1.2383999999999999</v>
      </c>
      <c r="EM112" s="31">
        <f t="shared" si="46"/>
        <v>1.3743000000000001</v>
      </c>
      <c r="EN112" s="31">
        <f t="shared" si="46"/>
        <v>1.1394</v>
      </c>
      <c r="EO112" s="31">
        <f t="shared" si="46"/>
        <v>1.4963</v>
      </c>
      <c r="EP112" s="31">
        <f t="shared" si="46"/>
        <v>1.2897000000000001</v>
      </c>
      <c r="EQ112" s="31">
        <f t="shared" si="46"/>
        <v>1.0488999999999999</v>
      </c>
      <c r="ER112" s="31">
        <f t="shared" si="46"/>
        <v>1.4893000000000001</v>
      </c>
      <c r="ES112" s="31">
        <f t="shared" si="46"/>
        <v>1.9708000000000001</v>
      </c>
      <c r="ET112" s="31">
        <f t="shared" si="46"/>
        <v>1.841</v>
      </c>
      <c r="EU112" s="31">
        <f t="shared" si="46"/>
        <v>1.2144999999999999</v>
      </c>
      <c r="EV112" s="31">
        <f t="shared" si="46"/>
        <v>2.3108</v>
      </c>
      <c r="EW112" s="31">
        <f t="shared" si="46"/>
        <v>1.1642999999999999</v>
      </c>
      <c r="EX112" s="31">
        <f t="shared" si="46"/>
        <v>1.9313</v>
      </c>
      <c r="EY112" s="31">
        <f t="shared" si="46"/>
        <v>1.1978</v>
      </c>
      <c r="EZ112" s="31">
        <f t="shared" si="46"/>
        <v>2.0975000000000001</v>
      </c>
      <c r="FA112" s="31">
        <f t="shared" si="46"/>
        <v>1.0382</v>
      </c>
      <c r="FB112" s="31">
        <f t="shared" si="46"/>
        <v>1.5254000000000001</v>
      </c>
      <c r="FC112" s="31">
        <f t="shared" si="46"/>
        <v>1.0784</v>
      </c>
      <c r="FD112" s="31">
        <f t="shared" si="46"/>
        <v>1.3342000000000001</v>
      </c>
      <c r="FE112" s="31">
        <f t="shared" si="46"/>
        <v>2.2867000000000002</v>
      </c>
      <c r="FF112" s="31">
        <f t="shared" si="46"/>
        <v>1.8879999999999999</v>
      </c>
      <c r="FG112" s="31">
        <f t="shared" si="46"/>
        <v>2.1295000000000002</v>
      </c>
      <c r="FH112" s="31">
        <f t="shared" si="46"/>
        <v>2.3206000000000002</v>
      </c>
      <c r="FI112" s="31">
        <f t="shared" si="46"/>
        <v>1.0851</v>
      </c>
      <c r="FJ112" s="31">
        <f t="shared" si="46"/>
        <v>1.0682</v>
      </c>
      <c r="FK112" s="31">
        <f t="shared" si="46"/>
        <v>1.0501</v>
      </c>
      <c r="FL112" s="31">
        <f t="shared" si="46"/>
        <v>1.0297000000000001</v>
      </c>
      <c r="FM112" s="31">
        <f t="shared" si="46"/>
        <v>1.0345</v>
      </c>
      <c r="FN112" s="31">
        <f t="shared" si="46"/>
        <v>1.0297000000000001</v>
      </c>
      <c r="FO112" s="31">
        <f t="shared" si="46"/>
        <v>1.1165</v>
      </c>
      <c r="FP112" s="31">
        <f t="shared" si="46"/>
        <v>1.0526</v>
      </c>
      <c r="FQ112" s="31">
        <f t="shared" si="46"/>
        <v>1.1302000000000001</v>
      </c>
      <c r="FR112" s="31">
        <f t="shared" si="46"/>
        <v>1.9516</v>
      </c>
      <c r="FS112" s="31">
        <f t="shared" si="46"/>
        <v>1.9508000000000001</v>
      </c>
      <c r="FT112" s="31" t="e">
        <f t="shared" ca="1" si="46"/>
        <v>#NAME?</v>
      </c>
      <c r="FU112" s="31">
        <f t="shared" si="46"/>
        <v>1.1700999999999999</v>
      </c>
      <c r="FV112" s="31">
        <f t="shared" si="46"/>
        <v>1.1901999999999999</v>
      </c>
      <c r="FW112" s="31">
        <f t="shared" si="46"/>
        <v>2.0215000000000001</v>
      </c>
      <c r="FX112" s="31">
        <f t="shared" si="46"/>
        <v>2.3412999999999999</v>
      </c>
      <c r="FY112" s="33"/>
      <c r="FZ112" s="7"/>
      <c r="GA112" s="7"/>
      <c r="GB112" s="26"/>
      <c r="GC112" s="25"/>
      <c r="GD112" s="25"/>
      <c r="GE112" s="7"/>
      <c r="GF112" s="7"/>
      <c r="GG112" s="7"/>
      <c r="GH112" s="7"/>
      <c r="GI112" s="7"/>
      <c r="GJ112" s="7"/>
      <c r="GK112" s="7"/>
    </row>
    <row r="113" spans="1:202" ht="15.5" x14ac:dyDescent="0.35">
      <c r="A113" s="12" t="s">
        <v>835</v>
      </c>
      <c r="B113" s="7" t="s">
        <v>836</v>
      </c>
      <c r="C113" s="31">
        <f t="shared" ref="C113:FX113" si="47">MAX(C111,C112)</f>
        <v>1.0297000000000001</v>
      </c>
      <c r="D113" s="31">
        <f t="shared" si="47"/>
        <v>1.0297000000000001</v>
      </c>
      <c r="E113" s="31">
        <f t="shared" si="47"/>
        <v>1.0297000000000001</v>
      </c>
      <c r="F113" s="31">
        <f t="shared" si="47"/>
        <v>1.0297000000000001</v>
      </c>
      <c r="G113" s="31">
        <f t="shared" si="47"/>
        <v>1.0773999999999999</v>
      </c>
      <c r="H113" s="31">
        <f t="shared" si="47"/>
        <v>1.1176999999999999</v>
      </c>
      <c r="I113" s="31">
        <f t="shared" si="47"/>
        <v>1.0297000000000001</v>
      </c>
      <c r="J113" s="31">
        <f t="shared" si="47"/>
        <v>1.0654999999999999</v>
      </c>
      <c r="K113" s="31">
        <f t="shared" si="47"/>
        <v>1.6371</v>
      </c>
      <c r="L113" s="31">
        <f t="shared" si="47"/>
        <v>1.0607</v>
      </c>
      <c r="M113" s="31">
        <f t="shared" si="47"/>
        <v>1.1372</v>
      </c>
      <c r="N113" s="31">
        <f t="shared" si="47"/>
        <v>1.0297000000000001</v>
      </c>
      <c r="O113" s="31">
        <f t="shared" si="47"/>
        <v>1.0297000000000001</v>
      </c>
      <c r="P113" s="31">
        <f t="shared" si="47"/>
        <v>1.4797</v>
      </c>
      <c r="Q113" s="31">
        <f t="shared" si="47"/>
        <v>1.0297000000000001</v>
      </c>
      <c r="R113" s="31">
        <f t="shared" si="47"/>
        <v>1.0297000000000001</v>
      </c>
      <c r="S113" s="31">
        <f t="shared" si="47"/>
        <v>1.0903</v>
      </c>
      <c r="T113" s="31">
        <f t="shared" si="47"/>
        <v>1.9779</v>
      </c>
      <c r="U113" s="31">
        <f t="shared" si="47"/>
        <v>2.3751000000000002</v>
      </c>
      <c r="V113" s="31">
        <f t="shared" si="47"/>
        <v>1.6194</v>
      </c>
      <c r="W113" s="31">
        <f t="shared" si="47"/>
        <v>2.3593000000000002</v>
      </c>
      <c r="X113" s="31">
        <f t="shared" si="47"/>
        <v>2.3957999999999999</v>
      </c>
      <c r="Y113" s="31">
        <f t="shared" si="47"/>
        <v>1.1482000000000001</v>
      </c>
      <c r="Z113" s="31">
        <f t="shared" si="47"/>
        <v>1.7145999999999999</v>
      </c>
      <c r="AA113" s="31">
        <f t="shared" si="47"/>
        <v>1.0297000000000001</v>
      </c>
      <c r="AB113" s="31">
        <f t="shared" si="47"/>
        <v>1.0297000000000001</v>
      </c>
      <c r="AC113" s="31">
        <f t="shared" si="47"/>
        <v>1.1464000000000001</v>
      </c>
      <c r="AD113" s="31">
        <f t="shared" si="47"/>
        <v>1.0992</v>
      </c>
      <c r="AE113" s="31">
        <f t="shared" si="47"/>
        <v>2.2189999999999999</v>
      </c>
      <c r="AF113" s="31">
        <f t="shared" si="47"/>
        <v>1.9538</v>
      </c>
      <c r="AG113" s="31">
        <f t="shared" si="47"/>
        <v>1.2092000000000001</v>
      </c>
      <c r="AH113" s="31">
        <f t="shared" si="47"/>
        <v>1.1357999999999999</v>
      </c>
      <c r="AI113" s="31">
        <f t="shared" si="47"/>
        <v>1.3661000000000001</v>
      </c>
      <c r="AJ113" s="31">
        <f t="shared" si="47"/>
        <v>1.9012</v>
      </c>
      <c r="AK113" s="31">
        <f t="shared" si="47"/>
        <v>1.9605999999999999</v>
      </c>
      <c r="AL113" s="31">
        <f t="shared" si="47"/>
        <v>1.5246999999999999</v>
      </c>
      <c r="AM113" s="31">
        <f t="shared" si="47"/>
        <v>1.4171</v>
      </c>
      <c r="AN113" s="31">
        <f t="shared" si="47"/>
        <v>1.5045999999999999</v>
      </c>
      <c r="AO113" s="31">
        <f t="shared" si="47"/>
        <v>1.0325</v>
      </c>
      <c r="AP113" s="31">
        <f t="shared" si="47"/>
        <v>1.0297000000000001</v>
      </c>
      <c r="AQ113" s="31">
        <f t="shared" si="47"/>
        <v>1.6396999999999999</v>
      </c>
      <c r="AR113" s="31">
        <f t="shared" si="47"/>
        <v>1.0297000000000001</v>
      </c>
      <c r="AS113" s="31">
        <f t="shared" si="47"/>
        <v>1.0297000000000001</v>
      </c>
      <c r="AT113" s="31">
        <f t="shared" si="47"/>
        <v>1.0523</v>
      </c>
      <c r="AU113" s="31">
        <f t="shared" si="47"/>
        <v>1.5645</v>
      </c>
      <c r="AV113" s="31">
        <f t="shared" si="47"/>
        <v>1.4963</v>
      </c>
      <c r="AW113" s="31">
        <f t="shared" si="47"/>
        <v>1.6172</v>
      </c>
      <c r="AX113" s="31">
        <f t="shared" si="47"/>
        <v>2.2791999999999999</v>
      </c>
      <c r="AY113" s="31">
        <f t="shared" si="47"/>
        <v>1.3261000000000001</v>
      </c>
      <c r="AZ113" s="31">
        <f t="shared" si="47"/>
        <v>1.0297000000000001</v>
      </c>
      <c r="BA113" s="31">
        <f t="shared" si="47"/>
        <v>1.0297000000000001</v>
      </c>
      <c r="BB113" s="31">
        <f t="shared" si="47"/>
        <v>1.0297000000000001</v>
      </c>
      <c r="BC113" s="31">
        <f t="shared" si="47"/>
        <v>1.0297000000000001</v>
      </c>
      <c r="BD113" s="31">
        <f t="shared" si="47"/>
        <v>1.0361</v>
      </c>
      <c r="BE113" s="31">
        <f t="shared" si="47"/>
        <v>1.1122000000000001</v>
      </c>
      <c r="BF113" s="31">
        <f t="shared" si="47"/>
        <v>1.0297000000000001</v>
      </c>
      <c r="BG113" s="31">
        <f t="shared" si="47"/>
        <v>1.1434</v>
      </c>
      <c r="BH113" s="31">
        <f t="shared" si="47"/>
        <v>1.2129000000000001</v>
      </c>
      <c r="BI113" s="31">
        <f t="shared" si="47"/>
        <v>1.6156999999999999</v>
      </c>
      <c r="BJ113" s="31">
        <f t="shared" si="47"/>
        <v>1.0297000000000001</v>
      </c>
      <c r="BK113" s="31">
        <f t="shared" si="47"/>
        <v>1.0297000000000001</v>
      </c>
      <c r="BL113" s="31">
        <f t="shared" si="47"/>
        <v>2.2930999999999999</v>
      </c>
      <c r="BM113" s="31">
        <f t="shared" si="47"/>
        <v>1.4058999999999999</v>
      </c>
      <c r="BN113" s="31">
        <f t="shared" si="47"/>
        <v>1.0416000000000001</v>
      </c>
      <c r="BO113" s="31">
        <f t="shared" si="47"/>
        <v>1.1091</v>
      </c>
      <c r="BP113" s="31">
        <f t="shared" si="47"/>
        <v>1.9804999999999999</v>
      </c>
      <c r="BQ113" s="31">
        <f t="shared" si="47"/>
        <v>1.0297000000000001</v>
      </c>
      <c r="BR113" s="31">
        <f t="shared" si="47"/>
        <v>1.0321</v>
      </c>
      <c r="BS113" s="31">
        <f t="shared" si="47"/>
        <v>1.1144000000000001</v>
      </c>
      <c r="BT113" s="31">
        <f t="shared" si="47"/>
        <v>1.3836999999999999</v>
      </c>
      <c r="BU113" s="31">
        <f t="shared" si="47"/>
        <v>1.3481000000000001</v>
      </c>
      <c r="BV113" s="31">
        <f t="shared" si="47"/>
        <v>1.1096999999999999</v>
      </c>
      <c r="BW113" s="31">
        <f t="shared" si="47"/>
        <v>1.0681</v>
      </c>
      <c r="BX113" s="31">
        <f t="shared" si="47"/>
        <v>2.3338000000000001</v>
      </c>
      <c r="BY113" s="31">
        <f t="shared" si="47"/>
        <v>1.3641000000000001</v>
      </c>
      <c r="BZ113" s="31">
        <f t="shared" si="47"/>
        <v>1.7262999999999999</v>
      </c>
      <c r="CA113" s="31">
        <f t="shared" si="47"/>
        <v>2.0339999999999998</v>
      </c>
      <c r="CB113" s="31">
        <f t="shared" si="47"/>
        <v>1.0297000000000001</v>
      </c>
      <c r="CC113" s="31">
        <f t="shared" si="47"/>
        <v>1.8717999999999999</v>
      </c>
      <c r="CD113" s="31">
        <f t="shared" si="47"/>
        <v>2.3957999999999999</v>
      </c>
      <c r="CE113" s="31">
        <f t="shared" si="47"/>
        <v>1.9883999999999999</v>
      </c>
      <c r="CF113" s="31">
        <f t="shared" si="47"/>
        <v>2.1606999999999998</v>
      </c>
      <c r="CG113" s="31">
        <f t="shared" si="47"/>
        <v>1.8320000000000001</v>
      </c>
      <c r="CH113" s="31">
        <f t="shared" si="47"/>
        <v>2.2208999999999999</v>
      </c>
      <c r="CI113" s="31">
        <f t="shared" si="47"/>
        <v>1.1914</v>
      </c>
      <c r="CJ113" s="31">
        <f t="shared" si="47"/>
        <v>1.1534</v>
      </c>
      <c r="CK113" s="31">
        <f t="shared" si="47"/>
        <v>1.0301</v>
      </c>
      <c r="CL113" s="31">
        <f t="shared" si="47"/>
        <v>1.1101000000000001</v>
      </c>
      <c r="CM113" s="31">
        <f t="shared" si="47"/>
        <v>1.1915</v>
      </c>
      <c r="CN113" s="31">
        <f t="shared" si="47"/>
        <v>1.0297000000000001</v>
      </c>
      <c r="CO113" s="31">
        <f t="shared" si="47"/>
        <v>1.0297000000000001</v>
      </c>
      <c r="CP113" s="31">
        <f t="shared" si="47"/>
        <v>1.1406000000000001</v>
      </c>
      <c r="CQ113" s="31">
        <f t="shared" si="47"/>
        <v>1.1744000000000001</v>
      </c>
      <c r="CR113" s="31">
        <f t="shared" si="47"/>
        <v>1.7721</v>
      </c>
      <c r="CS113" s="31">
        <f t="shared" si="47"/>
        <v>1.5298</v>
      </c>
      <c r="CT113" s="31">
        <f t="shared" si="47"/>
        <v>2.157</v>
      </c>
      <c r="CU113" s="31">
        <f t="shared" si="47"/>
        <v>1.2363</v>
      </c>
      <c r="CV113" s="31">
        <f t="shared" si="47"/>
        <v>2.3957999999999999</v>
      </c>
      <c r="CW113" s="31">
        <f t="shared" si="47"/>
        <v>1.8365</v>
      </c>
      <c r="CX113" s="31">
        <f t="shared" si="47"/>
        <v>1.238</v>
      </c>
      <c r="CY113" s="31">
        <f t="shared" si="47"/>
        <v>2.3957999999999999</v>
      </c>
      <c r="CZ113" s="31">
        <f t="shared" si="47"/>
        <v>1.0794999999999999</v>
      </c>
      <c r="DA113" s="31">
        <f t="shared" si="47"/>
        <v>1.8184</v>
      </c>
      <c r="DB113" s="31">
        <f t="shared" si="47"/>
        <v>1.4789000000000001</v>
      </c>
      <c r="DC113" s="31">
        <f t="shared" si="47"/>
        <v>1.8579000000000001</v>
      </c>
      <c r="DD113" s="31">
        <f t="shared" si="47"/>
        <v>1.9275</v>
      </c>
      <c r="DE113" s="31">
        <f t="shared" si="47"/>
        <v>1.5301</v>
      </c>
      <c r="DF113" s="31">
        <f t="shared" si="47"/>
        <v>1.0297000000000001</v>
      </c>
      <c r="DG113" s="31">
        <f t="shared" si="47"/>
        <v>2.2322000000000002</v>
      </c>
      <c r="DH113" s="31">
        <f t="shared" si="47"/>
        <v>1.0795999999999999</v>
      </c>
      <c r="DI113" s="31">
        <f t="shared" si="47"/>
        <v>1.0510999999999999</v>
      </c>
      <c r="DJ113" s="31">
        <f t="shared" si="47"/>
        <v>1.2044999999999999</v>
      </c>
      <c r="DK113" s="31">
        <f t="shared" si="47"/>
        <v>1.2343999999999999</v>
      </c>
      <c r="DL113" s="31">
        <f t="shared" si="47"/>
        <v>1.0297000000000001</v>
      </c>
      <c r="DM113" s="31">
        <f t="shared" si="47"/>
        <v>1.6999</v>
      </c>
      <c r="DN113" s="31">
        <f t="shared" si="47"/>
        <v>1.107</v>
      </c>
      <c r="DO113" s="31">
        <f t="shared" si="47"/>
        <v>1.0397000000000001</v>
      </c>
      <c r="DP113" s="31">
        <f t="shared" si="47"/>
        <v>1.8315999999999999</v>
      </c>
      <c r="DQ113" s="31">
        <f t="shared" si="47"/>
        <v>1.1500999999999999</v>
      </c>
      <c r="DR113" s="31">
        <f t="shared" si="47"/>
        <v>1.1060000000000001</v>
      </c>
      <c r="DS113" s="31">
        <f t="shared" si="47"/>
        <v>1.2095</v>
      </c>
      <c r="DT113" s="31">
        <f t="shared" si="47"/>
        <v>1.92</v>
      </c>
      <c r="DU113" s="31">
        <f t="shared" si="47"/>
        <v>1.4191</v>
      </c>
      <c r="DV113" s="31">
        <f t="shared" si="47"/>
        <v>1.8015000000000001</v>
      </c>
      <c r="DW113" s="31">
        <f t="shared" si="47"/>
        <v>1.5051000000000001</v>
      </c>
      <c r="DX113" s="31">
        <f t="shared" si="47"/>
        <v>1.952</v>
      </c>
      <c r="DY113" s="31">
        <f t="shared" si="47"/>
        <v>1.5111000000000001</v>
      </c>
      <c r="DZ113" s="31">
        <f t="shared" si="47"/>
        <v>1.1926000000000001</v>
      </c>
      <c r="EA113" s="31">
        <f t="shared" si="47"/>
        <v>1.2238</v>
      </c>
      <c r="EB113" s="31">
        <f t="shared" si="47"/>
        <v>1.2230000000000001</v>
      </c>
      <c r="EC113" s="31">
        <f t="shared" si="47"/>
        <v>1.5304</v>
      </c>
      <c r="ED113" s="31">
        <f t="shared" si="47"/>
        <v>1.0927</v>
      </c>
      <c r="EE113" s="31">
        <f t="shared" si="47"/>
        <v>1.8632</v>
      </c>
      <c r="EF113" s="31">
        <f t="shared" si="47"/>
        <v>1.1037999999999999</v>
      </c>
      <c r="EG113" s="31">
        <f t="shared" si="47"/>
        <v>1.6303000000000001</v>
      </c>
      <c r="EH113" s="31">
        <f t="shared" si="47"/>
        <v>1.6533</v>
      </c>
      <c r="EI113" s="31">
        <f t="shared" si="47"/>
        <v>1.0297000000000001</v>
      </c>
      <c r="EJ113" s="31">
        <f t="shared" si="47"/>
        <v>1.0297000000000001</v>
      </c>
      <c r="EK113" s="31">
        <f t="shared" si="47"/>
        <v>1.1953</v>
      </c>
      <c r="EL113" s="31">
        <f t="shared" si="47"/>
        <v>1.2383999999999999</v>
      </c>
      <c r="EM113" s="31">
        <f t="shared" si="47"/>
        <v>1.3743000000000001</v>
      </c>
      <c r="EN113" s="31">
        <f t="shared" si="47"/>
        <v>1.1394</v>
      </c>
      <c r="EO113" s="31">
        <f t="shared" si="47"/>
        <v>1.4963</v>
      </c>
      <c r="EP113" s="31">
        <f t="shared" si="47"/>
        <v>1.2897000000000001</v>
      </c>
      <c r="EQ113" s="31">
        <f t="shared" si="47"/>
        <v>1.0488999999999999</v>
      </c>
      <c r="ER113" s="31">
        <f t="shared" si="47"/>
        <v>1.4893000000000001</v>
      </c>
      <c r="ES113" s="31">
        <f t="shared" si="47"/>
        <v>1.9708000000000001</v>
      </c>
      <c r="ET113" s="31">
        <f t="shared" si="47"/>
        <v>2.0855000000000001</v>
      </c>
      <c r="EU113" s="31">
        <f t="shared" si="47"/>
        <v>1.2144999999999999</v>
      </c>
      <c r="EV113" s="31">
        <f t="shared" si="47"/>
        <v>2.3108</v>
      </c>
      <c r="EW113" s="31">
        <f t="shared" si="47"/>
        <v>1.1642999999999999</v>
      </c>
      <c r="EX113" s="31">
        <f t="shared" si="47"/>
        <v>1.9313</v>
      </c>
      <c r="EY113" s="31">
        <f t="shared" si="47"/>
        <v>1.1978</v>
      </c>
      <c r="EZ113" s="31">
        <f t="shared" si="47"/>
        <v>2.0975000000000001</v>
      </c>
      <c r="FA113" s="31">
        <f t="shared" si="47"/>
        <v>1.0382</v>
      </c>
      <c r="FB113" s="31">
        <f t="shared" si="47"/>
        <v>1.5254000000000001</v>
      </c>
      <c r="FC113" s="31">
        <f t="shared" si="47"/>
        <v>1.0784</v>
      </c>
      <c r="FD113" s="31">
        <f t="shared" si="47"/>
        <v>1.3342000000000001</v>
      </c>
      <c r="FE113" s="31">
        <f t="shared" si="47"/>
        <v>2.2867000000000002</v>
      </c>
      <c r="FF113" s="31">
        <f t="shared" si="47"/>
        <v>1.8879999999999999</v>
      </c>
      <c r="FG113" s="31">
        <f t="shared" si="47"/>
        <v>2.1295000000000002</v>
      </c>
      <c r="FH113" s="31">
        <f t="shared" si="47"/>
        <v>2.3206000000000002</v>
      </c>
      <c r="FI113" s="31">
        <f t="shared" si="47"/>
        <v>1.0851</v>
      </c>
      <c r="FJ113" s="31">
        <f t="shared" si="47"/>
        <v>1.0682</v>
      </c>
      <c r="FK113" s="31">
        <f t="shared" si="47"/>
        <v>1.0501</v>
      </c>
      <c r="FL113" s="31">
        <f t="shared" si="47"/>
        <v>1.0297000000000001</v>
      </c>
      <c r="FM113" s="31">
        <f t="shared" si="47"/>
        <v>1.0345</v>
      </c>
      <c r="FN113" s="31">
        <f t="shared" si="47"/>
        <v>1.0297000000000001</v>
      </c>
      <c r="FO113" s="31">
        <f t="shared" si="47"/>
        <v>1.1165</v>
      </c>
      <c r="FP113" s="31">
        <f t="shared" si="47"/>
        <v>1.0526</v>
      </c>
      <c r="FQ113" s="31">
        <f t="shared" si="47"/>
        <v>1.1302000000000001</v>
      </c>
      <c r="FR113" s="31">
        <f t="shared" si="47"/>
        <v>1.9516</v>
      </c>
      <c r="FS113" s="31">
        <f t="shared" si="47"/>
        <v>1.9508000000000001</v>
      </c>
      <c r="FT113" s="31" t="e">
        <f t="shared" ca="1" si="47"/>
        <v>#NAME?</v>
      </c>
      <c r="FU113" s="31">
        <f t="shared" si="47"/>
        <v>1.1700999999999999</v>
      </c>
      <c r="FV113" s="31">
        <f t="shared" si="47"/>
        <v>1.1901999999999999</v>
      </c>
      <c r="FW113" s="31">
        <f t="shared" si="47"/>
        <v>2.0215000000000001</v>
      </c>
      <c r="FX113" s="31">
        <f t="shared" si="47"/>
        <v>2.3412999999999999</v>
      </c>
      <c r="FY113" s="101"/>
      <c r="FZ113" s="101" t="e">
        <f ca="1">SUM(C113:FX113)</f>
        <v>#NAME?</v>
      </c>
      <c r="GA113" s="7"/>
      <c r="GB113" s="25"/>
      <c r="GC113" s="25"/>
      <c r="GD113" s="25"/>
      <c r="GE113" s="7"/>
      <c r="GF113" s="7"/>
      <c r="GG113" s="7"/>
      <c r="GH113" s="7"/>
      <c r="GI113" s="7"/>
      <c r="GJ113" s="7"/>
      <c r="GK113" s="7"/>
    </row>
    <row r="114" spans="1:202" ht="15.5" x14ac:dyDescent="0.35">
      <c r="A114" s="7"/>
      <c r="B114" s="7" t="s">
        <v>684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31"/>
      <c r="FZ114" s="31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</row>
    <row r="115" spans="1:202" ht="15.5" x14ac:dyDescent="0.35">
      <c r="A115" s="12" t="s">
        <v>837</v>
      </c>
      <c r="B115" s="5" t="s">
        <v>838</v>
      </c>
      <c r="C115" s="31">
        <f t="shared" ref="C115:FX115" si="48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31">
        <f t="shared" si="48"/>
        <v>0.90500000000000003</v>
      </c>
      <c r="E115" s="31">
        <f t="shared" si="48"/>
        <v>0.88029999999999997</v>
      </c>
      <c r="F115" s="31">
        <f t="shared" si="48"/>
        <v>0.9</v>
      </c>
      <c r="G115" s="31">
        <f t="shared" si="48"/>
        <v>0.86080000000000001</v>
      </c>
      <c r="H115" s="31">
        <f t="shared" si="48"/>
        <v>0.84489999999999998</v>
      </c>
      <c r="I115" s="31">
        <f t="shared" si="48"/>
        <v>0.88529999999999998</v>
      </c>
      <c r="J115" s="31">
        <f t="shared" si="48"/>
        <v>0.8619</v>
      </c>
      <c r="K115" s="31">
        <f t="shared" si="48"/>
        <v>0.81210000000000004</v>
      </c>
      <c r="L115" s="31">
        <f t="shared" si="48"/>
        <v>0.86240000000000006</v>
      </c>
      <c r="M115" s="31">
        <f t="shared" si="48"/>
        <v>0.84040000000000004</v>
      </c>
      <c r="N115" s="31">
        <f t="shared" si="48"/>
        <v>0.90500000000000003</v>
      </c>
      <c r="O115" s="31">
        <f t="shared" si="48"/>
        <v>0.88959999999999995</v>
      </c>
      <c r="P115" s="31">
        <f t="shared" si="48"/>
        <v>0.81620000000000004</v>
      </c>
      <c r="Q115" s="31">
        <f t="shared" si="48"/>
        <v>0.90500000000000003</v>
      </c>
      <c r="R115" s="31">
        <f t="shared" si="48"/>
        <v>0.88439999999999996</v>
      </c>
      <c r="S115" s="31">
        <f t="shared" si="48"/>
        <v>0.85960000000000003</v>
      </c>
      <c r="T115" s="31">
        <f t="shared" si="48"/>
        <v>0.80630000000000002</v>
      </c>
      <c r="U115" s="31">
        <f t="shared" si="48"/>
        <v>0.79959999999999998</v>
      </c>
      <c r="V115" s="31">
        <f t="shared" si="48"/>
        <v>0.81240000000000001</v>
      </c>
      <c r="W115" s="31">
        <f t="shared" si="48"/>
        <v>0.79979999999999996</v>
      </c>
      <c r="X115" s="31">
        <f t="shared" si="48"/>
        <v>0.79920000000000002</v>
      </c>
      <c r="Y115" s="31">
        <f t="shared" si="48"/>
        <v>0.8387</v>
      </c>
      <c r="Z115" s="31">
        <f t="shared" si="48"/>
        <v>0.81079999999999997</v>
      </c>
      <c r="AA115" s="31">
        <f t="shared" si="48"/>
        <v>0.90500000000000003</v>
      </c>
      <c r="AB115" s="31">
        <f t="shared" si="48"/>
        <v>0.90249999999999997</v>
      </c>
      <c r="AC115" s="31">
        <f t="shared" si="48"/>
        <v>0.83899999999999997</v>
      </c>
      <c r="AD115" s="31">
        <f t="shared" si="48"/>
        <v>0.85560000000000003</v>
      </c>
      <c r="AE115" s="31">
        <f t="shared" si="48"/>
        <v>0.80220000000000002</v>
      </c>
      <c r="AF115" s="31">
        <f t="shared" si="48"/>
        <v>0.80669999999999997</v>
      </c>
      <c r="AG115" s="31">
        <f t="shared" si="48"/>
        <v>0.82950000000000002</v>
      </c>
      <c r="AH115" s="31">
        <f t="shared" si="48"/>
        <v>0.84060000000000001</v>
      </c>
      <c r="AI115" s="31">
        <f t="shared" si="48"/>
        <v>0.82050000000000001</v>
      </c>
      <c r="AJ115" s="31">
        <f t="shared" si="48"/>
        <v>0.80759999999999998</v>
      </c>
      <c r="AK115" s="31">
        <f t="shared" si="48"/>
        <v>0.80659999999999998</v>
      </c>
      <c r="AL115" s="31">
        <f t="shared" si="48"/>
        <v>0.8145</v>
      </c>
      <c r="AM115" s="31">
        <f t="shared" si="48"/>
        <v>0.81859999999999999</v>
      </c>
      <c r="AN115" s="31">
        <f t="shared" si="48"/>
        <v>0.81520000000000004</v>
      </c>
      <c r="AO115" s="31">
        <f t="shared" si="48"/>
        <v>0.87360000000000004</v>
      </c>
      <c r="AP115" s="31">
        <f t="shared" si="48"/>
        <v>0.90500000000000003</v>
      </c>
      <c r="AQ115" s="31">
        <f t="shared" si="48"/>
        <v>0.81210000000000004</v>
      </c>
      <c r="AR115" s="31">
        <f t="shared" si="48"/>
        <v>0.90500000000000003</v>
      </c>
      <c r="AS115" s="31">
        <f t="shared" si="48"/>
        <v>0.8841</v>
      </c>
      <c r="AT115" s="31">
        <f t="shared" si="48"/>
        <v>0.86339999999999995</v>
      </c>
      <c r="AU115" s="31">
        <f t="shared" si="48"/>
        <v>0.81330000000000002</v>
      </c>
      <c r="AV115" s="31">
        <f t="shared" si="48"/>
        <v>0.8155</v>
      </c>
      <c r="AW115" s="31">
        <f t="shared" si="48"/>
        <v>0.81240000000000001</v>
      </c>
      <c r="AX115" s="31">
        <f t="shared" si="48"/>
        <v>0.80120000000000002</v>
      </c>
      <c r="AY115" s="31">
        <f t="shared" si="48"/>
        <v>0.82199999999999995</v>
      </c>
      <c r="AZ115" s="31">
        <f t="shared" si="48"/>
        <v>0.88900000000000001</v>
      </c>
      <c r="BA115" s="31">
        <f t="shared" si="48"/>
        <v>0.88619999999999999</v>
      </c>
      <c r="BB115" s="31">
        <f t="shared" si="48"/>
        <v>0.88480000000000003</v>
      </c>
      <c r="BC115" s="31">
        <f t="shared" si="48"/>
        <v>0.9002</v>
      </c>
      <c r="BD115" s="31">
        <f t="shared" si="48"/>
        <v>0.86980000000000002</v>
      </c>
      <c r="BE115" s="31">
        <f t="shared" si="48"/>
        <v>0.84809999999999997</v>
      </c>
      <c r="BF115" s="31">
        <f t="shared" si="48"/>
        <v>0.90110000000000001</v>
      </c>
      <c r="BG115" s="31">
        <f t="shared" si="48"/>
        <v>0.83940000000000003</v>
      </c>
      <c r="BH115" s="31">
        <f t="shared" si="48"/>
        <v>0.82899999999999996</v>
      </c>
      <c r="BI115" s="31">
        <f t="shared" si="48"/>
        <v>0.8125</v>
      </c>
      <c r="BJ115" s="31">
        <f t="shared" si="48"/>
        <v>0.88319999999999999</v>
      </c>
      <c r="BK115" s="31">
        <f t="shared" si="48"/>
        <v>0.90500000000000003</v>
      </c>
      <c r="BL115" s="31">
        <f t="shared" si="48"/>
        <v>0.80100000000000005</v>
      </c>
      <c r="BM115" s="31">
        <f t="shared" si="48"/>
        <v>0.81899999999999995</v>
      </c>
      <c r="BN115" s="31">
        <f t="shared" si="48"/>
        <v>0.86729999999999996</v>
      </c>
      <c r="BO115" s="31">
        <f t="shared" si="48"/>
        <v>0.84989999999999999</v>
      </c>
      <c r="BP115" s="31">
        <f t="shared" si="48"/>
        <v>0.80630000000000002</v>
      </c>
      <c r="BQ115" s="31">
        <f t="shared" si="48"/>
        <v>0.88100000000000001</v>
      </c>
      <c r="BR115" s="31">
        <f t="shared" si="48"/>
        <v>0.874</v>
      </c>
      <c r="BS115" s="31">
        <f t="shared" si="48"/>
        <v>0.8468</v>
      </c>
      <c r="BT115" s="31">
        <f t="shared" si="48"/>
        <v>0.81979999999999997</v>
      </c>
      <c r="BU115" s="31">
        <f t="shared" si="48"/>
        <v>0.82120000000000004</v>
      </c>
      <c r="BV115" s="31">
        <f t="shared" si="48"/>
        <v>0.84950000000000003</v>
      </c>
      <c r="BW115" s="31">
        <f t="shared" si="48"/>
        <v>0.86170000000000002</v>
      </c>
      <c r="BX115" s="31">
        <f t="shared" si="48"/>
        <v>0.80030000000000001</v>
      </c>
      <c r="BY115" s="31">
        <f t="shared" si="48"/>
        <v>0.82350000000000001</v>
      </c>
      <c r="BZ115" s="31">
        <f t="shared" si="48"/>
        <v>0.81059999999999999</v>
      </c>
      <c r="CA115" s="31">
        <f t="shared" si="48"/>
        <v>0.8054</v>
      </c>
      <c r="CB115" s="31">
        <f t="shared" si="48"/>
        <v>0.90500000000000003</v>
      </c>
      <c r="CC115" s="31">
        <f t="shared" si="48"/>
        <v>0.80810000000000004</v>
      </c>
      <c r="CD115" s="31">
        <f t="shared" si="48"/>
        <v>0.79920000000000002</v>
      </c>
      <c r="CE115" s="31">
        <f t="shared" si="48"/>
        <v>0.80610000000000004</v>
      </c>
      <c r="CF115" s="31">
        <f t="shared" si="48"/>
        <v>0.80320000000000003</v>
      </c>
      <c r="CG115" s="31">
        <f t="shared" si="48"/>
        <v>0.80879999999999996</v>
      </c>
      <c r="CH115" s="31">
        <f t="shared" si="48"/>
        <v>0.80220000000000002</v>
      </c>
      <c r="CI115" s="31">
        <f t="shared" si="48"/>
        <v>0.83220000000000005</v>
      </c>
      <c r="CJ115" s="31">
        <f t="shared" si="48"/>
        <v>0.83789999999999998</v>
      </c>
      <c r="CK115" s="31">
        <f t="shared" si="48"/>
        <v>0.87609999999999999</v>
      </c>
      <c r="CL115" s="31">
        <f t="shared" si="48"/>
        <v>0.84930000000000005</v>
      </c>
      <c r="CM115" s="31">
        <f t="shared" si="48"/>
        <v>0.83220000000000005</v>
      </c>
      <c r="CN115" s="31">
        <f t="shared" si="48"/>
        <v>0.90500000000000003</v>
      </c>
      <c r="CO115" s="31">
        <f t="shared" si="48"/>
        <v>0.89100000000000001</v>
      </c>
      <c r="CP115" s="31">
        <f t="shared" si="48"/>
        <v>0.83989999999999998</v>
      </c>
      <c r="CQ115" s="31">
        <f t="shared" si="48"/>
        <v>0.83479999999999999</v>
      </c>
      <c r="CR115" s="31">
        <f t="shared" si="48"/>
        <v>0.80979999999999996</v>
      </c>
      <c r="CS115" s="31">
        <f t="shared" si="48"/>
        <v>0.81430000000000002</v>
      </c>
      <c r="CT115" s="31">
        <f t="shared" si="48"/>
        <v>0.80330000000000001</v>
      </c>
      <c r="CU115" s="31">
        <f t="shared" si="48"/>
        <v>0.82550000000000001</v>
      </c>
      <c r="CV115" s="31">
        <f t="shared" si="48"/>
        <v>0.79920000000000002</v>
      </c>
      <c r="CW115" s="31">
        <f t="shared" si="48"/>
        <v>0.80869999999999997</v>
      </c>
      <c r="CX115" s="31">
        <f t="shared" si="48"/>
        <v>0.82520000000000004</v>
      </c>
      <c r="CY115" s="31">
        <f t="shared" si="48"/>
        <v>0.79920000000000002</v>
      </c>
      <c r="CZ115" s="31">
        <f t="shared" si="48"/>
        <v>0.86060000000000003</v>
      </c>
      <c r="DA115" s="31">
        <f t="shared" si="48"/>
        <v>0.80900000000000005</v>
      </c>
      <c r="DB115" s="31">
        <f t="shared" si="48"/>
        <v>0.81620000000000004</v>
      </c>
      <c r="DC115" s="31">
        <f t="shared" si="48"/>
        <v>0.80840000000000001</v>
      </c>
      <c r="DD115" s="31">
        <f t="shared" si="48"/>
        <v>0.80720000000000003</v>
      </c>
      <c r="DE115" s="31">
        <f t="shared" si="48"/>
        <v>0.81430000000000002</v>
      </c>
      <c r="DF115" s="31">
        <f t="shared" si="48"/>
        <v>0.89680000000000004</v>
      </c>
      <c r="DG115" s="31">
        <f t="shared" si="48"/>
        <v>0.80200000000000005</v>
      </c>
      <c r="DH115" s="31">
        <f t="shared" si="48"/>
        <v>0.86060000000000003</v>
      </c>
      <c r="DI115" s="31">
        <f t="shared" si="48"/>
        <v>0.8639</v>
      </c>
      <c r="DJ115" s="31">
        <f t="shared" si="48"/>
        <v>0.83030000000000004</v>
      </c>
      <c r="DK115" s="31">
        <f t="shared" si="48"/>
        <v>0.82569999999999999</v>
      </c>
      <c r="DL115" s="31">
        <f t="shared" si="48"/>
        <v>0.88009999999999999</v>
      </c>
      <c r="DM115" s="31">
        <f t="shared" si="48"/>
        <v>0.81100000000000005</v>
      </c>
      <c r="DN115" s="31">
        <f t="shared" si="48"/>
        <v>0.85109999999999997</v>
      </c>
      <c r="DO115" s="31">
        <f t="shared" si="48"/>
        <v>0.86799999999999999</v>
      </c>
      <c r="DP115" s="31">
        <f t="shared" si="48"/>
        <v>0.80879999999999996</v>
      </c>
      <c r="DQ115" s="31">
        <f t="shared" si="48"/>
        <v>0.83840000000000003</v>
      </c>
      <c r="DR115" s="31">
        <f t="shared" si="48"/>
        <v>0.85170000000000001</v>
      </c>
      <c r="DS115" s="31">
        <f t="shared" si="48"/>
        <v>0.82950000000000002</v>
      </c>
      <c r="DT115" s="31">
        <f t="shared" si="48"/>
        <v>0.80730000000000002</v>
      </c>
      <c r="DU115" s="31">
        <f t="shared" si="48"/>
        <v>0.81850000000000001</v>
      </c>
      <c r="DV115" s="31">
        <f t="shared" si="48"/>
        <v>0.80930000000000002</v>
      </c>
      <c r="DW115" s="31">
        <f t="shared" si="48"/>
        <v>0.81520000000000004</v>
      </c>
      <c r="DX115" s="31">
        <f t="shared" si="48"/>
        <v>0.80679999999999996</v>
      </c>
      <c r="DY115" s="31">
        <f t="shared" si="48"/>
        <v>0.81499999999999995</v>
      </c>
      <c r="DZ115" s="31">
        <f t="shared" si="48"/>
        <v>0.83199999999999996</v>
      </c>
      <c r="EA115" s="31">
        <f t="shared" si="48"/>
        <v>0.82740000000000002</v>
      </c>
      <c r="EB115" s="31">
        <f t="shared" si="48"/>
        <v>0.82750000000000001</v>
      </c>
      <c r="EC115" s="31">
        <f t="shared" si="48"/>
        <v>0.81420000000000003</v>
      </c>
      <c r="ED115" s="31">
        <f t="shared" si="48"/>
        <v>0.85929999999999995</v>
      </c>
      <c r="EE115" s="31">
        <f t="shared" si="48"/>
        <v>0.80830000000000002</v>
      </c>
      <c r="EF115" s="31">
        <f t="shared" si="48"/>
        <v>0.85289999999999999</v>
      </c>
      <c r="EG115" s="31">
        <f t="shared" si="48"/>
        <v>0.81220000000000003</v>
      </c>
      <c r="EH115" s="31">
        <f t="shared" si="48"/>
        <v>0.81179999999999997</v>
      </c>
      <c r="EI115" s="31">
        <f t="shared" si="48"/>
        <v>0.89049999999999996</v>
      </c>
      <c r="EJ115" s="31">
        <f t="shared" si="48"/>
        <v>0.88719999999999999</v>
      </c>
      <c r="EK115" s="31">
        <f t="shared" si="48"/>
        <v>0.83160000000000001</v>
      </c>
      <c r="EL115" s="31">
        <f t="shared" si="48"/>
        <v>0.82509999999999994</v>
      </c>
      <c r="EM115" s="31">
        <f t="shared" si="48"/>
        <v>0.82020000000000004</v>
      </c>
      <c r="EN115" s="31">
        <f t="shared" si="48"/>
        <v>0.84</v>
      </c>
      <c r="EO115" s="31">
        <f t="shared" si="48"/>
        <v>0.8155</v>
      </c>
      <c r="EP115" s="31">
        <f t="shared" si="48"/>
        <v>0.82340000000000002</v>
      </c>
      <c r="EQ115" s="31">
        <f t="shared" si="48"/>
        <v>0.86470000000000002</v>
      </c>
      <c r="ER115" s="31">
        <f t="shared" si="48"/>
        <v>0.81579999999999997</v>
      </c>
      <c r="ES115" s="31">
        <f t="shared" si="48"/>
        <v>0.80640000000000001</v>
      </c>
      <c r="ET115" s="31">
        <f t="shared" si="48"/>
        <v>0.80859999999999999</v>
      </c>
      <c r="EU115" s="31">
        <f t="shared" si="48"/>
        <v>0.82869999999999999</v>
      </c>
      <c r="EV115" s="31">
        <f t="shared" si="48"/>
        <v>0.80069999999999997</v>
      </c>
      <c r="EW115" s="31">
        <f t="shared" si="48"/>
        <v>0.83630000000000004</v>
      </c>
      <c r="EX115" s="31">
        <f t="shared" si="48"/>
        <v>0.80710000000000004</v>
      </c>
      <c r="EY115" s="31">
        <f t="shared" si="48"/>
        <v>0.83130000000000004</v>
      </c>
      <c r="EZ115" s="31">
        <f t="shared" si="48"/>
        <v>0.80430000000000001</v>
      </c>
      <c r="FA115" s="31">
        <f t="shared" si="48"/>
        <v>0.86860000000000004</v>
      </c>
      <c r="FB115" s="31">
        <f t="shared" si="48"/>
        <v>0.81440000000000001</v>
      </c>
      <c r="FC115" s="31">
        <f t="shared" si="48"/>
        <v>0.86070000000000002</v>
      </c>
      <c r="FD115" s="31">
        <f t="shared" si="48"/>
        <v>0.82169999999999999</v>
      </c>
      <c r="FE115" s="31">
        <f t="shared" si="48"/>
        <v>0.80110000000000003</v>
      </c>
      <c r="FF115" s="31">
        <f t="shared" si="48"/>
        <v>0.80779999999999996</v>
      </c>
      <c r="FG115" s="31">
        <f t="shared" si="48"/>
        <v>0.80369999999999997</v>
      </c>
      <c r="FH115" s="31">
        <f t="shared" si="48"/>
        <v>0.80049999999999999</v>
      </c>
      <c r="FI115" s="31">
        <f t="shared" si="48"/>
        <v>0.86009999999999998</v>
      </c>
      <c r="FJ115" s="31">
        <f t="shared" si="48"/>
        <v>0.86170000000000002</v>
      </c>
      <c r="FK115" s="31">
        <f t="shared" si="48"/>
        <v>0.86419999999999997</v>
      </c>
      <c r="FL115" s="31">
        <f t="shared" si="48"/>
        <v>0.88570000000000004</v>
      </c>
      <c r="FM115" s="31">
        <f t="shared" si="48"/>
        <v>0.87150000000000005</v>
      </c>
      <c r="FN115" s="31">
        <f t="shared" si="48"/>
        <v>0.89839999999999998</v>
      </c>
      <c r="FO115" s="31">
        <f t="shared" si="48"/>
        <v>0.84560000000000002</v>
      </c>
      <c r="FP115" s="31">
        <f t="shared" si="48"/>
        <v>0.86329999999999996</v>
      </c>
      <c r="FQ115" s="31">
        <f t="shared" si="48"/>
        <v>0.84140000000000004</v>
      </c>
      <c r="FR115" s="31">
        <f t="shared" si="48"/>
        <v>0.80679999999999996</v>
      </c>
      <c r="FS115" s="31">
        <f t="shared" si="48"/>
        <v>0.80679999999999996</v>
      </c>
      <c r="FT115" s="31" t="e">
        <f t="shared" ca="1" si="48"/>
        <v>#NAME?</v>
      </c>
      <c r="FU115" s="31">
        <f t="shared" si="48"/>
        <v>0.83540000000000003</v>
      </c>
      <c r="FV115" s="31">
        <f t="shared" si="48"/>
        <v>0.83240000000000003</v>
      </c>
      <c r="FW115" s="31">
        <f t="shared" si="48"/>
        <v>0.80559999999999998</v>
      </c>
      <c r="FX115" s="31">
        <f t="shared" si="48"/>
        <v>0.80010000000000003</v>
      </c>
      <c r="FY115" s="31"/>
      <c r="FZ115" s="31" t="s">
        <v>739</v>
      </c>
      <c r="GA115" s="31"/>
      <c r="GB115" s="7"/>
      <c r="GC115" s="7"/>
      <c r="GD115" s="7"/>
      <c r="GE115" s="7"/>
      <c r="GF115" s="7"/>
      <c r="GG115" s="7"/>
      <c r="GH115" s="7"/>
      <c r="GI115" s="7"/>
      <c r="GJ115" s="7"/>
      <c r="GK115" s="7"/>
    </row>
    <row r="116" spans="1:202" ht="15.5" x14ac:dyDescent="0.35">
      <c r="A116" s="7"/>
      <c r="B116" s="7" t="s">
        <v>684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31"/>
      <c r="FZ116" s="7"/>
      <c r="GA116" s="7"/>
      <c r="GB116" s="31"/>
      <c r="GC116" s="31"/>
      <c r="GD116" s="31"/>
      <c r="GE116" s="31"/>
      <c r="GF116" s="31"/>
      <c r="GG116" s="31"/>
      <c r="GH116" s="31"/>
      <c r="GI116" s="7"/>
      <c r="GJ116" s="7"/>
      <c r="GK116" s="7"/>
    </row>
    <row r="117" spans="1:202" ht="15.5" x14ac:dyDescent="0.35">
      <c r="A117" s="12" t="s">
        <v>684</v>
      </c>
      <c r="B117" s="5" t="s">
        <v>839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31"/>
      <c r="FZ117" s="7"/>
      <c r="GA117" s="7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</row>
    <row r="118" spans="1:202" ht="15.5" x14ac:dyDescent="0.35">
      <c r="A118" s="12" t="s">
        <v>840</v>
      </c>
      <c r="B118" s="7" t="s">
        <v>841</v>
      </c>
      <c r="C118" s="7">
        <f ca="1">IFERROR(__xludf.DUMMYFUNCTION("+C39"),8691.8)</f>
        <v>8691.7999999999993</v>
      </c>
      <c r="D118" s="7">
        <f ca="1">IFERROR(__xludf.DUMMYFUNCTION("+D39"),8691.8)</f>
        <v>8691.7999999999993</v>
      </c>
      <c r="E118" s="7">
        <f ca="1">IFERROR(__xludf.DUMMYFUNCTION("+E39"),8691.8)</f>
        <v>8691.7999999999993</v>
      </c>
      <c r="F118" s="7">
        <f ca="1">IFERROR(__xludf.DUMMYFUNCTION("+F39"),8691.8)</f>
        <v>8691.7999999999993</v>
      </c>
      <c r="G118" s="7">
        <f ca="1">IFERROR(__xludf.DUMMYFUNCTION("+G39"),8691.8)</f>
        <v>8691.7999999999993</v>
      </c>
      <c r="H118" s="7">
        <f ca="1">IFERROR(__xludf.DUMMYFUNCTION("+H39"),8691.8)</f>
        <v>8691.7999999999993</v>
      </c>
      <c r="I118" s="7">
        <f ca="1">IFERROR(__xludf.DUMMYFUNCTION("+I39"),8691.8)</f>
        <v>8691.7999999999993</v>
      </c>
      <c r="J118" s="7">
        <f ca="1">IFERROR(__xludf.DUMMYFUNCTION("+J39"),8691.8)</f>
        <v>8691.7999999999993</v>
      </c>
      <c r="K118" s="7">
        <f ca="1">IFERROR(__xludf.DUMMYFUNCTION("+K39"),8691.8)</f>
        <v>8691.7999999999993</v>
      </c>
      <c r="L118" s="7">
        <f ca="1">IFERROR(__xludf.DUMMYFUNCTION("+L39"),8691.8)</f>
        <v>8691.7999999999993</v>
      </c>
      <c r="M118" s="7">
        <f ca="1">IFERROR(__xludf.DUMMYFUNCTION("+M39"),8691.8)</f>
        <v>8691.7999999999993</v>
      </c>
      <c r="N118" s="7">
        <f ca="1">IFERROR(__xludf.DUMMYFUNCTION("+N39"),8691.8)</f>
        <v>8691.7999999999993</v>
      </c>
      <c r="O118" s="7">
        <f ca="1">IFERROR(__xludf.DUMMYFUNCTION("+O39"),8691.8)</f>
        <v>8691.7999999999993</v>
      </c>
      <c r="P118" s="7">
        <f ca="1">IFERROR(__xludf.DUMMYFUNCTION("+P39"),8691.8)</f>
        <v>8691.7999999999993</v>
      </c>
      <c r="Q118" s="7">
        <f ca="1">IFERROR(__xludf.DUMMYFUNCTION("+Q39"),8691.8)</f>
        <v>8691.7999999999993</v>
      </c>
      <c r="R118" s="7">
        <f ca="1">IFERROR(__xludf.DUMMYFUNCTION("+R39"),8691.8)</f>
        <v>8691.7999999999993</v>
      </c>
      <c r="S118" s="7">
        <f ca="1">IFERROR(__xludf.DUMMYFUNCTION("+S39"),8691.8)</f>
        <v>8691.7999999999993</v>
      </c>
      <c r="T118" s="7">
        <f ca="1">IFERROR(__xludf.DUMMYFUNCTION("+T39"),8691.8)</f>
        <v>8691.7999999999993</v>
      </c>
      <c r="U118" s="7">
        <f ca="1">IFERROR(__xludf.DUMMYFUNCTION("+U39"),8691.8)</f>
        <v>8691.7999999999993</v>
      </c>
      <c r="V118" s="7">
        <f ca="1">IFERROR(__xludf.DUMMYFUNCTION("+V39"),8691.8)</f>
        <v>8691.7999999999993</v>
      </c>
      <c r="W118" s="7">
        <f ca="1">IFERROR(__xludf.DUMMYFUNCTION("+W39"),8691.8)</f>
        <v>8691.7999999999993</v>
      </c>
      <c r="X118" s="7">
        <f ca="1">IFERROR(__xludf.DUMMYFUNCTION("+X39"),8691.8)</f>
        <v>8691.7999999999993</v>
      </c>
      <c r="Y118" s="7">
        <f ca="1">IFERROR(__xludf.DUMMYFUNCTION("+Y39"),8691.8)</f>
        <v>8691.7999999999993</v>
      </c>
      <c r="Z118" s="7">
        <f ca="1">IFERROR(__xludf.DUMMYFUNCTION("+Z39"),8691.8)</f>
        <v>8691.7999999999993</v>
      </c>
      <c r="AA118" s="7">
        <f ca="1">IFERROR(__xludf.DUMMYFUNCTION("+AA39"),8691.8)</f>
        <v>8691.7999999999993</v>
      </c>
      <c r="AB118" s="7">
        <f ca="1">IFERROR(__xludf.DUMMYFUNCTION("+AB39"),8691.8)</f>
        <v>8691.7999999999993</v>
      </c>
      <c r="AC118" s="7">
        <f ca="1">IFERROR(__xludf.DUMMYFUNCTION("+AC39"),8691.8)</f>
        <v>8691.7999999999993</v>
      </c>
      <c r="AD118" s="7">
        <f ca="1">IFERROR(__xludf.DUMMYFUNCTION("+AD39"),8691.8)</f>
        <v>8691.7999999999993</v>
      </c>
      <c r="AE118" s="7">
        <f ca="1">IFERROR(__xludf.DUMMYFUNCTION("+AE39"),8691.8)</f>
        <v>8691.7999999999993</v>
      </c>
      <c r="AF118" s="7">
        <f ca="1">IFERROR(__xludf.DUMMYFUNCTION("+AF39"),8691.8)</f>
        <v>8691.7999999999993</v>
      </c>
      <c r="AG118" s="7">
        <f ca="1">IFERROR(__xludf.DUMMYFUNCTION("+AG39"),8691.8)</f>
        <v>8691.7999999999993</v>
      </c>
      <c r="AH118" s="7">
        <f ca="1">IFERROR(__xludf.DUMMYFUNCTION("+AH39"),8691.8)</f>
        <v>8691.7999999999993</v>
      </c>
      <c r="AI118" s="7">
        <f ca="1">IFERROR(__xludf.DUMMYFUNCTION("+AI39"),8691.8)</f>
        <v>8691.7999999999993</v>
      </c>
      <c r="AJ118" s="7">
        <f ca="1">IFERROR(__xludf.DUMMYFUNCTION("+AJ39"),8691.8)</f>
        <v>8691.7999999999993</v>
      </c>
      <c r="AK118" s="7">
        <f ca="1">IFERROR(__xludf.DUMMYFUNCTION("+AK39"),8691.8)</f>
        <v>8691.7999999999993</v>
      </c>
      <c r="AL118" s="7">
        <f ca="1">IFERROR(__xludf.DUMMYFUNCTION("+AL39"),8691.8)</f>
        <v>8691.7999999999993</v>
      </c>
      <c r="AM118" s="7">
        <f ca="1">IFERROR(__xludf.DUMMYFUNCTION("+AM39"),8691.8)</f>
        <v>8691.7999999999993</v>
      </c>
      <c r="AN118" s="7">
        <f ca="1">IFERROR(__xludf.DUMMYFUNCTION("+AN39"),8691.8)</f>
        <v>8691.7999999999993</v>
      </c>
      <c r="AO118" s="7">
        <f ca="1">IFERROR(__xludf.DUMMYFUNCTION("+AO39"),8691.8)</f>
        <v>8691.7999999999993</v>
      </c>
      <c r="AP118" s="7">
        <f ca="1">IFERROR(__xludf.DUMMYFUNCTION("+AP39"),8691.8)</f>
        <v>8691.7999999999993</v>
      </c>
      <c r="AQ118" s="7">
        <f ca="1">IFERROR(__xludf.DUMMYFUNCTION("+AQ39"),8691.8)</f>
        <v>8691.7999999999993</v>
      </c>
      <c r="AR118" s="7">
        <f ca="1">IFERROR(__xludf.DUMMYFUNCTION("+AR39"),8691.8)</f>
        <v>8691.7999999999993</v>
      </c>
      <c r="AS118" s="7">
        <f ca="1">IFERROR(__xludf.DUMMYFUNCTION("+AS39"),8691.8)</f>
        <v>8691.7999999999993</v>
      </c>
      <c r="AT118" s="7">
        <f ca="1">IFERROR(__xludf.DUMMYFUNCTION("+AT39"),8691.8)</f>
        <v>8691.7999999999993</v>
      </c>
      <c r="AU118" s="7">
        <f ca="1">IFERROR(__xludf.DUMMYFUNCTION("+AU39"),8691.8)</f>
        <v>8691.7999999999993</v>
      </c>
      <c r="AV118" s="7">
        <f ca="1">IFERROR(__xludf.DUMMYFUNCTION("+AV39"),8691.8)</f>
        <v>8691.7999999999993</v>
      </c>
      <c r="AW118" s="7">
        <f ca="1">IFERROR(__xludf.DUMMYFUNCTION("+AW39"),8691.8)</f>
        <v>8691.7999999999993</v>
      </c>
      <c r="AX118" s="7">
        <f ca="1">IFERROR(__xludf.DUMMYFUNCTION("+AX39"),8691.8)</f>
        <v>8691.7999999999993</v>
      </c>
      <c r="AY118" s="7">
        <f ca="1">IFERROR(__xludf.DUMMYFUNCTION("+AY39"),8691.8)</f>
        <v>8691.7999999999993</v>
      </c>
      <c r="AZ118" s="7">
        <f ca="1">IFERROR(__xludf.DUMMYFUNCTION("+AZ39"),8691.8)</f>
        <v>8691.7999999999993</v>
      </c>
      <c r="BA118" s="7">
        <f ca="1">IFERROR(__xludf.DUMMYFUNCTION("+BA39"),8691.8)</f>
        <v>8691.7999999999993</v>
      </c>
      <c r="BB118" s="7">
        <f ca="1">IFERROR(__xludf.DUMMYFUNCTION("+BB39"),8691.8)</f>
        <v>8691.7999999999993</v>
      </c>
      <c r="BC118" s="7">
        <f ca="1">IFERROR(__xludf.DUMMYFUNCTION("+BC39"),8691.8)</f>
        <v>8691.7999999999993</v>
      </c>
      <c r="BD118" s="7">
        <f ca="1">IFERROR(__xludf.DUMMYFUNCTION("+BD39"),8691.8)</f>
        <v>8691.7999999999993</v>
      </c>
      <c r="BE118" s="7">
        <f ca="1">IFERROR(__xludf.DUMMYFUNCTION("+BE39"),8691.8)</f>
        <v>8691.7999999999993</v>
      </c>
      <c r="BF118" s="7">
        <f ca="1">IFERROR(__xludf.DUMMYFUNCTION("+BF39"),8691.8)</f>
        <v>8691.7999999999993</v>
      </c>
      <c r="BG118" s="7">
        <f ca="1">IFERROR(__xludf.DUMMYFUNCTION("+BG39"),8691.8)</f>
        <v>8691.7999999999993</v>
      </c>
      <c r="BH118" s="7">
        <f ca="1">IFERROR(__xludf.DUMMYFUNCTION("+BH39"),8691.8)</f>
        <v>8691.7999999999993</v>
      </c>
      <c r="BI118" s="7">
        <f ca="1">IFERROR(__xludf.DUMMYFUNCTION("+BI39"),8691.8)</f>
        <v>8691.7999999999993</v>
      </c>
      <c r="BJ118" s="7">
        <f ca="1">IFERROR(__xludf.DUMMYFUNCTION("+BJ39"),8691.8)</f>
        <v>8691.7999999999993</v>
      </c>
      <c r="BK118" s="7">
        <f ca="1">IFERROR(__xludf.DUMMYFUNCTION("+BK39"),8691.8)</f>
        <v>8691.7999999999993</v>
      </c>
      <c r="BL118" s="7">
        <f ca="1">IFERROR(__xludf.DUMMYFUNCTION("+BL39"),8691.8)</f>
        <v>8691.7999999999993</v>
      </c>
      <c r="BM118" s="7">
        <f ca="1">IFERROR(__xludf.DUMMYFUNCTION("+BM39"),8691.8)</f>
        <v>8691.7999999999993</v>
      </c>
      <c r="BN118" s="7">
        <f ca="1">IFERROR(__xludf.DUMMYFUNCTION("+BN39"),8691.8)</f>
        <v>8691.7999999999993</v>
      </c>
      <c r="BO118" s="7">
        <f ca="1">IFERROR(__xludf.DUMMYFUNCTION("+BO39"),8691.8)</f>
        <v>8691.7999999999993</v>
      </c>
      <c r="BP118" s="7">
        <f ca="1">IFERROR(__xludf.DUMMYFUNCTION("+BP39"),8691.8)</f>
        <v>8691.7999999999993</v>
      </c>
      <c r="BQ118" s="7">
        <f ca="1">IFERROR(__xludf.DUMMYFUNCTION("+BQ39"),8691.8)</f>
        <v>8691.7999999999993</v>
      </c>
      <c r="BR118" s="7">
        <f ca="1">IFERROR(__xludf.DUMMYFUNCTION("+BR39"),8691.8)</f>
        <v>8691.7999999999993</v>
      </c>
      <c r="BS118" s="7">
        <f ca="1">IFERROR(__xludf.DUMMYFUNCTION("+BS39"),8691.8)</f>
        <v>8691.7999999999993</v>
      </c>
      <c r="BT118" s="7">
        <f ca="1">IFERROR(__xludf.DUMMYFUNCTION("+BT39"),8691.8)</f>
        <v>8691.7999999999993</v>
      </c>
      <c r="BU118" s="7">
        <f ca="1">IFERROR(__xludf.DUMMYFUNCTION("+BU39"),8691.8)</f>
        <v>8691.7999999999993</v>
      </c>
      <c r="BV118" s="7">
        <f ca="1">IFERROR(__xludf.DUMMYFUNCTION("+BV39"),8691.8)</f>
        <v>8691.7999999999993</v>
      </c>
      <c r="BW118" s="7">
        <f ca="1">IFERROR(__xludf.DUMMYFUNCTION("+BW39"),8691.8)</f>
        <v>8691.7999999999993</v>
      </c>
      <c r="BX118" s="7">
        <f ca="1">IFERROR(__xludf.DUMMYFUNCTION("+BX39"),8691.8)</f>
        <v>8691.7999999999993</v>
      </c>
      <c r="BY118" s="7">
        <f ca="1">IFERROR(__xludf.DUMMYFUNCTION("+BY39"),8691.8)</f>
        <v>8691.7999999999993</v>
      </c>
      <c r="BZ118" s="7">
        <f ca="1">IFERROR(__xludf.DUMMYFUNCTION("+BZ39"),8691.8)</f>
        <v>8691.7999999999993</v>
      </c>
      <c r="CA118" s="7">
        <f ca="1">IFERROR(__xludf.DUMMYFUNCTION("+CA39"),8691.8)</f>
        <v>8691.7999999999993</v>
      </c>
      <c r="CB118" s="7">
        <f ca="1">IFERROR(__xludf.DUMMYFUNCTION("+CB39"),8691.8)</f>
        <v>8691.7999999999993</v>
      </c>
      <c r="CC118" s="7">
        <f ca="1">IFERROR(__xludf.DUMMYFUNCTION("+CC39"),8691.8)</f>
        <v>8691.7999999999993</v>
      </c>
      <c r="CD118" s="7">
        <f ca="1">IFERROR(__xludf.DUMMYFUNCTION("+CD39"),8691.8)</f>
        <v>8691.7999999999993</v>
      </c>
      <c r="CE118" s="7">
        <f ca="1">IFERROR(__xludf.DUMMYFUNCTION("+CE39"),8691.8)</f>
        <v>8691.7999999999993</v>
      </c>
      <c r="CF118" s="7">
        <f ca="1">IFERROR(__xludf.DUMMYFUNCTION("+CF39"),8691.8)</f>
        <v>8691.7999999999993</v>
      </c>
      <c r="CG118" s="7">
        <f ca="1">IFERROR(__xludf.DUMMYFUNCTION("+CG39"),8691.8)</f>
        <v>8691.7999999999993</v>
      </c>
      <c r="CH118" s="7">
        <f ca="1">IFERROR(__xludf.DUMMYFUNCTION("+CH39"),8691.8)</f>
        <v>8691.7999999999993</v>
      </c>
      <c r="CI118" s="7">
        <f ca="1">IFERROR(__xludf.DUMMYFUNCTION("+CI39"),8691.8)</f>
        <v>8691.7999999999993</v>
      </c>
      <c r="CJ118" s="7">
        <f ca="1">IFERROR(__xludf.DUMMYFUNCTION("+CJ39"),8691.8)</f>
        <v>8691.7999999999993</v>
      </c>
      <c r="CK118" s="7">
        <f ca="1">IFERROR(__xludf.DUMMYFUNCTION("+CK39"),8691.8)</f>
        <v>8691.7999999999993</v>
      </c>
      <c r="CL118" s="7">
        <f ca="1">IFERROR(__xludf.DUMMYFUNCTION("+CL39"),8691.8)</f>
        <v>8691.7999999999993</v>
      </c>
      <c r="CM118" s="7">
        <f ca="1">IFERROR(__xludf.DUMMYFUNCTION("+CM39"),8691.8)</f>
        <v>8691.7999999999993</v>
      </c>
      <c r="CN118" s="7">
        <f ca="1">IFERROR(__xludf.DUMMYFUNCTION("+CN39"),8691.8)</f>
        <v>8691.7999999999993</v>
      </c>
      <c r="CO118" s="7">
        <f ca="1">IFERROR(__xludf.DUMMYFUNCTION("+CO39"),8691.8)</f>
        <v>8691.7999999999993</v>
      </c>
      <c r="CP118" s="7">
        <f ca="1">IFERROR(__xludf.DUMMYFUNCTION("+CP39"),8691.8)</f>
        <v>8691.7999999999993</v>
      </c>
      <c r="CQ118" s="7">
        <f ca="1">IFERROR(__xludf.DUMMYFUNCTION("+CQ39"),8691.8)</f>
        <v>8691.7999999999993</v>
      </c>
      <c r="CR118" s="7">
        <f ca="1">IFERROR(__xludf.DUMMYFUNCTION("+CR39"),8691.8)</f>
        <v>8691.7999999999993</v>
      </c>
      <c r="CS118" s="7">
        <f ca="1">IFERROR(__xludf.DUMMYFUNCTION("+CS39"),8691.8)</f>
        <v>8691.7999999999993</v>
      </c>
      <c r="CT118" s="7">
        <f ca="1">IFERROR(__xludf.DUMMYFUNCTION("+CT39"),8691.8)</f>
        <v>8691.7999999999993</v>
      </c>
      <c r="CU118" s="7">
        <f ca="1">IFERROR(__xludf.DUMMYFUNCTION("+CU39"),8691.8)</f>
        <v>8691.7999999999993</v>
      </c>
      <c r="CV118" s="7">
        <f ca="1">IFERROR(__xludf.DUMMYFUNCTION("+CV39"),8691.8)</f>
        <v>8691.7999999999993</v>
      </c>
      <c r="CW118" s="7">
        <f ca="1">IFERROR(__xludf.DUMMYFUNCTION("+CW39"),8691.8)</f>
        <v>8691.7999999999993</v>
      </c>
      <c r="CX118" s="7">
        <f ca="1">IFERROR(__xludf.DUMMYFUNCTION("+CX39"),8691.8)</f>
        <v>8691.7999999999993</v>
      </c>
      <c r="CY118" s="7">
        <f ca="1">IFERROR(__xludf.DUMMYFUNCTION("+CY39"),8691.8)</f>
        <v>8691.7999999999993</v>
      </c>
      <c r="CZ118" s="7">
        <f ca="1">IFERROR(__xludf.DUMMYFUNCTION("+CZ39"),8691.8)</f>
        <v>8691.7999999999993</v>
      </c>
      <c r="DA118" s="7">
        <f ca="1">IFERROR(__xludf.DUMMYFUNCTION("+DA39"),8691.8)</f>
        <v>8691.7999999999993</v>
      </c>
      <c r="DB118" s="7">
        <f ca="1">IFERROR(__xludf.DUMMYFUNCTION("+DB39"),8691.8)</f>
        <v>8691.7999999999993</v>
      </c>
      <c r="DC118" s="7">
        <f ca="1">IFERROR(__xludf.DUMMYFUNCTION("+DC39"),8691.8)</f>
        <v>8691.7999999999993</v>
      </c>
      <c r="DD118" s="7">
        <f ca="1">IFERROR(__xludf.DUMMYFUNCTION("+DD39"),8691.8)</f>
        <v>8691.7999999999993</v>
      </c>
      <c r="DE118" s="7">
        <f ca="1">IFERROR(__xludf.DUMMYFUNCTION("+DE39"),8691.8)</f>
        <v>8691.7999999999993</v>
      </c>
      <c r="DF118" s="7">
        <f ca="1">IFERROR(__xludf.DUMMYFUNCTION("+DF39"),8691.8)</f>
        <v>8691.7999999999993</v>
      </c>
      <c r="DG118" s="7">
        <f ca="1">IFERROR(__xludf.DUMMYFUNCTION("+DG39"),8691.8)</f>
        <v>8691.7999999999993</v>
      </c>
      <c r="DH118" s="7">
        <f ca="1">IFERROR(__xludf.DUMMYFUNCTION("+DH39"),8691.8)</f>
        <v>8691.7999999999993</v>
      </c>
      <c r="DI118" s="7">
        <f ca="1">IFERROR(__xludf.DUMMYFUNCTION("+DI39"),8691.8)</f>
        <v>8691.7999999999993</v>
      </c>
      <c r="DJ118" s="7">
        <f ca="1">IFERROR(__xludf.DUMMYFUNCTION("+DJ39"),8691.8)</f>
        <v>8691.7999999999993</v>
      </c>
      <c r="DK118" s="7">
        <f ca="1">IFERROR(__xludf.DUMMYFUNCTION("+DK39"),8691.8)</f>
        <v>8691.7999999999993</v>
      </c>
      <c r="DL118" s="7">
        <f ca="1">IFERROR(__xludf.DUMMYFUNCTION("+DL39"),8691.8)</f>
        <v>8691.7999999999993</v>
      </c>
      <c r="DM118" s="7">
        <f ca="1">IFERROR(__xludf.DUMMYFUNCTION("+DM39"),8691.8)</f>
        <v>8691.7999999999993</v>
      </c>
      <c r="DN118" s="7">
        <f ca="1">IFERROR(__xludf.DUMMYFUNCTION("+DN39"),8691.8)</f>
        <v>8691.7999999999993</v>
      </c>
      <c r="DO118" s="7">
        <f ca="1">IFERROR(__xludf.DUMMYFUNCTION("+DO39"),8691.8)</f>
        <v>8691.7999999999993</v>
      </c>
      <c r="DP118" s="7">
        <f ca="1">IFERROR(__xludf.DUMMYFUNCTION("+DP39"),8691.8)</f>
        <v>8691.7999999999993</v>
      </c>
      <c r="DQ118" s="7">
        <f ca="1">IFERROR(__xludf.DUMMYFUNCTION("+DQ39"),8691.8)</f>
        <v>8691.7999999999993</v>
      </c>
      <c r="DR118" s="7">
        <f ca="1">IFERROR(__xludf.DUMMYFUNCTION("+DR39"),8691.8)</f>
        <v>8691.7999999999993</v>
      </c>
      <c r="DS118" s="7">
        <f ca="1">IFERROR(__xludf.DUMMYFUNCTION("+DS39"),8691.8)</f>
        <v>8691.7999999999993</v>
      </c>
      <c r="DT118" s="7">
        <f ca="1">IFERROR(__xludf.DUMMYFUNCTION("+DT39"),8691.8)</f>
        <v>8691.7999999999993</v>
      </c>
      <c r="DU118" s="7">
        <f ca="1">IFERROR(__xludf.DUMMYFUNCTION("+DU39"),8691.8)</f>
        <v>8691.7999999999993</v>
      </c>
      <c r="DV118" s="7">
        <f ca="1">IFERROR(__xludf.DUMMYFUNCTION("+DV39"),8691.8)</f>
        <v>8691.7999999999993</v>
      </c>
      <c r="DW118" s="7">
        <f ca="1">IFERROR(__xludf.DUMMYFUNCTION("+DW39"),8691.8)</f>
        <v>8691.7999999999993</v>
      </c>
      <c r="DX118" s="7">
        <f ca="1">IFERROR(__xludf.DUMMYFUNCTION("+DX39"),8691.8)</f>
        <v>8691.7999999999993</v>
      </c>
      <c r="DY118" s="7">
        <f ca="1">IFERROR(__xludf.DUMMYFUNCTION("+DY39"),8691.8)</f>
        <v>8691.7999999999993</v>
      </c>
      <c r="DZ118" s="7">
        <f ca="1">IFERROR(__xludf.DUMMYFUNCTION("+DZ39"),8691.8)</f>
        <v>8691.7999999999993</v>
      </c>
      <c r="EA118" s="7">
        <f ca="1">IFERROR(__xludf.DUMMYFUNCTION("+EA39"),8691.8)</f>
        <v>8691.7999999999993</v>
      </c>
      <c r="EB118" s="7">
        <f ca="1">IFERROR(__xludf.DUMMYFUNCTION("+EB39"),8691.8)</f>
        <v>8691.7999999999993</v>
      </c>
      <c r="EC118" s="7">
        <f ca="1">IFERROR(__xludf.DUMMYFUNCTION("+EC39"),8691.8)</f>
        <v>8691.7999999999993</v>
      </c>
      <c r="ED118" s="7">
        <f ca="1">IFERROR(__xludf.DUMMYFUNCTION("+ED39"),8691.8)</f>
        <v>8691.7999999999993</v>
      </c>
      <c r="EE118" s="7">
        <f ca="1">IFERROR(__xludf.DUMMYFUNCTION("+EE39"),8691.8)</f>
        <v>8691.7999999999993</v>
      </c>
      <c r="EF118" s="7">
        <f ca="1">IFERROR(__xludf.DUMMYFUNCTION("+EF39"),8691.8)</f>
        <v>8691.7999999999993</v>
      </c>
      <c r="EG118" s="7">
        <f ca="1">IFERROR(__xludf.DUMMYFUNCTION("+EG39"),8691.8)</f>
        <v>8691.7999999999993</v>
      </c>
      <c r="EH118" s="7">
        <f ca="1">IFERROR(__xludf.DUMMYFUNCTION("+EH39"),8691.8)</f>
        <v>8691.7999999999993</v>
      </c>
      <c r="EI118" s="7">
        <f ca="1">IFERROR(__xludf.DUMMYFUNCTION("+EI39"),8691.8)</f>
        <v>8691.7999999999993</v>
      </c>
      <c r="EJ118" s="7">
        <f ca="1">IFERROR(__xludf.DUMMYFUNCTION("+EJ39"),8691.8)</f>
        <v>8691.7999999999993</v>
      </c>
      <c r="EK118" s="7">
        <f ca="1">IFERROR(__xludf.DUMMYFUNCTION("+EK39"),8691.8)</f>
        <v>8691.7999999999993</v>
      </c>
      <c r="EL118" s="7">
        <f ca="1">IFERROR(__xludf.DUMMYFUNCTION("+EL39"),8691.8)</f>
        <v>8691.7999999999993</v>
      </c>
      <c r="EM118" s="7">
        <f ca="1">IFERROR(__xludf.DUMMYFUNCTION("+EM39"),8691.8)</f>
        <v>8691.7999999999993</v>
      </c>
      <c r="EN118" s="7">
        <f ca="1">IFERROR(__xludf.DUMMYFUNCTION("+EN39"),8691.8)</f>
        <v>8691.7999999999993</v>
      </c>
      <c r="EO118" s="7">
        <f ca="1">IFERROR(__xludf.DUMMYFUNCTION("+EO39"),8691.8)</f>
        <v>8691.7999999999993</v>
      </c>
      <c r="EP118" s="7">
        <f ca="1">IFERROR(__xludf.DUMMYFUNCTION("+EP39"),8691.8)</f>
        <v>8691.7999999999993</v>
      </c>
      <c r="EQ118" s="7">
        <f ca="1">IFERROR(__xludf.DUMMYFUNCTION("+EQ39"),8691.8)</f>
        <v>8691.7999999999993</v>
      </c>
      <c r="ER118" s="7">
        <f ca="1">IFERROR(__xludf.DUMMYFUNCTION("+ER39"),8691.8)</f>
        <v>8691.7999999999993</v>
      </c>
      <c r="ES118" s="7">
        <f ca="1">IFERROR(__xludf.DUMMYFUNCTION("+ES39"),8691.8)</f>
        <v>8691.7999999999993</v>
      </c>
      <c r="ET118" s="7">
        <f ca="1">IFERROR(__xludf.DUMMYFUNCTION("+ET39"),8691.8)</f>
        <v>8691.7999999999993</v>
      </c>
      <c r="EU118" s="7">
        <f ca="1">IFERROR(__xludf.DUMMYFUNCTION("+EU39"),8691.8)</f>
        <v>8691.7999999999993</v>
      </c>
      <c r="EV118" s="7">
        <f ca="1">IFERROR(__xludf.DUMMYFUNCTION("+EV39"),8691.8)</f>
        <v>8691.7999999999993</v>
      </c>
      <c r="EW118" s="7">
        <f ca="1">IFERROR(__xludf.DUMMYFUNCTION("+EW39"),8691.8)</f>
        <v>8691.7999999999993</v>
      </c>
      <c r="EX118" s="7">
        <f ca="1">IFERROR(__xludf.DUMMYFUNCTION("+EX39"),8691.8)</f>
        <v>8691.7999999999993</v>
      </c>
      <c r="EY118" s="7">
        <f ca="1">IFERROR(__xludf.DUMMYFUNCTION("+EY39"),8691.8)</f>
        <v>8691.7999999999993</v>
      </c>
      <c r="EZ118" s="7">
        <f ca="1">IFERROR(__xludf.DUMMYFUNCTION("+EZ39"),8691.8)</f>
        <v>8691.7999999999993</v>
      </c>
      <c r="FA118" s="7">
        <f ca="1">IFERROR(__xludf.DUMMYFUNCTION("+FA39"),8691.8)</f>
        <v>8691.7999999999993</v>
      </c>
      <c r="FB118" s="7">
        <f ca="1">IFERROR(__xludf.DUMMYFUNCTION("+FB39"),8691.8)</f>
        <v>8691.7999999999993</v>
      </c>
      <c r="FC118" s="7">
        <f ca="1">IFERROR(__xludf.DUMMYFUNCTION("+FC39"),8691.8)</f>
        <v>8691.7999999999993</v>
      </c>
      <c r="FD118" s="7">
        <f ca="1">IFERROR(__xludf.DUMMYFUNCTION("+FD39"),8691.8)</f>
        <v>8691.7999999999993</v>
      </c>
      <c r="FE118" s="7">
        <f ca="1">IFERROR(__xludf.DUMMYFUNCTION("+FE39"),8691.8)</f>
        <v>8691.7999999999993</v>
      </c>
      <c r="FF118" s="7">
        <f ca="1">IFERROR(__xludf.DUMMYFUNCTION("+FF39"),8691.8)</f>
        <v>8691.7999999999993</v>
      </c>
      <c r="FG118" s="7">
        <f ca="1">IFERROR(__xludf.DUMMYFUNCTION("+FG39"),8691.8)</f>
        <v>8691.7999999999993</v>
      </c>
      <c r="FH118" s="7">
        <f ca="1">IFERROR(__xludf.DUMMYFUNCTION("+FH39"),8691.8)</f>
        <v>8691.7999999999993</v>
      </c>
      <c r="FI118" s="7">
        <f ca="1">IFERROR(__xludf.DUMMYFUNCTION("+FI39"),8691.8)</f>
        <v>8691.7999999999993</v>
      </c>
      <c r="FJ118" s="7">
        <f ca="1">IFERROR(__xludf.DUMMYFUNCTION("+FJ39"),8691.8)</f>
        <v>8691.7999999999993</v>
      </c>
      <c r="FK118" s="7">
        <f ca="1">IFERROR(__xludf.DUMMYFUNCTION("+FK39"),8691.8)</f>
        <v>8691.7999999999993</v>
      </c>
      <c r="FL118" s="7">
        <f ca="1">IFERROR(__xludf.DUMMYFUNCTION("+FL39"),8691.8)</f>
        <v>8691.7999999999993</v>
      </c>
      <c r="FM118" s="7">
        <f ca="1">IFERROR(__xludf.DUMMYFUNCTION("+FM39"),8691.8)</f>
        <v>8691.7999999999993</v>
      </c>
      <c r="FN118" s="7">
        <f ca="1">IFERROR(__xludf.DUMMYFUNCTION("+FN39"),8691.8)</f>
        <v>8691.7999999999993</v>
      </c>
      <c r="FO118" s="7">
        <f ca="1">IFERROR(__xludf.DUMMYFUNCTION("+FO39"),8691.8)</f>
        <v>8691.7999999999993</v>
      </c>
      <c r="FP118" s="7">
        <f ca="1">IFERROR(__xludf.DUMMYFUNCTION("+FP39"),8691.8)</f>
        <v>8691.7999999999993</v>
      </c>
      <c r="FQ118" s="7">
        <f ca="1">IFERROR(__xludf.DUMMYFUNCTION("+FQ39"),8691.8)</f>
        <v>8691.7999999999993</v>
      </c>
      <c r="FR118" s="7">
        <f ca="1">IFERROR(__xludf.DUMMYFUNCTION("+FR39"),8691.8)</f>
        <v>8691.7999999999993</v>
      </c>
      <c r="FS118" s="7">
        <f ca="1">IFERROR(__xludf.DUMMYFUNCTION("+FS39"),8691.8)</f>
        <v>8691.7999999999993</v>
      </c>
      <c r="FT118" s="7">
        <f ca="1">IFERROR(__xludf.DUMMYFUNCTION("+FT39"),8691.8)</f>
        <v>8691.7999999999993</v>
      </c>
      <c r="FU118" s="7">
        <f ca="1">IFERROR(__xludf.DUMMYFUNCTION("+FU39"),8691.8)</f>
        <v>8691.7999999999993</v>
      </c>
      <c r="FV118" s="7">
        <f ca="1">IFERROR(__xludf.DUMMYFUNCTION("+FV39"),8691.8)</f>
        <v>8691.7999999999993</v>
      </c>
      <c r="FW118" s="7">
        <f ca="1">IFERROR(__xludf.DUMMYFUNCTION("+FW39"),8691.8)</f>
        <v>8691.7999999999993</v>
      </c>
      <c r="FX118" s="7">
        <f ca="1">IFERROR(__xludf.DUMMYFUNCTION("+FX39"),8691.8)</f>
        <v>8691.7999999999993</v>
      </c>
      <c r="FY118" s="31"/>
      <c r="FZ118" s="7"/>
      <c r="GA118" s="31"/>
      <c r="GB118" s="31"/>
      <c r="GC118" s="31"/>
      <c r="GD118" s="31"/>
      <c r="GE118" s="7"/>
      <c r="GF118" s="7"/>
      <c r="GG118" s="7"/>
      <c r="GH118" s="7"/>
      <c r="GI118" s="7"/>
      <c r="GJ118" s="7"/>
      <c r="GK118" s="7"/>
    </row>
    <row r="119" spans="1:202" ht="15.5" x14ac:dyDescent="0.35">
      <c r="A119" s="12" t="s">
        <v>842</v>
      </c>
      <c r="B119" s="7" t="s">
        <v>843</v>
      </c>
      <c r="C119" s="31">
        <f ca="1">IFERROR(__xludf.DUMMYFUNCTION("+C115"),0.8843)</f>
        <v>0.88429999999999997</v>
      </c>
      <c r="D119" s="31">
        <f ca="1">IFERROR(__xludf.DUMMYFUNCTION("+D115"),0.905)</f>
        <v>0.90500000000000003</v>
      </c>
      <c r="E119" s="31">
        <f ca="1">IFERROR(__xludf.DUMMYFUNCTION("+E115"),0.8803)</f>
        <v>0.88029999999999997</v>
      </c>
      <c r="F119" s="31">
        <f ca="1">IFERROR(__xludf.DUMMYFUNCTION("+F115"),0.9)</f>
        <v>0.9</v>
      </c>
      <c r="G119" s="31">
        <f ca="1">IFERROR(__xludf.DUMMYFUNCTION("+G115"),0.8608)</f>
        <v>0.86080000000000001</v>
      </c>
      <c r="H119" s="31">
        <f ca="1">IFERROR(__xludf.DUMMYFUNCTION("+H115"),0.8449)</f>
        <v>0.84489999999999998</v>
      </c>
      <c r="I119" s="31">
        <f ca="1">IFERROR(__xludf.DUMMYFUNCTION("+I115"),0.8853)</f>
        <v>0.88529999999999998</v>
      </c>
      <c r="J119" s="31">
        <f ca="1">IFERROR(__xludf.DUMMYFUNCTION("+J115"),0.8619)</f>
        <v>0.8619</v>
      </c>
      <c r="K119" s="31">
        <f ca="1">IFERROR(__xludf.DUMMYFUNCTION("+K115"),0.8121)</f>
        <v>0.81210000000000004</v>
      </c>
      <c r="L119" s="31">
        <f ca="1">IFERROR(__xludf.DUMMYFUNCTION("+L115"),0.8624)</f>
        <v>0.86240000000000006</v>
      </c>
      <c r="M119" s="31">
        <f ca="1">IFERROR(__xludf.DUMMYFUNCTION("+M115"),0.8404)</f>
        <v>0.84040000000000004</v>
      </c>
      <c r="N119" s="31">
        <f ca="1">IFERROR(__xludf.DUMMYFUNCTION("+N115"),0.905)</f>
        <v>0.90500000000000003</v>
      </c>
      <c r="O119" s="31">
        <f ca="1">IFERROR(__xludf.DUMMYFUNCTION("+O115"),0.8896)</f>
        <v>0.88959999999999995</v>
      </c>
      <c r="P119" s="31">
        <f ca="1">IFERROR(__xludf.DUMMYFUNCTION("+P115"),0.8162)</f>
        <v>0.81620000000000004</v>
      </c>
      <c r="Q119" s="31">
        <f ca="1">IFERROR(__xludf.DUMMYFUNCTION("+Q115"),0.905)</f>
        <v>0.90500000000000003</v>
      </c>
      <c r="R119" s="31">
        <f ca="1">IFERROR(__xludf.DUMMYFUNCTION("+R115"),0.8844)</f>
        <v>0.88439999999999996</v>
      </c>
      <c r="S119" s="31">
        <f ca="1">IFERROR(__xludf.DUMMYFUNCTION("+S115"),0.8596)</f>
        <v>0.85960000000000003</v>
      </c>
      <c r="T119" s="31">
        <f ca="1">IFERROR(__xludf.DUMMYFUNCTION("+T115"),0.8063)</f>
        <v>0.80630000000000002</v>
      </c>
      <c r="U119" s="31">
        <f ca="1">IFERROR(__xludf.DUMMYFUNCTION("+U115"),0.7996)</f>
        <v>0.79959999999999998</v>
      </c>
      <c r="V119" s="31">
        <f ca="1">IFERROR(__xludf.DUMMYFUNCTION("+V115"),0.8124)</f>
        <v>0.81240000000000001</v>
      </c>
      <c r="W119" s="31">
        <f ca="1">IFERROR(__xludf.DUMMYFUNCTION("+W115"),0.7998)</f>
        <v>0.79979999999999996</v>
      </c>
      <c r="X119" s="31">
        <f ca="1">IFERROR(__xludf.DUMMYFUNCTION("+X115"),0.7992)</f>
        <v>0.79920000000000002</v>
      </c>
      <c r="Y119" s="31">
        <f ca="1">IFERROR(__xludf.DUMMYFUNCTION("+Y115"),0.8387)</f>
        <v>0.8387</v>
      </c>
      <c r="Z119" s="31">
        <f ca="1">IFERROR(__xludf.DUMMYFUNCTION("+Z115"),0.8108)</f>
        <v>0.81079999999999997</v>
      </c>
      <c r="AA119" s="31">
        <f ca="1">IFERROR(__xludf.DUMMYFUNCTION("+AA115"),0.905)</f>
        <v>0.90500000000000003</v>
      </c>
      <c r="AB119" s="31">
        <f ca="1">IFERROR(__xludf.DUMMYFUNCTION("+AB115"),0.9025)</f>
        <v>0.90249999999999997</v>
      </c>
      <c r="AC119" s="31">
        <f ca="1">IFERROR(__xludf.DUMMYFUNCTION("+AC115"),0.839)</f>
        <v>0.83899999999999997</v>
      </c>
      <c r="AD119" s="31">
        <f ca="1">IFERROR(__xludf.DUMMYFUNCTION("+AD115"),0.8556)</f>
        <v>0.85560000000000003</v>
      </c>
      <c r="AE119" s="31">
        <f ca="1">IFERROR(__xludf.DUMMYFUNCTION("+AE115"),0.8022)</f>
        <v>0.80220000000000002</v>
      </c>
      <c r="AF119" s="31">
        <f ca="1">IFERROR(__xludf.DUMMYFUNCTION("+AF115"),0.8067)</f>
        <v>0.80669999999999997</v>
      </c>
      <c r="AG119" s="31">
        <f ca="1">IFERROR(__xludf.DUMMYFUNCTION("+AG115"),0.8295)</f>
        <v>0.82950000000000002</v>
      </c>
      <c r="AH119" s="31">
        <f ca="1">IFERROR(__xludf.DUMMYFUNCTION("+AH115"),0.8406)</f>
        <v>0.84060000000000001</v>
      </c>
      <c r="AI119" s="31">
        <f ca="1">IFERROR(__xludf.DUMMYFUNCTION("+AI115"),0.8205)</f>
        <v>0.82050000000000001</v>
      </c>
      <c r="AJ119" s="31">
        <f ca="1">IFERROR(__xludf.DUMMYFUNCTION("+AJ115"),0.8076)</f>
        <v>0.80759999999999998</v>
      </c>
      <c r="AK119" s="31">
        <f ca="1">IFERROR(__xludf.DUMMYFUNCTION("+AK115"),0.8066)</f>
        <v>0.80659999999999998</v>
      </c>
      <c r="AL119" s="31">
        <f ca="1">IFERROR(__xludf.DUMMYFUNCTION("+AL115"),0.8145)</f>
        <v>0.8145</v>
      </c>
      <c r="AM119" s="31">
        <f ca="1">IFERROR(__xludf.DUMMYFUNCTION("+AM115"),0.8186)</f>
        <v>0.81859999999999999</v>
      </c>
      <c r="AN119" s="31">
        <f ca="1">IFERROR(__xludf.DUMMYFUNCTION("+AN115"),0.8152)</f>
        <v>0.81520000000000004</v>
      </c>
      <c r="AO119" s="31">
        <f ca="1">IFERROR(__xludf.DUMMYFUNCTION("+AO115"),0.8736)</f>
        <v>0.87360000000000004</v>
      </c>
      <c r="AP119" s="31">
        <f ca="1">IFERROR(__xludf.DUMMYFUNCTION("+AP115"),0.905)</f>
        <v>0.90500000000000003</v>
      </c>
      <c r="AQ119" s="31">
        <f ca="1">IFERROR(__xludf.DUMMYFUNCTION("+AQ115"),0.8121)</f>
        <v>0.81210000000000004</v>
      </c>
      <c r="AR119" s="31">
        <f ca="1">IFERROR(__xludf.DUMMYFUNCTION("+AR115"),0.905)</f>
        <v>0.90500000000000003</v>
      </c>
      <c r="AS119" s="31">
        <f ca="1">IFERROR(__xludf.DUMMYFUNCTION("+AS115"),0.8841)</f>
        <v>0.8841</v>
      </c>
      <c r="AT119" s="31">
        <f ca="1">IFERROR(__xludf.DUMMYFUNCTION("+AT115"),0.8634)</f>
        <v>0.86339999999999995</v>
      </c>
      <c r="AU119" s="31">
        <f ca="1">IFERROR(__xludf.DUMMYFUNCTION("+AU115"),0.8133)</f>
        <v>0.81330000000000002</v>
      </c>
      <c r="AV119" s="31">
        <f ca="1">IFERROR(__xludf.DUMMYFUNCTION("+AV115"),0.8155)</f>
        <v>0.8155</v>
      </c>
      <c r="AW119" s="31">
        <f ca="1">IFERROR(__xludf.DUMMYFUNCTION("+AW115"),0.8124)</f>
        <v>0.81240000000000001</v>
      </c>
      <c r="AX119" s="31">
        <f ca="1">IFERROR(__xludf.DUMMYFUNCTION("+AX115"),0.8012)</f>
        <v>0.80120000000000002</v>
      </c>
      <c r="AY119" s="31">
        <f ca="1">IFERROR(__xludf.DUMMYFUNCTION("+AY115"),0.822)</f>
        <v>0.82199999999999995</v>
      </c>
      <c r="AZ119" s="31">
        <f ca="1">IFERROR(__xludf.DUMMYFUNCTION("+AZ115"),0.889)</f>
        <v>0.88900000000000001</v>
      </c>
      <c r="BA119" s="31">
        <f ca="1">IFERROR(__xludf.DUMMYFUNCTION("+BA115"),0.8862)</f>
        <v>0.88619999999999999</v>
      </c>
      <c r="BB119" s="31">
        <f ca="1">IFERROR(__xludf.DUMMYFUNCTION("+BB115"),0.8848)</f>
        <v>0.88480000000000003</v>
      </c>
      <c r="BC119" s="31">
        <f ca="1">IFERROR(__xludf.DUMMYFUNCTION("+BC115"),0.9002)</f>
        <v>0.9002</v>
      </c>
      <c r="BD119" s="31">
        <f ca="1">IFERROR(__xludf.DUMMYFUNCTION("+BD115"),0.8698)</f>
        <v>0.86980000000000002</v>
      </c>
      <c r="BE119" s="31">
        <f ca="1">IFERROR(__xludf.DUMMYFUNCTION("+BE115"),0.8481)</f>
        <v>0.84809999999999997</v>
      </c>
      <c r="BF119" s="31">
        <f ca="1">IFERROR(__xludf.DUMMYFUNCTION("+BF115"),0.9011)</f>
        <v>0.90110000000000001</v>
      </c>
      <c r="BG119" s="31">
        <f ca="1">IFERROR(__xludf.DUMMYFUNCTION("+BG115"),0.8394)</f>
        <v>0.83940000000000003</v>
      </c>
      <c r="BH119" s="31">
        <f ca="1">IFERROR(__xludf.DUMMYFUNCTION("+BH115"),0.829)</f>
        <v>0.82899999999999996</v>
      </c>
      <c r="BI119" s="31">
        <f ca="1">IFERROR(__xludf.DUMMYFUNCTION("+BI115"),0.8125)</f>
        <v>0.8125</v>
      </c>
      <c r="BJ119" s="31">
        <f ca="1">IFERROR(__xludf.DUMMYFUNCTION("+BJ115"),0.8832)</f>
        <v>0.88319999999999999</v>
      </c>
      <c r="BK119" s="31">
        <f ca="1">IFERROR(__xludf.DUMMYFUNCTION("+BK115"),0.905)</f>
        <v>0.90500000000000003</v>
      </c>
      <c r="BL119" s="31">
        <f ca="1">IFERROR(__xludf.DUMMYFUNCTION("+BL115"),0.801)</f>
        <v>0.80100000000000005</v>
      </c>
      <c r="BM119" s="31">
        <f ca="1">IFERROR(__xludf.DUMMYFUNCTION("+BM115"),0.819)</f>
        <v>0.81899999999999995</v>
      </c>
      <c r="BN119" s="31">
        <f ca="1">IFERROR(__xludf.DUMMYFUNCTION("+BN115"),0.8673)</f>
        <v>0.86729999999999996</v>
      </c>
      <c r="BO119" s="31">
        <f ca="1">IFERROR(__xludf.DUMMYFUNCTION("+BO115"),0.8499)</f>
        <v>0.84989999999999999</v>
      </c>
      <c r="BP119" s="31">
        <f ca="1">IFERROR(__xludf.DUMMYFUNCTION("+BP115"),0.8063)</f>
        <v>0.80630000000000002</v>
      </c>
      <c r="BQ119" s="31">
        <f ca="1">IFERROR(__xludf.DUMMYFUNCTION("+BQ115"),0.881)</f>
        <v>0.88100000000000001</v>
      </c>
      <c r="BR119" s="31">
        <f ca="1">IFERROR(__xludf.DUMMYFUNCTION("+BR115"),0.874)</f>
        <v>0.874</v>
      </c>
      <c r="BS119" s="31">
        <f ca="1">IFERROR(__xludf.DUMMYFUNCTION("+BS115"),0.8468)</f>
        <v>0.8468</v>
      </c>
      <c r="BT119" s="31">
        <f ca="1">IFERROR(__xludf.DUMMYFUNCTION("+BT115"),0.8198)</f>
        <v>0.81979999999999997</v>
      </c>
      <c r="BU119" s="31">
        <f ca="1">IFERROR(__xludf.DUMMYFUNCTION("+BU115"),0.8212)</f>
        <v>0.82120000000000004</v>
      </c>
      <c r="BV119" s="31">
        <f ca="1">IFERROR(__xludf.DUMMYFUNCTION("+BV115"),0.8495)</f>
        <v>0.84950000000000003</v>
      </c>
      <c r="BW119" s="31">
        <f ca="1">IFERROR(__xludf.DUMMYFUNCTION("+BW115"),0.8617)</f>
        <v>0.86170000000000002</v>
      </c>
      <c r="BX119" s="31">
        <f ca="1">IFERROR(__xludf.DUMMYFUNCTION("+BX115"),0.8003)</f>
        <v>0.80030000000000001</v>
      </c>
      <c r="BY119" s="31">
        <f ca="1">IFERROR(__xludf.DUMMYFUNCTION("+BY115"),0.8235)</f>
        <v>0.82350000000000001</v>
      </c>
      <c r="BZ119" s="31">
        <f ca="1">IFERROR(__xludf.DUMMYFUNCTION("+BZ115"),0.8106)</f>
        <v>0.81059999999999999</v>
      </c>
      <c r="CA119" s="31">
        <f ca="1">IFERROR(__xludf.DUMMYFUNCTION("+CA115"),0.8054)</f>
        <v>0.8054</v>
      </c>
      <c r="CB119" s="31">
        <f ca="1">IFERROR(__xludf.DUMMYFUNCTION("+CB115"),0.905)</f>
        <v>0.90500000000000003</v>
      </c>
      <c r="CC119" s="31">
        <f ca="1">IFERROR(__xludf.DUMMYFUNCTION("+CC115"),0.8081)</f>
        <v>0.80810000000000004</v>
      </c>
      <c r="CD119" s="31">
        <f ca="1">IFERROR(__xludf.DUMMYFUNCTION("+CD115"),0.7992)</f>
        <v>0.79920000000000002</v>
      </c>
      <c r="CE119" s="31">
        <f ca="1">IFERROR(__xludf.DUMMYFUNCTION("+CE115"),0.8061)</f>
        <v>0.80610000000000004</v>
      </c>
      <c r="CF119" s="31">
        <f ca="1">IFERROR(__xludf.DUMMYFUNCTION("+CF115"),0.8032)</f>
        <v>0.80320000000000003</v>
      </c>
      <c r="CG119" s="31">
        <f ca="1">IFERROR(__xludf.DUMMYFUNCTION("+CG115"),0.8088)</f>
        <v>0.80879999999999996</v>
      </c>
      <c r="CH119" s="31">
        <f ca="1">IFERROR(__xludf.DUMMYFUNCTION("+CH115"),0.8022)</f>
        <v>0.80220000000000002</v>
      </c>
      <c r="CI119" s="31">
        <f ca="1">IFERROR(__xludf.DUMMYFUNCTION("+CI115"),0.8322)</f>
        <v>0.83220000000000005</v>
      </c>
      <c r="CJ119" s="31">
        <f ca="1">IFERROR(__xludf.DUMMYFUNCTION("+CJ115"),0.8379)</f>
        <v>0.83789999999999998</v>
      </c>
      <c r="CK119" s="31">
        <f ca="1">IFERROR(__xludf.DUMMYFUNCTION("+CK115"),0.8761)</f>
        <v>0.87609999999999999</v>
      </c>
      <c r="CL119" s="31">
        <f ca="1">IFERROR(__xludf.DUMMYFUNCTION("+CL115"),0.8493)</f>
        <v>0.84930000000000005</v>
      </c>
      <c r="CM119" s="31">
        <f ca="1">IFERROR(__xludf.DUMMYFUNCTION("+CM115"),0.8322)</f>
        <v>0.83220000000000005</v>
      </c>
      <c r="CN119" s="31">
        <f ca="1">IFERROR(__xludf.DUMMYFUNCTION("+CN115"),0.905)</f>
        <v>0.90500000000000003</v>
      </c>
      <c r="CO119" s="31">
        <f ca="1">IFERROR(__xludf.DUMMYFUNCTION("+CO115"),0.891)</f>
        <v>0.89100000000000001</v>
      </c>
      <c r="CP119" s="31">
        <f ca="1">IFERROR(__xludf.DUMMYFUNCTION("+CP115"),0.8399)</f>
        <v>0.83989999999999998</v>
      </c>
      <c r="CQ119" s="31">
        <f ca="1">IFERROR(__xludf.DUMMYFUNCTION("+CQ115"),0.8348)</f>
        <v>0.83479999999999999</v>
      </c>
      <c r="CR119" s="31">
        <f ca="1">IFERROR(__xludf.DUMMYFUNCTION("+CR115"),0.8098)</f>
        <v>0.80979999999999996</v>
      </c>
      <c r="CS119" s="31">
        <f ca="1">IFERROR(__xludf.DUMMYFUNCTION("+CS115"),0.8143)</f>
        <v>0.81430000000000002</v>
      </c>
      <c r="CT119" s="31">
        <f ca="1">IFERROR(__xludf.DUMMYFUNCTION("+CT115"),0.8033)</f>
        <v>0.80330000000000001</v>
      </c>
      <c r="CU119" s="31">
        <f ca="1">IFERROR(__xludf.DUMMYFUNCTION("+CU115"),0.8255)</f>
        <v>0.82550000000000001</v>
      </c>
      <c r="CV119" s="31">
        <f ca="1">IFERROR(__xludf.DUMMYFUNCTION("+CV115"),0.7992)</f>
        <v>0.79920000000000002</v>
      </c>
      <c r="CW119" s="31">
        <f ca="1">IFERROR(__xludf.DUMMYFUNCTION("+CW115"),0.8087)</f>
        <v>0.80869999999999997</v>
      </c>
      <c r="CX119" s="31">
        <f ca="1">IFERROR(__xludf.DUMMYFUNCTION("+CX115"),0.8252)</f>
        <v>0.82520000000000004</v>
      </c>
      <c r="CY119" s="31">
        <f ca="1">IFERROR(__xludf.DUMMYFUNCTION("+CY115"),0.7992)</f>
        <v>0.79920000000000002</v>
      </c>
      <c r="CZ119" s="31">
        <f ca="1">IFERROR(__xludf.DUMMYFUNCTION("+CZ115"),0.8606)</f>
        <v>0.86060000000000003</v>
      </c>
      <c r="DA119" s="31">
        <f ca="1">IFERROR(__xludf.DUMMYFUNCTION("+DA115"),0.809)</f>
        <v>0.80900000000000005</v>
      </c>
      <c r="DB119" s="31">
        <f ca="1">IFERROR(__xludf.DUMMYFUNCTION("+DB115"),0.8162)</f>
        <v>0.81620000000000004</v>
      </c>
      <c r="DC119" s="31">
        <f ca="1">IFERROR(__xludf.DUMMYFUNCTION("+DC115"),0.8084)</f>
        <v>0.80840000000000001</v>
      </c>
      <c r="DD119" s="31">
        <f ca="1">IFERROR(__xludf.DUMMYFUNCTION("+DD115"),0.8072)</f>
        <v>0.80720000000000003</v>
      </c>
      <c r="DE119" s="31">
        <f ca="1">IFERROR(__xludf.DUMMYFUNCTION("+DE115"),0.8143)</f>
        <v>0.81430000000000002</v>
      </c>
      <c r="DF119" s="31">
        <f ca="1">IFERROR(__xludf.DUMMYFUNCTION("+DF115"),0.8968)</f>
        <v>0.89680000000000004</v>
      </c>
      <c r="DG119" s="31">
        <f ca="1">IFERROR(__xludf.DUMMYFUNCTION("+DG115"),0.802)</f>
        <v>0.80200000000000005</v>
      </c>
      <c r="DH119" s="31">
        <f ca="1">IFERROR(__xludf.DUMMYFUNCTION("+DH115"),0.8606)</f>
        <v>0.86060000000000003</v>
      </c>
      <c r="DI119" s="31">
        <f ca="1">IFERROR(__xludf.DUMMYFUNCTION("+DI115"),0.8639)</f>
        <v>0.8639</v>
      </c>
      <c r="DJ119" s="31">
        <f ca="1">IFERROR(__xludf.DUMMYFUNCTION("+DJ115"),0.8303)</f>
        <v>0.83030000000000004</v>
      </c>
      <c r="DK119" s="31">
        <f ca="1">IFERROR(__xludf.DUMMYFUNCTION("+DK115"),0.8257)</f>
        <v>0.82569999999999999</v>
      </c>
      <c r="DL119" s="31">
        <f ca="1">IFERROR(__xludf.DUMMYFUNCTION("+DL115"),0.8801)</f>
        <v>0.88009999999999999</v>
      </c>
      <c r="DM119" s="31">
        <f ca="1">IFERROR(__xludf.DUMMYFUNCTION("+DM115"),0.811)</f>
        <v>0.81100000000000005</v>
      </c>
      <c r="DN119" s="31">
        <f ca="1">IFERROR(__xludf.DUMMYFUNCTION("+DN115"),0.8511)</f>
        <v>0.85109999999999997</v>
      </c>
      <c r="DO119" s="31">
        <f ca="1">IFERROR(__xludf.DUMMYFUNCTION("+DO115"),0.868)</f>
        <v>0.86799999999999999</v>
      </c>
      <c r="DP119" s="31">
        <f ca="1">IFERROR(__xludf.DUMMYFUNCTION("+DP115"),0.8088)</f>
        <v>0.80879999999999996</v>
      </c>
      <c r="DQ119" s="31">
        <f ca="1">IFERROR(__xludf.DUMMYFUNCTION("+DQ115"),0.8384)</f>
        <v>0.83840000000000003</v>
      </c>
      <c r="DR119" s="31">
        <f ca="1">IFERROR(__xludf.DUMMYFUNCTION("+DR115"),0.8517)</f>
        <v>0.85170000000000001</v>
      </c>
      <c r="DS119" s="31">
        <f ca="1">IFERROR(__xludf.DUMMYFUNCTION("+DS115"),0.8295)</f>
        <v>0.82950000000000002</v>
      </c>
      <c r="DT119" s="31">
        <f ca="1">IFERROR(__xludf.DUMMYFUNCTION("+DT115"),0.8073)</f>
        <v>0.80730000000000002</v>
      </c>
      <c r="DU119" s="31">
        <f ca="1">IFERROR(__xludf.DUMMYFUNCTION("+DU115"),0.8185)</f>
        <v>0.81850000000000001</v>
      </c>
      <c r="DV119" s="31">
        <f ca="1">IFERROR(__xludf.DUMMYFUNCTION("+DV115"),0.8093)</f>
        <v>0.80930000000000002</v>
      </c>
      <c r="DW119" s="31">
        <f ca="1">IFERROR(__xludf.DUMMYFUNCTION("+DW115"),0.8152)</f>
        <v>0.81520000000000004</v>
      </c>
      <c r="DX119" s="31">
        <f ca="1">IFERROR(__xludf.DUMMYFUNCTION("+DX115"),0.8068)</f>
        <v>0.80679999999999996</v>
      </c>
      <c r="DY119" s="31">
        <f ca="1">IFERROR(__xludf.DUMMYFUNCTION("+DY115"),0.815)</f>
        <v>0.81499999999999995</v>
      </c>
      <c r="DZ119" s="31">
        <f ca="1">IFERROR(__xludf.DUMMYFUNCTION("+DZ115"),0.832)</f>
        <v>0.83199999999999996</v>
      </c>
      <c r="EA119" s="31">
        <f ca="1">IFERROR(__xludf.DUMMYFUNCTION("+EA115"),0.8274)</f>
        <v>0.82740000000000002</v>
      </c>
      <c r="EB119" s="31">
        <f ca="1">IFERROR(__xludf.DUMMYFUNCTION("+EB115"),0.8275)</f>
        <v>0.82750000000000001</v>
      </c>
      <c r="EC119" s="31">
        <f ca="1">IFERROR(__xludf.DUMMYFUNCTION("+EC115"),0.8142)</f>
        <v>0.81420000000000003</v>
      </c>
      <c r="ED119" s="31">
        <f ca="1">IFERROR(__xludf.DUMMYFUNCTION("+ED115"),0.8593)</f>
        <v>0.85929999999999995</v>
      </c>
      <c r="EE119" s="31">
        <f ca="1">IFERROR(__xludf.DUMMYFUNCTION("+EE115"),0.8083)</f>
        <v>0.80830000000000002</v>
      </c>
      <c r="EF119" s="31">
        <f ca="1">IFERROR(__xludf.DUMMYFUNCTION("+EF115"),0.8529)</f>
        <v>0.85289999999999999</v>
      </c>
      <c r="EG119" s="31">
        <f ca="1">IFERROR(__xludf.DUMMYFUNCTION("+EG115"),0.8122)</f>
        <v>0.81220000000000003</v>
      </c>
      <c r="EH119" s="31">
        <f ca="1">IFERROR(__xludf.DUMMYFUNCTION("+EH115"),0.8118)</f>
        <v>0.81179999999999997</v>
      </c>
      <c r="EI119" s="31">
        <f ca="1">IFERROR(__xludf.DUMMYFUNCTION("+EI115"),0.8905)</f>
        <v>0.89049999999999996</v>
      </c>
      <c r="EJ119" s="31">
        <f ca="1">IFERROR(__xludf.DUMMYFUNCTION("+EJ115"),0.8872)</f>
        <v>0.88719999999999999</v>
      </c>
      <c r="EK119" s="31">
        <f ca="1">IFERROR(__xludf.DUMMYFUNCTION("+EK115"),0.8316)</f>
        <v>0.83160000000000001</v>
      </c>
      <c r="EL119" s="31">
        <f ca="1">IFERROR(__xludf.DUMMYFUNCTION("+EL115"),0.8251)</f>
        <v>0.82509999999999994</v>
      </c>
      <c r="EM119" s="31">
        <f ca="1">IFERROR(__xludf.DUMMYFUNCTION("+EM115"),0.8202)</f>
        <v>0.82020000000000004</v>
      </c>
      <c r="EN119" s="31">
        <f ca="1">IFERROR(__xludf.DUMMYFUNCTION("+EN115"),0.84)</f>
        <v>0.84</v>
      </c>
      <c r="EO119" s="31">
        <f ca="1">IFERROR(__xludf.DUMMYFUNCTION("+EO115"),0.8155)</f>
        <v>0.8155</v>
      </c>
      <c r="EP119" s="31">
        <f ca="1">IFERROR(__xludf.DUMMYFUNCTION("+EP115"),0.8234)</f>
        <v>0.82340000000000002</v>
      </c>
      <c r="EQ119" s="31">
        <f ca="1">IFERROR(__xludf.DUMMYFUNCTION("+EQ115"),0.8647)</f>
        <v>0.86470000000000002</v>
      </c>
      <c r="ER119" s="31">
        <f ca="1">IFERROR(__xludf.DUMMYFUNCTION("+ER115"),0.8158)</f>
        <v>0.81579999999999997</v>
      </c>
      <c r="ES119" s="31">
        <f ca="1">IFERROR(__xludf.DUMMYFUNCTION("+ES115"),0.8064)</f>
        <v>0.80640000000000001</v>
      </c>
      <c r="ET119" s="31">
        <f ca="1">IFERROR(__xludf.DUMMYFUNCTION("+ET115"),0.8086)</f>
        <v>0.80859999999999999</v>
      </c>
      <c r="EU119" s="31">
        <f ca="1">IFERROR(__xludf.DUMMYFUNCTION("+EU115"),0.8287)</f>
        <v>0.82869999999999999</v>
      </c>
      <c r="EV119" s="31">
        <f ca="1">IFERROR(__xludf.DUMMYFUNCTION("+EV115"),0.8007)</f>
        <v>0.80069999999999997</v>
      </c>
      <c r="EW119" s="31">
        <f ca="1">IFERROR(__xludf.DUMMYFUNCTION("+EW115"),0.8363)</f>
        <v>0.83630000000000004</v>
      </c>
      <c r="EX119" s="31">
        <f ca="1">IFERROR(__xludf.DUMMYFUNCTION("+EX115"),0.8071)</f>
        <v>0.80710000000000004</v>
      </c>
      <c r="EY119" s="31">
        <f ca="1">IFERROR(__xludf.DUMMYFUNCTION("+EY115"),0.8313)</f>
        <v>0.83130000000000004</v>
      </c>
      <c r="EZ119" s="31">
        <f ca="1">IFERROR(__xludf.DUMMYFUNCTION("+EZ115"),0.8043)</f>
        <v>0.80430000000000001</v>
      </c>
      <c r="FA119" s="31">
        <f ca="1">IFERROR(__xludf.DUMMYFUNCTION("+FA115"),0.8686)</f>
        <v>0.86860000000000004</v>
      </c>
      <c r="FB119" s="31">
        <f ca="1">IFERROR(__xludf.DUMMYFUNCTION("+FB115"),0.8144)</f>
        <v>0.81440000000000001</v>
      </c>
      <c r="FC119" s="31">
        <f ca="1">IFERROR(__xludf.DUMMYFUNCTION("+FC115"),0.8607)</f>
        <v>0.86070000000000002</v>
      </c>
      <c r="FD119" s="31">
        <f ca="1">IFERROR(__xludf.DUMMYFUNCTION("+FD115"),0.8217)</f>
        <v>0.82169999999999999</v>
      </c>
      <c r="FE119" s="31">
        <f ca="1">IFERROR(__xludf.DUMMYFUNCTION("+FE115"),0.8011)</f>
        <v>0.80110000000000003</v>
      </c>
      <c r="FF119" s="31">
        <f ca="1">IFERROR(__xludf.DUMMYFUNCTION("+FF115"),0.8078)</f>
        <v>0.80779999999999996</v>
      </c>
      <c r="FG119" s="31">
        <f ca="1">IFERROR(__xludf.DUMMYFUNCTION("+FG115"),0.8037)</f>
        <v>0.80369999999999997</v>
      </c>
      <c r="FH119" s="31">
        <f ca="1">IFERROR(__xludf.DUMMYFUNCTION("+FH115"),0.8005)</f>
        <v>0.80049999999999999</v>
      </c>
      <c r="FI119" s="31">
        <f ca="1">IFERROR(__xludf.DUMMYFUNCTION("+FI115"),0.8601)</f>
        <v>0.86009999999999998</v>
      </c>
      <c r="FJ119" s="31">
        <f ca="1">IFERROR(__xludf.DUMMYFUNCTION("+FJ115"),0.8617)</f>
        <v>0.86170000000000002</v>
      </c>
      <c r="FK119" s="31">
        <f ca="1">IFERROR(__xludf.DUMMYFUNCTION("+FK115"),0.8642)</f>
        <v>0.86419999999999997</v>
      </c>
      <c r="FL119" s="31">
        <f ca="1">IFERROR(__xludf.DUMMYFUNCTION("+FL115"),0.8857)</f>
        <v>0.88570000000000004</v>
      </c>
      <c r="FM119" s="31">
        <f ca="1">IFERROR(__xludf.DUMMYFUNCTION("+FM115"),0.8715)</f>
        <v>0.87150000000000005</v>
      </c>
      <c r="FN119" s="31">
        <f ca="1">IFERROR(__xludf.DUMMYFUNCTION("+FN115"),0.8984)</f>
        <v>0.89839999999999998</v>
      </c>
      <c r="FO119" s="31">
        <f ca="1">IFERROR(__xludf.DUMMYFUNCTION("+FO115"),0.8456)</f>
        <v>0.84560000000000002</v>
      </c>
      <c r="FP119" s="31">
        <f ca="1">IFERROR(__xludf.DUMMYFUNCTION("+FP115"),0.8633)</f>
        <v>0.86329999999999996</v>
      </c>
      <c r="FQ119" s="31">
        <f ca="1">IFERROR(__xludf.DUMMYFUNCTION("+FQ115"),0.8414)</f>
        <v>0.84140000000000004</v>
      </c>
      <c r="FR119" s="31">
        <f ca="1">IFERROR(__xludf.DUMMYFUNCTION("+FR115"),0.8068)</f>
        <v>0.80679999999999996</v>
      </c>
      <c r="FS119" s="31">
        <f ca="1">IFERROR(__xludf.DUMMYFUNCTION("+FS115"),0.8068)</f>
        <v>0.80679999999999996</v>
      </c>
      <c r="FT119" s="31">
        <f ca="1">IFERROR(__xludf.DUMMYFUNCTION("+FT115"),0.7996)</f>
        <v>0.79959999999999998</v>
      </c>
      <c r="FU119" s="31">
        <f ca="1">IFERROR(__xludf.DUMMYFUNCTION("+FU115"),0.8354)</f>
        <v>0.83540000000000003</v>
      </c>
      <c r="FV119" s="31">
        <f ca="1">IFERROR(__xludf.DUMMYFUNCTION("+FV115"),0.8324)</f>
        <v>0.83240000000000003</v>
      </c>
      <c r="FW119" s="31">
        <f ca="1">IFERROR(__xludf.DUMMYFUNCTION("+FW115"),0.8056)</f>
        <v>0.80559999999999998</v>
      </c>
      <c r="FX119" s="31">
        <f ca="1">IFERROR(__xludf.DUMMYFUNCTION("+FX115"),0.8001)</f>
        <v>0.80010000000000003</v>
      </c>
      <c r="FY119" s="7"/>
      <c r="FZ119" s="31">
        <f t="shared" ref="FZ119:FZ120" ca="1" si="49">SUM(C119:FX119)</f>
        <v>149.18330000000003</v>
      </c>
      <c r="GA119" s="31"/>
      <c r="GB119" s="7"/>
      <c r="GC119" s="7"/>
      <c r="GD119" s="7"/>
      <c r="GE119" s="7"/>
      <c r="GF119" s="7"/>
      <c r="GG119" s="7"/>
      <c r="GH119" s="7"/>
      <c r="GI119" s="7"/>
      <c r="GJ119" s="7"/>
      <c r="GK119" s="7"/>
    </row>
    <row r="120" spans="1:202" ht="15.5" x14ac:dyDescent="0.35">
      <c r="A120" s="12" t="s">
        <v>844</v>
      </c>
      <c r="B120" s="7" t="s">
        <v>845</v>
      </c>
      <c r="C120" s="95">
        <f t="shared" ref="C120:FX120" si="50">C42</f>
        <v>1.226</v>
      </c>
      <c r="D120" s="95">
        <f t="shared" si="50"/>
        <v>1.226</v>
      </c>
      <c r="E120" s="95">
        <f t="shared" si="50"/>
        <v>1.2150000000000001</v>
      </c>
      <c r="F120" s="95">
        <f t="shared" si="50"/>
        <v>1.216</v>
      </c>
      <c r="G120" s="95">
        <f t="shared" si="50"/>
        <v>1.2170000000000001</v>
      </c>
      <c r="H120" s="95">
        <f t="shared" si="50"/>
        <v>1.208</v>
      </c>
      <c r="I120" s="95">
        <f t="shared" si="50"/>
        <v>1.216</v>
      </c>
      <c r="J120" s="95">
        <f t="shared" si="50"/>
        <v>1.1319999999999999</v>
      </c>
      <c r="K120" s="95">
        <f t="shared" si="50"/>
        <v>1.111</v>
      </c>
      <c r="L120" s="95">
        <f t="shared" si="50"/>
        <v>1.244</v>
      </c>
      <c r="M120" s="95">
        <f t="shared" si="50"/>
        <v>1.244</v>
      </c>
      <c r="N120" s="95">
        <f t="shared" si="50"/>
        <v>1.266</v>
      </c>
      <c r="O120" s="95">
        <f t="shared" si="50"/>
        <v>1.236</v>
      </c>
      <c r="P120" s="95">
        <f t="shared" si="50"/>
        <v>1.216</v>
      </c>
      <c r="Q120" s="95">
        <f t="shared" si="50"/>
        <v>1.2450000000000001</v>
      </c>
      <c r="R120" s="95">
        <f t="shared" si="50"/>
        <v>1.216</v>
      </c>
      <c r="S120" s="95">
        <f t="shared" si="50"/>
        <v>1.1839999999999999</v>
      </c>
      <c r="T120" s="95">
        <f t="shared" si="50"/>
        <v>1.0840000000000001</v>
      </c>
      <c r="U120" s="95">
        <f t="shared" si="50"/>
        <v>1.075</v>
      </c>
      <c r="V120" s="95">
        <f t="shared" si="50"/>
        <v>1.083</v>
      </c>
      <c r="W120" s="95">
        <f t="shared" si="50"/>
        <v>1.075</v>
      </c>
      <c r="X120" s="95">
        <f t="shared" si="50"/>
        <v>1.0740000000000001</v>
      </c>
      <c r="Y120" s="95">
        <f t="shared" si="50"/>
        <v>1.073</v>
      </c>
      <c r="Z120" s="95">
        <f t="shared" si="50"/>
        <v>1.054</v>
      </c>
      <c r="AA120" s="95">
        <f t="shared" si="50"/>
        <v>1.2350000000000001</v>
      </c>
      <c r="AB120" s="95">
        <f t="shared" si="50"/>
        <v>1.2649999999999999</v>
      </c>
      <c r="AC120" s="95">
        <f t="shared" si="50"/>
        <v>1.177</v>
      </c>
      <c r="AD120" s="95">
        <f t="shared" si="50"/>
        <v>1.157</v>
      </c>
      <c r="AE120" s="95">
        <f t="shared" si="50"/>
        <v>1.0669999999999999</v>
      </c>
      <c r="AF120" s="95">
        <f t="shared" si="50"/>
        <v>1.121</v>
      </c>
      <c r="AG120" s="95">
        <f t="shared" si="50"/>
        <v>1.216</v>
      </c>
      <c r="AH120" s="95">
        <f t="shared" si="50"/>
        <v>1.111</v>
      </c>
      <c r="AI120" s="95">
        <f t="shared" si="50"/>
        <v>1.1020000000000001</v>
      </c>
      <c r="AJ120" s="95">
        <f t="shared" si="50"/>
        <v>1.115</v>
      </c>
      <c r="AK120" s="95">
        <f t="shared" si="50"/>
        <v>1.091</v>
      </c>
      <c r="AL120" s="95">
        <f t="shared" si="50"/>
        <v>1.103</v>
      </c>
      <c r="AM120" s="95">
        <f t="shared" si="50"/>
        <v>1.113</v>
      </c>
      <c r="AN120" s="95">
        <f t="shared" si="50"/>
        <v>1.1459999999999999</v>
      </c>
      <c r="AO120" s="95">
        <f t="shared" si="50"/>
        <v>1.194</v>
      </c>
      <c r="AP120" s="95">
        <f t="shared" si="50"/>
        <v>1.246</v>
      </c>
      <c r="AQ120" s="95">
        <f t="shared" si="50"/>
        <v>1.17</v>
      </c>
      <c r="AR120" s="95">
        <f t="shared" si="50"/>
        <v>1.246</v>
      </c>
      <c r="AS120" s="95">
        <f t="shared" si="50"/>
        <v>1.32</v>
      </c>
      <c r="AT120" s="95">
        <f t="shared" si="50"/>
        <v>1.248</v>
      </c>
      <c r="AU120" s="95">
        <f t="shared" si="50"/>
        <v>1.216</v>
      </c>
      <c r="AV120" s="95">
        <f t="shared" si="50"/>
        <v>1.2030000000000001</v>
      </c>
      <c r="AW120" s="95">
        <f t="shared" si="50"/>
        <v>1.2050000000000001</v>
      </c>
      <c r="AX120" s="95">
        <f t="shared" si="50"/>
        <v>1.1739999999999999</v>
      </c>
      <c r="AY120" s="95">
        <f t="shared" si="50"/>
        <v>1.2050000000000001</v>
      </c>
      <c r="AZ120" s="95">
        <f t="shared" si="50"/>
        <v>1.2090000000000001</v>
      </c>
      <c r="BA120" s="95">
        <f t="shared" si="50"/>
        <v>1.18</v>
      </c>
      <c r="BB120" s="95">
        <f t="shared" si="50"/>
        <v>1.19</v>
      </c>
      <c r="BC120" s="95">
        <f t="shared" si="50"/>
        <v>1.208</v>
      </c>
      <c r="BD120" s="95">
        <f t="shared" si="50"/>
        <v>1.2110000000000001</v>
      </c>
      <c r="BE120" s="95">
        <f t="shared" si="50"/>
        <v>1.2090000000000001</v>
      </c>
      <c r="BF120" s="95">
        <f t="shared" si="50"/>
        <v>1.218</v>
      </c>
      <c r="BG120" s="95">
        <f t="shared" si="50"/>
        <v>1.196</v>
      </c>
      <c r="BH120" s="95">
        <f t="shared" si="50"/>
        <v>1.2070000000000001</v>
      </c>
      <c r="BI120" s="95">
        <f t="shared" si="50"/>
        <v>1.18</v>
      </c>
      <c r="BJ120" s="95">
        <f t="shared" si="50"/>
        <v>1.23</v>
      </c>
      <c r="BK120" s="95">
        <f t="shared" si="50"/>
        <v>1.21</v>
      </c>
      <c r="BL120" s="95">
        <f t="shared" si="50"/>
        <v>1.165</v>
      </c>
      <c r="BM120" s="95">
        <f t="shared" si="50"/>
        <v>1.1679999999999999</v>
      </c>
      <c r="BN120" s="95">
        <f t="shared" si="50"/>
        <v>1.155</v>
      </c>
      <c r="BO120" s="95">
        <f t="shared" si="50"/>
        <v>1.139</v>
      </c>
      <c r="BP120" s="95">
        <f t="shared" si="50"/>
        <v>1.1259999999999999</v>
      </c>
      <c r="BQ120" s="95">
        <f t="shared" si="50"/>
        <v>1.3089999999999999</v>
      </c>
      <c r="BR120" s="95">
        <f t="shared" si="50"/>
        <v>1.206</v>
      </c>
      <c r="BS120" s="95">
        <f t="shared" si="50"/>
        <v>1.2150000000000001</v>
      </c>
      <c r="BT120" s="95">
        <f t="shared" si="50"/>
        <v>1.236</v>
      </c>
      <c r="BU120" s="95">
        <f t="shared" si="50"/>
        <v>1.238</v>
      </c>
      <c r="BV120" s="95">
        <f t="shared" si="50"/>
        <v>1.19</v>
      </c>
      <c r="BW120" s="95">
        <f t="shared" si="50"/>
        <v>1.2190000000000001</v>
      </c>
      <c r="BX120" s="95">
        <f t="shared" si="50"/>
        <v>1.2170000000000001</v>
      </c>
      <c r="BY120" s="95">
        <f t="shared" si="50"/>
        <v>1.085</v>
      </c>
      <c r="BZ120" s="95">
        <f t="shared" si="50"/>
        <v>1.0669999999999999</v>
      </c>
      <c r="CA120" s="95">
        <f t="shared" si="50"/>
        <v>1.165</v>
      </c>
      <c r="CB120" s="95">
        <f t="shared" si="50"/>
        <v>1.234</v>
      </c>
      <c r="CC120" s="95">
        <f t="shared" si="50"/>
        <v>1.0649999999999999</v>
      </c>
      <c r="CD120" s="95">
        <f t="shared" si="50"/>
        <v>1.0449999999999999</v>
      </c>
      <c r="CE120" s="95">
        <f t="shared" si="50"/>
        <v>1.0760000000000001</v>
      </c>
      <c r="CF120" s="95">
        <f t="shared" si="50"/>
        <v>1.0369999999999999</v>
      </c>
      <c r="CG120" s="95">
        <f t="shared" si="50"/>
        <v>1.077</v>
      </c>
      <c r="CH120" s="95">
        <f t="shared" si="50"/>
        <v>1.077</v>
      </c>
      <c r="CI120" s="95">
        <f t="shared" si="50"/>
        <v>1.0780000000000001</v>
      </c>
      <c r="CJ120" s="95">
        <f t="shared" si="50"/>
        <v>1.1890000000000001</v>
      </c>
      <c r="CK120" s="95">
        <f t="shared" si="50"/>
        <v>1.256</v>
      </c>
      <c r="CL120" s="95">
        <f t="shared" si="50"/>
        <v>1.236</v>
      </c>
      <c r="CM120" s="95">
        <f t="shared" si="50"/>
        <v>1.2250000000000001</v>
      </c>
      <c r="CN120" s="95">
        <f t="shared" si="50"/>
        <v>1.1859999999999999</v>
      </c>
      <c r="CO120" s="95">
        <f t="shared" si="50"/>
        <v>1.1870000000000001</v>
      </c>
      <c r="CP120" s="95">
        <f t="shared" si="50"/>
        <v>1.224</v>
      </c>
      <c r="CQ120" s="95">
        <f t="shared" si="50"/>
        <v>1.1619999999999999</v>
      </c>
      <c r="CR120" s="95">
        <f t="shared" si="50"/>
        <v>1.113</v>
      </c>
      <c r="CS120" s="95">
        <f t="shared" si="50"/>
        <v>1.1220000000000001</v>
      </c>
      <c r="CT120" s="95">
        <f t="shared" si="50"/>
        <v>1.073</v>
      </c>
      <c r="CU120" s="95">
        <f t="shared" si="50"/>
        <v>1.016</v>
      </c>
      <c r="CV120" s="95">
        <f t="shared" si="50"/>
        <v>1.0149999999999999</v>
      </c>
      <c r="CW120" s="95">
        <f t="shared" si="50"/>
        <v>1.1160000000000001</v>
      </c>
      <c r="CX120" s="95">
        <f t="shared" si="50"/>
        <v>1.1459999999999999</v>
      </c>
      <c r="CY120" s="95">
        <f t="shared" si="50"/>
        <v>1.0860000000000001</v>
      </c>
      <c r="CZ120" s="95">
        <f t="shared" si="50"/>
        <v>1.161</v>
      </c>
      <c r="DA120" s="95">
        <f t="shared" si="50"/>
        <v>1.1220000000000001</v>
      </c>
      <c r="DB120" s="95">
        <f t="shared" si="50"/>
        <v>1.1519999999999999</v>
      </c>
      <c r="DC120" s="95">
        <f t="shared" si="50"/>
        <v>1.133</v>
      </c>
      <c r="DD120" s="95">
        <f t="shared" si="50"/>
        <v>1.1279999999999999</v>
      </c>
      <c r="DE120" s="95">
        <f t="shared" si="50"/>
        <v>1.1459999999999999</v>
      </c>
      <c r="DF120" s="95">
        <f t="shared" si="50"/>
        <v>1.1459999999999999</v>
      </c>
      <c r="DG120" s="95">
        <f t="shared" si="50"/>
        <v>1.153</v>
      </c>
      <c r="DH120" s="95">
        <f t="shared" si="50"/>
        <v>1.1359999999999999</v>
      </c>
      <c r="DI120" s="95">
        <f t="shared" si="50"/>
        <v>1.1499999999999999</v>
      </c>
      <c r="DJ120" s="95">
        <f t="shared" si="50"/>
        <v>1.1599999999999999</v>
      </c>
      <c r="DK120" s="95">
        <f t="shared" si="50"/>
        <v>1.1479999999999999</v>
      </c>
      <c r="DL120" s="95">
        <f t="shared" si="50"/>
        <v>1.2270000000000001</v>
      </c>
      <c r="DM120" s="95">
        <f t="shared" si="50"/>
        <v>1.2030000000000001</v>
      </c>
      <c r="DN120" s="95">
        <f t="shared" si="50"/>
        <v>1.1890000000000001</v>
      </c>
      <c r="DO120" s="95">
        <f t="shared" si="50"/>
        <v>1.196</v>
      </c>
      <c r="DP120" s="95">
        <f t="shared" si="50"/>
        <v>1.1759999999999999</v>
      </c>
      <c r="DQ120" s="95">
        <f t="shared" si="50"/>
        <v>1.1719999999999999</v>
      </c>
      <c r="DR120" s="95">
        <f t="shared" si="50"/>
        <v>1.145</v>
      </c>
      <c r="DS120" s="95">
        <f t="shared" si="50"/>
        <v>1.1339999999999999</v>
      </c>
      <c r="DT120" s="95">
        <f t="shared" si="50"/>
        <v>1.133</v>
      </c>
      <c r="DU120" s="95">
        <f t="shared" si="50"/>
        <v>1.125</v>
      </c>
      <c r="DV120" s="95">
        <f t="shared" si="50"/>
        <v>1.1220000000000001</v>
      </c>
      <c r="DW120" s="95">
        <f t="shared" si="50"/>
        <v>1.133</v>
      </c>
      <c r="DX120" s="95">
        <f t="shared" si="50"/>
        <v>1.3109999999999999</v>
      </c>
      <c r="DY120" s="95">
        <f t="shared" si="50"/>
        <v>1.2869999999999999</v>
      </c>
      <c r="DZ120" s="95">
        <f t="shared" si="50"/>
        <v>1.2390000000000001</v>
      </c>
      <c r="EA120" s="95">
        <f t="shared" si="50"/>
        <v>1.2150000000000001</v>
      </c>
      <c r="EB120" s="95">
        <f t="shared" si="50"/>
        <v>1.1180000000000001</v>
      </c>
      <c r="EC120" s="95">
        <f t="shared" si="50"/>
        <v>1.075</v>
      </c>
      <c r="ED120" s="95">
        <f t="shared" si="50"/>
        <v>1.6519999999999999</v>
      </c>
      <c r="EE120" s="95">
        <f t="shared" si="50"/>
        <v>1.0740000000000001</v>
      </c>
      <c r="EF120" s="95">
        <f t="shared" si="50"/>
        <v>1.133</v>
      </c>
      <c r="EG120" s="95">
        <f t="shared" si="50"/>
        <v>1.0429999999999999</v>
      </c>
      <c r="EH120" s="95">
        <f t="shared" si="50"/>
        <v>1.073</v>
      </c>
      <c r="EI120" s="95">
        <f t="shared" si="50"/>
        <v>1.1779999999999999</v>
      </c>
      <c r="EJ120" s="95">
        <f t="shared" si="50"/>
        <v>1.1659999999999999</v>
      </c>
      <c r="EK120" s="95">
        <f t="shared" si="50"/>
        <v>1.1279999999999999</v>
      </c>
      <c r="EL120" s="95">
        <f t="shared" si="50"/>
        <v>1.105</v>
      </c>
      <c r="EM120" s="95">
        <f t="shared" si="50"/>
        <v>1.1220000000000001</v>
      </c>
      <c r="EN120" s="95">
        <f t="shared" si="50"/>
        <v>1.123</v>
      </c>
      <c r="EO120" s="95">
        <f t="shared" si="50"/>
        <v>1.113</v>
      </c>
      <c r="EP120" s="95">
        <f t="shared" si="50"/>
        <v>1.2490000000000001</v>
      </c>
      <c r="EQ120" s="95">
        <f t="shared" si="50"/>
        <v>1.272</v>
      </c>
      <c r="ER120" s="95">
        <f t="shared" si="50"/>
        <v>1.248</v>
      </c>
      <c r="ES120" s="95">
        <f t="shared" si="50"/>
        <v>1.0820000000000001</v>
      </c>
      <c r="ET120" s="95">
        <f t="shared" si="50"/>
        <v>1.1060000000000001</v>
      </c>
      <c r="EU120" s="95">
        <f t="shared" si="50"/>
        <v>1.0920000000000001</v>
      </c>
      <c r="EV120" s="95">
        <f t="shared" si="50"/>
        <v>1.18</v>
      </c>
      <c r="EW120" s="95">
        <f t="shared" si="50"/>
        <v>1.5960000000000001</v>
      </c>
      <c r="EX120" s="95">
        <f t="shared" si="50"/>
        <v>1.232</v>
      </c>
      <c r="EY120" s="95">
        <f t="shared" si="50"/>
        <v>1.117</v>
      </c>
      <c r="EZ120" s="95">
        <f t="shared" si="50"/>
        <v>1.1040000000000001</v>
      </c>
      <c r="FA120" s="95">
        <f t="shared" si="50"/>
        <v>1.321</v>
      </c>
      <c r="FB120" s="95">
        <f t="shared" si="50"/>
        <v>1.1459999999999999</v>
      </c>
      <c r="FC120" s="95">
        <f t="shared" si="50"/>
        <v>1.1950000000000001</v>
      </c>
      <c r="FD120" s="95">
        <f t="shared" si="50"/>
        <v>1.145</v>
      </c>
      <c r="FE120" s="95">
        <f t="shared" si="50"/>
        <v>1.1160000000000001</v>
      </c>
      <c r="FF120" s="95">
        <f t="shared" si="50"/>
        <v>1.1339999999999999</v>
      </c>
      <c r="FG120" s="95">
        <f t="shared" si="50"/>
        <v>1.1439999999999999</v>
      </c>
      <c r="FH120" s="95">
        <f t="shared" si="50"/>
        <v>1.1080000000000001</v>
      </c>
      <c r="FI120" s="95">
        <f t="shared" si="50"/>
        <v>1.1759999999999999</v>
      </c>
      <c r="FJ120" s="95">
        <f t="shared" si="50"/>
        <v>1.167</v>
      </c>
      <c r="FK120" s="95">
        <f t="shared" si="50"/>
        <v>1.1870000000000001</v>
      </c>
      <c r="FL120" s="95">
        <f t="shared" si="50"/>
        <v>1.175</v>
      </c>
      <c r="FM120" s="95">
        <f t="shared" si="50"/>
        <v>1.177</v>
      </c>
      <c r="FN120" s="95">
        <f t="shared" si="50"/>
        <v>1.1850000000000001</v>
      </c>
      <c r="FO120" s="95">
        <f t="shared" si="50"/>
        <v>1.177</v>
      </c>
      <c r="FP120" s="95">
        <f t="shared" si="50"/>
        <v>1.206</v>
      </c>
      <c r="FQ120" s="95">
        <f t="shared" si="50"/>
        <v>1.167</v>
      </c>
      <c r="FR120" s="95">
        <f t="shared" si="50"/>
        <v>1.149</v>
      </c>
      <c r="FS120" s="95">
        <f t="shared" si="50"/>
        <v>1.145</v>
      </c>
      <c r="FT120" s="95">
        <f t="shared" si="50"/>
        <v>1.1459999999999999</v>
      </c>
      <c r="FU120" s="95">
        <f t="shared" si="50"/>
        <v>1.1950000000000001</v>
      </c>
      <c r="FV120" s="95">
        <f t="shared" si="50"/>
        <v>1.147</v>
      </c>
      <c r="FW120" s="95">
        <f t="shared" si="50"/>
        <v>1.147</v>
      </c>
      <c r="FX120" s="95">
        <f t="shared" si="50"/>
        <v>1.196</v>
      </c>
      <c r="FY120" s="38"/>
      <c r="FZ120" s="31">
        <f t="shared" si="49"/>
        <v>208.14499999999995</v>
      </c>
      <c r="GA120" s="81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31"/>
      <c r="GM120" s="31"/>
      <c r="GN120" s="31"/>
      <c r="GO120" s="31"/>
      <c r="GP120" s="31"/>
      <c r="GQ120" s="31"/>
      <c r="GR120" s="31"/>
      <c r="GS120" s="31"/>
      <c r="GT120" s="31"/>
    </row>
    <row r="121" spans="1:202" ht="15.5" x14ac:dyDescent="0.35">
      <c r="A121" s="12" t="s">
        <v>846</v>
      </c>
      <c r="B121" s="7" t="s">
        <v>847</v>
      </c>
      <c r="C121" s="7">
        <f ca="1">IFERROR(__xludf.DUMMYFUNCTION("+C39"),8691.8)</f>
        <v>8691.7999999999993</v>
      </c>
      <c r="D121" s="7">
        <f ca="1">IFERROR(__xludf.DUMMYFUNCTION("+D39"),8691.8)</f>
        <v>8691.7999999999993</v>
      </c>
      <c r="E121" s="7">
        <f ca="1">IFERROR(__xludf.DUMMYFUNCTION("+E39"),8691.8)</f>
        <v>8691.7999999999993</v>
      </c>
      <c r="F121" s="7">
        <f ca="1">IFERROR(__xludf.DUMMYFUNCTION("+F39"),8691.8)</f>
        <v>8691.7999999999993</v>
      </c>
      <c r="G121" s="7">
        <f ca="1">IFERROR(__xludf.DUMMYFUNCTION("+G39"),8691.8)</f>
        <v>8691.7999999999993</v>
      </c>
      <c r="H121" s="7">
        <f ca="1">IFERROR(__xludf.DUMMYFUNCTION("+H39"),8691.8)</f>
        <v>8691.7999999999993</v>
      </c>
      <c r="I121" s="7">
        <f ca="1">IFERROR(__xludf.DUMMYFUNCTION("+I39"),8691.8)</f>
        <v>8691.7999999999993</v>
      </c>
      <c r="J121" s="7">
        <f ca="1">IFERROR(__xludf.DUMMYFUNCTION("+J39"),8691.8)</f>
        <v>8691.7999999999993</v>
      </c>
      <c r="K121" s="7">
        <f ca="1">IFERROR(__xludf.DUMMYFUNCTION("+K39"),8691.8)</f>
        <v>8691.7999999999993</v>
      </c>
      <c r="L121" s="7">
        <f ca="1">IFERROR(__xludf.DUMMYFUNCTION("+L39"),8691.8)</f>
        <v>8691.7999999999993</v>
      </c>
      <c r="M121" s="7">
        <f ca="1">IFERROR(__xludf.DUMMYFUNCTION("+M39"),8691.8)</f>
        <v>8691.7999999999993</v>
      </c>
      <c r="N121" s="7">
        <f ca="1">IFERROR(__xludf.DUMMYFUNCTION("+N39"),8691.8)</f>
        <v>8691.7999999999993</v>
      </c>
      <c r="O121" s="7">
        <f ca="1">IFERROR(__xludf.DUMMYFUNCTION("+O39"),8691.8)</f>
        <v>8691.7999999999993</v>
      </c>
      <c r="P121" s="7">
        <f ca="1">IFERROR(__xludf.DUMMYFUNCTION("+P39"),8691.8)</f>
        <v>8691.7999999999993</v>
      </c>
      <c r="Q121" s="7">
        <f ca="1">IFERROR(__xludf.DUMMYFUNCTION("+Q39"),8691.8)</f>
        <v>8691.7999999999993</v>
      </c>
      <c r="R121" s="7">
        <f ca="1">IFERROR(__xludf.DUMMYFUNCTION("+R39"),8691.8)</f>
        <v>8691.7999999999993</v>
      </c>
      <c r="S121" s="7">
        <f ca="1">IFERROR(__xludf.DUMMYFUNCTION("+S39"),8691.8)</f>
        <v>8691.7999999999993</v>
      </c>
      <c r="T121" s="7">
        <f ca="1">IFERROR(__xludf.DUMMYFUNCTION("+T39"),8691.8)</f>
        <v>8691.7999999999993</v>
      </c>
      <c r="U121" s="7">
        <f ca="1">IFERROR(__xludf.DUMMYFUNCTION("+U39"),8691.8)</f>
        <v>8691.7999999999993</v>
      </c>
      <c r="V121" s="7">
        <f ca="1">IFERROR(__xludf.DUMMYFUNCTION("+V39"),8691.8)</f>
        <v>8691.7999999999993</v>
      </c>
      <c r="W121" s="7">
        <f ca="1">IFERROR(__xludf.DUMMYFUNCTION("+W39"),8691.8)</f>
        <v>8691.7999999999993</v>
      </c>
      <c r="X121" s="7">
        <f ca="1">IFERROR(__xludf.DUMMYFUNCTION("+X39"),8691.8)</f>
        <v>8691.7999999999993</v>
      </c>
      <c r="Y121" s="7">
        <f ca="1">IFERROR(__xludf.DUMMYFUNCTION("+Y39"),8691.8)</f>
        <v>8691.7999999999993</v>
      </c>
      <c r="Z121" s="7">
        <f ca="1">IFERROR(__xludf.DUMMYFUNCTION("+Z39"),8691.8)</f>
        <v>8691.7999999999993</v>
      </c>
      <c r="AA121" s="7">
        <f ca="1">IFERROR(__xludf.DUMMYFUNCTION("+AA39"),8691.8)</f>
        <v>8691.7999999999993</v>
      </c>
      <c r="AB121" s="7">
        <f ca="1">IFERROR(__xludf.DUMMYFUNCTION("+AB39"),8691.8)</f>
        <v>8691.7999999999993</v>
      </c>
      <c r="AC121" s="7">
        <f ca="1">IFERROR(__xludf.DUMMYFUNCTION("+AC39"),8691.8)</f>
        <v>8691.7999999999993</v>
      </c>
      <c r="AD121" s="7">
        <f ca="1">IFERROR(__xludf.DUMMYFUNCTION("+AD39"),8691.8)</f>
        <v>8691.7999999999993</v>
      </c>
      <c r="AE121" s="7">
        <f ca="1">IFERROR(__xludf.DUMMYFUNCTION("+AE39"),8691.8)</f>
        <v>8691.7999999999993</v>
      </c>
      <c r="AF121" s="7">
        <f ca="1">IFERROR(__xludf.DUMMYFUNCTION("+AF39"),8691.8)</f>
        <v>8691.7999999999993</v>
      </c>
      <c r="AG121" s="7">
        <f ca="1">IFERROR(__xludf.DUMMYFUNCTION("+AG39"),8691.8)</f>
        <v>8691.7999999999993</v>
      </c>
      <c r="AH121" s="7">
        <f ca="1">IFERROR(__xludf.DUMMYFUNCTION("+AH39"),8691.8)</f>
        <v>8691.7999999999993</v>
      </c>
      <c r="AI121" s="7">
        <f ca="1">IFERROR(__xludf.DUMMYFUNCTION("+AI39"),8691.8)</f>
        <v>8691.7999999999993</v>
      </c>
      <c r="AJ121" s="7">
        <f ca="1">IFERROR(__xludf.DUMMYFUNCTION("+AJ39"),8691.8)</f>
        <v>8691.7999999999993</v>
      </c>
      <c r="AK121" s="7">
        <f ca="1">IFERROR(__xludf.DUMMYFUNCTION("+AK39"),8691.8)</f>
        <v>8691.7999999999993</v>
      </c>
      <c r="AL121" s="7">
        <f ca="1">IFERROR(__xludf.DUMMYFUNCTION("+AL39"),8691.8)</f>
        <v>8691.7999999999993</v>
      </c>
      <c r="AM121" s="7">
        <f ca="1">IFERROR(__xludf.DUMMYFUNCTION("+AM39"),8691.8)</f>
        <v>8691.7999999999993</v>
      </c>
      <c r="AN121" s="7">
        <f ca="1">IFERROR(__xludf.DUMMYFUNCTION("+AN39"),8691.8)</f>
        <v>8691.7999999999993</v>
      </c>
      <c r="AO121" s="7">
        <f ca="1">IFERROR(__xludf.DUMMYFUNCTION("+AO39"),8691.8)</f>
        <v>8691.7999999999993</v>
      </c>
      <c r="AP121" s="7">
        <f ca="1">IFERROR(__xludf.DUMMYFUNCTION("+AP39"),8691.8)</f>
        <v>8691.7999999999993</v>
      </c>
      <c r="AQ121" s="7">
        <f ca="1">IFERROR(__xludf.DUMMYFUNCTION("+AQ39"),8691.8)</f>
        <v>8691.7999999999993</v>
      </c>
      <c r="AR121" s="7">
        <f ca="1">IFERROR(__xludf.DUMMYFUNCTION("+AR39"),8691.8)</f>
        <v>8691.7999999999993</v>
      </c>
      <c r="AS121" s="7">
        <f ca="1">IFERROR(__xludf.DUMMYFUNCTION("+AS39"),8691.8)</f>
        <v>8691.7999999999993</v>
      </c>
      <c r="AT121" s="7">
        <f ca="1">IFERROR(__xludf.DUMMYFUNCTION("+AT39"),8691.8)</f>
        <v>8691.7999999999993</v>
      </c>
      <c r="AU121" s="7">
        <f ca="1">IFERROR(__xludf.DUMMYFUNCTION("+AU39"),8691.8)</f>
        <v>8691.7999999999993</v>
      </c>
      <c r="AV121" s="7">
        <f ca="1">IFERROR(__xludf.DUMMYFUNCTION("+AV39"),8691.8)</f>
        <v>8691.7999999999993</v>
      </c>
      <c r="AW121" s="7">
        <f ca="1">IFERROR(__xludf.DUMMYFUNCTION("+AW39"),8691.8)</f>
        <v>8691.7999999999993</v>
      </c>
      <c r="AX121" s="7">
        <f ca="1">IFERROR(__xludf.DUMMYFUNCTION("+AX39"),8691.8)</f>
        <v>8691.7999999999993</v>
      </c>
      <c r="AY121" s="7">
        <f ca="1">IFERROR(__xludf.DUMMYFUNCTION("+AY39"),8691.8)</f>
        <v>8691.7999999999993</v>
      </c>
      <c r="AZ121" s="7">
        <f ca="1">IFERROR(__xludf.DUMMYFUNCTION("+AZ39"),8691.8)</f>
        <v>8691.7999999999993</v>
      </c>
      <c r="BA121" s="7">
        <f ca="1">IFERROR(__xludf.DUMMYFUNCTION("+BA39"),8691.8)</f>
        <v>8691.7999999999993</v>
      </c>
      <c r="BB121" s="7">
        <f ca="1">IFERROR(__xludf.DUMMYFUNCTION("+BB39"),8691.8)</f>
        <v>8691.7999999999993</v>
      </c>
      <c r="BC121" s="7">
        <f ca="1">IFERROR(__xludf.DUMMYFUNCTION("+BC39"),8691.8)</f>
        <v>8691.7999999999993</v>
      </c>
      <c r="BD121" s="7">
        <f ca="1">IFERROR(__xludf.DUMMYFUNCTION("+BD39"),8691.8)</f>
        <v>8691.7999999999993</v>
      </c>
      <c r="BE121" s="7">
        <f ca="1">IFERROR(__xludf.DUMMYFUNCTION("+BE39"),8691.8)</f>
        <v>8691.7999999999993</v>
      </c>
      <c r="BF121" s="7">
        <f ca="1">IFERROR(__xludf.DUMMYFUNCTION("+BF39"),8691.8)</f>
        <v>8691.7999999999993</v>
      </c>
      <c r="BG121" s="7">
        <f ca="1">IFERROR(__xludf.DUMMYFUNCTION("+BG39"),8691.8)</f>
        <v>8691.7999999999993</v>
      </c>
      <c r="BH121" s="7">
        <f ca="1">IFERROR(__xludf.DUMMYFUNCTION("+BH39"),8691.8)</f>
        <v>8691.7999999999993</v>
      </c>
      <c r="BI121" s="7">
        <f ca="1">IFERROR(__xludf.DUMMYFUNCTION("+BI39"),8691.8)</f>
        <v>8691.7999999999993</v>
      </c>
      <c r="BJ121" s="7">
        <f ca="1">IFERROR(__xludf.DUMMYFUNCTION("+BJ39"),8691.8)</f>
        <v>8691.7999999999993</v>
      </c>
      <c r="BK121" s="7">
        <f ca="1">IFERROR(__xludf.DUMMYFUNCTION("+BK39"),8691.8)</f>
        <v>8691.7999999999993</v>
      </c>
      <c r="BL121" s="7">
        <f ca="1">IFERROR(__xludf.DUMMYFUNCTION("+BL39"),8691.8)</f>
        <v>8691.7999999999993</v>
      </c>
      <c r="BM121" s="7">
        <f ca="1">IFERROR(__xludf.DUMMYFUNCTION("+BM39"),8691.8)</f>
        <v>8691.7999999999993</v>
      </c>
      <c r="BN121" s="7">
        <f ca="1">IFERROR(__xludf.DUMMYFUNCTION("+BN39"),8691.8)</f>
        <v>8691.7999999999993</v>
      </c>
      <c r="BO121" s="7">
        <f ca="1">IFERROR(__xludf.DUMMYFUNCTION("+BO39"),8691.8)</f>
        <v>8691.7999999999993</v>
      </c>
      <c r="BP121" s="7">
        <f ca="1">IFERROR(__xludf.DUMMYFUNCTION("+BP39"),8691.8)</f>
        <v>8691.7999999999993</v>
      </c>
      <c r="BQ121" s="7">
        <f ca="1">IFERROR(__xludf.DUMMYFUNCTION("+BQ39"),8691.8)</f>
        <v>8691.7999999999993</v>
      </c>
      <c r="BR121" s="7">
        <f ca="1">IFERROR(__xludf.DUMMYFUNCTION("+BR39"),8691.8)</f>
        <v>8691.7999999999993</v>
      </c>
      <c r="BS121" s="7">
        <f ca="1">IFERROR(__xludf.DUMMYFUNCTION("+BS39"),8691.8)</f>
        <v>8691.7999999999993</v>
      </c>
      <c r="BT121" s="7">
        <f ca="1">IFERROR(__xludf.DUMMYFUNCTION("+BT39"),8691.8)</f>
        <v>8691.7999999999993</v>
      </c>
      <c r="BU121" s="7">
        <f ca="1">IFERROR(__xludf.DUMMYFUNCTION("+BU39"),8691.8)</f>
        <v>8691.7999999999993</v>
      </c>
      <c r="BV121" s="7">
        <f ca="1">IFERROR(__xludf.DUMMYFUNCTION("+BV39"),8691.8)</f>
        <v>8691.7999999999993</v>
      </c>
      <c r="BW121" s="7">
        <f ca="1">IFERROR(__xludf.DUMMYFUNCTION("+BW39"),8691.8)</f>
        <v>8691.7999999999993</v>
      </c>
      <c r="BX121" s="7">
        <f ca="1">IFERROR(__xludf.DUMMYFUNCTION("+BX39"),8691.8)</f>
        <v>8691.7999999999993</v>
      </c>
      <c r="BY121" s="7">
        <f ca="1">IFERROR(__xludf.DUMMYFUNCTION("+BY39"),8691.8)</f>
        <v>8691.7999999999993</v>
      </c>
      <c r="BZ121" s="7">
        <f ca="1">IFERROR(__xludf.DUMMYFUNCTION("+BZ39"),8691.8)</f>
        <v>8691.7999999999993</v>
      </c>
      <c r="CA121" s="7">
        <f ca="1">IFERROR(__xludf.DUMMYFUNCTION("+CA39"),8691.8)</f>
        <v>8691.7999999999993</v>
      </c>
      <c r="CB121" s="7">
        <f ca="1">IFERROR(__xludf.DUMMYFUNCTION("+CB39"),8691.8)</f>
        <v>8691.7999999999993</v>
      </c>
      <c r="CC121" s="7">
        <f ca="1">IFERROR(__xludf.DUMMYFUNCTION("+CC39"),8691.8)</f>
        <v>8691.7999999999993</v>
      </c>
      <c r="CD121" s="7">
        <f ca="1">IFERROR(__xludf.DUMMYFUNCTION("+CD39"),8691.8)</f>
        <v>8691.7999999999993</v>
      </c>
      <c r="CE121" s="7">
        <f ca="1">IFERROR(__xludf.DUMMYFUNCTION("+CE39"),8691.8)</f>
        <v>8691.7999999999993</v>
      </c>
      <c r="CF121" s="7">
        <f ca="1">IFERROR(__xludf.DUMMYFUNCTION("+CF39"),8691.8)</f>
        <v>8691.7999999999993</v>
      </c>
      <c r="CG121" s="7">
        <f ca="1">IFERROR(__xludf.DUMMYFUNCTION("+CG39"),8691.8)</f>
        <v>8691.7999999999993</v>
      </c>
      <c r="CH121" s="7">
        <f ca="1">IFERROR(__xludf.DUMMYFUNCTION("+CH39"),8691.8)</f>
        <v>8691.7999999999993</v>
      </c>
      <c r="CI121" s="7">
        <f ca="1">IFERROR(__xludf.DUMMYFUNCTION("+CI39"),8691.8)</f>
        <v>8691.7999999999993</v>
      </c>
      <c r="CJ121" s="7">
        <f ca="1">IFERROR(__xludf.DUMMYFUNCTION("+CJ39"),8691.8)</f>
        <v>8691.7999999999993</v>
      </c>
      <c r="CK121" s="7">
        <f ca="1">IFERROR(__xludf.DUMMYFUNCTION("+CK39"),8691.8)</f>
        <v>8691.7999999999993</v>
      </c>
      <c r="CL121" s="7">
        <f ca="1">IFERROR(__xludf.DUMMYFUNCTION("+CL39"),8691.8)</f>
        <v>8691.7999999999993</v>
      </c>
      <c r="CM121" s="7">
        <f ca="1">IFERROR(__xludf.DUMMYFUNCTION("+CM39"),8691.8)</f>
        <v>8691.7999999999993</v>
      </c>
      <c r="CN121" s="7">
        <f ca="1">IFERROR(__xludf.DUMMYFUNCTION("+CN39"),8691.8)</f>
        <v>8691.7999999999993</v>
      </c>
      <c r="CO121" s="7">
        <f ca="1">IFERROR(__xludf.DUMMYFUNCTION("+CO39"),8691.8)</f>
        <v>8691.7999999999993</v>
      </c>
      <c r="CP121" s="7">
        <f ca="1">IFERROR(__xludf.DUMMYFUNCTION("+CP39"),8691.8)</f>
        <v>8691.7999999999993</v>
      </c>
      <c r="CQ121" s="7">
        <f ca="1">IFERROR(__xludf.DUMMYFUNCTION("+CQ39"),8691.8)</f>
        <v>8691.7999999999993</v>
      </c>
      <c r="CR121" s="7">
        <f ca="1">IFERROR(__xludf.DUMMYFUNCTION("+CR39"),8691.8)</f>
        <v>8691.7999999999993</v>
      </c>
      <c r="CS121" s="7">
        <f ca="1">IFERROR(__xludf.DUMMYFUNCTION("+CS39"),8691.8)</f>
        <v>8691.7999999999993</v>
      </c>
      <c r="CT121" s="7">
        <f ca="1">IFERROR(__xludf.DUMMYFUNCTION("+CT39"),8691.8)</f>
        <v>8691.7999999999993</v>
      </c>
      <c r="CU121" s="7">
        <f ca="1">IFERROR(__xludf.DUMMYFUNCTION("+CU39"),8691.8)</f>
        <v>8691.7999999999993</v>
      </c>
      <c r="CV121" s="7">
        <f ca="1">IFERROR(__xludf.DUMMYFUNCTION("+CV39"),8691.8)</f>
        <v>8691.7999999999993</v>
      </c>
      <c r="CW121" s="7">
        <f ca="1">IFERROR(__xludf.DUMMYFUNCTION("+CW39"),8691.8)</f>
        <v>8691.7999999999993</v>
      </c>
      <c r="CX121" s="7">
        <f ca="1">IFERROR(__xludf.DUMMYFUNCTION("+CX39"),8691.8)</f>
        <v>8691.7999999999993</v>
      </c>
      <c r="CY121" s="7">
        <f ca="1">IFERROR(__xludf.DUMMYFUNCTION("+CY39"),8691.8)</f>
        <v>8691.7999999999993</v>
      </c>
      <c r="CZ121" s="7">
        <f ca="1">IFERROR(__xludf.DUMMYFUNCTION("+CZ39"),8691.8)</f>
        <v>8691.7999999999993</v>
      </c>
      <c r="DA121" s="7">
        <f ca="1">IFERROR(__xludf.DUMMYFUNCTION("+DA39"),8691.8)</f>
        <v>8691.7999999999993</v>
      </c>
      <c r="DB121" s="7">
        <f ca="1">IFERROR(__xludf.DUMMYFUNCTION("+DB39"),8691.8)</f>
        <v>8691.7999999999993</v>
      </c>
      <c r="DC121" s="7">
        <f ca="1">IFERROR(__xludf.DUMMYFUNCTION("+DC39"),8691.8)</f>
        <v>8691.7999999999993</v>
      </c>
      <c r="DD121" s="7">
        <f ca="1">IFERROR(__xludf.DUMMYFUNCTION("+DD39"),8691.8)</f>
        <v>8691.7999999999993</v>
      </c>
      <c r="DE121" s="7">
        <f ca="1">IFERROR(__xludf.DUMMYFUNCTION("+DE39"),8691.8)</f>
        <v>8691.7999999999993</v>
      </c>
      <c r="DF121" s="7">
        <f ca="1">IFERROR(__xludf.DUMMYFUNCTION("+DF39"),8691.8)</f>
        <v>8691.7999999999993</v>
      </c>
      <c r="DG121" s="7">
        <f ca="1">IFERROR(__xludf.DUMMYFUNCTION("+DG39"),8691.8)</f>
        <v>8691.7999999999993</v>
      </c>
      <c r="DH121" s="7">
        <f ca="1">IFERROR(__xludf.DUMMYFUNCTION("+DH39"),8691.8)</f>
        <v>8691.7999999999993</v>
      </c>
      <c r="DI121" s="7">
        <f ca="1">IFERROR(__xludf.DUMMYFUNCTION("+DI39"),8691.8)</f>
        <v>8691.7999999999993</v>
      </c>
      <c r="DJ121" s="7">
        <f ca="1">IFERROR(__xludf.DUMMYFUNCTION("+DJ39"),8691.8)</f>
        <v>8691.7999999999993</v>
      </c>
      <c r="DK121" s="7">
        <f ca="1">IFERROR(__xludf.DUMMYFUNCTION("+DK39"),8691.8)</f>
        <v>8691.7999999999993</v>
      </c>
      <c r="DL121" s="7">
        <f ca="1">IFERROR(__xludf.DUMMYFUNCTION("+DL39"),8691.8)</f>
        <v>8691.7999999999993</v>
      </c>
      <c r="DM121" s="7">
        <f ca="1">IFERROR(__xludf.DUMMYFUNCTION("+DM39"),8691.8)</f>
        <v>8691.7999999999993</v>
      </c>
      <c r="DN121" s="7">
        <f ca="1">IFERROR(__xludf.DUMMYFUNCTION("+DN39"),8691.8)</f>
        <v>8691.7999999999993</v>
      </c>
      <c r="DO121" s="7">
        <f ca="1">IFERROR(__xludf.DUMMYFUNCTION("+DO39"),8691.8)</f>
        <v>8691.7999999999993</v>
      </c>
      <c r="DP121" s="7">
        <f ca="1">IFERROR(__xludf.DUMMYFUNCTION("+DP39"),8691.8)</f>
        <v>8691.7999999999993</v>
      </c>
      <c r="DQ121" s="7">
        <f ca="1">IFERROR(__xludf.DUMMYFUNCTION("+DQ39"),8691.8)</f>
        <v>8691.7999999999993</v>
      </c>
      <c r="DR121" s="7">
        <f ca="1">IFERROR(__xludf.DUMMYFUNCTION("+DR39"),8691.8)</f>
        <v>8691.7999999999993</v>
      </c>
      <c r="DS121" s="7">
        <f ca="1">IFERROR(__xludf.DUMMYFUNCTION("+DS39"),8691.8)</f>
        <v>8691.7999999999993</v>
      </c>
      <c r="DT121" s="7">
        <f ca="1">IFERROR(__xludf.DUMMYFUNCTION("+DT39"),8691.8)</f>
        <v>8691.7999999999993</v>
      </c>
      <c r="DU121" s="7">
        <f ca="1">IFERROR(__xludf.DUMMYFUNCTION("+DU39"),8691.8)</f>
        <v>8691.7999999999993</v>
      </c>
      <c r="DV121" s="7">
        <f ca="1">IFERROR(__xludf.DUMMYFUNCTION("+DV39"),8691.8)</f>
        <v>8691.7999999999993</v>
      </c>
      <c r="DW121" s="7">
        <f ca="1">IFERROR(__xludf.DUMMYFUNCTION("+DW39"),8691.8)</f>
        <v>8691.7999999999993</v>
      </c>
      <c r="DX121" s="7">
        <f ca="1">IFERROR(__xludf.DUMMYFUNCTION("+DX39"),8691.8)</f>
        <v>8691.7999999999993</v>
      </c>
      <c r="DY121" s="7">
        <f ca="1">IFERROR(__xludf.DUMMYFUNCTION("+DY39"),8691.8)</f>
        <v>8691.7999999999993</v>
      </c>
      <c r="DZ121" s="7">
        <f ca="1">IFERROR(__xludf.DUMMYFUNCTION("+DZ39"),8691.8)</f>
        <v>8691.7999999999993</v>
      </c>
      <c r="EA121" s="7">
        <f ca="1">IFERROR(__xludf.DUMMYFUNCTION("+EA39"),8691.8)</f>
        <v>8691.7999999999993</v>
      </c>
      <c r="EB121" s="7">
        <f ca="1">IFERROR(__xludf.DUMMYFUNCTION("+EB39"),8691.8)</f>
        <v>8691.7999999999993</v>
      </c>
      <c r="EC121" s="7">
        <f ca="1">IFERROR(__xludf.DUMMYFUNCTION("+EC39"),8691.8)</f>
        <v>8691.7999999999993</v>
      </c>
      <c r="ED121" s="7">
        <f ca="1">IFERROR(__xludf.DUMMYFUNCTION("+ED39"),8691.8)</f>
        <v>8691.7999999999993</v>
      </c>
      <c r="EE121" s="7">
        <f ca="1">IFERROR(__xludf.DUMMYFUNCTION("+EE39"),8691.8)</f>
        <v>8691.7999999999993</v>
      </c>
      <c r="EF121" s="7">
        <f ca="1">IFERROR(__xludf.DUMMYFUNCTION("+EF39"),8691.8)</f>
        <v>8691.7999999999993</v>
      </c>
      <c r="EG121" s="7">
        <f ca="1">IFERROR(__xludf.DUMMYFUNCTION("+EG39"),8691.8)</f>
        <v>8691.7999999999993</v>
      </c>
      <c r="EH121" s="7">
        <f ca="1">IFERROR(__xludf.DUMMYFUNCTION("+EH39"),8691.8)</f>
        <v>8691.7999999999993</v>
      </c>
      <c r="EI121" s="7">
        <f ca="1">IFERROR(__xludf.DUMMYFUNCTION("+EI39"),8691.8)</f>
        <v>8691.7999999999993</v>
      </c>
      <c r="EJ121" s="7">
        <f ca="1">IFERROR(__xludf.DUMMYFUNCTION("+EJ39"),8691.8)</f>
        <v>8691.7999999999993</v>
      </c>
      <c r="EK121" s="7">
        <f ca="1">IFERROR(__xludf.DUMMYFUNCTION("+EK39"),8691.8)</f>
        <v>8691.7999999999993</v>
      </c>
      <c r="EL121" s="7">
        <f ca="1">IFERROR(__xludf.DUMMYFUNCTION("+EL39"),8691.8)</f>
        <v>8691.7999999999993</v>
      </c>
      <c r="EM121" s="7">
        <f ca="1">IFERROR(__xludf.DUMMYFUNCTION("+EM39"),8691.8)</f>
        <v>8691.7999999999993</v>
      </c>
      <c r="EN121" s="7">
        <f ca="1">IFERROR(__xludf.DUMMYFUNCTION("+EN39"),8691.8)</f>
        <v>8691.7999999999993</v>
      </c>
      <c r="EO121" s="7">
        <f ca="1">IFERROR(__xludf.DUMMYFUNCTION("+EO39"),8691.8)</f>
        <v>8691.7999999999993</v>
      </c>
      <c r="EP121" s="7">
        <f ca="1">IFERROR(__xludf.DUMMYFUNCTION("+EP39"),8691.8)</f>
        <v>8691.7999999999993</v>
      </c>
      <c r="EQ121" s="7">
        <f ca="1">IFERROR(__xludf.DUMMYFUNCTION("+EQ39"),8691.8)</f>
        <v>8691.7999999999993</v>
      </c>
      <c r="ER121" s="7">
        <f ca="1">IFERROR(__xludf.DUMMYFUNCTION("+ER39"),8691.8)</f>
        <v>8691.7999999999993</v>
      </c>
      <c r="ES121" s="7">
        <f ca="1">IFERROR(__xludf.DUMMYFUNCTION("+ES39"),8691.8)</f>
        <v>8691.7999999999993</v>
      </c>
      <c r="ET121" s="7">
        <f ca="1">IFERROR(__xludf.DUMMYFUNCTION("+ET39"),8691.8)</f>
        <v>8691.7999999999993</v>
      </c>
      <c r="EU121" s="7">
        <f ca="1">IFERROR(__xludf.DUMMYFUNCTION("+EU39"),8691.8)</f>
        <v>8691.7999999999993</v>
      </c>
      <c r="EV121" s="7">
        <f ca="1">IFERROR(__xludf.DUMMYFUNCTION("+EV39"),8691.8)</f>
        <v>8691.7999999999993</v>
      </c>
      <c r="EW121" s="7">
        <f ca="1">IFERROR(__xludf.DUMMYFUNCTION("+EW39"),8691.8)</f>
        <v>8691.7999999999993</v>
      </c>
      <c r="EX121" s="7">
        <f ca="1">IFERROR(__xludf.DUMMYFUNCTION("+EX39"),8691.8)</f>
        <v>8691.7999999999993</v>
      </c>
      <c r="EY121" s="7">
        <f ca="1">IFERROR(__xludf.DUMMYFUNCTION("+EY39"),8691.8)</f>
        <v>8691.7999999999993</v>
      </c>
      <c r="EZ121" s="7">
        <f ca="1">IFERROR(__xludf.DUMMYFUNCTION("+EZ39"),8691.8)</f>
        <v>8691.7999999999993</v>
      </c>
      <c r="FA121" s="7">
        <f ca="1">IFERROR(__xludf.DUMMYFUNCTION("+FA39"),8691.8)</f>
        <v>8691.7999999999993</v>
      </c>
      <c r="FB121" s="7">
        <f ca="1">IFERROR(__xludf.DUMMYFUNCTION("+FB39"),8691.8)</f>
        <v>8691.7999999999993</v>
      </c>
      <c r="FC121" s="7">
        <f ca="1">IFERROR(__xludf.DUMMYFUNCTION("+FC39"),8691.8)</f>
        <v>8691.7999999999993</v>
      </c>
      <c r="FD121" s="7">
        <f ca="1">IFERROR(__xludf.DUMMYFUNCTION("+FD39"),8691.8)</f>
        <v>8691.7999999999993</v>
      </c>
      <c r="FE121" s="7">
        <f ca="1">IFERROR(__xludf.DUMMYFUNCTION("+FE39"),8691.8)</f>
        <v>8691.7999999999993</v>
      </c>
      <c r="FF121" s="7">
        <f ca="1">IFERROR(__xludf.DUMMYFUNCTION("+FF39"),8691.8)</f>
        <v>8691.7999999999993</v>
      </c>
      <c r="FG121" s="7">
        <f ca="1">IFERROR(__xludf.DUMMYFUNCTION("+FG39"),8691.8)</f>
        <v>8691.7999999999993</v>
      </c>
      <c r="FH121" s="7">
        <f ca="1">IFERROR(__xludf.DUMMYFUNCTION("+FH39"),8691.8)</f>
        <v>8691.7999999999993</v>
      </c>
      <c r="FI121" s="7">
        <f ca="1">IFERROR(__xludf.DUMMYFUNCTION("+FI39"),8691.8)</f>
        <v>8691.7999999999993</v>
      </c>
      <c r="FJ121" s="7">
        <f ca="1">IFERROR(__xludf.DUMMYFUNCTION("+FJ39"),8691.8)</f>
        <v>8691.7999999999993</v>
      </c>
      <c r="FK121" s="7">
        <f ca="1">IFERROR(__xludf.DUMMYFUNCTION("+FK39"),8691.8)</f>
        <v>8691.7999999999993</v>
      </c>
      <c r="FL121" s="7">
        <f ca="1">IFERROR(__xludf.DUMMYFUNCTION("+FL39"),8691.8)</f>
        <v>8691.7999999999993</v>
      </c>
      <c r="FM121" s="7">
        <f ca="1">IFERROR(__xludf.DUMMYFUNCTION("+FM39"),8691.8)</f>
        <v>8691.7999999999993</v>
      </c>
      <c r="FN121" s="7">
        <f ca="1">IFERROR(__xludf.DUMMYFUNCTION("+FN39"),8691.8)</f>
        <v>8691.7999999999993</v>
      </c>
      <c r="FO121" s="7">
        <f ca="1">IFERROR(__xludf.DUMMYFUNCTION("+FO39"),8691.8)</f>
        <v>8691.7999999999993</v>
      </c>
      <c r="FP121" s="7">
        <f ca="1">IFERROR(__xludf.DUMMYFUNCTION("+FP39"),8691.8)</f>
        <v>8691.7999999999993</v>
      </c>
      <c r="FQ121" s="7">
        <f ca="1">IFERROR(__xludf.DUMMYFUNCTION("+FQ39"),8691.8)</f>
        <v>8691.7999999999993</v>
      </c>
      <c r="FR121" s="7">
        <f ca="1">IFERROR(__xludf.DUMMYFUNCTION("+FR39"),8691.8)</f>
        <v>8691.7999999999993</v>
      </c>
      <c r="FS121" s="7">
        <f ca="1">IFERROR(__xludf.DUMMYFUNCTION("+FS39"),8691.8)</f>
        <v>8691.7999999999993</v>
      </c>
      <c r="FT121" s="7">
        <f ca="1">IFERROR(__xludf.DUMMYFUNCTION("+FT39"),8691.8)</f>
        <v>8691.7999999999993</v>
      </c>
      <c r="FU121" s="7">
        <f ca="1">IFERROR(__xludf.DUMMYFUNCTION("+FU39"),8691.8)</f>
        <v>8691.7999999999993</v>
      </c>
      <c r="FV121" s="7">
        <f ca="1">IFERROR(__xludf.DUMMYFUNCTION("+FV39"),8691.8)</f>
        <v>8691.7999999999993</v>
      </c>
      <c r="FW121" s="7">
        <f ca="1">IFERROR(__xludf.DUMMYFUNCTION("+FW39"),8691.8)</f>
        <v>8691.7999999999993</v>
      </c>
      <c r="FX121" s="7">
        <f ca="1">IFERROR(__xludf.DUMMYFUNCTION("+FX39"),8691.8)</f>
        <v>8691.7999999999993</v>
      </c>
      <c r="FY121" s="7"/>
      <c r="FZ121" s="7"/>
      <c r="GA121" s="81"/>
      <c r="GB121" s="7"/>
      <c r="GC121" s="7"/>
      <c r="GD121" s="7"/>
      <c r="GE121" s="7"/>
      <c r="GF121" s="7"/>
      <c r="GG121" s="7"/>
      <c r="GH121" s="7"/>
      <c r="GI121" s="7"/>
      <c r="GJ121" s="7"/>
      <c r="GK121" s="7"/>
    </row>
    <row r="122" spans="1:202" ht="15.5" x14ac:dyDescent="0.35">
      <c r="A122" s="12" t="s">
        <v>848</v>
      </c>
      <c r="B122" s="7" t="s">
        <v>849</v>
      </c>
      <c r="C122" s="31">
        <f t="shared" ref="C122:FX122" si="51">1-C115</f>
        <v>0.11570000000000003</v>
      </c>
      <c r="D122" s="31">
        <f t="shared" si="51"/>
        <v>9.4999999999999973E-2</v>
      </c>
      <c r="E122" s="31">
        <f t="shared" si="51"/>
        <v>0.11970000000000003</v>
      </c>
      <c r="F122" s="31">
        <f t="shared" si="51"/>
        <v>9.9999999999999978E-2</v>
      </c>
      <c r="G122" s="31">
        <f t="shared" si="51"/>
        <v>0.13919999999999999</v>
      </c>
      <c r="H122" s="31">
        <f t="shared" si="51"/>
        <v>0.15510000000000002</v>
      </c>
      <c r="I122" s="31">
        <f t="shared" si="51"/>
        <v>0.11470000000000002</v>
      </c>
      <c r="J122" s="31">
        <f t="shared" si="51"/>
        <v>0.1381</v>
      </c>
      <c r="K122" s="31">
        <f t="shared" si="51"/>
        <v>0.18789999999999996</v>
      </c>
      <c r="L122" s="31">
        <f t="shared" si="51"/>
        <v>0.13759999999999994</v>
      </c>
      <c r="M122" s="31">
        <f t="shared" si="51"/>
        <v>0.15959999999999996</v>
      </c>
      <c r="N122" s="31">
        <f t="shared" si="51"/>
        <v>9.4999999999999973E-2</v>
      </c>
      <c r="O122" s="31">
        <f t="shared" si="51"/>
        <v>0.11040000000000005</v>
      </c>
      <c r="P122" s="31">
        <f t="shared" si="51"/>
        <v>0.18379999999999996</v>
      </c>
      <c r="Q122" s="31">
        <f t="shared" si="51"/>
        <v>9.4999999999999973E-2</v>
      </c>
      <c r="R122" s="31">
        <f t="shared" si="51"/>
        <v>0.11560000000000004</v>
      </c>
      <c r="S122" s="31">
        <f t="shared" si="51"/>
        <v>0.14039999999999997</v>
      </c>
      <c r="T122" s="31">
        <f t="shared" si="51"/>
        <v>0.19369999999999998</v>
      </c>
      <c r="U122" s="31">
        <f t="shared" si="51"/>
        <v>0.20040000000000002</v>
      </c>
      <c r="V122" s="31">
        <f t="shared" si="51"/>
        <v>0.18759999999999999</v>
      </c>
      <c r="W122" s="31">
        <f t="shared" si="51"/>
        <v>0.20020000000000004</v>
      </c>
      <c r="X122" s="31">
        <f t="shared" si="51"/>
        <v>0.20079999999999998</v>
      </c>
      <c r="Y122" s="31">
        <f t="shared" si="51"/>
        <v>0.1613</v>
      </c>
      <c r="Z122" s="31">
        <f t="shared" si="51"/>
        <v>0.18920000000000003</v>
      </c>
      <c r="AA122" s="31">
        <f t="shared" si="51"/>
        <v>9.4999999999999973E-2</v>
      </c>
      <c r="AB122" s="31">
        <f t="shared" si="51"/>
        <v>9.7500000000000031E-2</v>
      </c>
      <c r="AC122" s="31">
        <f t="shared" si="51"/>
        <v>0.16100000000000003</v>
      </c>
      <c r="AD122" s="31">
        <f t="shared" si="51"/>
        <v>0.14439999999999997</v>
      </c>
      <c r="AE122" s="31">
        <f t="shared" si="51"/>
        <v>0.19779999999999998</v>
      </c>
      <c r="AF122" s="31">
        <f t="shared" si="51"/>
        <v>0.19330000000000003</v>
      </c>
      <c r="AG122" s="31">
        <f t="shared" si="51"/>
        <v>0.17049999999999998</v>
      </c>
      <c r="AH122" s="31">
        <f t="shared" si="51"/>
        <v>0.15939999999999999</v>
      </c>
      <c r="AI122" s="31">
        <f t="shared" si="51"/>
        <v>0.17949999999999999</v>
      </c>
      <c r="AJ122" s="31">
        <f t="shared" si="51"/>
        <v>0.19240000000000002</v>
      </c>
      <c r="AK122" s="31">
        <f t="shared" si="51"/>
        <v>0.19340000000000002</v>
      </c>
      <c r="AL122" s="31">
        <f t="shared" si="51"/>
        <v>0.1855</v>
      </c>
      <c r="AM122" s="31">
        <f t="shared" si="51"/>
        <v>0.18140000000000001</v>
      </c>
      <c r="AN122" s="31">
        <f t="shared" si="51"/>
        <v>0.18479999999999996</v>
      </c>
      <c r="AO122" s="31">
        <f t="shared" si="51"/>
        <v>0.12639999999999996</v>
      </c>
      <c r="AP122" s="31">
        <f t="shared" si="51"/>
        <v>9.4999999999999973E-2</v>
      </c>
      <c r="AQ122" s="31">
        <f t="shared" si="51"/>
        <v>0.18789999999999996</v>
      </c>
      <c r="AR122" s="31">
        <f t="shared" si="51"/>
        <v>9.4999999999999973E-2</v>
      </c>
      <c r="AS122" s="31">
        <f t="shared" si="51"/>
        <v>0.1159</v>
      </c>
      <c r="AT122" s="31">
        <f t="shared" si="51"/>
        <v>0.13660000000000005</v>
      </c>
      <c r="AU122" s="31">
        <f t="shared" si="51"/>
        <v>0.18669999999999998</v>
      </c>
      <c r="AV122" s="31">
        <f t="shared" si="51"/>
        <v>0.1845</v>
      </c>
      <c r="AW122" s="31">
        <f t="shared" si="51"/>
        <v>0.18759999999999999</v>
      </c>
      <c r="AX122" s="31">
        <f t="shared" si="51"/>
        <v>0.19879999999999998</v>
      </c>
      <c r="AY122" s="31">
        <f t="shared" si="51"/>
        <v>0.17800000000000005</v>
      </c>
      <c r="AZ122" s="31">
        <f t="shared" si="51"/>
        <v>0.11099999999999999</v>
      </c>
      <c r="BA122" s="31">
        <f t="shared" si="51"/>
        <v>0.11380000000000001</v>
      </c>
      <c r="BB122" s="31">
        <f t="shared" si="51"/>
        <v>0.11519999999999997</v>
      </c>
      <c r="BC122" s="31">
        <f t="shared" si="51"/>
        <v>9.98E-2</v>
      </c>
      <c r="BD122" s="31">
        <f t="shared" si="51"/>
        <v>0.13019999999999998</v>
      </c>
      <c r="BE122" s="31">
        <f t="shared" si="51"/>
        <v>0.15190000000000003</v>
      </c>
      <c r="BF122" s="31">
        <f t="shared" si="51"/>
        <v>9.8899999999999988E-2</v>
      </c>
      <c r="BG122" s="31">
        <f t="shared" si="51"/>
        <v>0.16059999999999997</v>
      </c>
      <c r="BH122" s="31">
        <f t="shared" si="51"/>
        <v>0.17100000000000004</v>
      </c>
      <c r="BI122" s="31">
        <f t="shared" si="51"/>
        <v>0.1875</v>
      </c>
      <c r="BJ122" s="31">
        <f t="shared" si="51"/>
        <v>0.11680000000000001</v>
      </c>
      <c r="BK122" s="31">
        <f t="shared" si="51"/>
        <v>9.4999999999999973E-2</v>
      </c>
      <c r="BL122" s="31">
        <f t="shared" si="51"/>
        <v>0.19899999999999995</v>
      </c>
      <c r="BM122" s="31">
        <f t="shared" si="51"/>
        <v>0.18100000000000005</v>
      </c>
      <c r="BN122" s="31">
        <f t="shared" si="51"/>
        <v>0.13270000000000004</v>
      </c>
      <c r="BO122" s="31">
        <f t="shared" si="51"/>
        <v>0.15010000000000001</v>
      </c>
      <c r="BP122" s="31">
        <f t="shared" si="51"/>
        <v>0.19369999999999998</v>
      </c>
      <c r="BQ122" s="31">
        <f t="shared" si="51"/>
        <v>0.11899999999999999</v>
      </c>
      <c r="BR122" s="31">
        <f t="shared" si="51"/>
        <v>0.126</v>
      </c>
      <c r="BS122" s="31">
        <f t="shared" si="51"/>
        <v>0.1532</v>
      </c>
      <c r="BT122" s="31">
        <f t="shared" si="51"/>
        <v>0.18020000000000003</v>
      </c>
      <c r="BU122" s="31">
        <f t="shared" si="51"/>
        <v>0.17879999999999996</v>
      </c>
      <c r="BV122" s="31">
        <f t="shared" si="51"/>
        <v>0.15049999999999997</v>
      </c>
      <c r="BW122" s="31">
        <f t="shared" si="51"/>
        <v>0.13829999999999998</v>
      </c>
      <c r="BX122" s="31">
        <f t="shared" si="51"/>
        <v>0.19969999999999999</v>
      </c>
      <c r="BY122" s="31">
        <f t="shared" si="51"/>
        <v>0.17649999999999999</v>
      </c>
      <c r="BZ122" s="31">
        <f t="shared" si="51"/>
        <v>0.18940000000000001</v>
      </c>
      <c r="CA122" s="31">
        <f t="shared" si="51"/>
        <v>0.1946</v>
      </c>
      <c r="CB122" s="31">
        <f t="shared" si="51"/>
        <v>9.4999999999999973E-2</v>
      </c>
      <c r="CC122" s="31">
        <f t="shared" si="51"/>
        <v>0.19189999999999996</v>
      </c>
      <c r="CD122" s="31">
        <f t="shared" si="51"/>
        <v>0.20079999999999998</v>
      </c>
      <c r="CE122" s="31">
        <f t="shared" si="51"/>
        <v>0.19389999999999996</v>
      </c>
      <c r="CF122" s="31">
        <f t="shared" si="51"/>
        <v>0.19679999999999997</v>
      </c>
      <c r="CG122" s="31">
        <f t="shared" si="51"/>
        <v>0.19120000000000004</v>
      </c>
      <c r="CH122" s="31">
        <f t="shared" si="51"/>
        <v>0.19779999999999998</v>
      </c>
      <c r="CI122" s="31">
        <f t="shared" si="51"/>
        <v>0.16779999999999995</v>
      </c>
      <c r="CJ122" s="31">
        <f t="shared" si="51"/>
        <v>0.16210000000000002</v>
      </c>
      <c r="CK122" s="31">
        <f t="shared" si="51"/>
        <v>0.12390000000000001</v>
      </c>
      <c r="CL122" s="31">
        <f t="shared" si="51"/>
        <v>0.15069999999999995</v>
      </c>
      <c r="CM122" s="31">
        <f t="shared" si="51"/>
        <v>0.16779999999999995</v>
      </c>
      <c r="CN122" s="31">
        <f t="shared" si="51"/>
        <v>9.4999999999999973E-2</v>
      </c>
      <c r="CO122" s="31">
        <f t="shared" si="51"/>
        <v>0.10899999999999999</v>
      </c>
      <c r="CP122" s="31">
        <f t="shared" si="51"/>
        <v>0.16010000000000002</v>
      </c>
      <c r="CQ122" s="31">
        <f t="shared" si="51"/>
        <v>0.16520000000000001</v>
      </c>
      <c r="CR122" s="31">
        <f t="shared" si="51"/>
        <v>0.19020000000000004</v>
      </c>
      <c r="CS122" s="31">
        <f t="shared" si="51"/>
        <v>0.18569999999999998</v>
      </c>
      <c r="CT122" s="31">
        <f t="shared" si="51"/>
        <v>0.19669999999999999</v>
      </c>
      <c r="CU122" s="31">
        <f t="shared" si="51"/>
        <v>0.17449999999999999</v>
      </c>
      <c r="CV122" s="31">
        <f t="shared" si="51"/>
        <v>0.20079999999999998</v>
      </c>
      <c r="CW122" s="31">
        <f t="shared" si="51"/>
        <v>0.19130000000000003</v>
      </c>
      <c r="CX122" s="31">
        <f t="shared" si="51"/>
        <v>0.17479999999999996</v>
      </c>
      <c r="CY122" s="31">
        <f t="shared" si="51"/>
        <v>0.20079999999999998</v>
      </c>
      <c r="CZ122" s="31">
        <f t="shared" si="51"/>
        <v>0.13939999999999997</v>
      </c>
      <c r="DA122" s="31">
        <f t="shared" si="51"/>
        <v>0.19099999999999995</v>
      </c>
      <c r="DB122" s="31">
        <f t="shared" si="51"/>
        <v>0.18379999999999996</v>
      </c>
      <c r="DC122" s="31">
        <f t="shared" si="51"/>
        <v>0.19159999999999999</v>
      </c>
      <c r="DD122" s="31">
        <f t="shared" si="51"/>
        <v>0.19279999999999997</v>
      </c>
      <c r="DE122" s="31">
        <f t="shared" si="51"/>
        <v>0.18569999999999998</v>
      </c>
      <c r="DF122" s="31">
        <f t="shared" si="51"/>
        <v>0.10319999999999996</v>
      </c>
      <c r="DG122" s="31">
        <f t="shared" si="51"/>
        <v>0.19799999999999995</v>
      </c>
      <c r="DH122" s="31">
        <f t="shared" si="51"/>
        <v>0.13939999999999997</v>
      </c>
      <c r="DI122" s="31">
        <f t="shared" si="51"/>
        <v>0.1361</v>
      </c>
      <c r="DJ122" s="31">
        <f t="shared" si="51"/>
        <v>0.16969999999999996</v>
      </c>
      <c r="DK122" s="31">
        <f t="shared" si="51"/>
        <v>0.17430000000000001</v>
      </c>
      <c r="DL122" s="31">
        <f t="shared" si="51"/>
        <v>0.11990000000000001</v>
      </c>
      <c r="DM122" s="31">
        <f t="shared" si="51"/>
        <v>0.18899999999999995</v>
      </c>
      <c r="DN122" s="31">
        <f t="shared" si="51"/>
        <v>0.14890000000000003</v>
      </c>
      <c r="DO122" s="31">
        <f t="shared" si="51"/>
        <v>0.13200000000000001</v>
      </c>
      <c r="DP122" s="31">
        <f t="shared" si="51"/>
        <v>0.19120000000000004</v>
      </c>
      <c r="DQ122" s="31">
        <f t="shared" si="51"/>
        <v>0.16159999999999997</v>
      </c>
      <c r="DR122" s="31">
        <f t="shared" si="51"/>
        <v>0.14829999999999999</v>
      </c>
      <c r="DS122" s="31">
        <f t="shared" si="51"/>
        <v>0.17049999999999998</v>
      </c>
      <c r="DT122" s="31">
        <f t="shared" si="51"/>
        <v>0.19269999999999998</v>
      </c>
      <c r="DU122" s="31">
        <f t="shared" si="51"/>
        <v>0.18149999999999999</v>
      </c>
      <c r="DV122" s="31">
        <f t="shared" si="51"/>
        <v>0.19069999999999998</v>
      </c>
      <c r="DW122" s="31">
        <f t="shared" si="51"/>
        <v>0.18479999999999996</v>
      </c>
      <c r="DX122" s="31">
        <f t="shared" si="51"/>
        <v>0.19320000000000004</v>
      </c>
      <c r="DY122" s="31">
        <f t="shared" si="51"/>
        <v>0.18500000000000005</v>
      </c>
      <c r="DZ122" s="31">
        <f t="shared" si="51"/>
        <v>0.16800000000000004</v>
      </c>
      <c r="EA122" s="31">
        <f t="shared" si="51"/>
        <v>0.17259999999999998</v>
      </c>
      <c r="EB122" s="31">
        <f t="shared" si="51"/>
        <v>0.17249999999999999</v>
      </c>
      <c r="EC122" s="31">
        <f t="shared" si="51"/>
        <v>0.18579999999999997</v>
      </c>
      <c r="ED122" s="31">
        <f t="shared" si="51"/>
        <v>0.14070000000000005</v>
      </c>
      <c r="EE122" s="31">
        <f t="shared" si="51"/>
        <v>0.19169999999999998</v>
      </c>
      <c r="EF122" s="31">
        <f t="shared" si="51"/>
        <v>0.14710000000000001</v>
      </c>
      <c r="EG122" s="31">
        <f t="shared" si="51"/>
        <v>0.18779999999999997</v>
      </c>
      <c r="EH122" s="31">
        <f t="shared" si="51"/>
        <v>0.18820000000000003</v>
      </c>
      <c r="EI122" s="31">
        <f t="shared" si="51"/>
        <v>0.10950000000000004</v>
      </c>
      <c r="EJ122" s="31">
        <f t="shared" si="51"/>
        <v>0.11280000000000001</v>
      </c>
      <c r="EK122" s="31">
        <f t="shared" si="51"/>
        <v>0.16839999999999999</v>
      </c>
      <c r="EL122" s="31">
        <f t="shared" si="51"/>
        <v>0.17490000000000006</v>
      </c>
      <c r="EM122" s="31">
        <f t="shared" si="51"/>
        <v>0.17979999999999996</v>
      </c>
      <c r="EN122" s="31">
        <f t="shared" si="51"/>
        <v>0.16000000000000003</v>
      </c>
      <c r="EO122" s="31">
        <f t="shared" si="51"/>
        <v>0.1845</v>
      </c>
      <c r="EP122" s="31">
        <f t="shared" si="51"/>
        <v>0.17659999999999998</v>
      </c>
      <c r="EQ122" s="31">
        <f t="shared" si="51"/>
        <v>0.13529999999999998</v>
      </c>
      <c r="ER122" s="31">
        <f t="shared" si="51"/>
        <v>0.18420000000000003</v>
      </c>
      <c r="ES122" s="31">
        <f t="shared" si="51"/>
        <v>0.19359999999999999</v>
      </c>
      <c r="ET122" s="31">
        <f t="shared" si="51"/>
        <v>0.19140000000000001</v>
      </c>
      <c r="EU122" s="31">
        <f t="shared" si="51"/>
        <v>0.17130000000000001</v>
      </c>
      <c r="EV122" s="31">
        <f t="shared" si="51"/>
        <v>0.19930000000000003</v>
      </c>
      <c r="EW122" s="31">
        <f t="shared" si="51"/>
        <v>0.16369999999999996</v>
      </c>
      <c r="EX122" s="31">
        <f t="shared" si="51"/>
        <v>0.19289999999999996</v>
      </c>
      <c r="EY122" s="31">
        <f t="shared" si="51"/>
        <v>0.16869999999999996</v>
      </c>
      <c r="EZ122" s="31">
        <f t="shared" si="51"/>
        <v>0.19569999999999999</v>
      </c>
      <c r="FA122" s="31">
        <f t="shared" si="51"/>
        <v>0.13139999999999996</v>
      </c>
      <c r="FB122" s="31">
        <f t="shared" si="51"/>
        <v>0.18559999999999999</v>
      </c>
      <c r="FC122" s="31">
        <f t="shared" si="51"/>
        <v>0.13929999999999998</v>
      </c>
      <c r="FD122" s="31">
        <f t="shared" si="51"/>
        <v>0.17830000000000001</v>
      </c>
      <c r="FE122" s="31">
        <f t="shared" si="51"/>
        <v>0.19889999999999997</v>
      </c>
      <c r="FF122" s="31">
        <f t="shared" si="51"/>
        <v>0.19220000000000004</v>
      </c>
      <c r="FG122" s="31">
        <f t="shared" si="51"/>
        <v>0.19630000000000003</v>
      </c>
      <c r="FH122" s="31">
        <f t="shared" si="51"/>
        <v>0.19950000000000001</v>
      </c>
      <c r="FI122" s="31">
        <f t="shared" si="51"/>
        <v>0.13990000000000002</v>
      </c>
      <c r="FJ122" s="31">
        <f t="shared" si="51"/>
        <v>0.13829999999999998</v>
      </c>
      <c r="FK122" s="31">
        <f t="shared" si="51"/>
        <v>0.13580000000000003</v>
      </c>
      <c r="FL122" s="31">
        <f t="shared" si="51"/>
        <v>0.11429999999999996</v>
      </c>
      <c r="FM122" s="31">
        <f t="shared" si="51"/>
        <v>0.12849999999999995</v>
      </c>
      <c r="FN122" s="31">
        <f t="shared" si="51"/>
        <v>0.10160000000000002</v>
      </c>
      <c r="FO122" s="31">
        <f t="shared" si="51"/>
        <v>0.15439999999999998</v>
      </c>
      <c r="FP122" s="31">
        <f t="shared" si="51"/>
        <v>0.13670000000000004</v>
      </c>
      <c r="FQ122" s="31">
        <f t="shared" si="51"/>
        <v>0.15859999999999996</v>
      </c>
      <c r="FR122" s="31">
        <f t="shared" si="51"/>
        <v>0.19320000000000004</v>
      </c>
      <c r="FS122" s="31">
        <f t="shared" si="51"/>
        <v>0.19320000000000004</v>
      </c>
      <c r="FT122" s="31" t="e">
        <f t="shared" ca="1" si="51"/>
        <v>#NAME?</v>
      </c>
      <c r="FU122" s="31">
        <f t="shared" si="51"/>
        <v>0.16459999999999997</v>
      </c>
      <c r="FV122" s="31">
        <f t="shared" si="51"/>
        <v>0.16759999999999997</v>
      </c>
      <c r="FW122" s="31">
        <f t="shared" si="51"/>
        <v>0.19440000000000002</v>
      </c>
      <c r="FX122" s="31">
        <f t="shared" si="51"/>
        <v>0.19989999999999997</v>
      </c>
      <c r="FY122" s="31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</row>
    <row r="123" spans="1:202" ht="15.5" x14ac:dyDescent="0.35">
      <c r="A123" s="12" t="s">
        <v>850</v>
      </c>
      <c r="B123" s="7" t="s">
        <v>851</v>
      </c>
      <c r="C123" s="31">
        <f t="shared" ref="C123:FX123" si="52">C113</f>
        <v>1.0297000000000001</v>
      </c>
      <c r="D123" s="31">
        <f t="shared" si="52"/>
        <v>1.0297000000000001</v>
      </c>
      <c r="E123" s="31">
        <f t="shared" si="52"/>
        <v>1.0297000000000001</v>
      </c>
      <c r="F123" s="31">
        <f t="shared" si="52"/>
        <v>1.0297000000000001</v>
      </c>
      <c r="G123" s="31">
        <f t="shared" si="52"/>
        <v>1.0773999999999999</v>
      </c>
      <c r="H123" s="31">
        <f t="shared" si="52"/>
        <v>1.1176999999999999</v>
      </c>
      <c r="I123" s="31">
        <f t="shared" si="52"/>
        <v>1.0297000000000001</v>
      </c>
      <c r="J123" s="31">
        <f t="shared" si="52"/>
        <v>1.0654999999999999</v>
      </c>
      <c r="K123" s="31">
        <f t="shared" si="52"/>
        <v>1.6371</v>
      </c>
      <c r="L123" s="31">
        <f t="shared" si="52"/>
        <v>1.0607</v>
      </c>
      <c r="M123" s="31">
        <f t="shared" si="52"/>
        <v>1.1372</v>
      </c>
      <c r="N123" s="31">
        <f t="shared" si="52"/>
        <v>1.0297000000000001</v>
      </c>
      <c r="O123" s="31">
        <f t="shared" si="52"/>
        <v>1.0297000000000001</v>
      </c>
      <c r="P123" s="31">
        <f t="shared" si="52"/>
        <v>1.4797</v>
      </c>
      <c r="Q123" s="31">
        <f t="shared" si="52"/>
        <v>1.0297000000000001</v>
      </c>
      <c r="R123" s="31">
        <f t="shared" si="52"/>
        <v>1.0297000000000001</v>
      </c>
      <c r="S123" s="31">
        <f t="shared" si="52"/>
        <v>1.0903</v>
      </c>
      <c r="T123" s="31">
        <f t="shared" si="52"/>
        <v>1.9779</v>
      </c>
      <c r="U123" s="31">
        <f t="shared" si="52"/>
        <v>2.3751000000000002</v>
      </c>
      <c r="V123" s="31">
        <f t="shared" si="52"/>
        <v>1.6194</v>
      </c>
      <c r="W123" s="31">
        <f t="shared" si="52"/>
        <v>2.3593000000000002</v>
      </c>
      <c r="X123" s="31">
        <f t="shared" si="52"/>
        <v>2.3957999999999999</v>
      </c>
      <c r="Y123" s="31">
        <f t="shared" si="52"/>
        <v>1.1482000000000001</v>
      </c>
      <c r="Z123" s="31">
        <f t="shared" si="52"/>
        <v>1.7145999999999999</v>
      </c>
      <c r="AA123" s="31">
        <f t="shared" si="52"/>
        <v>1.0297000000000001</v>
      </c>
      <c r="AB123" s="31">
        <f t="shared" si="52"/>
        <v>1.0297000000000001</v>
      </c>
      <c r="AC123" s="31">
        <f t="shared" si="52"/>
        <v>1.1464000000000001</v>
      </c>
      <c r="AD123" s="31">
        <f t="shared" si="52"/>
        <v>1.0992</v>
      </c>
      <c r="AE123" s="31">
        <f t="shared" si="52"/>
        <v>2.2189999999999999</v>
      </c>
      <c r="AF123" s="31">
        <f t="shared" si="52"/>
        <v>1.9538</v>
      </c>
      <c r="AG123" s="31">
        <f t="shared" si="52"/>
        <v>1.2092000000000001</v>
      </c>
      <c r="AH123" s="31">
        <f t="shared" si="52"/>
        <v>1.1357999999999999</v>
      </c>
      <c r="AI123" s="31">
        <f t="shared" si="52"/>
        <v>1.3661000000000001</v>
      </c>
      <c r="AJ123" s="31">
        <f t="shared" si="52"/>
        <v>1.9012</v>
      </c>
      <c r="AK123" s="31">
        <f t="shared" si="52"/>
        <v>1.9605999999999999</v>
      </c>
      <c r="AL123" s="31">
        <f t="shared" si="52"/>
        <v>1.5246999999999999</v>
      </c>
      <c r="AM123" s="31">
        <f t="shared" si="52"/>
        <v>1.4171</v>
      </c>
      <c r="AN123" s="31">
        <f t="shared" si="52"/>
        <v>1.5045999999999999</v>
      </c>
      <c r="AO123" s="31">
        <f t="shared" si="52"/>
        <v>1.0325</v>
      </c>
      <c r="AP123" s="31">
        <f t="shared" si="52"/>
        <v>1.0297000000000001</v>
      </c>
      <c r="AQ123" s="31">
        <f t="shared" si="52"/>
        <v>1.6396999999999999</v>
      </c>
      <c r="AR123" s="31">
        <f t="shared" si="52"/>
        <v>1.0297000000000001</v>
      </c>
      <c r="AS123" s="31">
        <f t="shared" si="52"/>
        <v>1.0297000000000001</v>
      </c>
      <c r="AT123" s="31">
        <f t="shared" si="52"/>
        <v>1.0523</v>
      </c>
      <c r="AU123" s="31">
        <f t="shared" si="52"/>
        <v>1.5645</v>
      </c>
      <c r="AV123" s="31">
        <f t="shared" si="52"/>
        <v>1.4963</v>
      </c>
      <c r="AW123" s="31">
        <f t="shared" si="52"/>
        <v>1.6172</v>
      </c>
      <c r="AX123" s="31">
        <f t="shared" si="52"/>
        <v>2.2791999999999999</v>
      </c>
      <c r="AY123" s="31">
        <f t="shared" si="52"/>
        <v>1.3261000000000001</v>
      </c>
      <c r="AZ123" s="31">
        <f t="shared" si="52"/>
        <v>1.0297000000000001</v>
      </c>
      <c r="BA123" s="31">
        <f t="shared" si="52"/>
        <v>1.0297000000000001</v>
      </c>
      <c r="BB123" s="31">
        <f t="shared" si="52"/>
        <v>1.0297000000000001</v>
      </c>
      <c r="BC123" s="31">
        <f t="shared" si="52"/>
        <v>1.0297000000000001</v>
      </c>
      <c r="BD123" s="31">
        <f t="shared" si="52"/>
        <v>1.0361</v>
      </c>
      <c r="BE123" s="31">
        <f t="shared" si="52"/>
        <v>1.1122000000000001</v>
      </c>
      <c r="BF123" s="31">
        <f t="shared" si="52"/>
        <v>1.0297000000000001</v>
      </c>
      <c r="BG123" s="31">
        <f t="shared" si="52"/>
        <v>1.1434</v>
      </c>
      <c r="BH123" s="31">
        <f t="shared" si="52"/>
        <v>1.2129000000000001</v>
      </c>
      <c r="BI123" s="31">
        <f t="shared" si="52"/>
        <v>1.6156999999999999</v>
      </c>
      <c r="BJ123" s="31">
        <f t="shared" si="52"/>
        <v>1.0297000000000001</v>
      </c>
      <c r="BK123" s="31">
        <f t="shared" si="52"/>
        <v>1.0297000000000001</v>
      </c>
      <c r="BL123" s="31">
        <f t="shared" si="52"/>
        <v>2.2930999999999999</v>
      </c>
      <c r="BM123" s="31">
        <f t="shared" si="52"/>
        <v>1.4058999999999999</v>
      </c>
      <c r="BN123" s="31">
        <f t="shared" si="52"/>
        <v>1.0416000000000001</v>
      </c>
      <c r="BO123" s="31">
        <f t="shared" si="52"/>
        <v>1.1091</v>
      </c>
      <c r="BP123" s="31">
        <f t="shared" si="52"/>
        <v>1.9804999999999999</v>
      </c>
      <c r="BQ123" s="31">
        <f t="shared" si="52"/>
        <v>1.0297000000000001</v>
      </c>
      <c r="BR123" s="31">
        <f t="shared" si="52"/>
        <v>1.0321</v>
      </c>
      <c r="BS123" s="31">
        <f t="shared" si="52"/>
        <v>1.1144000000000001</v>
      </c>
      <c r="BT123" s="31">
        <f t="shared" si="52"/>
        <v>1.3836999999999999</v>
      </c>
      <c r="BU123" s="31">
        <f t="shared" si="52"/>
        <v>1.3481000000000001</v>
      </c>
      <c r="BV123" s="31">
        <f t="shared" si="52"/>
        <v>1.1096999999999999</v>
      </c>
      <c r="BW123" s="31">
        <f t="shared" si="52"/>
        <v>1.0681</v>
      </c>
      <c r="BX123" s="31">
        <f t="shared" si="52"/>
        <v>2.3338000000000001</v>
      </c>
      <c r="BY123" s="31">
        <f t="shared" si="52"/>
        <v>1.3641000000000001</v>
      </c>
      <c r="BZ123" s="31">
        <f t="shared" si="52"/>
        <v>1.7262999999999999</v>
      </c>
      <c r="CA123" s="31">
        <f t="shared" si="52"/>
        <v>2.0339999999999998</v>
      </c>
      <c r="CB123" s="31">
        <f t="shared" si="52"/>
        <v>1.0297000000000001</v>
      </c>
      <c r="CC123" s="31">
        <f t="shared" si="52"/>
        <v>1.8717999999999999</v>
      </c>
      <c r="CD123" s="31">
        <f t="shared" si="52"/>
        <v>2.3957999999999999</v>
      </c>
      <c r="CE123" s="31">
        <f t="shared" si="52"/>
        <v>1.9883999999999999</v>
      </c>
      <c r="CF123" s="31">
        <f t="shared" si="52"/>
        <v>2.1606999999999998</v>
      </c>
      <c r="CG123" s="31">
        <f t="shared" si="52"/>
        <v>1.8320000000000001</v>
      </c>
      <c r="CH123" s="31">
        <f t="shared" si="52"/>
        <v>2.2208999999999999</v>
      </c>
      <c r="CI123" s="31">
        <f t="shared" si="52"/>
        <v>1.1914</v>
      </c>
      <c r="CJ123" s="31">
        <f t="shared" si="52"/>
        <v>1.1534</v>
      </c>
      <c r="CK123" s="31">
        <f t="shared" si="52"/>
        <v>1.0301</v>
      </c>
      <c r="CL123" s="31">
        <f t="shared" si="52"/>
        <v>1.1101000000000001</v>
      </c>
      <c r="CM123" s="31">
        <f t="shared" si="52"/>
        <v>1.1915</v>
      </c>
      <c r="CN123" s="31">
        <f t="shared" si="52"/>
        <v>1.0297000000000001</v>
      </c>
      <c r="CO123" s="31">
        <f t="shared" si="52"/>
        <v>1.0297000000000001</v>
      </c>
      <c r="CP123" s="31">
        <f t="shared" si="52"/>
        <v>1.1406000000000001</v>
      </c>
      <c r="CQ123" s="31">
        <f t="shared" si="52"/>
        <v>1.1744000000000001</v>
      </c>
      <c r="CR123" s="31">
        <f t="shared" si="52"/>
        <v>1.7721</v>
      </c>
      <c r="CS123" s="31">
        <f t="shared" si="52"/>
        <v>1.5298</v>
      </c>
      <c r="CT123" s="31">
        <f t="shared" si="52"/>
        <v>2.157</v>
      </c>
      <c r="CU123" s="31">
        <f t="shared" si="52"/>
        <v>1.2363</v>
      </c>
      <c r="CV123" s="31">
        <f t="shared" si="52"/>
        <v>2.3957999999999999</v>
      </c>
      <c r="CW123" s="31">
        <f t="shared" si="52"/>
        <v>1.8365</v>
      </c>
      <c r="CX123" s="31">
        <f t="shared" si="52"/>
        <v>1.238</v>
      </c>
      <c r="CY123" s="31">
        <f t="shared" si="52"/>
        <v>2.3957999999999999</v>
      </c>
      <c r="CZ123" s="31">
        <f t="shared" si="52"/>
        <v>1.0794999999999999</v>
      </c>
      <c r="DA123" s="31">
        <f t="shared" si="52"/>
        <v>1.8184</v>
      </c>
      <c r="DB123" s="31">
        <f t="shared" si="52"/>
        <v>1.4789000000000001</v>
      </c>
      <c r="DC123" s="31">
        <f t="shared" si="52"/>
        <v>1.8579000000000001</v>
      </c>
      <c r="DD123" s="31">
        <f t="shared" si="52"/>
        <v>1.9275</v>
      </c>
      <c r="DE123" s="31">
        <f t="shared" si="52"/>
        <v>1.5301</v>
      </c>
      <c r="DF123" s="31">
        <f t="shared" si="52"/>
        <v>1.0297000000000001</v>
      </c>
      <c r="DG123" s="31">
        <f t="shared" si="52"/>
        <v>2.2322000000000002</v>
      </c>
      <c r="DH123" s="31">
        <f t="shared" si="52"/>
        <v>1.0795999999999999</v>
      </c>
      <c r="DI123" s="31">
        <f t="shared" si="52"/>
        <v>1.0510999999999999</v>
      </c>
      <c r="DJ123" s="31">
        <f t="shared" si="52"/>
        <v>1.2044999999999999</v>
      </c>
      <c r="DK123" s="31">
        <f t="shared" si="52"/>
        <v>1.2343999999999999</v>
      </c>
      <c r="DL123" s="31">
        <f t="shared" si="52"/>
        <v>1.0297000000000001</v>
      </c>
      <c r="DM123" s="31">
        <f t="shared" si="52"/>
        <v>1.6999</v>
      </c>
      <c r="DN123" s="31">
        <f t="shared" si="52"/>
        <v>1.107</v>
      </c>
      <c r="DO123" s="31">
        <f t="shared" si="52"/>
        <v>1.0397000000000001</v>
      </c>
      <c r="DP123" s="31">
        <f t="shared" si="52"/>
        <v>1.8315999999999999</v>
      </c>
      <c r="DQ123" s="31">
        <f t="shared" si="52"/>
        <v>1.1500999999999999</v>
      </c>
      <c r="DR123" s="31">
        <f t="shared" si="52"/>
        <v>1.1060000000000001</v>
      </c>
      <c r="DS123" s="31">
        <f t="shared" si="52"/>
        <v>1.2095</v>
      </c>
      <c r="DT123" s="31">
        <f t="shared" si="52"/>
        <v>1.92</v>
      </c>
      <c r="DU123" s="31">
        <f t="shared" si="52"/>
        <v>1.4191</v>
      </c>
      <c r="DV123" s="31">
        <f t="shared" si="52"/>
        <v>1.8015000000000001</v>
      </c>
      <c r="DW123" s="31">
        <f t="shared" si="52"/>
        <v>1.5051000000000001</v>
      </c>
      <c r="DX123" s="31">
        <f t="shared" si="52"/>
        <v>1.952</v>
      </c>
      <c r="DY123" s="31">
        <f t="shared" si="52"/>
        <v>1.5111000000000001</v>
      </c>
      <c r="DZ123" s="31">
        <f t="shared" si="52"/>
        <v>1.1926000000000001</v>
      </c>
      <c r="EA123" s="31">
        <f t="shared" si="52"/>
        <v>1.2238</v>
      </c>
      <c r="EB123" s="31">
        <f t="shared" si="52"/>
        <v>1.2230000000000001</v>
      </c>
      <c r="EC123" s="31">
        <f t="shared" si="52"/>
        <v>1.5304</v>
      </c>
      <c r="ED123" s="31">
        <f t="shared" si="52"/>
        <v>1.0927</v>
      </c>
      <c r="EE123" s="31">
        <f t="shared" si="52"/>
        <v>1.8632</v>
      </c>
      <c r="EF123" s="31">
        <f t="shared" si="52"/>
        <v>1.1037999999999999</v>
      </c>
      <c r="EG123" s="31">
        <f t="shared" si="52"/>
        <v>1.6303000000000001</v>
      </c>
      <c r="EH123" s="31">
        <f t="shared" si="52"/>
        <v>1.6533</v>
      </c>
      <c r="EI123" s="31">
        <f t="shared" si="52"/>
        <v>1.0297000000000001</v>
      </c>
      <c r="EJ123" s="31">
        <f t="shared" si="52"/>
        <v>1.0297000000000001</v>
      </c>
      <c r="EK123" s="31">
        <f t="shared" si="52"/>
        <v>1.1953</v>
      </c>
      <c r="EL123" s="31">
        <f t="shared" si="52"/>
        <v>1.2383999999999999</v>
      </c>
      <c r="EM123" s="31">
        <f t="shared" si="52"/>
        <v>1.3743000000000001</v>
      </c>
      <c r="EN123" s="31">
        <f t="shared" si="52"/>
        <v>1.1394</v>
      </c>
      <c r="EO123" s="31">
        <f t="shared" si="52"/>
        <v>1.4963</v>
      </c>
      <c r="EP123" s="31">
        <f t="shared" si="52"/>
        <v>1.2897000000000001</v>
      </c>
      <c r="EQ123" s="31">
        <f t="shared" si="52"/>
        <v>1.0488999999999999</v>
      </c>
      <c r="ER123" s="31">
        <f t="shared" si="52"/>
        <v>1.4893000000000001</v>
      </c>
      <c r="ES123" s="31">
        <f t="shared" si="52"/>
        <v>1.9708000000000001</v>
      </c>
      <c r="ET123" s="31">
        <f t="shared" si="52"/>
        <v>2.0855000000000001</v>
      </c>
      <c r="EU123" s="31">
        <f t="shared" si="52"/>
        <v>1.2144999999999999</v>
      </c>
      <c r="EV123" s="31">
        <f t="shared" si="52"/>
        <v>2.3108</v>
      </c>
      <c r="EW123" s="31">
        <f t="shared" si="52"/>
        <v>1.1642999999999999</v>
      </c>
      <c r="EX123" s="31">
        <f t="shared" si="52"/>
        <v>1.9313</v>
      </c>
      <c r="EY123" s="31">
        <f t="shared" si="52"/>
        <v>1.1978</v>
      </c>
      <c r="EZ123" s="31">
        <f t="shared" si="52"/>
        <v>2.0975000000000001</v>
      </c>
      <c r="FA123" s="31">
        <f t="shared" si="52"/>
        <v>1.0382</v>
      </c>
      <c r="FB123" s="31">
        <f t="shared" si="52"/>
        <v>1.5254000000000001</v>
      </c>
      <c r="FC123" s="31">
        <f t="shared" si="52"/>
        <v>1.0784</v>
      </c>
      <c r="FD123" s="31">
        <f t="shared" si="52"/>
        <v>1.3342000000000001</v>
      </c>
      <c r="FE123" s="31">
        <f t="shared" si="52"/>
        <v>2.2867000000000002</v>
      </c>
      <c r="FF123" s="31">
        <f t="shared" si="52"/>
        <v>1.8879999999999999</v>
      </c>
      <c r="FG123" s="31">
        <f t="shared" si="52"/>
        <v>2.1295000000000002</v>
      </c>
      <c r="FH123" s="31">
        <f t="shared" si="52"/>
        <v>2.3206000000000002</v>
      </c>
      <c r="FI123" s="31">
        <f t="shared" si="52"/>
        <v>1.0851</v>
      </c>
      <c r="FJ123" s="31">
        <f t="shared" si="52"/>
        <v>1.0682</v>
      </c>
      <c r="FK123" s="31">
        <f t="shared" si="52"/>
        <v>1.0501</v>
      </c>
      <c r="FL123" s="31">
        <f t="shared" si="52"/>
        <v>1.0297000000000001</v>
      </c>
      <c r="FM123" s="31">
        <f t="shared" si="52"/>
        <v>1.0345</v>
      </c>
      <c r="FN123" s="31">
        <f t="shared" si="52"/>
        <v>1.0297000000000001</v>
      </c>
      <c r="FO123" s="31">
        <f t="shared" si="52"/>
        <v>1.1165</v>
      </c>
      <c r="FP123" s="31">
        <f t="shared" si="52"/>
        <v>1.0526</v>
      </c>
      <c r="FQ123" s="31">
        <f t="shared" si="52"/>
        <v>1.1302000000000001</v>
      </c>
      <c r="FR123" s="31">
        <f t="shared" si="52"/>
        <v>1.9516</v>
      </c>
      <c r="FS123" s="31">
        <f t="shared" si="52"/>
        <v>1.9508000000000001</v>
      </c>
      <c r="FT123" s="31" t="e">
        <f t="shared" ca="1" si="52"/>
        <v>#NAME?</v>
      </c>
      <c r="FU123" s="31">
        <f t="shared" si="52"/>
        <v>1.1700999999999999</v>
      </c>
      <c r="FV123" s="31">
        <f t="shared" si="52"/>
        <v>1.1901999999999999</v>
      </c>
      <c r="FW123" s="31">
        <f t="shared" si="52"/>
        <v>2.0215000000000001</v>
      </c>
      <c r="FX123" s="31">
        <f t="shared" si="52"/>
        <v>2.3412999999999999</v>
      </c>
      <c r="FY123" s="103"/>
      <c r="FZ123" s="31" t="e">
        <f ca="1">SUM(C123:FX123)</f>
        <v>#NAME?</v>
      </c>
      <c r="GA123" s="7"/>
      <c r="GB123" s="31"/>
      <c r="GC123" s="31"/>
      <c r="GD123" s="31"/>
      <c r="GE123" s="7"/>
      <c r="GF123" s="7"/>
      <c r="GG123" s="7"/>
      <c r="GH123" s="7"/>
      <c r="GI123" s="7"/>
      <c r="GJ123" s="7"/>
      <c r="GK123" s="7"/>
    </row>
    <row r="124" spans="1:202" ht="15.5" x14ac:dyDescent="0.35">
      <c r="A124" s="12" t="s">
        <v>3</v>
      </c>
      <c r="B124" s="7" t="s">
        <v>839</v>
      </c>
      <c r="C124" s="81">
        <f ca="1">((C118*C119*C120)+(C122*C121))*C123</f>
        <v>10738.609369934627</v>
      </c>
      <c r="D124" s="81">
        <f t="shared" ref="D124:FX124" ca="1" si="53">ROUND(((D118*D119*D120)+(D122*D121))*D123,8)</f>
        <v>10780.479009459999</v>
      </c>
      <c r="E124" s="81">
        <f t="shared" ca="1" si="53"/>
        <v>10643.85360178</v>
      </c>
      <c r="F124" s="81">
        <f t="shared" ca="1" si="53"/>
        <v>10689.81605182</v>
      </c>
      <c r="G124" s="81">
        <f t="shared" ca="1" si="53"/>
        <v>11113.78245269</v>
      </c>
      <c r="H124" s="81">
        <f t="shared" ca="1" si="53"/>
        <v>11422.10040904</v>
      </c>
      <c r="I124" s="81">
        <f t="shared" ca="1" si="53"/>
        <v>10661.398181820001</v>
      </c>
      <c r="J124" s="81">
        <f t="shared" ca="1" si="53"/>
        <v>10314.757123519999</v>
      </c>
      <c r="K124" s="81">
        <f t="shared" ca="1" si="53"/>
        <v>15512.023119580001</v>
      </c>
      <c r="L124" s="81">
        <f t="shared" ca="1" si="53"/>
        <v>11159.38840795</v>
      </c>
      <c r="M124" s="81">
        <f t="shared" ca="1" si="53"/>
        <v>11911.168863340001</v>
      </c>
      <c r="N124" s="81">
        <f t="shared" ca="1" si="53"/>
        <v>11104.467071319999</v>
      </c>
      <c r="O124" s="81">
        <f t="shared" ca="1" si="53"/>
        <v>10828.94833951</v>
      </c>
      <c r="P124" s="81">
        <f t="shared" ca="1" si="53"/>
        <v>15128.685684890001</v>
      </c>
      <c r="Q124" s="81">
        <f t="shared" ca="1" si="53"/>
        <v>10934.37333884</v>
      </c>
      <c r="R124" s="81">
        <f t="shared" ca="1" si="53"/>
        <v>10659.65831223</v>
      </c>
      <c r="S124" s="81">
        <f t="shared" ca="1" si="53"/>
        <v>10975.56024513</v>
      </c>
      <c r="T124" s="81">
        <f t="shared" ca="1" si="53"/>
        <v>18355.878521719998</v>
      </c>
      <c r="U124" s="81">
        <f t="shared" ca="1" si="53"/>
        <v>21881.90851397</v>
      </c>
      <c r="V124" s="81">
        <f t="shared" ca="1" si="53"/>
        <v>15024.600686629999</v>
      </c>
      <c r="W124" s="81">
        <f t="shared" ca="1" si="53"/>
        <v>21736.64996594</v>
      </c>
      <c r="X124" s="81">
        <f t="shared" ca="1" si="53"/>
        <v>22055.351485030002</v>
      </c>
      <c r="Y124" s="81">
        <f t="shared" ca="1" si="53"/>
        <v>10590.946651419999</v>
      </c>
      <c r="Z124" s="81">
        <f t="shared" ca="1" si="53"/>
        <v>15555.45957053</v>
      </c>
      <c r="AA124" s="81">
        <f t="shared" ca="1" si="53"/>
        <v>10853.37632338</v>
      </c>
      <c r="AB124" s="81">
        <f t="shared" ca="1" si="53"/>
        <v>11090.43803024</v>
      </c>
      <c r="AC124" s="81">
        <f t="shared" ca="1" si="53"/>
        <v>11444.004921559999</v>
      </c>
      <c r="AD124" s="81">
        <f t="shared" ca="1" si="53"/>
        <v>10837.41130458</v>
      </c>
      <c r="AE124" s="81">
        <f t="shared" ca="1" si="53"/>
        <v>20323.735904280002</v>
      </c>
      <c r="AF124" s="81">
        <f t="shared" ca="1" si="53"/>
        <v>18639.667538599999</v>
      </c>
      <c r="AG124" s="81">
        <f t="shared" ca="1" si="53"/>
        <v>12393.244597659999</v>
      </c>
      <c r="AH124" s="81">
        <f t="shared" ca="1" si="53"/>
        <v>10793.282859020001</v>
      </c>
      <c r="AI124" s="81">
        <f t="shared" ca="1" si="53"/>
        <v>12867.603865110001</v>
      </c>
      <c r="AJ124" s="81">
        <f t="shared" ca="1" si="53"/>
        <v>18059.57909376</v>
      </c>
      <c r="AK124" s="81">
        <f t="shared" ca="1" si="53"/>
        <v>18291.973206760002</v>
      </c>
      <c r="AL124" s="81">
        <f t="shared" ca="1" si="53"/>
        <v>14364.17662738</v>
      </c>
      <c r="AM124" s="81">
        <f t="shared" ca="1" si="53"/>
        <v>13456.508305519999</v>
      </c>
      <c r="AN124" s="81">
        <f t="shared" ca="1" si="53"/>
        <v>14634.177562819999</v>
      </c>
      <c r="AO124" s="81">
        <f t="shared" ca="1" si="53"/>
        <v>10495.23070873</v>
      </c>
      <c r="AP124" s="81">
        <f t="shared" ca="1" si="53"/>
        <v>10942.473040389999</v>
      </c>
      <c r="AQ124" s="81">
        <f t="shared" ca="1" si="53"/>
        <v>16219.525156309999</v>
      </c>
      <c r="AR124" s="81">
        <f t="shared" ca="1" si="53"/>
        <v>10942.473040389999</v>
      </c>
      <c r="AS124" s="81">
        <f t="shared" ca="1" si="53"/>
        <v>11481.99371289</v>
      </c>
      <c r="AT124" s="81">
        <f t="shared" ca="1" si="53"/>
        <v>11104.83353812</v>
      </c>
      <c r="AU124" s="81">
        <f t="shared" ca="1" si="53"/>
        <v>15987.176242940001</v>
      </c>
      <c r="AV124" s="81">
        <f t="shared" ca="1" si="53"/>
        <v>15158.5620239</v>
      </c>
      <c r="AW124" s="81">
        <f t="shared" ca="1" si="53"/>
        <v>16397.356424760001</v>
      </c>
      <c r="AX124" s="81">
        <f t="shared" ca="1" si="53"/>
        <v>22572.087759149999</v>
      </c>
      <c r="AY124" s="81">
        <f t="shared" ca="1" si="53"/>
        <v>13468.475264590001</v>
      </c>
      <c r="AZ124" s="81">
        <f t="shared" ca="1" si="53"/>
        <v>10612.85546221</v>
      </c>
      <c r="BA124" s="81">
        <f t="shared" ca="1" si="53"/>
        <v>10377.606119509999</v>
      </c>
      <c r="BB124" s="81">
        <f t="shared" ca="1" si="53"/>
        <v>10454.539859279999</v>
      </c>
      <c r="BC124" s="81">
        <f t="shared" ca="1" si="53"/>
        <v>10625.74875508</v>
      </c>
      <c r="BD124" s="81">
        <f t="shared" ca="1" si="53"/>
        <v>10658.347160290001</v>
      </c>
      <c r="BE124" s="81">
        <f t="shared" ca="1" si="53"/>
        <v>11380.527282270001</v>
      </c>
      <c r="BF124" s="81">
        <f t="shared" ca="1" si="53"/>
        <v>10708.072152610001</v>
      </c>
      <c r="BG124" s="81">
        <f t="shared" ca="1" si="53"/>
        <v>11573.26131351</v>
      </c>
      <c r="BH124" s="81">
        <f t="shared" ca="1" si="53"/>
        <v>12351.371819</v>
      </c>
      <c r="BI124" s="81">
        <f t="shared" ca="1" si="53"/>
        <v>16097.179919280001</v>
      </c>
      <c r="BJ124" s="81">
        <f t="shared" ca="1" si="53"/>
        <v>10768.002784099999</v>
      </c>
      <c r="BK124" s="81">
        <f t="shared" ca="1" si="53"/>
        <v>10650.883784719999</v>
      </c>
      <c r="BL124" s="81">
        <f t="shared" ca="1" si="53"/>
        <v>22565.369211050001</v>
      </c>
      <c r="BM124" s="81">
        <f t="shared" ca="1" si="53"/>
        <v>13901.148564499999</v>
      </c>
      <c r="BN124" s="81">
        <f t="shared" ca="1" si="53"/>
        <v>10270.43818291</v>
      </c>
      <c r="BO124" s="81">
        <f t="shared" ca="1" si="53"/>
        <v>10778.9162891</v>
      </c>
      <c r="BP124" s="81">
        <f t="shared" ca="1" si="53"/>
        <v>18962.956738360001</v>
      </c>
      <c r="BQ124" s="81">
        <f t="shared" ca="1" si="53"/>
        <v>11386.381434860001</v>
      </c>
      <c r="BR124" s="81">
        <f t="shared" ca="1" si="53"/>
        <v>10585.9467159</v>
      </c>
      <c r="BS124" s="81">
        <f t="shared" ca="1" si="53"/>
        <v>11449.62029024</v>
      </c>
      <c r="BT124" s="81">
        <f t="shared" ca="1" si="53"/>
        <v>14353.71077806</v>
      </c>
      <c r="BU124" s="81">
        <f t="shared" ca="1" si="53"/>
        <v>14007.53289848</v>
      </c>
      <c r="BV124" s="81">
        <f t="shared" ca="1" si="53"/>
        <v>11202.0885667</v>
      </c>
      <c r="BW124" s="81">
        <f t="shared" ca="1" si="53"/>
        <v>11035.662144800001</v>
      </c>
      <c r="BX124" s="81">
        <f t="shared" ca="1" si="53"/>
        <v>23807.7059935</v>
      </c>
      <c r="BY124" s="81">
        <f t="shared" ca="1" si="53"/>
        <v>12686.40864539</v>
      </c>
      <c r="BZ124" s="81">
        <f t="shared" ca="1" si="53"/>
        <v>15819.56011814</v>
      </c>
      <c r="CA124" s="81">
        <f t="shared" ca="1" si="53"/>
        <v>20028.51729539</v>
      </c>
      <c r="CB124" s="81">
        <f t="shared" ca="1" si="53"/>
        <v>10845.27662183</v>
      </c>
      <c r="CC124" s="81">
        <f t="shared" ca="1" si="53"/>
        <v>17123.881216850001</v>
      </c>
      <c r="CD124" s="81">
        <f t="shared" ca="1" si="53"/>
        <v>21572.722102520001</v>
      </c>
      <c r="CE124" s="81">
        <f t="shared" ca="1" si="53"/>
        <v>18341.580141840001</v>
      </c>
      <c r="CF124" s="81">
        <f t="shared" ca="1" si="53"/>
        <v>19338.494874970002</v>
      </c>
      <c r="CG124" s="81">
        <f t="shared" ca="1" si="53"/>
        <v>16915.047340820001</v>
      </c>
      <c r="CH124" s="81">
        <f t="shared" ca="1" si="53"/>
        <v>20495.991559990001</v>
      </c>
      <c r="CI124" s="81">
        <f t="shared" ca="1" si="53"/>
        <v>11027.596785510001</v>
      </c>
      <c r="CJ124" s="81">
        <f t="shared" ca="1" si="53"/>
        <v>11612.7315368</v>
      </c>
      <c r="CK124" s="81">
        <f t="shared" ca="1" si="53"/>
        <v>10961.511256289999</v>
      </c>
      <c r="CL124" s="81">
        <f t="shared" ca="1" si="53"/>
        <v>11582.71589997</v>
      </c>
      <c r="CM124" s="81">
        <f t="shared" ca="1" si="53"/>
        <v>12295.44129243</v>
      </c>
      <c r="CN124" s="81">
        <f t="shared" ca="1" si="53"/>
        <v>10456.49094761</v>
      </c>
      <c r="CO124" s="81">
        <f t="shared" ca="1" si="53"/>
        <v>10441.159689329999</v>
      </c>
      <c r="CP124" s="81">
        <f t="shared" ca="1" si="53"/>
        <v>11779.038239150001</v>
      </c>
      <c r="CQ124" s="81">
        <f t="shared" ca="1" si="53"/>
        <v>11588.107996819999</v>
      </c>
      <c r="CR124" s="81">
        <f t="shared" ca="1" si="53"/>
        <v>16812.203358639999</v>
      </c>
      <c r="CS124" s="81">
        <f t="shared" ca="1" si="53"/>
        <v>14617.67253657</v>
      </c>
      <c r="CT124" s="81">
        <f t="shared" ca="1" si="53"/>
        <v>19847.62466026</v>
      </c>
      <c r="CU124" s="81">
        <f t="shared" ca="1" si="53"/>
        <v>10887.60118027</v>
      </c>
      <c r="CV124" s="81">
        <f t="shared" ca="1" si="53"/>
        <v>21073.45032751</v>
      </c>
      <c r="CW124" s="81">
        <f t="shared" ca="1" si="53"/>
        <v>17459.91918257</v>
      </c>
      <c r="CX124" s="81">
        <f t="shared" ca="1" si="53"/>
        <v>12056.85861487</v>
      </c>
      <c r="CY124" s="81">
        <f t="shared" ca="1" si="53"/>
        <v>22255.060195040001</v>
      </c>
      <c r="CZ124" s="81">
        <f t="shared" ca="1" si="53"/>
        <v>10682.846703220001</v>
      </c>
      <c r="DA124" s="81">
        <f t="shared" ca="1" si="53"/>
        <v>17365.10770181</v>
      </c>
      <c r="DB124" s="81">
        <f t="shared" ca="1" si="53"/>
        <v>14449.038702989999</v>
      </c>
      <c r="DC124" s="81">
        <f t="shared" ca="1" si="53"/>
        <v>17884.736210269999</v>
      </c>
      <c r="DD124" s="81">
        <f t="shared" ca="1" si="53"/>
        <v>18484.437191249999</v>
      </c>
      <c r="DE124" s="81">
        <f t="shared" ca="1" si="53"/>
        <v>14880.45045436</v>
      </c>
      <c r="DF124" s="81">
        <f t="shared" ca="1" si="53"/>
        <v>10121.78800986</v>
      </c>
      <c r="DG124" s="81">
        <f t="shared" ca="1" si="53"/>
        <v>21782.55764331</v>
      </c>
      <c r="DH124" s="81">
        <f t="shared" ca="1" si="53"/>
        <v>10481.946712319999</v>
      </c>
      <c r="DI124" s="81">
        <f t="shared" ca="1" si="53"/>
        <v>10319.83318774</v>
      </c>
      <c r="DJ124" s="81">
        <f t="shared" ca="1" si="53"/>
        <v>11860.095092789999</v>
      </c>
      <c r="DK124" s="81">
        <f t="shared" ca="1" si="53"/>
        <v>12040.29964279</v>
      </c>
      <c r="DL124" s="81">
        <f t="shared" ca="1" si="53"/>
        <v>10737.990928630001</v>
      </c>
      <c r="DM124" s="81">
        <f t="shared" ca="1" si="53"/>
        <v>17207.67481027</v>
      </c>
      <c r="DN124" s="81">
        <f t="shared" ca="1" si="53"/>
        <v>11169.56877761</v>
      </c>
      <c r="DO124" s="81">
        <f t="shared" ca="1" si="53"/>
        <v>10574.28813685</v>
      </c>
      <c r="DP124" s="81">
        <f t="shared" ca="1" si="53"/>
        <v>18186.07966639</v>
      </c>
      <c r="DQ124" s="81">
        <f t="shared" ca="1" si="53"/>
        <v>11437.97369266</v>
      </c>
      <c r="DR124" s="81">
        <f t="shared" ca="1" si="53"/>
        <v>10800.31880784</v>
      </c>
      <c r="DS124" s="81">
        <f t="shared" ca="1" si="53"/>
        <v>11681.25381111</v>
      </c>
      <c r="DT124" s="81">
        <f t="shared" ca="1" si="53"/>
        <v>18480.089066150002</v>
      </c>
      <c r="DU124" s="81">
        <f t="shared" ca="1" si="53"/>
        <v>13596.51032644</v>
      </c>
      <c r="DV124" s="81">
        <f t="shared" ca="1" si="53"/>
        <v>17204.291485400001</v>
      </c>
      <c r="DW124" s="81">
        <f t="shared" ca="1" si="53"/>
        <v>14500.40260652</v>
      </c>
      <c r="DX124" s="81">
        <f t="shared" ca="1" si="53"/>
        <v>21223.512856869998</v>
      </c>
      <c r="DY124" s="81">
        <f t="shared" ca="1" si="53"/>
        <v>16206.32911432</v>
      </c>
      <c r="DZ124" s="81">
        <f t="shared" ca="1" si="53"/>
        <v>12427.067367539999</v>
      </c>
      <c r="EA124" s="81">
        <f t="shared" ca="1" si="53"/>
        <v>12529.25582581</v>
      </c>
      <c r="EB124" s="81">
        <f t="shared" ca="1" si="53"/>
        <v>11668.044721849999</v>
      </c>
      <c r="EC124" s="81">
        <f t="shared" ca="1" si="53"/>
        <v>14114.213119419999</v>
      </c>
      <c r="ED124" s="81">
        <f t="shared" ca="1" si="53"/>
        <v>14818.65013047</v>
      </c>
      <c r="EE124" s="81">
        <f t="shared" ca="1" si="53"/>
        <v>17163.226516030001</v>
      </c>
      <c r="EF124" s="81">
        <f t="shared" ca="1" si="53"/>
        <v>10682.311948570001</v>
      </c>
      <c r="EG124" s="81">
        <f t="shared" ca="1" si="53"/>
        <v>14665.13155769</v>
      </c>
      <c r="EH124" s="81">
        <f t="shared" ca="1" si="53"/>
        <v>15221.74832144</v>
      </c>
      <c r="EI124" s="81">
        <f t="shared" ca="1" si="53"/>
        <v>10368.59352343</v>
      </c>
      <c r="EJ124" s="81">
        <f t="shared" ca="1" si="53"/>
        <v>10268.051614890001</v>
      </c>
      <c r="EK124" s="81">
        <f t="shared" ca="1" si="53"/>
        <v>11495.19640968</v>
      </c>
      <c r="EL124" s="81">
        <f t="shared" ca="1" si="53"/>
        <v>11696.46315473</v>
      </c>
      <c r="EM124" s="81">
        <f t="shared" ca="1" si="53"/>
        <v>13140.42408106</v>
      </c>
      <c r="EN124" s="81">
        <f t="shared" ca="1" si="53"/>
        <v>10926.66002257</v>
      </c>
      <c r="EO124" s="81">
        <f t="shared" ca="1" si="53"/>
        <v>14204.02039064</v>
      </c>
      <c r="EP124" s="81">
        <f t="shared" ca="1" si="53"/>
        <v>13508.124605360001</v>
      </c>
      <c r="EQ124" s="81">
        <f t="shared" ca="1" si="53"/>
        <v>11261.09261858</v>
      </c>
      <c r="ER124" s="81">
        <f t="shared" ca="1" si="53"/>
        <v>15563.648275240001</v>
      </c>
      <c r="ES124" s="81">
        <f t="shared" ca="1" si="53"/>
        <v>18262.504002009999</v>
      </c>
      <c r="ET124" s="81">
        <f t="shared" ca="1" si="53"/>
        <v>19680.421551020001</v>
      </c>
      <c r="EU124" s="81">
        <f t="shared" ca="1" si="53"/>
        <v>11360.99933194</v>
      </c>
      <c r="EV124" s="81">
        <f t="shared" ca="1" si="53"/>
        <v>22979.783798799999</v>
      </c>
      <c r="EW124" s="81">
        <f t="shared" ca="1" si="53"/>
        <v>15163.95450084</v>
      </c>
      <c r="EX124" s="81">
        <f t="shared" ca="1" si="53"/>
        <v>19929.69347079</v>
      </c>
      <c r="EY124" s="81">
        <f t="shared" ca="1" si="53"/>
        <v>11423.637462950001</v>
      </c>
      <c r="EZ124" s="81">
        <f t="shared" ca="1" si="53"/>
        <v>19756.026827379999</v>
      </c>
      <c r="FA124" s="81">
        <f t="shared" ca="1" si="53"/>
        <v>11539.855551520001</v>
      </c>
      <c r="FB124" s="81">
        <f t="shared" ca="1" si="53"/>
        <v>14834.93582784</v>
      </c>
      <c r="FC124" s="81">
        <f t="shared" ca="1" si="53"/>
        <v>10946.40843189</v>
      </c>
      <c r="FD124" s="81">
        <f t="shared" ca="1" si="53"/>
        <v>12978.293809479999</v>
      </c>
      <c r="FE124" s="81">
        <f t="shared" ca="1" si="53"/>
        <v>21722.525203550002</v>
      </c>
      <c r="FF124" s="81">
        <f t="shared" ca="1" si="53"/>
        <v>18186.434948229999</v>
      </c>
      <c r="FG124" s="81">
        <f t="shared" ca="1" si="53"/>
        <v>20651.308264539999</v>
      </c>
      <c r="FH124" s="81">
        <f t="shared" ca="1" si="53"/>
        <v>21913.984779629998</v>
      </c>
      <c r="FI124" s="81">
        <f t="shared" ca="1" si="53"/>
        <v>10859.185803079999</v>
      </c>
      <c r="FJ124" s="81">
        <f t="shared" ca="1" si="53"/>
        <v>10620.66814123</v>
      </c>
      <c r="FK124" s="81">
        <f t="shared" ca="1" si="53"/>
        <v>10602.273550690001</v>
      </c>
      <c r="FL124" s="81">
        <f t="shared" ca="1" si="53"/>
        <v>10337.16578643</v>
      </c>
      <c r="FM124" s="81">
        <f t="shared" ca="1" si="53"/>
        <v>10378.68120434</v>
      </c>
      <c r="FN124" s="81">
        <f t="shared" ca="1" si="53"/>
        <v>10437.463361440001</v>
      </c>
      <c r="FO124" s="81">
        <f t="shared" ca="1" si="53"/>
        <v>11156.86310002</v>
      </c>
      <c r="FP124" s="81">
        <f t="shared" ca="1" si="53"/>
        <v>10776.042997050001</v>
      </c>
      <c r="FQ124" s="81">
        <f t="shared" ca="1" si="53"/>
        <v>11203.805790500001</v>
      </c>
      <c r="FR124" s="81">
        <f t="shared" ca="1" si="53"/>
        <v>19002.083399480001</v>
      </c>
      <c r="FS124" s="81">
        <f t="shared" ca="1" si="53"/>
        <v>18939.573778990001</v>
      </c>
      <c r="FT124" s="81" t="e">
        <f t="shared" ca="1" si="53"/>
        <v>#NAME?</v>
      </c>
      <c r="FU124" s="81">
        <f t="shared" ca="1" si="53"/>
        <v>11827.04351765</v>
      </c>
      <c r="FV124" s="81">
        <f t="shared" ca="1" si="53"/>
        <v>11610.821122789999</v>
      </c>
      <c r="FW124" s="81">
        <f t="shared" ca="1" si="53"/>
        <v>19651.225421070001</v>
      </c>
      <c r="FX124" s="81">
        <f t="shared" ca="1" si="53"/>
        <v>23541.407660289999</v>
      </c>
      <c r="FY124" s="7"/>
      <c r="FZ124" s="31" t="e">
        <f ca="1">AVERAGE(C124:FX124)</f>
        <v>#NAME?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</row>
    <row r="125" spans="1:202" ht="15.5" x14ac:dyDescent="0.35">
      <c r="A125" s="7"/>
      <c r="B125" s="7" t="s">
        <v>852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31"/>
      <c r="FZ125" s="81" t="e">
        <f ca="1">FZ124/178</f>
        <v>#NAME?</v>
      </c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</row>
    <row r="126" spans="1:202" ht="15.5" x14ac:dyDescent="0.35">
      <c r="A126" s="7"/>
      <c r="B126" s="7" t="s">
        <v>853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31"/>
      <c r="FZ126" s="81"/>
      <c r="GA126" s="7"/>
      <c r="GB126" s="31"/>
      <c r="GC126" s="31"/>
      <c r="GD126" s="31"/>
      <c r="GE126" s="7"/>
      <c r="GF126" s="7"/>
      <c r="GG126" s="7"/>
      <c r="GH126" s="7"/>
      <c r="GI126" s="7"/>
      <c r="GJ126" s="7"/>
      <c r="GK126" s="7"/>
    </row>
    <row r="127" spans="1:202" ht="15.5" x14ac:dyDescent="0.35">
      <c r="A127" s="12" t="s">
        <v>854</v>
      </c>
      <c r="B127" s="7" t="s">
        <v>855</v>
      </c>
      <c r="C127" s="23">
        <f t="shared" ref="C127:FX127" si="54">ROUND(C96,1)</f>
        <v>6384.5</v>
      </c>
      <c r="D127" s="23">
        <f t="shared" si="54"/>
        <v>38102.400000000001</v>
      </c>
      <c r="E127" s="23">
        <f t="shared" si="54"/>
        <v>5738</v>
      </c>
      <c r="F127" s="23">
        <f t="shared" si="54"/>
        <v>22398.6</v>
      </c>
      <c r="G127" s="23">
        <f t="shared" si="54"/>
        <v>1844</v>
      </c>
      <c r="H127" s="23">
        <f t="shared" si="54"/>
        <v>1095.7</v>
      </c>
      <c r="I127" s="23">
        <f t="shared" si="54"/>
        <v>8056</v>
      </c>
      <c r="J127" s="23">
        <f t="shared" si="54"/>
        <v>2066.8000000000002</v>
      </c>
      <c r="K127" s="23">
        <f t="shared" si="54"/>
        <v>251.7</v>
      </c>
      <c r="L127" s="23">
        <f t="shared" si="54"/>
        <v>2133.1</v>
      </c>
      <c r="M127" s="23">
        <f t="shared" si="54"/>
        <v>936.7</v>
      </c>
      <c r="N127" s="23">
        <f t="shared" si="54"/>
        <v>50452.1</v>
      </c>
      <c r="O127" s="23">
        <f t="shared" si="54"/>
        <v>12808.4</v>
      </c>
      <c r="P127" s="23">
        <f t="shared" si="54"/>
        <v>315.3</v>
      </c>
      <c r="Q127" s="23">
        <f t="shared" si="54"/>
        <v>39320.800000000003</v>
      </c>
      <c r="R127" s="23">
        <f t="shared" si="54"/>
        <v>481.8</v>
      </c>
      <c r="S127" s="23">
        <f t="shared" si="54"/>
        <v>1591.4</v>
      </c>
      <c r="T127" s="23">
        <f t="shared" si="54"/>
        <v>161.1</v>
      </c>
      <c r="U127" s="23">
        <f t="shared" si="54"/>
        <v>55.5</v>
      </c>
      <c r="V127" s="23">
        <f t="shared" si="54"/>
        <v>256.39999999999998</v>
      </c>
      <c r="W127" s="23">
        <f t="shared" si="54"/>
        <v>58.7</v>
      </c>
      <c r="X127" s="23">
        <f t="shared" si="54"/>
        <v>50</v>
      </c>
      <c r="Y127" s="23">
        <f t="shared" si="54"/>
        <v>423.8</v>
      </c>
      <c r="Z127" s="23">
        <f t="shared" si="54"/>
        <v>231.1</v>
      </c>
      <c r="AA127" s="23">
        <f t="shared" si="54"/>
        <v>30551.4</v>
      </c>
      <c r="AB127" s="23">
        <f t="shared" si="54"/>
        <v>26947.7</v>
      </c>
      <c r="AC127" s="23">
        <f t="shared" si="54"/>
        <v>906.3</v>
      </c>
      <c r="AD127" s="23">
        <f t="shared" si="54"/>
        <v>1435.1</v>
      </c>
      <c r="AE127" s="23">
        <f t="shared" si="54"/>
        <v>97</v>
      </c>
      <c r="AF127" s="23">
        <f t="shared" si="54"/>
        <v>167.5</v>
      </c>
      <c r="AG127" s="23">
        <f t="shared" si="54"/>
        <v>601.1</v>
      </c>
      <c r="AH127" s="23">
        <f t="shared" si="54"/>
        <v>957.7</v>
      </c>
      <c r="AI127" s="23">
        <f t="shared" si="54"/>
        <v>383</v>
      </c>
      <c r="AJ127" s="23">
        <f t="shared" si="54"/>
        <v>181.5</v>
      </c>
      <c r="AK127" s="23">
        <f t="shared" si="54"/>
        <v>165.7</v>
      </c>
      <c r="AL127" s="23">
        <f t="shared" si="54"/>
        <v>288.5</v>
      </c>
      <c r="AM127" s="23">
        <f t="shared" si="54"/>
        <v>352.6</v>
      </c>
      <c r="AN127" s="23">
        <f t="shared" si="54"/>
        <v>299.5</v>
      </c>
      <c r="AO127" s="23">
        <f t="shared" si="54"/>
        <v>4036</v>
      </c>
      <c r="AP127" s="23">
        <f t="shared" si="54"/>
        <v>83959.6</v>
      </c>
      <c r="AQ127" s="23">
        <f t="shared" si="54"/>
        <v>251</v>
      </c>
      <c r="AR127" s="23">
        <f t="shared" si="54"/>
        <v>60695.1</v>
      </c>
      <c r="AS127" s="23">
        <f t="shared" si="54"/>
        <v>6483</v>
      </c>
      <c r="AT127" s="23">
        <f t="shared" si="54"/>
        <v>2360.1999999999998</v>
      </c>
      <c r="AU127" s="23">
        <f t="shared" si="54"/>
        <v>271</v>
      </c>
      <c r="AV127" s="23">
        <f t="shared" si="54"/>
        <v>305.39999999999998</v>
      </c>
      <c r="AW127" s="23">
        <f t="shared" si="54"/>
        <v>255</v>
      </c>
      <c r="AX127" s="23">
        <f t="shared" si="54"/>
        <v>81</v>
      </c>
      <c r="AY127" s="23">
        <f t="shared" si="54"/>
        <v>406.8</v>
      </c>
      <c r="AZ127" s="23">
        <f t="shared" si="54"/>
        <v>12123.4</v>
      </c>
      <c r="BA127" s="23">
        <f t="shared" si="54"/>
        <v>8895.7999999999993</v>
      </c>
      <c r="BB127" s="23">
        <f t="shared" si="54"/>
        <v>7554.3</v>
      </c>
      <c r="BC127" s="23">
        <f t="shared" si="54"/>
        <v>24177.4</v>
      </c>
      <c r="BD127" s="23">
        <f t="shared" si="54"/>
        <v>3633.5</v>
      </c>
      <c r="BE127" s="23">
        <f t="shared" si="54"/>
        <v>1198.7</v>
      </c>
      <c r="BF127" s="23">
        <f t="shared" si="54"/>
        <v>24386.3</v>
      </c>
      <c r="BG127" s="23">
        <f t="shared" si="54"/>
        <v>920.6</v>
      </c>
      <c r="BH127" s="23">
        <f t="shared" si="54"/>
        <v>543.5</v>
      </c>
      <c r="BI127" s="23">
        <f t="shared" si="54"/>
        <v>257.39999999999998</v>
      </c>
      <c r="BJ127" s="23">
        <f t="shared" si="54"/>
        <v>6297.4</v>
      </c>
      <c r="BK127" s="23">
        <f t="shared" si="54"/>
        <v>21864.7</v>
      </c>
      <c r="BL127" s="23">
        <f t="shared" si="54"/>
        <v>74.3</v>
      </c>
      <c r="BM127" s="23">
        <f t="shared" si="54"/>
        <v>340.8</v>
      </c>
      <c r="BN127" s="23">
        <f t="shared" si="54"/>
        <v>3100.1</v>
      </c>
      <c r="BO127" s="23">
        <f t="shared" si="54"/>
        <v>1254.3</v>
      </c>
      <c r="BP127" s="23">
        <f t="shared" si="54"/>
        <v>160.4</v>
      </c>
      <c r="BQ127" s="23">
        <f t="shared" si="54"/>
        <v>5884.7</v>
      </c>
      <c r="BR127" s="23">
        <f t="shared" si="54"/>
        <v>4488.3999999999996</v>
      </c>
      <c r="BS127" s="23">
        <f t="shared" si="54"/>
        <v>1158.0999999999999</v>
      </c>
      <c r="BT127" s="23">
        <f t="shared" si="54"/>
        <v>372.5</v>
      </c>
      <c r="BU127" s="23">
        <f t="shared" si="54"/>
        <v>393.7</v>
      </c>
      <c r="BV127" s="23">
        <f t="shared" si="54"/>
        <v>1245.3</v>
      </c>
      <c r="BW127" s="23">
        <f t="shared" si="54"/>
        <v>2017.5</v>
      </c>
      <c r="BX127" s="23">
        <f t="shared" si="54"/>
        <v>66.5</v>
      </c>
      <c r="BY127" s="23">
        <f t="shared" si="54"/>
        <v>430.7</v>
      </c>
      <c r="BZ127" s="23">
        <f t="shared" si="54"/>
        <v>228</v>
      </c>
      <c r="CA127" s="23">
        <f t="shared" si="54"/>
        <v>146.19999999999999</v>
      </c>
      <c r="CB127" s="23">
        <f t="shared" si="54"/>
        <v>72575.399999999994</v>
      </c>
      <c r="CC127" s="23">
        <f t="shared" si="54"/>
        <v>189.3</v>
      </c>
      <c r="CD127" s="23">
        <f t="shared" si="54"/>
        <v>50</v>
      </c>
      <c r="CE127" s="23">
        <f t="shared" si="54"/>
        <v>158.30000000000001</v>
      </c>
      <c r="CF127" s="23">
        <f t="shared" si="54"/>
        <v>112.5</v>
      </c>
      <c r="CG127" s="23">
        <f t="shared" si="54"/>
        <v>199.9</v>
      </c>
      <c r="CH127" s="23">
        <f t="shared" si="54"/>
        <v>96.5</v>
      </c>
      <c r="CI127" s="23">
        <f t="shared" si="54"/>
        <v>687.9</v>
      </c>
      <c r="CJ127" s="23">
        <f t="shared" si="54"/>
        <v>872.3</v>
      </c>
      <c r="CK127" s="23">
        <f t="shared" si="54"/>
        <v>4888</v>
      </c>
      <c r="CL127" s="23">
        <f t="shared" si="54"/>
        <v>1228.4000000000001</v>
      </c>
      <c r="CM127" s="23">
        <f t="shared" si="54"/>
        <v>685.4</v>
      </c>
      <c r="CN127" s="23">
        <f t="shared" si="54"/>
        <v>30616.799999999999</v>
      </c>
      <c r="CO127" s="23">
        <f t="shared" si="54"/>
        <v>14324.2</v>
      </c>
      <c r="CP127" s="23">
        <f t="shared" si="54"/>
        <v>929.4</v>
      </c>
      <c r="CQ127" s="23">
        <f t="shared" si="54"/>
        <v>770.1</v>
      </c>
      <c r="CR127" s="23">
        <f t="shared" si="54"/>
        <v>215.8</v>
      </c>
      <c r="CS127" s="23">
        <f t="shared" si="54"/>
        <v>285.5</v>
      </c>
      <c r="CT127" s="23">
        <f t="shared" si="54"/>
        <v>113.5</v>
      </c>
      <c r="CU127" s="23">
        <f t="shared" si="54"/>
        <v>71.8</v>
      </c>
      <c r="CV127" s="23">
        <f t="shared" si="54"/>
        <v>50</v>
      </c>
      <c r="CW127" s="23">
        <f t="shared" si="54"/>
        <v>198.7</v>
      </c>
      <c r="CX127" s="23">
        <f t="shared" si="54"/>
        <v>461.4</v>
      </c>
      <c r="CY127" s="23">
        <f t="shared" si="54"/>
        <v>50</v>
      </c>
      <c r="CZ127" s="23">
        <f t="shared" si="54"/>
        <v>1806.8</v>
      </c>
      <c r="DA127" s="23">
        <f t="shared" si="54"/>
        <v>203.5</v>
      </c>
      <c r="DB127" s="23">
        <f t="shared" si="54"/>
        <v>315.8</v>
      </c>
      <c r="DC127" s="23">
        <f t="shared" si="54"/>
        <v>193</v>
      </c>
      <c r="DD127" s="23">
        <f t="shared" si="54"/>
        <v>174.5</v>
      </c>
      <c r="DE127" s="23">
        <f t="shared" si="54"/>
        <v>285.3</v>
      </c>
      <c r="DF127" s="23">
        <f t="shared" si="54"/>
        <v>20790.099999999999</v>
      </c>
      <c r="DG127" s="23">
        <f t="shared" si="54"/>
        <v>93.5</v>
      </c>
      <c r="DH127" s="23">
        <f t="shared" si="54"/>
        <v>1805.4</v>
      </c>
      <c r="DI127" s="23">
        <f t="shared" si="54"/>
        <v>2448.3000000000002</v>
      </c>
      <c r="DJ127" s="23">
        <f t="shared" si="54"/>
        <v>623</v>
      </c>
      <c r="DK127" s="23">
        <f t="shared" si="54"/>
        <v>477.7</v>
      </c>
      <c r="DL127" s="23">
        <f t="shared" si="54"/>
        <v>5694</v>
      </c>
      <c r="DM127" s="23">
        <f t="shared" si="54"/>
        <v>235</v>
      </c>
      <c r="DN127" s="23">
        <f t="shared" si="54"/>
        <v>1294.5</v>
      </c>
      <c r="DO127" s="23">
        <f t="shared" si="54"/>
        <v>3290</v>
      </c>
      <c r="DP127" s="23">
        <f t="shared" si="54"/>
        <v>200</v>
      </c>
      <c r="DQ127" s="23">
        <f t="shared" si="54"/>
        <v>887</v>
      </c>
      <c r="DR127" s="23">
        <f t="shared" si="54"/>
        <v>1315.2</v>
      </c>
      <c r="DS127" s="23">
        <f t="shared" si="54"/>
        <v>599.9</v>
      </c>
      <c r="DT127" s="23">
        <f t="shared" si="54"/>
        <v>176.5</v>
      </c>
      <c r="DU127" s="23">
        <f t="shared" si="54"/>
        <v>351.4</v>
      </c>
      <c r="DV127" s="23">
        <f t="shared" si="54"/>
        <v>208</v>
      </c>
      <c r="DW127" s="23">
        <f t="shared" si="54"/>
        <v>300.2</v>
      </c>
      <c r="DX127" s="23">
        <f t="shared" si="54"/>
        <v>168</v>
      </c>
      <c r="DY127" s="23">
        <f t="shared" si="54"/>
        <v>296.60000000000002</v>
      </c>
      <c r="DZ127" s="23">
        <f t="shared" si="54"/>
        <v>680.8</v>
      </c>
      <c r="EA127" s="23">
        <f t="shared" si="54"/>
        <v>530.6</v>
      </c>
      <c r="EB127" s="23">
        <f t="shared" si="54"/>
        <v>534.4</v>
      </c>
      <c r="EC127" s="23">
        <f t="shared" si="54"/>
        <v>285.10000000000002</v>
      </c>
      <c r="ED127" s="23">
        <f t="shared" si="54"/>
        <v>1561.8</v>
      </c>
      <c r="EE127" s="23">
        <f t="shared" si="54"/>
        <v>191.6</v>
      </c>
      <c r="EF127" s="23">
        <f t="shared" si="54"/>
        <v>1353.2</v>
      </c>
      <c r="EG127" s="23">
        <f t="shared" si="54"/>
        <v>253.5</v>
      </c>
      <c r="EH127" s="23">
        <f t="shared" si="54"/>
        <v>247.4</v>
      </c>
      <c r="EI127" s="23">
        <f t="shared" si="54"/>
        <v>13865.8</v>
      </c>
      <c r="EJ127" s="23">
        <f t="shared" si="54"/>
        <v>9949.7999999999993</v>
      </c>
      <c r="EK127" s="23">
        <f t="shared" si="54"/>
        <v>668.7</v>
      </c>
      <c r="EL127" s="23">
        <f t="shared" si="54"/>
        <v>459.4</v>
      </c>
      <c r="EM127" s="23">
        <f t="shared" si="54"/>
        <v>378.1</v>
      </c>
      <c r="EN127" s="23">
        <f t="shared" si="54"/>
        <v>896.9</v>
      </c>
      <c r="EO127" s="23">
        <f t="shared" si="54"/>
        <v>305.39999999999998</v>
      </c>
      <c r="EP127" s="23">
        <f t="shared" si="54"/>
        <v>428.5</v>
      </c>
      <c r="EQ127" s="23">
        <f t="shared" si="54"/>
        <v>2614.4</v>
      </c>
      <c r="ER127" s="23">
        <f t="shared" si="54"/>
        <v>307.60000000000002</v>
      </c>
      <c r="ES127" s="23">
        <f t="shared" si="54"/>
        <v>163</v>
      </c>
      <c r="ET127" s="23">
        <f t="shared" si="54"/>
        <v>197.5</v>
      </c>
      <c r="EU127" s="23">
        <f t="shared" si="54"/>
        <v>575.29999999999995</v>
      </c>
      <c r="EV127" s="23">
        <f t="shared" si="54"/>
        <v>72.599999999999994</v>
      </c>
      <c r="EW127" s="23">
        <f t="shared" si="54"/>
        <v>819.4</v>
      </c>
      <c r="EX127" s="23">
        <f t="shared" si="54"/>
        <v>173.5</v>
      </c>
      <c r="EY127" s="23">
        <f t="shared" si="54"/>
        <v>206.5</v>
      </c>
      <c r="EZ127" s="23">
        <f t="shared" si="54"/>
        <v>129.30000000000001</v>
      </c>
      <c r="FA127" s="23">
        <f t="shared" si="54"/>
        <v>3385.2</v>
      </c>
      <c r="FB127" s="23">
        <f t="shared" si="54"/>
        <v>288.10000000000002</v>
      </c>
      <c r="FC127" s="23">
        <f t="shared" si="54"/>
        <v>1822.2</v>
      </c>
      <c r="FD127" s="23">
        <f t="shared" si="54"/>
        <v>402</v>
      </c>
      <c r="FE127" s="23">
        <f t="shared" si="54"/>
        <v>79</v>
      </c>
      <c r="FF127" s="23">
        <f t="shared" si="54"/>
        <v>185</v>
      </c>
      <c r="FG127" s="23">
        <f t="shared" si="54"/>
        <v>120.8</v>
      </c>
      <c r="FH127" s="23">
        <f t="shared" si="54"/>
        <v>70</v>
      </c>
      <c r="FI127" s="23">
        <f t="shared" si="54"/>
        <v>1702.5</v>
      </c>
      <c r="FJ127" s="23">
        <f t="shared" si="54"/>
        <v>2016.5</v>
      </c>
      <c r="FK127" s="23">
        <f t="shared" si="54"/>
        <v>2529.1</v>
      </c>
      <c r="FL127" s="23">
        <f t="shared" si="54"/>
        <v>8538.5</v>
      </c>
      <c r="FM127" s="23">
        <f t="shared" si="54"/>
        <v>3981.5</v>
      </c>
      <c r="FN127" s="23">
        <f t="shared" si="54"/>
        <v>22422.3</v>
      </c>
      <c r="FO127" s="23">
        <f t="shared" si="54"/>
        <v>1117.2</v>
      </c>
      <c r="FP127" s="23">
        <f t="shared" si="54"/>
        <v>2341.5</v>
      </c>
      <c r="FQ127" s="23">
        <f t="shared" si="54"/>
        <v>984.9</v>
      </c>
      <c r="FR127" s="23">
        <f t="shared" si="54"/>
        <v>168.1</v>
      </c>
      <c r="FS127" s="23">
        <f t="shared" si="54"/>
        <v>168.3</v>
      </c>
      <c r="FT127" s="23" t="e">
        <f t="shared" ca="1" si="54"/>
        <v>#NAME?</v>
      </c>
      <c r="FU127" s="23">
        <f t="shared" si="54"/>
        <v>791.1</v>
      </c>
      <c r="FV127" s="23">
        <f t="shared" si="54"/>
        <v>692.7</v>
      </c>
      <c r="FW127" s="23">
        <f t="shared" si="54"/>
        <v>147.5</v>
      </c>
      <c r="FX127" s="23">
        <f t="shared" si="54"/>
        <v>64.5</v>
      </c>
      <c r="FY127" s="25"/>
      <c r="FZ127" s="31" t="e">
        <f t="shared" ref="FZ127:FZ128" ca="1" si="55">SUM(C127:FX127)</f>
        <v>#NAME?</v>
      </c>
      <c r="GA127" s="25"/>
      <c r="GB127" s="31"/>
      <c r="GC127" s="31"/>
      <c r="GD127" s="31"/>
      <c r="GE127" s="7"/>
      <c r="GF127" s="31"/>
      <c r="GG127" s="31"/>
      <c r="GH127" s="31"/>
      <c r="GI127" s="31"/>
      <c r="GJ127" s="31"/>
      <c r="GK127" s="31"/>
    </row>
    <row r="128" spans="1:202" ht="15.5" x14ac:dyDescent="0.35">
      <c r="A128" s="12" t="s">
        <v>856</v>
      </c>
      <c r="B128" s="7" t="s">
        <v>857</v>
      </c>
      <c r="C128" s="7">
        <f t="shared" ref="C128:FX128" ca="1" si="56">ROUND(C127*C124,2)</f>
        <v>68560651.519999996</v>
      </c>
      <c r="D128" s="7">
        <f t="shared" ca="1" si="56"/>
        <v>410762123.41000003</v>
      </c>
      <c r="E128" s="7">
        <f t="shared" ca="1" si="56"/>
        <v>61074431.969999999</v>
      </c>
      <c r="F128" s="7">
        <f t="shared" ca="1" si="56"/>
        <v>239436913.81999999</v>
      </c>
      <c r="G128" s="7">
        <f t="shared" ca="1" si="56"/>
        <v>20493814.84</v>
      </c>
      <c r="H128" s="7">
        <f t="shared" ca="1" si="56"/>
        <v>12515195.42</v>
      </c>
      <c r="I128" s="7">
        <f t="shared" ca="1" si="56"/>
        <v>85888223.75</v>
      </c>
      <c r="J128" s="7">
        <f t="shared" ca="1" si="56"/>
        <v>21318540.02</v>
      </c>
      <c r="K128" s="7">
        <f t="shared" ca="1" si="56"/>
        <v>3904376.22</v>
      </c>
      <c r="L128" s="7">
        <f t="shared" ca="1" si="56"/>
        <v>23804091.41</v>
      </c>
      <c r="M128" s="7">
        <f t="shared" ca="1" si="56"/>
        <v>11157191.869999999</v>
      </c>
      <c r="N128" s="7">
        <f t="shared" ca="1" si="56"/>
        <v>560243683.13</v>
      </c>
      <c r="O128" s="7">
        <f t="shared" ca="1" si="56"/>
        <v>138701501.91</v>
      </c>
      <c r="P128" s="7">
        <f t="shared" ca="1" si="56"/>
        <v>4770074.5999999996</v>
      </c>
      <c r="Q128" s="7">
        <f t="shared" ca="1" si="56"/>
        <v>429948307.18000001</v>
      </c>
      <c r="R128" s="7">
        <f t="shared" ca="1" si="56"/>
        <v>5135823.37</v>
      </c>
      <c r="S128" s="7">
        <f t="shared" ca="1" si="56"/>
        <v>17466506.57</v>
      </c>
      <c r="T128" s="7">
        <f t="shared" ca="1" si="56"/>
        <v>2957132.03</v>
      </c>
      <c r="U128" s="7">
        <f t="shared" ca="1" si="56"/>
        <v>1214445.92</v>
      </c>
      <c r="V128" s="7">
        <f t="shared" ca="1" si="56"/>
        <v>3852307.62</v>
      </c>
      <c r="W128" s="7">
        <f t="shared" ca="1" si="56"/>
        <v>1275941.3500000001</v>
      </c>
      <c r="X128" s="7">
        <f t="shared" ca="1" si="56"/>
        <v>1102767.57</v>
      </c>
      <c r="Y128" s="7">
        <f t="shared" ca="1" si="56"/>
        <v>4488443.1900000004</v>
      </c>
      <c r="Z128" s="7">
        <f t="shared" ca="1" si="56"/>
        <v>3594866.71</v>
      </c>
      <c r="AA128" s="7">
        <f t="shared" ca="1" si="56"/>
        <v>331585841.41000003</v>
      </c>
      <c r="AB128" s="7">
        <f t="shared" ca="1" si="56"/>
        <v>298861796.91000003</v>
      </c>
      <c r="AC128" s="7">
        <f t="shared" ca="1" si="56"/>
        <v>10371701.66</v>
      </c>
      <c r="AD128" s="7">
        <f t="shared" ca="1" si="56"/>
        <v>15552768.960000001</v>
      </c>
      <c r="AE128" s="7">
        <f t="shared" ca="1" si="56"/>
        <v>1971402.38</v>
      </c>
      <c r="AF128" s="7">
        <f t="shared" ca="1" si="56"/>
        <v>3122144.31</v>
      </c>
      <c r="AG128" s="7">
        <f t="shared" ca="1" si="56"/>
        <v>7449579.3300000001</v>
      </c>
      <c r="AH128" s="7">
        <f t="shared" ca="1" si="56"/>
        <v>10336726.99</v>
      </c>
      <c r="AI128" s="7">
        <f t="shared" ca="1" si="56"/>
        <v>4928292.28</v>
      </c>
      <c r="AJ128" s="7">
        <f t="shared" ca="1" si="56"/>
        <v>3277813.61</v>
      </c>
      <c r="AK128" s="7">
        <f t="shared" ca="1" si="56"/>
        <v>3030979.96</v>
      </c>
      <c r="AL128" s="7">
        <f t="shared" ca="1" si="56"/>
        <v>4144064.96</v>
      </c>
      <c r="AM128" s="7">
        <f t="shared" ca="1" si="56"/>
        <v>4744764.83</v>
      </c>
      <c r="AN128" s="7">
        <f t="shared" ca="1" si="56"/>
        <v>4382936.18</v>
      </c>
      <c r="AO128" s="7">
        <f t="shared" ca="1" si="56"/>
        <v>42358751.140000001</v>
      </c>
      <c r="AP128" s="7">
        <f t="shared" ca="1" si="56"/>
        <v>918725659.48000002</v>
      </c>
      <c r="AQ128" s="7">
        <f t="shared" ca="1" si="56"/>
        <v>4071100.81</v>
      </c>
      <c r="AR128" s="7">
        <f t="shared" ca="1" si="56"/>
        <v>664154495.42999995</v>
      </c>
      <c r="AS128" s="7">
        <f t="shared" ca="1" si="56"/>
        <v>74437765.239999995</v>
      </c>
      <c r="AT128" s="7">
        <f t="shared" ca="1" si="56"/>
        <v>26209628.120000001</v>
      </c>
      <c r="AU128" s="7">
        <f t="shared" ca="1" si="56"/>
        <v>4332524.76</v>
      </c>
      <c r="AV128" s="7">
        <f t="shared" ca="1" si="56"/>
        <v>4629424.84</v>
      </c>
      <c r="AW128" s="7">
        <f t="shared" ca="1" si="56"/>
        <v>4181325.89</v>
      </c>
      <c r="AX128" s="7">
        <f t="shared" ca="1" si="56"/>
        <v>1828339.11</v>
      </c>
      <c r="AY128" s="7">
        <f t="shared" ca="1" si="56"/>
        <v>5478975.7400000002</v>
      </c>
      <c r="AZ128" s="7">
        <f t="shared" ca="1" si="56"/>
        <v>128663891.91</v>
      </c>
      <c r="BA128" s="7">
        <f t="shared" ca="1" si="56"/>
        <v>92317108.519999996</v>
      </c>
      <c r="BB128" s="7">
        <f t="shared" ca="1" si="56"/>
        <v>78976730.459999993</v>
      </c>
      <c r="BC128" s="7">
        <f t="shared" ca="1" si="56"/>
        <v>256902977.94999999</v>
      </c>
      <c r="BD128" s="7">
        <f t="shared" ca="1" si="56"/>
        <v>38727104.409999996</v>
      </c>
      <c r="BE128" s="7">
        <f t="shared" ca="1" si="56"/>
        <v>13641838.050000001</v>
      </c>
      <c r="BF128" s="7">
        <f t="shared" ca="1" si="56"/>
        <v>261130259.94</v>
      </c>
      <c r="BG128" s="7">
        <f t="shared" ca="1" si="56"/>
        <v>10654344.369999999</v>
      </c>
      <c r="BH128" s="7">
        <f t="shared" ca="1" si="56"/>
        <v>6712970.5800000001</v>
      </c>
      <c r="BI128" s="7">
        <f t="shared" ca="1" si="56"/>
        <v>4143414.11</v>
      </c>
      <c r="BJ128" s="7">
        <f t="shared" ca="1" si="56"/>
        <v>67810420.730000004</v>
      </c>
      <c r="BK128" s="7">
        <f t="shared" ca="1" si="56"/>
        <v>232878378.69</v>
      </c>
      <c r="BL128" s="7">
        <f t="shared" ca="1" si="56"/>
        <v>1676606.93</v>
      </c>
      <c r="BM128" s="7">
        <f t="shared" ca="1" si="56"/>
        <v>4737511.43</v>
      </c>
      <c r="BN128" s="7">
        <f t="shared" ca="1" si="56"/>
        <v>31839385.41</v>
      </c>
      <c r="BO128" s="7">
        <f t="shared" ca="1" si="56"/>
        <v>13519994.699999999</v>
      </c>
      <c r="BP128" s="7">
        <f t="shared" ca="1" si="56"/>
        <v>3041658.26</v>
      </c>
      <c r="BQ128" s="7">
        <f t="shared" ca="1" si="56"/>
        <v>67005438.829999998</v>
      </c>
      <c r="BR128" s="7">
        <f t="shared" ca="1" si="56"/>
        <v>47513963.240000002</v>
      </c>
      <c r="BS128" s="7">
        <f t="shared" ca="1" si="56"/>
        <v>13259805.26</v>
      </c>
      <c r="BT128" s="7">
        <f t="shared" ca="1" si="56"/>
        <v>5346757.26</v>
      </c>
      <c r="BU128" s="7">
        <f t="shared" ca="1" si="56"/>
        <v>5514765.7000000002</v>
      </c>
      <c r="BV128" s="7">
        <f t="shared" ca="1" si="56"/>
        <v>13949960.890000001</v>
      </c>
      <c r="BW128" s="7">
        <f t="shared" ca="1" si="56"/>
        <v>22264448.379999999</v>
      </c>
      <c r="BX128" s="7">
        <f t="shared" ca="1" si="56"/>
        <v>1583212.45</v>
      </c>
      <c r="BY128" s="7">
        <f t="shared" ca="1" si="56"/>
        <v>5464036.2000000002</v>
      </c>
      <c r="BZ128" s="7">
        <f t="shared" ca="1" si="56"/>
        <v>3606859.71</v>
      </c>
      <c r="CA128" s="7">
        <f t="shared" ca="1" si="56"/>
        <v>2928169.23</v>
      </c>
      <c r="CB128" s="7">
        <f t="shared" ca="1" si="56"/>
        <v>787100288.94000006</v>
      </c>
      <c r="CC128" s="7">
        <f t="shared" ca="1" si="56"/>
        <v>3241550.71</v>
      </c>
      <c r="CD128" s="7">
        <f t="shared" ca="1" si="56"/>
        <v>1078636.1100000001</v>
      </c>
      <c r="CE128" s="7">
        <f t="shared" ca="1" si="56"/>
        <v>2903472.14</v>
      </c>
      <c r="CF128" s="7">
        <f t="shared" ca="1" si="56"/>
        <v>2175580.67</v>
      </c>
      <c r="CG128" s="7">
        <f t="shared" ca="1" si="56"/>
        <v>3381317.96</v>
      </c>
      <c r="CH128" s="7">
        <f t="shared" ca="1" si="56"/>
        <v>1977863.19</v>
      </c>
      <c r="CI128" s="7">
        <f t="shared" ca="1" si="56"/>
        <v>7585883.8300000001</v>
      </c>
      <c r="CJ128" s="7">
        <f t="shared" ca="1" si="56"/>
        <v>10129785.720000001</v>
      </c>
      <c r="CK128" s="7">
        <f t="shared" ca="1" si="56"/>
        <v>53579867.020000003</v>
      </c>
      <c r="CL128" s="7">
        <f t="shared" ca="1" si="56"/>
        <v>14228208.210000001</v>
      </c>
      <c r="CM128" s="7">
        <f t="shared" ca="1" si="56"/>
        <v>8427295.4600000009</v>
      </c>
      <c r="CN128" s="7">
        <f t="shared" ca="1" si="56"/>
        <v>320144292.04000002</v>
      </c>
      <c r="CO128" s="7">
        <f t="shared" ca="1" si="56"/>
        <v>149561259.62</v>
      </c>
      <c r="CP128" s="7">
        <f t="shared" ca="1" si="56"/>
        <v>10947438.140000001</v>
      </c>
      <c r="CQ128" s="7">
        <f t="shared" ca="1" si="56"/>
        <v>8924001.9700000007</v>
      </c>
      <c r="CR128" s="7">
        <f t="shared" ca="1" si="56"/>
        <v>3628073.48</v>
      </c>
      <c r="CS128" s="7">
        <f t="shared" ca="1" si="56"/>
        <v>4173345.51</v>
      </c>
      <c r="CT128" s="7">
        <f t="shared" ca="1" si="56"/>
        <v>2252705.4</v>
      </c>
      <c r="CU128" s="7">
        <f t="shared" ca="1" si="56"/>
        <v>781729.76</v>
      </c>
      <c r="CV128" s="7">
        <f t="shared" ca="1" si="56"/>
        <v>1053672.52</v>
      </c>
      <c r="CW128" s="7">
        <f t="shared" ca="1" si="56"/>
        <v>3469285.94</v>
      </c>
      <c r="CX128" s="7">
        <f t="shared" ca="1" si="56"/>
        <v>5563034.5599999996</v>
      </c>
      <c r="CY128" s="7">
        <f t="shared" ca="1" si="56"/>
        <v>1112753.01</v>
      </c>
      <c r="CZ128" s="7">
        <f t="shared" ca="1" si="56"/>
        <v>19301767.420000002</v>
      </c>
      <c r="DA128" s="7">
        <f t="shared" ca="1" si="56"/>
        <v>3533799.42</v>
      </c>
      <c r="DB128" s="7">
        <f t="shared" ca="1" si="56"/>
        <v>4563006.42</v>
      </c>
      <c r="DC128" s="7">
        <f t="shared" ca="1" si="56"/>
        <v>3451754.09</v>
      </c>
      <c r="DD128" s="7">
        <f t="shared" ca="1" si="56"/>
        <v>3225534.29</v>
      </c>
      <c r="DE128" s="7">
        <f t="shared" ca="1" si="56"/>
        <v>4245392.51</v>
      </c>
      <c r="DF128" s="7">
        <f t="shared" ca="1" si="56"/>
        <v>210432984.90000001</v>
      </c>
      <c r="DG128" s="7">
        <f t="shared" ca="1" si="56"/>
        <v>2036669.14</v>
      </c>
      <c r="DH128" s="7">
        <f t="shared" ca="1" si="56"/>
        <v>18924106.59</v>
      </c>
      <c r="DI128" s="7">
        <f t="shared" ca="1" si="56"/>
        <v>25266047.59</v>
      </c>
      <c r="DJ128" s="7">
        <f t="shared" ca="1" si="56"/>
        <v>7388839.2400000002</v>
      </c>
      <c r="DK128" s="7">
        <f t="shared" ca="1" si="56"/>
        <v>5751651.1399999997</v>
      </c>
      <c r="DL128" s="7">
        <f t="shared" ca="1" si="56"/>
        <v>61142120.350000001</v>
      </c>
      <c r="DM128" s="7">
        <f t="shared" ca="1" si="56"/>
        <v>4043803.58</v>
      </c>
      <c r="DN128" s="7">
        <f t="shared" ca="1" si="56"/>
        <v>14459006.779999999</v>
      </c>
      <c r="DO128" s="7">
        <f t="shared" ca="1" si="56"/>
        <v>34789407.969999999</v>
      </c>
      <c r="DP128" s="7">
        <f t="shared" ca="1" si="56"/>
        <v>3637215.93</v>
      </c>
      <c r="DQ128" s="7">
        <f t="shared" ca="1" si="56"/>
        <v>10145482.67</v>
      </c>
      <c r="DR128" s="7">
        <f t="shared" ca="1" si="56"/>
        <v>14204579.300000001</v>
      </c>
      <c r="DS128" s="7">
        <f t="shared" ca="1" si="56"/>
        <v>7007584.1600000001</v>
      </c>
      <c r="DT128" s="7">
        <f t="shared" ca="1" si="56"/>
        <v>3261735.72</v>
      </c>
      <c r="DU128" s="7">
        <f t="shared" ca="1" si="56"/>
        <v>4777813.7300000004</v>
      </c>
      <c r="DV128" s="7">
        <f t="shared" ca="1" si="56"/>
        <v>3578492.63</v>
      </c>
      <c r="DW128" s="7">
        <f t="shared" ca="1" si="56"/>
        <v>4353020.8600000003</v>
      </c>
      <c r="DX128" s="7">
        <f t="shared" ca="1" si="56"/>
        <v>3565550.16</v>
      </c>
      <c r="DY128" s="7">
        <f t="shared" ca="1" si="56"/>
        <v>4806797.22</v>
      </c>
      <c r="DZ128" s="7">
        <f t="shared" ca="1" si="56"/>
        <v>8460347.4600000009</v>
      </c>
      <c r="EA128" s="7">
        <f t="shared" ca="1" si="56"/>
        <v>6648023.1399999997</v>
      </c>
      <c r="EB128" s="7">
        <f t="shared" ca="1" si="56"/>
        <v>6235403.0999999996</v>
      </c>
      <c r="EC128" s="7">
        <f t="shared" ca="1" si="56"/>
        <v>4023962.16</v>
      </c>
      <c r="ED128" s="7">
        <f t="shared" ca="1" si="56"/>
        <v>23143767.77</v>
      </c>
      <c r="EE128" s="7">
        <f t="shared" ca="1" si="56"/>
        <v>3288474.2</v>
      </c>
      <c r="EF128" s="7">
        <f t="shared" ca="1" si="56"/>
        <v>14455304.529999999</v>
      </c>
      <c r="EG128" s="7">
        <f t="shared" ca="1" si="56"/>
        <v>3717610.85</v>
      </c>
      <c r="EH128" s="7">
        <f t="shared" ca="1" si="56"/>
        <v>3765860.53</v>
      </c>
      <c r="EI128" s="7">
        <f t="shared" ca="1" si="56"/>
        <v>143768844.08000001</v>
      </c>
      <c r="EJ128" s="7">
        <f t="shared" ca="1" si="56"/>
        <v>102165059.95999999</v>
      </c>
      <c r="EK128" s="7">
        <f t="shared" ca="1" si="56"/>
        <v>7686837.8399999999</v>
      </c>
      <c r="EL128" s="7">
        <f t="shared" ca="1" si="56"/>
        <v>5373355.1699999999</v>
      </c>
      <c r="EM128" s="7">
        <f t="shared" ca="1" si="56"/>
        <v>4968394.3499999996</v>
      </c>
      <c r="EN128" s="7">
        <f t="shared" ca="1" si="56"/>
        <v>9800121.3699999992</v>
      </c>
      <c r="EO128" s="7">
        <f t="shared" ca="1" si="56"/>
        <v>4337907.83</v>
      </c>
      <c r="EP128" s="7">
        <f t="shared" ca="1" si="56"/>
        <v>5788231.3899999997</v>
      </c>
      <c r="EQ128" s="7">
        <f t="shared" ca="1" si="56"/>
        <v>29441000.539999999</v>
      </c>
      <c r="ER128" s="7">
        <f t="shared" ca="1" si="56"/>
        <v>4787378.21</v>
      </c>
      <c r="ES128" s="7">
        <f t="shared" ca="1" si="56"/>
        <v>2976788.15</v>
      </c>
      <c r="ET128" s="7">
        <f t="shared" ca="1" si="56"/>
        <v>3886883.26</v>
      </c>
      <c r="EU128" s="7">
        <f t="shared" ca="1" si="56"/>
        <v>6535982.9199999999</v>
      </c>
      <c r="EV128" s="7">
        <f t="shared" ca="1" si="56"/>
        <v>1668332.3</v>
      </c>
      <c r="EW128" s="7">
        <f t="shared" ca="1" si="56"/>
        <v>12425344.32</v>
      </c>
      <c r="EX128" s="7">
        <f t="shared" ca="1" si="56"/>
        <v>3457801.82</v>
      </c>
      <c r="EY128" s="7">
        <f t="shared" ca="1" si="56"/>
        <v>2358981.14</v>
      </c>
      <c r="EZ128" s="7">
        <f t="shared" ca="1" si="56"/>
        <v>2554454.27</v>
      </c>
      <c r="FA128" s="7">
        <f t="shared" ca="1" si="56"/>
        <v>39064719.009999998</v>
      </c>
      <c r="FB128" s="7">
        <f t="shared" ca="1" si="56"/>
        <v>4273945.01</v>
      </c>
      <c r="FC128" s="7">
        <f t="shared" ca="1" si="56"/>
        <v>19946545.440000001</v>
      </c>
      <c r="FD128" s="7">
        <f t="shared" ca="1" si="56"/>
        <v>5217274.1100000003</v>
      </c>
      <c r="FE128" s="7">
        <f t="shared" ca="1" si="56"/>
        <v>1716079.49</v>
      </c>
      <c r="FF128" s="7">
        <f t="shared" ca="1" si="56"/>
        <v>3364490.47</v>
      </c>
      <c r="FG128" s="7">
        <f t="shared" ca="1" si="56"/>
        <v>2494678.04</v>
      </c>
      <c r="FH128" s="7">
        <f t="shared" ca="1" si="56"/>
        <v>1533978.93</v>
      </c>
      <c r="FI128" s="7">
        <f t="shared" ca="1" si="56"/>
        <v>18487763.829999998</v>
      </c>
      <c r="FJ128" s="7">
        <f t="shared" ca="1" si="56"/>
        <v>21416577.309999999</v>
      </c>
      <c r="FK128" s="7">
        <f t="shared" ca="1" si="56"/>
        <v>26814210.039999999</v>
      </c>
      <c r="FL128" s="7">
        <f t="shared" ca="1" si="56"/>
        <v>88263890.069999993</v>
      </c>
      <c r="FM128" s="7">
        <f t="shared" ca="1" si="56"/>
        <v>41322719.219999999</v>
      </c>
      <c r="FN128" s="7">
        <f t="shared" ca="1" si="56"/>
        <v>234031934.72999999</v>
      </c>
      <c r="FO128" s="7">
        <f t="shared" ca="1" si="56"/>
        <v>12464447.460000001</v>
      </c>
      <c r="FP128" s="7">
        <f t="shared" ca="1" si="56"/>
        <v>25232104.68</v>
      </c>
      <c r="FQ128" s="7">
        <f t="shared" ca="1" si="56"/>
        <v>11034628.32</v>
      </c>
      <c r="FR128" s="7">
        <f t="shared" ca="1" si="56"/>
        <v>3194250.22</v>
      </c>
      <c r="FS128" s="7">
        <f t="shared" ca="1" si="56"/>
        <v>3187530.27</v>
      </c>
      <c r="FT128" s="7" t="e">
        <f t="shared" ca="1" si="56"/>
        <v>#NAME?</v>
      </c>
      <c r="FU128" s="7">
        <f t="shared" ca="1" si="56"/>
        <v>9356374.1300000008</v>
      </c>
      <c r="FV128" s="7">
        <f t="shared" ca="1" si="56"/>
        <v>8042815.79</v>
      </c>
      <c r="FW128" s="7">
        <f t="shared" ca="1" si="56"/>
        <v>2898555.75</v>
      </c>
      <c r="FX128" s="7">
        <f t="shared" ca="1" si="56"/>
        <v>1518420.79</v>
      </c>
      <c r="FY128" s="7"/>
      <c r="FZ128" s="7" t="e">
        <f t="shared" ca="1" si="55"/>
        <v>#NAME?</v>
      </c>
      <c r="GA128" s="62"/>
      <c r="GB128" s="7" t="e">
        <f ca="1">FZ128-GA128</f>
        <v>#NAME?</v>
      </c>
      <c r="GC128" s="81"/>
      <c r="GD128" s="81"/>
      <c r="GE128" s="7"/>
      <c r="GF128" s="7"/>
      <c r="GG128" s="7"/>
      <c r="GH128" s="7"/>
      <c r="GI128" s="7"/>
      <c r="GJ128" s="7"/>
      <c r="GK128" s="7"/>
    </row>
    <row r="129" spans="1:207" ht="15.5" x14ac:dyDescent="0.35">
      <c r="A129" s="7"/>
      <c r="B129" s="7" t="s">
        <v>858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GA129" s="25"/>
      <c r="GB129" s="81"/>
      <c r="GC129" s="81"/>
      <c r="GD129" s="81"/>
      <c r="GE129" s="7"/>
      <c r="GF129" s="7"/>
      <c r="GG129" s="7"/>
      <c r="GH129" s="7"/>
      <c r="GI129" s="7"/>
      <c r="GJ129" s="7"/>
      <c r="GK129" s="7"/>
    </row>
    <row r="130" spans="1:207" ht="15.5" x14ac:dyDescent="0.35">
      <c r="A130" s="12" t="s">
        <v>684</v>
      </c>
      <c r="B130" s="7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7"/>
      <c r="GA130" s="25"/>
      <c r="GB130" s="7"/>
      <c r="GC130" s="7"/>
      <c r="GD130" s="7"/>
      <c r="GE130" s="7"/>
      <c r="GF130" s="7"/>
      <c r="GG130" s="7"/>
      <c r="GH130" s="7"/>
      <c r="GI130" s="7"/>
      <c r="GJ130" s="7"/>
      <c r="GK130" s="7"/>
    </row>
    <row r="131" spans="1:207" ht="15.5" x14ac:dyDescent="0.35">
      <c r="A131" s="7"/>
      <c r="B131" s="5" t="s">
        <v>859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7"/>
      <c r="FZ131" s="7"/>
      <c r="GA131" s="25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31"/>
      <c r="GM131" s="31"/>
      <c r="GN131" s="31"/>
    </row>
    <row r="132" spans="1:207" ht="15.5" x14ac:dyDescent="0.35">
      <c r="A132" s="12" t="s">
        <v>582</v>
      </c>
      <c r="B132" s="7" t="s">
        <v>860</v>
      </c>
      <c r="C132" s="32">
        <f>C17</f>
        <v>2311</v>
      </c>
      <c r="D132" s="32">
        <v>9785</v>
      </c>
      <c r="E132" s="32">
        <v>2809</v>
      </c>
      <c r="F132" s="32">
        <v>3989</v>
      </c>
      <c r="G132" s="32">
        <v>189</v>
      </c>
      <c r="H132" s="32">
        <v>169</v>
      </c>
      <c r="I132" s="32">
        <v>4032</v>
      </c>
      <c r="J132" s="32">
        <v>831</v>
      </c>
      <c r="K132" s="32">
        <v>83</v>
      </c>
      <c r="L132" s="32">
        <v>732</v>
      </c>
      <c r="M132" s="32">
        <v>521</v>
      </c>
      <c r="N132" s="32">
        <v>8671</v>
      </c>
      <c r="O132" s="32">
        <v>1022</v>
      </c>
      <c r="P132" s="32">
        <v>65</v>
      </c>
      <c r="Q132" s="32">
        <v>17070</v>
      </c>
      <c r="R132" s="32">
        <v>839</v>
      </c>
      <c r="S132" s="32">
        <v>529</v>
      </c>
      <c r="T132" s="32">
        <v>57</v>
      </c>
      <c r="U132" s="32">
        <v>22</v>
      </c>
      <c r="V132" s="32">
        <v>100</v>
      </c>
      <c r="W132" s="32">
        <v>50</v>
      </c>
      <c r="X132" s="32">
        <v>14</v>
      </c>
      <c r="Y132" s="32">
        <v>276</v>
      </c>
      <c r="Z132" s="32">
        <v>60</v>
      </c>
      <c r="AA132" s="32">
        <v>5295</v>
      </c>
      <c r="AB132" s="32">
        <v>3397</v>
      </c>
      <c r="AC132" s="32">
        <v>123</v>
      </c>
      <c r="AD132" s="32">
        <v>283</v>
      </c>
      <c r="AE132" s="32">
        <v>20</v>
      </c>
      <c r="AF132" s="32">
        <v>34</v>
      </c>
      <c r="AG132" s="32">
        <v>74</v>
      </c>
      <c r="AH132" s="32">
        <v>356</v>
      </c>
      <c r="AI132" s="32">
        <v>129</v>
      </c>
      <c r="AJ132" s="32">
        <v>71</v>
      </c>
      <c r="AK132" s="32">
        <v>106</v>
      </c>
      <c r="AL132" s="32">
        <v>109</v>
      </c>
      <c r="AM132" s="32">
        <v>175</v>
      </c>
      <c r="AN132" s="32">
        <v>98</v>
      </c>
      <c r="AO132" s="32">
        <v>1189</v>
      </c>
      <c r="AP132" s="32">
        <v>30699</v>
      </c>
      <c r="AQ132" s="32">
        <v>74</v>
      </c>
      <c r="AR132" s="32">
        <v>3849</v>
      </c>
      <c r="AS132" s="32">
        <v>1103</v>
      </c>
      <c r="AT132" s="32">
        <v>221</v>
      </c>
      <c r="AU132" s="32">
        <v>48</v>
      </c>
      <c r="AV132" s="32">
        <v>107</v>
      </c>
      <c r="AW132" s="32">
        <v>42</v>
      </c>
      <c r="AX132" s="32">
        <v>0</v>
      </c>
      <c r="AY132" s="32">
        <v>133</v>
      </c>
      <c r="AZ132" s="32">
        <v>5157</v>
      </c>
      <c r="BA132" s="32">
        <v>2278</v>
      </c>
      <c r="BB132" s="32">
        <v>2184</v>
      </c>
      <c r="BC132" s="32">
        <v>8604</v>
      </c>
      <c r="BD132" s="32">
        <v>170</v>
      </c>
      <c r="BE132" s="32">
        <v>210</v>
      </c>
      <c r="BF132" s="32">
        <v>1507</v>
      </c>
      <c r="BG132" s="32">
        <v>224</v>
      </c>
      <c r="BH132" s="32">
        <v>65</v>
      </c>
      <c r="BI132" s="32">
        <v>101</v>
      </c>
      <c r="BJ132" s="32">
        <v>387</v>
      </c>
      <c r="BK132" s="32">
        <v>3764</v>
      </c>
      <c r="BL132" s="32">
        <v>24</v>
      </c>
      <c r="BM132" s="32">
        <v>92</v>
      </c>
      <c r="BN132" s="32">
        <v>1087</v>
      </c>
      <c r="BO132" s="32">
        <v>366</v>
      </c>
      <c r="BP132" s="32">
        <v>82</v>
      </c>
      <c r="BQ132" s="32">
        <v>1279</v>
      </c>
      <c r="BR132" s="32">
        <v>1093</v>
      </c>
      <c r="BS132" s="32">
        <v>465</v>
      </c>
      <c r="BT132" s="32">
        <v>61</v>
      </c>
      <c r="BU132" s="32">
        <v>78</v>
      </c>
      <c r="BV132" s="32">
        <v>206</v>
      </c>
      <c r="BW132" s="32">
        <v>217</v>
      </c>
      <c r="BX132" s="32">
        <v>14</v>
      </c>
      <c r="BY132" s="32">
        <v>256</v>
      </c>
      <c r="BZ132" s="32">
        <v>55</v>
      </c>
      <c r="CA132" s="32">
        <v>33</v>
      </c>
      <c r="CB132" s="32">
        <v>13384</v>
      </c>
      <c r="CC132" s="32">
        <v>49</v>
      </c>
      <c r="CD132" s="32">
        <v>7</v>
      </c>
      <c r="CE132" s="32">
        <v>25</v>
      </c>
      <c r="CF132" s="32">
        <v>41</v>
      </c>
      <c r="CG132" s="32">
        <v>63</v>
      </c>
      <c r="CH132" s="32">
        <v>36</v>
      </c>
      <c r="CI132" s="32">
        <v>281</v>
      </c>
      <c r="CJ132" s="32">
        <v>280</v>
      </c>
      <c r="CK132" s="32">
        <v>852</v>
      </c>
      <c r="CL132" s="32">
        <v>250</v>
      </c>
      <c r="CM132" s="32">
        <v>180</v>
      </c>
      <c r="CN132" s="32">
        <v>4931</v>
      </c>
      <c r="CO132" s="32">
        <v>2428</v>
      </c>
      <c r="CP132" s="32">
        <v>198</v>
      </c>
      <c r="CQ132" s="32">
        <v>352</v>
      </c>
      <c r="CR132" s="32">
        <v>62</v>
      </c>
      <c r="CS132" s="32">
        <v>80</v>
      </c>
      <c r="CT132" s="32">
        <v>54</v>
      </c>
      <c r="CU132" s="32">
        <v>68</v>
      </c>
      <c r="CV132" s="32">
        <v>3</v>
      </c>
      <c r="CW132" s="32">
        <v>53</v>
      </c>
      <c r="CX132" s="32">
        <v>117</v>
      </c>
      <c r="CY132" s="32">
        <v>13.2</v>
      </c>
      <c r="CZ132" s="32">
        <v>677</v>
      </c>
      <c r="DA132" s="32">
        <v>36</v>
      </c>
      <c r="DB132" s="32">
        <v>59</v>
      </c>
      <c r="DC132" s="32">
        <v>28</v>
      </c>
      <c r="DD132" s="32">
        <v>41</v>
      </c>
      <c r="DE132" s="32">
        <v>34</v>
      </c>
      <c r="DF132" s="32">
        <v>5994</v>
      </c>
      <c r="DG132" s="32">
        <v>20</v>
      </c>
      <c r="DH132" s="32">
        <v>548</v>
      </c>
      <c r="DI132" s="32">
        <v>1006</v>
      </c>
      <c r="DJ132" s="32">
        <v>126</v>
      </c>
      <c r="DK132" s="32">
        <v>132</v>
      </c>
      <c r="DL132" s="32">
        <v>1818</v>
      </c>
      <c r="DM132" s="32">
        <v>81</v>
      </c>
      <c r="DN132" s="32">
        <v>418</v>
      </c>
      <c r="DO132" s="32">
        <v>925</v>
      </c>
      <c r="DP132" s="32">
        <v>47</v>
      </c>
      <c r="DQ132" s="32">
        <v>162</v>
      </c>
      <c r="DR132" s="32">
        <v>640</v>
      </c>
      <c r="DS132" s="32">
        <v>342</v>
      </c>
      <c r="DT132" s="32">
        <v>72</v>
      </c>
      <c r="DU132" s="32">
        <v>128</v>
      </c>
      <c r="DV132" s="32">
        <v>56</v>
      </c>
      <c r="DW132" s="32">
        <v>91</v>
      </c>
      <c r="DX132" s="32">
        <v>24</v>
      </c>
      <c r="DY132" s="32">
        <v>27</v>
      </c>
      <c r="DZ132" s="32">
        <v>74</v>
      </c>
      <c r="EA132" s="32">
        <v>130</v>
      </c>
      <c r="EB132" s="32">
        <v>172</v>
      </c>
      <c r="EC132" s="32">
        <v>68</v>
      </c>
      <c r="ED132" s="32">
        <v>24</v>
      </c>
      <c r="EE132" s="32">
        <v>69</v>
      </c>
      <c r="EF132" s="32">
        <v>603</v>
      </c>
      <c r="EG132" s="32">
        <v>100</v>
      </c>
      <c r="EH132" s="32">
        <v>68</v>
      </c>
      <c r="EI132" s="32">
        <v>6981</v>
      </c>
      <c r="EJ132" s="32">
        <v>2957</v>
      </c>
      <c r="EK132" s="32">
        <v>147</v>
      </c>
      <c r="EL132" s="32">
        <v>123</v>
      </c>
      <c r="EM132" s="32">
        <v>111</v>
      </c>
      <c r="EN132" s="32">
        <v>401</v>
      </c>
      <c r="EO132" s="32">
        <v>68</v>
      </c>
      <c r="EP132" s="32">
        <v>53</v>
      </c>
      <c r="EQ132" s="32">
        <v>54</v>
      </c>
      <c r="ER132" s="32">
        <v>52</v>
      </c>
      <c r="ES132" s="32">
        <v>45</v>
      </c>
      <c r="ET132" s="32">
        <v>105</v>
      </c>
      <c r="EU132" s="32">
        <v>308</v>
      </c>
      <c r="EV132" s="32">
        <v>32</v>
      </c>
      <c r="EW132" s="32">
        <v>111</v>
      </c>
      <c r="EX132" s="32">
        <v>40</v>
      </c>
      <c r="EY132" s="32">
        <v>163</v>
      </c>
      <c r="EZ132" s="32">
        <v>39</v>
      </c>
      <c r="FA132" s="32">
        <v>619</v>
      </c>
      <c r="FB132" s="32">
        <v>87</v>
      </c>
      <c r="FC132" s="32">
        <v>275</v>
      </c>
      <c r="FD132" s="32">
        <v>127</v>
      </c>
      <c r="FE132" s="32">
        <v>25</v>
      </c>
      <c r="FF132" s="32">
        <v>63</v>
      </c>
      <c r="FG132" s="32">
        <v>16</v>
      </c>
      <c r="FH132" s="32">
        <v>18</v>
      </c>
      <c r="FI132" s="32">
        <v>453</v>
      </c>
      <c r="FJ132" s="32">
        <v>369</v>
      </c>
      <c r="FK132" s="32">
        <v>506</v>
      </c>
      <c r="FL132" s="32">
        <v>657</v>
      </c>
      <c r="FM132" s="32">
        <v>275</v>
      </c>
      <c r="FN132" s="32">
        <v>8885</v>
      </c>
      <c r="FO132" s="32">
        <v>307</v>
      </c>
      <c r="FP132" s="32">
        <v>752</v>
      </c>
      <c r="FQ132" s="32">
        <v>184</v>
      </c>
      <c r="FR132" s="32">
        <v>31</v>
      </c>
      <c r="FS132" s="32">
        <v>18</v>
      </c>
      <c r="FT132" s="32">
        <v>16</v>
      </c>
      <c r="FU132" s="32">
        <v>332</v>
      </c>
      <c r="FV132" s="32">
        <v>237</v>
      </c>
      <c r="FW132" s="32">
        <v>50</v>
      </c>
      <c r="FX132" s="32">
        <v>16</v>
      </c>
      <c r="FY132" s="63"/>
      <c r="FZ132" s="32"/>
      <c r="GA132" s="25"/>
      <c r="GB132" s="7"/>
      <c r="GC132" s="7"/>
      <c r="GD132" s="7"/>
      <c r="GE132" s="7"/>
      <c r="GF132" s="7"/>
      <c r="GG132" s="7"/>
      <c r="GH132" s="7"/>
      <c r="GI132" s="7"/>
      <c r="GJ132" s="7"/>
      <c r="GK132" s="7"/>
    </row>
    <row r="133" spans="1:207" ht="15.5" x14ac:dyDescent="0.35">
      <c r="A133" s="12" t="s">
        <v>584</v>
      </c>
      <c r="B133" s="7" t="s">
        <v>861</v>
      </c>
      <c r="C133" s="32">
        <f>C20</f>
        <v>5936.4</v>
      </c>
      <c r="D133" s="32">
        <v>28893.599999999999</v>
      </c>
      <c r="E133" s="32">
        <v>4468.8</v>
      </c>
      <c r="F133" s="32">
        <v>15351.599999999999</v>
      </c>
      <c r="G133" s="32">
        <v>850.8</v>
      </c>
      <c r="H133" s="32">
        <v>794.4</v>
      </c>
      <c r="I133" s="32">
        <v>6464.4</v>
      </c>
      <c r="J133" s="32">
        <v>1663.2</v>
      </c>
      <c r="K133" s="32">
        <v>186</v>
      </c>
      <c r="L133" s="32">
        <v>1503.6</v>
      </c>
      <c r="M133" s="32">
        <v>685.19999999999993</v>
      </c>
      <c r="N133" s="32">
        <v>36894</v>
      </c>
      <c r="O133" s="32">
        <v>9018</v>
      </c>
      <c r="P133" s="32">
        <v>188.4</v>
      </c>
      <c r="Q133" s="32">
        <v>28060.799999999999</v>
      </c>
      <c r="R133" s="32">
        <v>3002.4</v>
      </c>
      <c r="S133" s="32">
        <v>1274.3999999999999</v>
      </c>
      <c r="T133" s="32">
        <v>124.8</v>
      </c>
      <c r="U133" s="32">
        <v>37.199999999999996</v>
      </c>
      <c r="V133" s="32">
        <v>208.79999999999998</v>
      </c>
      <c r="W133" s="32">
        <v>181.2</v>
      </c>
      <c r="X133" s="32">
        <v>36</v>
      </c>
      <c r="Y133" s="32">
        <v>460.79999999999995</v>
      </c>
      <c r="Z133" s="32">
        <v>170.4</v>
      </c>
      <c r="AA133" s="32">
        <v>22339.200000000001</v>
      </c>
      <c r="AB133" s="32">
        <v>19311.599999999999</v>
      </c>
      <c r="AC133" s="32">
        <v>718.8</v>
      </c>
      <c r="AD133" s="32">
        <v>1010.4</v>
      </c>
      <c r="AE133" s="32">
        <v>67.2</v>
      </c>
      <c r="AF133" s="32">
        <v>141.6</v>
      </c>
      <c r="AG133" s="32">
        <v>415.2</v>
      </c>
      <c r="AH133" s="32">
        <v>710.4</v>
      </c>
      <c r="AI133" s="32">
        <v>262.8</v>
      </c>
      <c r="AJ133" s="32">
        <v>108</v>
      </c>
      <c r="AK133" s="32">
        <v>139.19999999999999</v>
      </c>
      <c r="AL133" s="32">
        <v>169.2</v>
      </c>
      <c r="AM133" s="32">
        <v>295.2</v>
      </c>
      <c r="AN133" s="32">
        <v>248.39999999999998</v>
      </c>
      <c r="AO133" s="32">
        <v>3228</v>
      </c>
      <c r="AP133" s="32">
        <v>60844.799999999996</v>
      </c>
      <c r="AQ133" s="32">
        <v>171.6</v>
      </c>
      <c r="AR133" s="32">
        <v>45588</v>
      </c>
      <c r="AS133" s="32">
        <v>4693.2</v>
      </c>
      <c r="AT133" s="32">
        <v>1702.8</v>
      </c>
      <c r="AU133" s="32">
        <v>177.6</v>
      </c>
      <c r="AV133" s="32">
        <v>230.39999999999998</v>
      </c>
      <c r="AW133" s="32">
        <v>178.79999999999998</v>
      </c>
      <c r="AX133" s="32">
        <v>61.199999999999996</v>
      </c>
      <c r="AY133" s="32">
        <v>319.2</v>
      </c>
      <c r="AZ133" s="32">
        <v>10087.199999999999</v>
      </c>
      <c r="BA133" s="32">
        <v>6768</v>
      </c>
      <c r="BB133" s="32">
        <v>6028.8</v>
      </c>
      <c r="BC133" s="32">
        <v>19404</v>
      </c>
      <c r="BD133" s="32">
        <v>2425.1999999999998</v>
      </c>
      <c r="BE133" s="32">
        <v>919.19999999999993</v>
      </c>
      <c r="BF133" s="32">
        <v>18489.599999999999</v>
      </c>
      <c r="BG133" s="32">
        <v>656.4</v>
      </c>
      <c r="BH133" s="32">
        <v>358.8</v>
      </c>
      <c r="BI133" s="32">
        <v>177.6</v>
      </c>
      <c r="BJ133" s="32">
        <v>4314</v>
      </c>
      <c r="BK133" s="32">
        <v>14372.4</v>
      </c>
      <c r="BL133" s="32">
        <v>57.599999999999994</v>
      </c>
      <c r="BM133" s="32">
        <v>207.6</v>
      </c>
      <c r="BN133" s="32">
        <v>2450.4</v>
      </c>
      <c r="BO133" s="32">
        <v>1017.5999999999999</v>
      </c>
      <c r="BP133" s="32">
        <v>153.6</v>
      </c>
      <c r="BQ133" s="32">
        <v>4099.2</v>
      </c>
      <c r="BR133" s="32">
        <v>3291.6</v>
      </c>
      <c r="BS133" s="32">
        <v>853.19999999999993</v>
      </c>
      <c r="BT133" s="32">
        <v>291.59999999999997</v>
      </c>
      <c r="BU133" s="32">
        <v>290.39999999999998</v>
      </c>
      <c r="BV133" s="32">
        <v>890.4</v>
      </c>
      <c r="BW133" s="32">
        <v>1508.3999999999999</v>
      </c>
      <c r="BX133" s="32">
        <v>45.6</v>
      </c>
      <c r="BY133" s="32">
        <v>372</v>
      </c>
      <c r="BZ133" s="32">
        <v>128.4</v>
      </c>
      <c r="CA133" s="32">
        <v>106.8</v>
      </c>
      <c r="CB133" s="32">
        <v>54669.599999999999</v>
      </c>
      <c r="CC133" s="32">
        <v>139.19999999999999</v>
      </c>
      <c r="CD133" s="32">
        <v>122.39999999999999</v>
      </c>
      <c r="CE133" s="32">
        <v>96</v>
      </c>
      <c r="CF133" s="32">
        <v>99.6</v>
      </c>
      <c r="CG133" s="32">
        <v>148.79999999999998</v>
      </c>
      <c r="CH133" s="32">
        <v>66</v>
      </c>
      <c r="CI133" s="32">
        <v>511.2</v>
      </c>
      <c r="CJ133" s="32">
        <v>643.19999999999993</v>
      </c>
      <c r="CK133" s="32">
        <v>4425.5999999999995</v>
      </c>
      <c r="CL133" s="32">
        <v>985.19999999999993</v>
      </c>
      <c r="CM133" s="32">
        <v>456</v>
      </c>
      <c r="CN133" s="32">
        <v>23926.799999999999</v>
      </c>
      <c r="CO133" s="32">
        <v>10768.8</v>
      </c>
      <c r="CP133" s="32">
        <v>679.19999999999993</v>
      </c>
      <c r="CQ133" s="32">
        <v>577.19999999999993</v>
      </c>
      <c r="CR133" s="32">
        <v>177.6</v>
      </c>
      <c r="CS133" s="32">
        <v>240</v>
      </c>
      <c r="CT133" s="32">
        <v>80.399999999999991</v>
      </c>
      <c r="CU133" s="32">
        <v>340.8</v>
      </c>
      <c r="CV133" s="32">
        <v>14.399999999999999</v>
      </c>
      <c r="CW133" s="32">
        <v>150</v>
      </c>
      <c r="CX133" s="32">
        <v>315.59999999999997</v>
      </c>
      <c r="CY133" s="32">
        <v>26.4</v>
      </c>
      <c r="CZ133" s="32">
        <v>1434</v>
      </c>
      <c r="DA133" s="32">
        <v>154.79999999999998</v>
      </c>
      <c r="DB133" s="32">
        <v>228</v>
      </c>
      <c r="DC133" s="32">
        <v>115.19999999999999</v>
      </c>
      <c r="DD133" s="32">
        <v>126</v>
      </c>
      <c r="DE133" s="32">
        <v>177.6</v>
      </c>
      <c r="DF133" s="32">
        <v>15525.599999999999</v>
      </c>
      <c r="DG133" s="32">
        <v>56.4</v>
      </c>
      <c r="DH133" s="32">
        <v>1485.6</v>
      </c>
      <c r="DI133" s="32">
        <v>1899.6</v>
      </c>
      <c r="DJ133" s="32">
        <v>543.6</v>
      </c>
      <c r="DK133" s="32">
        <v>338.4</v>
      </c>
      <c r="DL133" s="32">
        <v>4126.8</v>
      </c>
      <c r="DM133" s="32">
        <v>174</v>
      </c>
      <c r="DN133" s="32">
        <v>985.19999999999993</v>
      </c>
      <c r="DO133" s="32">
        <v>2394</v>
      </c>
      <c r="DP133" s="32">
        <v>163.19999999999999</v>
      </c>
      <c r="DQ133" s="32">
        <v>570</v>
      </c>
      <c r="DR133" s="32">
        <v>1002</v>
      </c>
      <c r="DS133" s="32">
        <v>495.59999999999997</v>
      </c>
      <c r="DT133" s="32">
        <v>106.8</v>
      </c>
      <c r="DU133" s="32">
        <v>266.39999999999998</v>
      </c>
      <c r="DV133" s="32">
        <v>160.79999999999998</v>
      </c>
      <c r="DW133" s="32">
        <v>235.2</v>
      </c>
      <c r="DX133" s="32">
        <v>136.79999999999998</v>
      </c>
      <c r="DY133" s="32">
        <v>223.2</v>
      </c>
      <c r="DZ133" s="32">
        <v>536.4</v>
      </c>
      <c r="EA133" s="32">
        <v>430.8</v>
      </c>
      <c r="EB133" s="32">
        <v>394.8</v>
      </c>
      <c r="EC133" s="32">
        <v>222</v>
      </c>
      <c r="ED133" s="32">
        <v>1160.3999999999999</v>
      </c>
      <c r="EE133" s="32">
        <v>122.39999999999999</v>
      </c>
      <c r="EF133" s="32">
        <v>1033.2</v>
      </c>
      <c r="EG133" s="32">
        <v>186</v>
      </c>
      <c r="EH133" s="32">
        <v>198</v>
      </c>
      <c r="EI133" s="32">
        <v>10844.4</v>
      </c>
      <c r="EJ133" s="32">
        <v>7365.5999999999995</v>
      </c>
      <c r="EK133" s="32">
        <v>490.79999999999995</v>
      </c>
      <c r="EL133" s="32">
        <v>357.59999999999997</v>
      </c>
      <c r="EM133" s="32">
        <v>310.8</v>
      </c>
      <c r="EN133" s="32">
        <v>699.6</v>
      </c>
      <c r="EO133" s="32">
        <v>244.79999999999998</v>
      </c>
      <c r="EP133" s="32">
        <v>316.8</v>
      </c>
      <c r="EQ133" s="32">
        <v>1966.8</v>
      </c>
      <c r="ER133" s="32">
        <v>212.4</v>
      </c>
      <c r="ES133" s="32">
        <v>134.4</v>
      </c>
      <c r="ET133" s="32">
        <v>158.4</v>
      </c>
      <c r="EU133" s="32">
        <v>408</v>
      </c>
      <c r="EV133" s="32">
        <v>60</v>
      </c>
      <c r="EW133" s="32">
        <v>604.79999999999995</v>
      </c>
      <c r="EX133" s="32">
        <v>140.4</v>
      </c>
      <c r="EY133" s="32">
        <v>393.59999999999997</v>
      </c>
      <c r="EZ133" s="32">
        <v>99.6</v>
      </c>
      <c r="FA133" s="32">
        <v>2515.1999999999998</v>
      </c>
      <c r="FB133" s="32">
        <v>220.79999999999998</v>
      </c>
      <c r="FC133" s="32">
        <v>1204.8</v>
      </c>
      <c r="FD133" s="32">
        <v>306</v>
      </c>
      <c r="FE133" s="32">
        <v>56.4</v>
      </c>
      <c r="FF133" s="32">
        <v>146.4</v>
      </c>
      <c r="FG133" s="32">
        <v>92.399999999999991</v>
      </c>
      <c r="FH133" s="32">
        <v>57.599999999999994</v>
      </c>
      <c r="FI133" s="32">
        <v>1282.8</v>
      </c>
      <c r="FJ133" s="32">
        <v>1510.8</v>
      </c>
      <c r="FK133" s="32">
        <v>1927.1999999999998</v>
      </c>
      <c r="FL133" s="32">
        <v>5967.5999999999995</v>
      </c>
      <c r="FM133" s="32">
        <v>2769.6</v>
      </c>
      <c r="FN133" s="32">
        <v>15997.199999999999</v>
      </c>
      <c r="FO133" s="32">
        <v>782.4</v>
      </c>
      <c r="FP133" s="32">
        <v>1665.6</v>
      </c>
      <c r="FQ133" s="32">
        <v>739.19999999999993</v>
      </c>
      <c r="FR133" s="32">
        <v>116.39999999999999</v>
      </c>
      <c r="FS133" s="32">
        <v>141.6</v>
      </c>
      <c r="FT133" s="32">
        <v>48</v>
      </c>
      <c r="FU133" s="32">
        <v>598.79999999999995</v>
      </c>
      <c r="FV133" s="32">
        <v>510</v>
      </c>
      <c r="FW133" s="32">
        <v>120</v>
      </c>
      <c r="FX133" s="32">
        <v>50.4</v>
      </c>
      <c r="FY133" s="39"/>
      <c r="FZ133" s="32"/>
      <c r="GA133" s="31"/>
      <c r="GB133" s="7"/>
      <c r="GC133" s="7"/>
      <c r="GD133" s="7"/>
      <c r="GE133" s="7"/>
      <c r="GF133" s="7"/>
      <c r="GG133" s="7"/>
      <c r="GH133" s="7"/>
      <c r="GI133" s="7"/>
      <c r="GJ133" s="7"/>
      <c r="GK133" s="7"/>
    </row>
    <row r="134" spans="1:207" ht="15.5" x14ac:dyDescent="0.35">
      <c r="A134" s="12" t="s">
        <v>586</v>
      </c>
      <c r="B134" s="7" t="s">
        <v>862</v>
      </c>
      <c r="C134" s="104">
        <f t="shared" ref="C134:FX134" si="57">ROUND(C132/C133,4)</f>
        <v>0.38929999999999998</v>
      </c>
      <c r="D134" s="104">
        <f t="shared" si="57"/>
        <v>0.3387</v>
      </c>
      <c r="E134" s="104">
        <f t="shared" si="57"/>
        <v>0.62860000000000005</v>
      </c>
      <c r="F134" s="104">
        <f t="shared" si="57"/>
        <v>0.25979999999999998</v>
      </c>
      <c r="G134" s="104">
        <f t="shared" si="57"/>
        <v>0.22209999999999999</v>
      </c>
      <c r="H134" s="104">
        <f t="shared" si="57"/>
        <v>0.2127</v>
      </c>
      <c r="I134" s="104">
        <f t="shared" si="57"/>
        <v>0.62370000000000003</v>
      </c>
      <c r="J134" s="104">
        <f t="shared" si="57"/>
        <v>0.49959999999999999</v>
      </c>
      <c r="K134" s="104">
        <f t="shared" si="57"/>
        <v>0.44619999999999999</v>
      </c>
      <c r="L134" s="104">
        <f t="shared" si="57"/>
        <v>0.48680000000000001</v>
      </c>
      <c r="M134" s="104">
        <f t="shared" si="57"/>
        <v>0.76039999999999996</v>
      </c>
      <c r="N134" s="104">
        <f t="shared" si="57"/>
        <v>0.23499999999999999</v>
      </c>
      <c r="O134" s="104">
        <f t="shared" si="57"/>
        <v>0.1133</v>
      </c>
      <c r="P134" s="104">
        <f t="shared" si="57"/>
        <v>0.34499999999999997</v>
      </c>
      <c r="Q134" s="104">
        <f t="shared" si="57"/>
        <v>0.60829999999999995</v>
      </c>
      <c r="R134" s="104">
        <f t="shared" si="57"/>
        <v>0.27939999999999998</v>
      </c>
      <c r="S134" s="104">
        <f t="shared" si="57"/>
        <v>0.41510000000000002</v>
      </c>
      <c r="T134" s="104">
        <f t="shared" si="57"/>
        <v>0.45669999999999999</v>
      </c>
      <c r="U134" s="104">
        <f t="shared" si="57"/>
        <v>0.59140000000000004</v>
      </c>
      <c r="V134" s="104">
        <f t="shared" si="57"/>
        <v>0.47889999999999999</v>
      </c>
      <c r="W134" s="104">
        <f t="shared" si="57"/>
        <v>0.27589999999999998</v>
      </c>
      <c r="X134" s="104">
        <f t="shared" si="57"/>
        <v>0.38890000000000002</v>
      </c>
      <c r="Y134" s="104">
        <f t="shared" si="57"/>
        <v>0.59899999999999998</v>
      </c>
      <c r="Z134" s="104">
        <f t="shared" si="57"/>
        <v>0.35210000000000002</v>
      </c>
      <c r="AA134" s="104">
        <f t="shared" si="57"/>
        <v>0.23699999999999999</v>
      </c>
      <c r="AB134" s="104">
        <f t="shared" si="57"/>
        <v>0.1759</v>
      </c>
      <c r="AC134" s="104">
        <f t="shared" si="57"/>
        <v>0.1711</v>
      </c>
      <c r="AD134" s="104">
        <f t="shared" si="57"/>
        <v>0.28010000000000002</v>
      </c>
      <c r="AE134" s="104">
        <f t="shared" si="57"/>
        <v>0.29759999999999998</v>
      </c>
      <c r="AF134" s="104">
        <f t="shared" si="57"/>
        <v>0.24010000000000001</v>
      </c>
      <c r="AG134" s="104">
        <f t="shared" si="57"/>
        <v>0.1782</v>
      </c>
      <c r="AH134" s="104">
        <f t="shared" si="57"/>
        <v>0.50109999999999999</v>
      </c>
      <c r="AI134" s="104">
        <f t="shared" si="57"/>
        <v>0.4909</v>
      </c>
      <c r="AJ134" s="104">
        <f t="shared" si="57"/>
        <v>0.65739999999999998</v>
      </c>
      <c r="AK134" s="104">
        <f t="shared" si="57"/>
        <v>0.76149999999999995</v>
      </c>
      <c r="AL134" s="104">
        <f t="shared" si="57"/>
        <v>0.64419999999999999</v>
      </c>
      <c r="AM134" s="104">
        <f t="shared" si="57"/>
        <v>0.59279999999999999</v>
      </c>
      <c r="AN134" s="104">
        <f t="shared" si="57"/>
        <v>0.39450000000000002</v>
      </c>
      <c r="AO134" s="104">
        <f t="shared" si="57"/>
        <v>0.36830000000000002</v>
      </c>
      <c r="AP134" s="104">
        <f t="shared" si="57"/>
        <v>0.50449999999999995</v>
      </c>
      <c r="AQ134" s="104">
        <f t="shared" si="57"/>
        <v>0.43120000000000003</v>
      </c>
      <c r="AR134" s="104">
        <f t="shared" si="57"/>
        <v>8.4400000000000003E-2</v>
      </c>
      <c r="AS134" s="104">
        <f t="shared" si="57"/>
        <v>0.23499999999999999</v>
      </c>
      <c r="AT134" s="104">
        <f t="shared" si="57"/>
        <v>0.1298</v>
      </c>
      <c r="AU134" s="104">
        <f t="shared" si="57"/>
        <v>0.27029999999999998</v>
      </c>
      <c r="AV134" s="104">
        <f t="shared" si="57"/>
        <v>0.46439999999999998</v>
      </c>
      <c r="AW134" s="104">
        <f t="shared" si="57"/>
        <v>0.2349</v>
      </c>
      <c r="AX134" s="104">
        <f t="shared" si="57"/>
        <v>0</v>
      </c>
      <c r="AY134" s="104">
        <f t="shared" si="57"/>
        <v>0.41670000000000001</v>
      </c>
      <c r="AZ134" s="104">
        <f t="shared" si="57"/>
        <v>0.51119999999999999</v>
      </c>
      <c r="BA134" s="104">
        <f t="shared" si="57"/>
        <v>0.33660000000000001</v>
      </c>
      <c r="BB134" s="104">
        <f t="shared" si="57"/>
        <v>0.36230000000000001</v>
      </c>
      <c r="BC134" s="104">
        <f t="shared" si="57"/>
        <v>0.44340000000000002</v>
      </c>
      <c r="BD134" s="104">
        <f t="shared" si="57"/>
        <v>7.0099999999999996E-2</v>
      </c>
      <c r="BE134" s="104">
        <f t="shared" si="57"/>
        <v>0.22850000000000001</v>
      </c>
      <c r="BF134" s="104">
        <f t="shared" si="57"/>
        <v>8.1500000000000003E-2</v>
      </c>
      <c r="BG134" s="104">
        <f t="shared" si="57"/>
        <v>0.34129999999999999</v>
      </c>
      <c r="BH134" s="104">
        <f t="shared" si="57"/>
        <v>0.1812</v>
      </c>
      <c r="BI134" s="104">
        <f t="shared" si="57"/>
        <v>0.56869999999999998</v>
      </c>
      <c r="BJ134" s="104">
        <f t="shared" si="57"/>
        <v>8.9700000000000002E-2</v>
      </c>
      <c r="BK134" s="104">
        <f t="shared" si="57"/>
        <v>0.26190000000000002</v>
      </c>
      <c r="BL134" s="104">
        <f t="shared" si="57"/>
        <v>0.41670000000000001</v>
      </c>
      <c r="BM134" s="104">
        <f t="shared" si="57"/>
        <v>0.44319999999999998</v>
      </c>
      <c r="BN134" s="104">
        <f t="shared" si="57"/>
        <v>0.44359999999999999</v>
      </c>
      <c r="BO134" s="104">
        <f t="shared" si="57"/>
        <v>0.35970000000000002</v>
      </c>
      <c r="BP134" s="104">
        <f t="shared" si="57"/>
        <v>0.53390000000000004</v>
      </c>
      <c r="BQ134" s="104">
        <f t="shared" si="57"/>
        <v>0.312</v>
      </c>
      <c r="BR134" s="104">
        <f t="shared" si="57"/>
        <v>0.33210000000000001</v>
      </c>
      <c r="BS134" s="104">
        <f t="shared" si="57"/>
        <v>0.54500000000000004</v>
      </c>
      <c r="BT134" s="104">
        <f t="shared" si="57"/>
        <v>0.2092</v>
      </c>
      <c r="BU134" s="104">
        <f t="shared" si="57"/>
        <v>0.26860000000000001</v>
      </c>
      <c r="BV134" s="104">
        <f t="shared" si="57"/>
        <v>0.23139999999999999</v>
      </c>
      <c r="BW134" s="104">
        <f t="shared" si="57"/>
        <v>0.1439</v>
      </c>
      <c r="BX134" s="104">
        <f t="shared" si="57"/>
        <v>0.307</v>
      </c>
      <c r="BY134" s="104">
        <f t="shared" si="57"/>
        <v>0.68820000000000003</v>
      </c>
      <c r="BZ134" s="104">
        <f t="shared" si="57"/>
        <v>0.42830000000000001</v>
      </c>
      <c r="CA134" s="104">
        <f t="shared" si="57"/>
        <v>0.309</v>
      </c>
      <c r="CB134" s="104">
        <f t="shared" si="57"/>
        <v>0.24479999999999999</v>
      </c>
      <c r="CC134" s="104">
        <f t="shared" si="57"/>
        <v>0.35199999999999998</v>
      </c>
      <c r="CD134" s="104">
        <f t="shared" si="57"/>
        <v>5.7200000000000001E-2</v>
      </c>
      <c r="CE134" s="104">
        <f t="shared" si="57"/>
        <v>0.26040000000000002</v>
      </c>
      <c r="CF134" s="104">
        <f t="shared" si="57"/>
        <v>0.41160000000000002</v>
      </c>
      <c r="CG134" s="104">
        <f t="shared" si="57"/>
        <v>0.4234</v>
      </c>
      <c r="CH134" s="104">
        <f t="shared" si="57"/>
        <v>0.54549999999999998</v>
      </c>
      <c r="CI134" s="104">
        <f t="shared" si="57"/>
        <v>0.54969999999999997</v>
      </c>
      <c r="CJ134" s="104">
        <f t="shared" si="57"/>
        <v>0.43530000000000002</v>
      </c>
      <c r="CK134" s="104">
        <f t="shared" si="57"/>
        <v>0.1925</v>
      </c>
      <c r="CL134" s="104">
        <f t="shared" si="57"/>
        <v>0.25380000000000003</v>
      </c>
      <c r="CM134" s="104">
        <f t="shared" si="57"/>
        <v>0.3947</v>
      </c>
      <c r="CN134" s="104">
        <f t="shared" si="57"/>
        <v>0.20610000000000001</v>
      </c>
      <c r="CO134" s="104">
        <f t="shared" si="57"/>
        <v>0.22550000000000001</v>
      </c>
      <c r="CP134" s="104">
        <f t="shared" si="57"/>
        <v>0.29149999999999998</v>
      </c>
      <c r="CQ134" s="104">
        <f t="shared" si="57"/>
        <v>0.60980000000000001</v>
      </c>
      <c r="CR134" s="104">
        <f t="shared" si="57"/>
        <v>0.34910000000000002</v>
      </c>
      <c r="CS134" s="104">
        <f t="shared" si="57"/>
        <v>0.33329999999999999</v>
      </c>
      <c r="CT134" s="104">
        <f t="shared" si="57"/>
        <v>0.67159999999999997</v>
      </c>
      <c r="CU134" s="104">
        <f t="shared" si="57"/>
        <v>0.19950000000000001</v>
      </c>
      <c r="CV134" s="104">
        <f t="shared" si="57"/>
        <v>0.20830000000000001</v>
      </c>
      <c r="CW134" s="104">
        <f t="shared" si="57"/>
        <v>0.3533</v>
      </c>
      <c r="CX134" s="104">
        <f t="shared" si="57"/>
        <v>0.37069999999999997</v>
      </c>
      <c r="CY134" s="104">
        <f t="shared" si="57"/>
        <v>0.5</v>
      </c>
      <c r="CZ134" s="104">
        <f t="shared" si="57"/>
        <v>0.47210000000000002</v>
      </c>
      <c r="DA134" s="104">
        <f t="shared" si="57"/>
        <v>0.2326</v>
      </c>
      <c r="DB134" s="104">
        <f t="shared" si="57"/>
        <v>0.25879999999999997</v>
      </c>
      <c r="DC134" s="104">
        <f t="shared" si="57"/>
        <v>0.24310000000000001</v>
      </c>
      <c r="DD134" s="104">
        <f t="shared" si="57"/>
        <v>0.32540000000000002</v>
      </c>
      <c r="DE134" s="104">
        <f t="shared" si="57"/>
        <v>0.19139999999999999</v>
      </c>
      <c r="DF134" s="104">
        <f t="shared" si="57"/>
        <v>0.3861</v>
      </c>
      <c r="DG134" s="104">
        <f t="shared" si="57"/>
        <v>0.35460000000000003</v>
      </c>
      <c r="DH134" s="104">
        <f t="shared" si="57"/>
        <v>0.36890000000000001</v>
      </c>
      <c r="DI134" s="104">
        <f t="shared" si="57"/>
        <v>0.52959999999999996</v>
      </c>
      <c r="DJ134" s="104">
        <f t="shared" si="57"/>
        <v>0.23180000000000001</v>
      </c>
      <c r="DK134" s="104">
        <f t="shared" si="57"/>
        <v>0.3901</v>
      </c>
      <c r="DL134" s="104">
        <f t="shared" si="57"/>
        <v>0.4405</v>
      </c>
      <c r="DM134" s="104">
        <f t="shared" si="57"/>
        <v>0.46550000000000002</v>
      </c>
      <c r="DN134" s="104">
        <f t="shared" si="57"/>
        <v>0.42430000000000001</v>
      </c>
      <c r="DO134" s="104">
        <f t="shared" si="57"/>
        <v>0.38640000000000002</v>
      </c>
      <c r="DP134" s="104">
        <f t="shared" si="57"/>
        <v>0.28799999999999998</v>
      </c>
      <c r="DQ134" s="104">
        <f t="shared" si="57"/>
        <v>0.28420000000000001</v>
      </c>
      <c r="DR134" s="104">
        <f t="shared" si="57"/>
        <v>0.63870000000000005</v>
      </c>
      <c r="DS134" s="104">
        <f t="shared" si="57"/>
        <v>0.69010000000000005</v>
      </c>
      <c r="DT134" s="104">
        <f t="shared" si="57"/>
        <v>0.67420000000000002</v>
      </c>
      <c r="DU134" s="104">
        <f t="shared" si="57"/>
        <v>0.48049999999999998</v>
      </c>
      <c r="DV134" s="104">
        <f t="shared" si="57"/>
        <v>0.3483</v>
      </c>
      <c r="DW134" s="104">
        <f t="shared" si="57"/>
        <v>0.38690000000000002</v>
      </c>
      <c r="DX134" s="104">
        <f t="shared" si="57"/>
        <v>0.1754</v>
      </c>
      <c r="DY134" s="104">
        <f t="shared" si="57"/>
        <v>0.121</v>
      </c>
      <c r="DZ134" s="104">
        <f t="shared" si="57"/>
        <v>0.13800000000000001</v>
      </c>
      <c r="EA134" s="104">
        <f t="shared" si="57"/>
        <v>0.30180000000000001</v>
      </c>
      <c r="EB134" s="104">
        <f t="shared" si="57"/>
        <v>0.43569999999999998</v>
      </c>
      <c r="EC134" s="104">
        <f t="shared" si="57"/>
        <v>0.30630000000000002</v>
      </c>
      <c r="ED134" s="104">
        <f t="shared" si="57"/>
        <v>2.07E-2</v>
      </c>
      <c r="EE134" s="104">
        <f t="shared" si="57"/>
        <v>0.56369999999999998</v>
      </c>
      <c r="EF134" s="104">
        <f t="shared" si="57"/>
        <v>0.58360000000000001</v>
      </c>
      <c r="EG134" s="104">
        <f t="shared" si="57"/>
        <v>0.53759999999999997</v>
      </c>
      <c r="EH134" s="104">
        <f t="shared" si="57"/>
        <v>0.34339999999999998</v>
      </c>
      <c r="EI134" s="104">
        <f t="shared" si="57"/>
        <v>0.64370000000000005</v>
      </c>
      <c r="EJ134" s="104">
        <f t="shared" si="57"/>
        <v>0.40150000000000002</v>
      </c>
      <c r="EK134" s="104">
        <f t="shared" si="57"/>
        <v>0.29949999999999999</v>
      </c>
      <c r="EL134" s="104">
        <f t="shared" si="57"/>
        <v>0.34399999999999997</v>
      </c>
      <c r="EM134" s="104">
        <f t="shared" si="57"/>
        <v>0.35709999999999997</v>
      </c>
      <c r="EN134" s="104">
        <f t="shared" si="57"/>
        <v>0.57320000000000004</v>
      </c>
      <c r="EO134" s="104">
        <f t="shared" si="57"/>
        <v>0.27779999999999999</v>
      </c>
      <c r="EP134" s="104">
        <f t="shared" si="57"/>
        <v>0.1673</v>
      </c>
      <c r="EQ134" s="104">
        <f t="shared" si="57"/>
        <v>2.75E-2</v>
      </c>
      <c r="ER134" s="104">
        <f t="shared" si="57"/>
        <v>0.24479999999999999</v>
      </c>
      <c r="ES134" s="104">
        <f t="shared" si="57"/>
        <v>0.33479999999999999</v>
      </c>
      <c r="ET134" s="104">
        <f t="shared" si="57"/>
        <v>0.66290000000000004</v>
      </c>
      <c r="EU134" s="104">
        <f t="shared" si="57"/>
        <v>0.75490000000000002</v>
      </c>
      <c r="EV134" s="104">
        <f t="shared" si="57"/>
        <v>0.5333</v>
      </c>
      <c r="EW134" s="104">
        <f t="shared" si="57"/>
        <v>0.1835</v>
      </c>
      <c r="EX134" s="104">
        <f t="shared" si="57"/>
        <v>0.28489999999999999</v>
      </c>
      <c r="EY134" s="104">
        <f t="shared" si="57"/>
        <v>0.41410000000000002</v>
      </c>
      <c r="EZ134" s="104">
        <f t="shared" si="57"/>
        <v>0.3916</v>
      </c>
      <c r="FA134" s="104">
        <f t="shared" si="57"/>
        <v>0.24610000000000001</v>
      </c>
      <c r="FB134" s="104">
        <f t="shared" si="57"/>
        <v>0.39400000000000002</v>
      </c>
      <c r="FC134" s="104">
        <f t="shared" si="57"/>
        <v>0.2283</v>
      </c>
      <c r="FD134" s="104">
        <f t="shared" si="57"/>
        <v>0.41499999999999998</v>
      </c>
      <c r="FE134" s="104">
        <f t="shared" si="57"/>
        <v>0.44330000000000003</v>
      </c>
      <c r="FF134" s="104">
        <f t="shared" si="57"/>
        <v>0.43030000000000002</v>
      </c>
      <c r="FG134" s="104">
        <f t="shared" si="57"/>
        <v>0.17319999999999999</v>
      </c>
      <c r="FH134" s="104">
        <f t="shared" si="57"/>
        <v>0.3125</v>
      </c>
      <c r="FI134" s="104">
        <f t="shared" si="57"/>
        <v>0.35310000000000002</v>
      </c>
      <c r="FJ134" s="104">
        <f t="shared" si="57"/>
        <v>0.2442</v>
      </c>
      <c r="FK134" s="104">
        <f t="shared" si="57"/>
        <v>0.2626</v>
      </c>
      <c r="FL134" s="104">
        <f t="shared" si="57"/>
        <v>0.1101</v>
      </c>
      <c r="FM134" s="104">
        <f t="shared" si="57"/>
        <v>9.9299999999999999E-2</v>
      </c>
      <c r="FN134" s="104">
        <f t="shared" si="57"/>
        <v>0.5554</v>
      </c>
      <c r="FO134" s="104">
        <f t="shared" si="57"/>
        <v>0.39240000000000003</v>
      </c>
      <c r="FP134" s="104">
        <f t="shared" si="57"/>
        <v>0.45150000000000001</v>
      </c>
      <c r="FQ134" s="104">
        <f t="shared" si="57"/>
        <v>0.24890000000000001</v>
      </c>
      <c r="FR134" s="104">
        <f t="shared" si="57"/>
        <v>0.26629999999999998</v>
      </c>
      <c r="FS134" s="104">
        <f t="shared" si="57"/>
        <v>0.12709999999999999</v>
      </c>
      <c r="FT134" s="104">
        <f t="shared" si="57"/>
        <v>0.33329999999999999</v>
      </c>
      <c r="FU134" s="104">
        <f t="shared" si="57"/>
        <v>0.5544</v>
      </c>
      <c r="FV134" s="104">
        <f t="shared" si="57"/>
        <v>0.4647</v>
      </c>
      <c r="FW134" s="104">
        <f t="shared" si="57"/>
        <v>0.41670000000000001</v>
      </c>
      <c r="FX134" s="104">
        <f t="shared" si="57"/>
        <v>0.3175</v>
      </c>
      <c r="FY134" s="32"/>
      <c r="FZ134" s="25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</row>
    <row r="135" spans="1:207" ht="15.5" x14ac:dyDescent="0.35">
      <c r="A135" s="12" t="s">
        <v>588</v>
      </c>
      <c r="B135" s="7" t="s">
        <v>863</v>
      </c>
      <c r="C135" s="23">
        <f t="shared" ref="C135:FX135" si="58">ROUND((C134*C21),1)</f>
        <v>2539</v>
      </c>
      <c r="D135" s="23">
        <f t="shared" si="58"/>
        <v>12576.3</v>
      </c>
      <c r="E135" s="23">
        <f t="shared" si="58"/>
        <v>3347.5</v>
      </c>
      <c r="F135" s="23">
        <f t="shared" si="58"/>
        <v>6343</v>
      </c>
      <c r="G135" s="23">
        <f t="shared" si="58"/>
        <v>409.5</v>
      </c>
      <c r="H135" s="23">
        <f t="shared" si="58"/>
        <v>227.8</v>
      </c>
      <c r="I135" s="23">
        <f t="shared" si="58"/>
        <v>4861.1000000000004</v>
      </c>
      <c r="J135" s="23">
        <f t="shared" si="58"/>
        <v>993.7</v>
      </c>
      <c r="K135" s="23">
        <f t="shared" si="58"/>
        <v>111.1</v>
      </c>
      <c r="L135" s="23">
        <f t="shared" si="58"/>
        <v>1016.4</v>
      </c>
      <c r="M135" s="23">
        <f t="shared" si="58"/>
        <v>645.70000000000005</v>
      </c>
      <c r="N135" s="23">
        <f t="shared" si="58"/>
        <v>11808.1</v>
      </c>
      <c r="O135" s="23">
        <f t="shared" si="58"/>
        <v>1401.6</v>
      </c>
      <c r="P135" s="23">
        <f t="shared" si="58"/>
        <v>107.6</v>
      </c>
      <c r="Q135" s="23">
        <f t="shared" si="58"/>
        <v>24359.9</v>
      </c>
      <c r="R135" s="23">
        <f t="shared" si="58"/>
        <v>2066.1</v>
      </c>
      <c r="S135" s="23">
        <f t="shared" si="58"/>
        <v>657.8</v>
      </c>
      <c r="T135" s="23">
        <f t="shared" si="58"/>
        <v>73.099999999999994</v>
      </c>
      <c r="U135" s="23">
        <f t="shared" si="58"/>
        <v>31.9</v>
      </c>
      <c r="V135" s="23">
        <f t="shared" si="58"/>
        <v>121.4</v>
      </c>
      <c r="W135" s="23">
        <f t="shared" si="58"/>
        <v>13.1</v>
      </c>
      <c r="X135" s="23">
        <f t="shared" si="58"/>
        <v>15.6</v>
      </c>
      <c r="Y135" s="23">
        <f t="shared" si="58"/>
        <v>523.20000000000005</v>
      </c>
      <c r="Z135" s="23">
        <f t="shared" si="58"/>
        <v>81.3</v>
      </c>
      <c r="AA135" s="23">
        <f t="shared" si="58"/>
        <v>7365.1</v>
      </c>
      <c r="AB135" s="23">
        <f t="shared" si="58"/>
        <v>4724.6000000000004</v>
      </c>
      <c r="AC135" s="23">
        <f t="shared" si="58"/>
        <v>145</v>
      </c>
      <c r="AD135" s="23">
        <f t="shared" si="58"/>
        <v>405.2</v>
      </c>
      <c r="AE135" s="23">
        <f t="shared" si="58"/>
        <v>28.9</v>
      </c>
      <c r="AF135" s="23">
        <f t="shared" si="58"/>
        <v>39.5</v>
      </c>
      <c r="AG135" s="23">
        <f t="shared" si="58"/>
        <v>104.3</v>
      </c>
      <c r="AH135" s="23">
        <f t="shared" si="58"/>
        <v>455</v>
      </c>
      <c r="AI135" s="23">
        <f t="shared" si="58"/>
        <v>188</v>
      </c>
      <c r="AJ135" s="23">
        <f t="shared" si="58"/>
        <v>119.3</v>
      </c>
      <c r="AK135" s="23">
        <f t="shared" si="58"/>
        <v>121.5</v>
      </c>
      <c r="AL135" s="23">
        <f t="shared" si="58"/>
        <v>183.9</v>
      </c>
      <c r="AM135" s="23">
        <f t="shared" si="58"/>
        <v>181.9</v>
      </c>
      <c r="AN135" s="23">
        <f t="shared" si="58"/>
        <v>106.7</v>
      </c>
      <c r="AO135" s="23">
        <f t="shared" si="58"/>
        <v>1517.7</v>
      </c>
      <c r="AP135" s="23">
        <f t="shared" si="58"/>
        <v>42425.599999999999</v>
      </c>
      <c r="AQ135" s="23">
        <f t="shared" si="58"/>
        <v>108.4</v>
      </c>
      <c r="AR135" s="23">
        <f t="shared" si="58"/>
        <v>5168.6000000000004</v>
      </c>
      <c r="AS135" s="23">
        <f t="shared" si="58"/>
        <v>1473.5</v>
      </c>
      <c r="AT135" s="23">
        <f t="shared" si="58"/>
        <v>331.9</v>
      </c>
      <c r="AU135" s="23">
        <f t="shared" si="58"/>
        <v>72.400000000000006</v>
      </c>
      <c r="AV135" s="23">
        <f t="shared" si="58"/>
        <v>137.5</v>
      </c>
      <c r="AW135" s="23">
        <f t="shared" si="58"/>
        <v>60.4</v>
      </c>
      <c r="AX135" s="23">
        <f t="shared" si="58"/>
        <v>0</v>
      </c>
      <c r="AY135" s="23">
        <f t="shared" si="58"/>
        <v>163.1</v>
      </c>
      <c r="AZ135" s="23">
        <f t="shared" si="58"/>
        <v>6180.1</v>
      </c>
      <c r="BA135" s="23">
        <f t="shared" si="58"/>
        <v>3059.6</v>
      </c>
      <c r="BB135" s="23">
        <f t="shared" si="58"/>
        <v>2705.7</v>
      </c>
      <c r="BC135" s="23">
        <f t="shared" si="58"/>
        <v>10943.5</v>
      </c>
      <c r="BD135" s="23">
        <f t="shared" si="58"/>
        <v>255.2</v>
      </c>
      <c r="BE135" s="23">
        <f t="shared" si="58"/>
        <v>249.5</v>
      </c>
      <c r="BF135" s="23">
        <f t="shared" si="58"/>
        <v>2140.9</v>
      </c>
      <c r="BG135" s="23">
        <f t="shared" si="58"/>
        <v>314.3</v>
      </c>
      <c r="BH135" s="23">
        <f t="shared" si="58"/>
        <v>104.7</v>
      </c>
      <c r="BI135" s="23">
        <f t="shared" si="58"/>
        <v>144.69999999999999</v>
      </c>
      <c r="BJ135" s="23">
        <f t="shared" si="58"/>
        <v>576.5</v>
      </c>
      <c r="BK135" s="23">
        <f t="shared" si="58"/>
        <v>7290.4</v>
      </c>
      <c r="BL135" s="23">
        <f t="shared" si="58"/>
        <v>37.6</v>
      </c>
      <c r="BM135" s="23">
        <f t="shared" si="58"/>
        <v>159.6</v>
      </c>
      <c r="BN135" s="23">
        <f t="shared" si="58"/>
        <v>1352.3</v>
      </c>
      <c r="BO135" s="23">
        <f t="shared" si="58"/>
        <v>427.7</v>
      </c>
      <c r="BP135" s="23">
        <f t="shared" si="58"/>
        <v>73.099999999999994</v>
      </c>
      <c r="BQ135" s="23">
        <f t="shared" si="58"/>
        <v>1779.5</v>
      </c>
      <c r="BR135" s="23">
        <f t="shared" si="58"/>
        <v>1455.4</v>
      </c>
      <c r="BS135" s="23">
        <f t="shared" si="58"/>
        <v>621.79999999999995</v>
      </c>
      <c r="BT135" s="23">
        <f t="shared" si="58"/>
        <v>74</v>
      </c>
      <c r="BU135" s="23">
        <f t="shared" si="58"/>
        <v>102.9</v>
      </c>
      <c r="BV135" s="23">
        <f t="shared" si="58"/>
        <v>288</v>
      </c>
      <c r="BW135" s="23">
        <f t="shared" si="58"/>
        <v>291</v>
      </c>
      <c r="BX135" s="23">
        <f t="shared" si="58"/>
        <v>17.5</v>
      </c>
      <c r="BY135" s="23">
        <f t="shared" si="58"/>
        <v>270.8</v>
      </c>
      <c r="BZ135" s="23">
        <f t="shared" si="58"/>
        <v>97.7</v>
      </c>
      <c r="CA135" s="23">
        <f t="shared" si="58"/>
        <v>43.7</v>
      </c>
      <c r="CB135" s="23">
        <f t="shared" si="58"/>
        <v>17892.7</v>
      </c>
      <c r="CC135" s="23">
        <f t="shared" si="58"/>
        <v>65.5</v>
      </c>
      <c r="CD135" s="23">
        <f t="shared" si="58"/>
        <v>1.7</v>
      </c>
      <c r="CE135" s="23">
        <f t="shared" si="58"/>
        <v>41.5</v>
      </c>
      <c r="CF135" s="23">
        <f t="shared" si="58"/>
        <v>41.2</v>
      </c>
      <c r="CG135" s="23">
        <f t="shared" si="58"/>
        <v>81.5</v>
      </c>
      <c r="CH135" s="23">
        <f t="shared" si="58"/>
        <v>49.1</v>
      </c>
      <c r="CI135" s="23">
        <f t="shared" si="58"/>
        <v>375.4</v>
      </c>
      <c r="CJ135" s="23">
        <f t="shared" si="58"/>
        <v>358.3</v>
      </c>
      <c r="CK135" s="23">
        <f t="shared" si="58"/>
        <v>935.3</v>
      </c>
      <c r="CL135" s="23">
        <f t="shared" si="58"/>
        <v>293.2</v>
      </c>
      <c r="CM135" s="23">
        <f t="shared" si="58"/>
        <v>243.5</v>
      </c>
      <c r="CN135" s="23">
        <f t="shared" si="58"/>
        <v>6287.5</v>
      </c>
      <c r="CO135" s="23">
        <f t="shared" si="58"/>
        <v>3185.5</v>
      </c>
      <c r="CP135" s="23">
        <f t="shared" si="58"/>
        <v>261.89999999999998</v>
      </c>
      <c r="CQ135" s="23">
        <f t="shared" si="58"/>
        <v>462.8</v>
      </c>
      <c r="CR135" s="23">
        <f t="shared" si="58"/>
        <v>68.2</v>
      </c>
      <c r="CS135" s="23">
        <f t="shared" si="58"/>
        <v>82.1</v>
      </c>
      <c r="CT135" s="23">
        <f t="shared" si="58"/>
        <v>75.2</v>
      </c>
      <c r="CU135" s="23">
        <f t="shared" si="58"/>
        <v>92.8</v>
      </c>
      <c r="CV135" s="23">
        <f t="shared" si="58"/>
        <v>5</v>
      </c>
      <c r="CW135" s="23">
        <f t="shared" si="58"/>
        <v>65.7</v>
      </c>
      <c r="CX135" s="23">
        <f t="shared" si="58"/>
        <v>169.6</v>
      </c>
      <c r="CY135" s="23">
        <f t="shared" si="58"/>
        <v>12.8</v>
      </c>
      <c r="CZ135" s="23">
        <f t="shared" si="58"/>
        <v>836.1</v>
      </c>
      <c r="DA135" s="23">
        <f t="shared" si="58"/>
        <v>47.5</v>
      </c>
      <c r="DB135" s="23">
        <f t="shared" si="58"/>
        <v>80.400000000000006</v>
      </c>
      <c r="DC135" s="23">
        <f t="shared" si="58"/>
        <v>46.9</v>
      </c>
      <c r="DD135" s="23">
        <f t="shared" si="58"/>
        <v>57.1</v>
      </c>
      <c r="DE135" s="23">
        <f t="shared" si="58"/>
        <v>53.6</v>
      </c>
      <c r="DF135" s="23">
        <f t="shared" si="58"/>
        <v>8045.4</v>
      </c>
      <c r="DG135" s="23">
        <f t="shared" si="58"/>
        <v>33.200000000000003</v>
      </c>
      <c r="DH135" s="23">
        <f t="shared" si="58"/>
        <v>622.70000000000005</v>
      </c>
      <c r="DI135" s="23">
        <f t="shared" si="58"/>
        <v>1246.0999999999999</v>
      </c>
      <c r="DJ135" s="23">
        <f t="shared" si="58"/>
        <v>138.80000000000001</v>
      </c>
      <c r="DK135" s="23">
        <f t="shared" si="58"/>
        <v>184.3</v>
      </c>
      <c r="DL135" s="23">
        <f t="shared" si="58"/>
        <v>2482.6</v>
      </c>
      <c r="DM135" s="23">
        <f t="shared" si="58"/>
        <v>109.9</v>
      </c>
      <c r="DN135" s="23">
        <f t="shared" si="58"/>
        <v>544.29999999999995</v>
      </c>
      <c r="DO135" s="23">
        <f t="shared" si="58"/>
        <v>1267.9000000000001</v>
      </c>
      <c r="DP135" s="23">
        <f t="shared" si="58"/>
        <v>57.3</v>
      </c>
      <c r="DQ135" s="23">
        <f t="shared" si="58"/>
        <v>249.1</v>
      </c>
      <c r="DR135" s="23">
        <f t="shared" si="58"/>
        <v>808.9</v>
      </c>
      <c r="DS135" s="23">
        <f t="shared" si="58"/>
        <v>376.1</v>
      </c>
      <c r="DT135" s="23">
        <f t="shared" si="58"/>
        <v>118.7</v>
      </c>
      <c r="DU135" s="23">
        <f t="shared" si="58"/>
        <v>166.3</v>
      </c>
      <c r="DV135" s="23">
        <f t="shared" si="58"/>
        <v>69.099999999999994</v>
      </c>
      <c r="DW135" s="23">
        <f t="shared" si="58"/>
        <v>110.5</v>
      </c>
      <c r="DX135" s="23">
        <f t="shared" si="58"/>
        <v>29.5</v>
      </c>
      <c r="DY135" s="23">
        <f t="shared" si="58"/>
        <v>33.9</v>
      </c>
      <c r="DZ135" s="23">
        <f t="shared" si="58"/>
        <v>83.7</v>
      </c>
      <c r="EA135" s="23">
        <f t="shared" si="58"/>
        <v>153.5</v>
      </c>
      <c r="EB135" s="23">
        <f t="shared" si="58"/>
        <v>217.6</v>
      </c>
      <c r="EC135" s="23">
        <f t="shared" si="58"/>
        <v>79.8</v>
      </c>
      <c r="ED135" s="23">
        <f t="shared" si="58"/>
        <v>32.1</v>
      </c>
      <c r="EE135" s="23">
        <f t="shared" si="58"/>
        <v>104.6</v>
      </c>
      <c r="EF135" s="23">
        <f t="shared" si="58"/>
        <v>736.5</v>
      </c>
      <c r="EG135" s="23">
        <f t="shared" si="58"/>
        <v>134.4</v>
      </c>
      <c r="EH135" s="23">
        <f t="shared" si="58"/>
        <v>84.5</v>
      </c>
      <c r="EI135" s="23">
        <f t="shared" si="58"/>
        <v>8558.7999999999993</v>
      </c>
      <c r="EJ135" s="23">
        <f t="shared" si="58"/>
        <v>4015.8</v>
      </c>
      <c r="EK135" s="23">
        <f t="shared" si="58"/>
        <v>199.5</v>
      </c>
      <c r="EL135" s="23">
        <f t="shared" si="58"/>
        <v>153.80000000000001</v>
      </c>
      <c r="EM135" s="23">
        <f t="shared" si="58"/>
        <v>125</v>
      </c>
      <c r="EN135" s="23">
        <f t="shared" si="58"/>
        <v>527.5</v>
      </c>
      <c r="EO135" s="23">
        <f t="shared" si="58"/>
        <v>79.7</v>
      </c>
      <c r="EP135" s="23">
        <f t="shared" si="58"/>
        <v>71.8</v>
      </c>
      <c r="EQ135" s="23">
        <f t="shared" si="58"/>
        <v>69.2</v>
      </c>
      <c r="ER135" s="23">
        <f t="shared" si="58"/>
        <v>75.8</v>
      </c>
      <c r="ES135" s="23">
        <f t="shared" si="58"/>
        <v>69.2</v>
      </c>
      <c r="ET135" s="23">
        <f t="shared" si="58"/>
        <v>132.6</v>
      </c>
      <c r="EU135" s="23">
        <f t="shared" si="58"/>
        <v>428.8</v>
      </c>
      <c r="EV135" s="23">
        <f t="shared" si="58"/>
        <v>35.200000000000003</v>
      </c>
      <c r="EW135" s="23">
        <f t="shared" si="58"/>
        <v>137</v>
      </c>
      <c r="EX135" s="23">
        <f t="shared" si="58"/>
        <v>49.4</v>
      </c>
      <c r="EY135" s="23">
        <f t="shared" si="58"/>
        <v>269</v>
      </c>
      <c r="EZ135" s="23">
        <f t="shared" si="58"/>
        <v>49.7</v>
      </c>
      <c r="FA135" s="23">
        <f t="shared" si="58"/>
        <v>802.8</v>
      </c>
      <c r="FB135" s="23">
        <f t="shared" si="58"/>
        <v>105.8</v>
      </c>
      <c r="FC135" s="23">
        <f t="shared" si="58"/>
        <v>386.9</v>
      </c>
      <c r="FD135" s="23">
        <f t="shared" si="58"/>
        <v>165.6</v>
      </c>
      <c r="FE135" s="23">
        <f t="shared" si="58"/>
        <v>31</v>
      </c>
      <c r="FF135" s="23">
        <f t="shared" si="58"/>
        <v>75.3</v>
      </c>
      <c r="FG135" s="23">
        <f t="shared" si="58"/>
        <v>19.7</v>
      </c>
      <c r="FH135" s="23">
        <f t="shared" si="58"/>
        <v>21.6</v>
      </c>
      <c r="FI135" s="23">
        <f t="shared" si="58"/>
        <v>580</v>
      </c>
      <c r="FJ135" s="23">
        <f t="shared" si="58"/>
        <v>490.2</v>
      </c>
      <c r="FK135" s="23">
        <f t="shared" si="58"/>
        <v>650.5</v>
      </c>
      <c r="FL135" s="23">
        <f t="shared" si="58"/>
        <v>940.7</v>
      </c>
      <c r="FM135" s="23">
        <f t="shared" si="58"/>
        <v>394</v>
      </c>
      <c r="FN135" s="23">
        <f t="shared" si="58"/>
        <v>12679.3</v>
      </c>
      <c r="FO135" s="23">
        <f t="shared" si="58"/>
        <v>439.5</v>
      </c>
      <c r="FP135" s="23">
        <f t="shared" si="58"/>
        <v>1057.9000000000001</v>
      </c>
      <c r="FQ135" s="23">
        <f t="shared" si="58"/>
        <v>244.9</v>
      </c>
      <c r="FR135" s="23">
        <f t="shared" si="58"/>
        <v>41.8</v>
      </c>
      <c r="FS135" s="23">
        <f t="shared" si="58"/>
        <v>20.399999999999999</v>
      </c>
      <c r="FT135" s="23" t="e">
        <f t="shared" ca="1" si="58"/>
        <v>#NAME?</v>
      </c>
      <c r="FU135" s="23">
        <f t="shared" si="58"/>
        <v>421.6</v>
      </c>
      <c r="FV135" s="23">
        <f t="shared" si="58"/>
        <v>323.7</v>
      </c>
      <c r="FW135" s="23">
        <f t="shared" si="58"/>
        <v>54.2</v>
      </c>
      <c r="FX135" s="23">
        <f t="shared" si="58"/>
        <v>20.3</v>
      </c>
      <c r="FY135" s="32"/>
      <c r="FZ135" s="25" t="e">
        <f ca="1">SUM(C135:FX135)</f>
        <v>#NAME?</v>
      </c>
      <c r="GA135" s="65"/>
      <c r="GB135" s="7"/>
      <c r="GC135" s="7"/>
      <c r="GD135" s="7"/>
      <c r="GE135" s="7"/>
      <c r="GF135" s="7"/>
      <c r="GG135" s="7"/>
      <c r="GH135" s="7"/>
      <c r="GI135" s="7"/>
      <c r="GJ135" s="7"/>
      <c r="GK135" s="7"/>
    </row>
    <row r="136" spans="1:207" ht="15.5" x14ac:dyDescent="0.35">
      <c r="A136" s="12" t="s">
        <v>590</v>
      </c>
      <c r="B136" s="7" t="s">
        <v>864</v>
      </c>
      <c r="C136" s="23">
        <f t="shared" ref="C136:FX136" si="59">C18</f>
        <v>4792.3</v>
      </c>
      <c r="D136" s="23">
        <f t="shared" si="59"/>
        <v>19193</v>
      </c>
      <c r="E136" s="23">
        <f t="shared" si="59"/>
        <v>4709.3</v>
      </c>
      <c r="F136" s="23">
        <f t="shared" si="59"/>
        <v>12549.4</v>
      </c>
      <c r="G136" s="23">
        <f t="shared" si="59"/>
        <v>812.2</v>
      </c>
      <c r="H136" s="23">
        <f t="shared" si="59"/>
        <v>438.2</v>
      </c>
      <c r="I136" s="23">
        <f t="shared" si="59"/>
        <v>6388</v>
      </c>
      <c r="J136" s="23">
        <f t="shared" si="59"/>
        <v>1579.5</v>
      </c>
      <c r="K136" s="23">
        <f t="shared" si="59"/>
        <v>152.1</v>
      </c>
      <c r="L136" s="23">
        <f t="shared" si="59"/>
        <v>1348.7</v>
      </c>
      <c r="M136" s="23">
        <f t="shared" si="59"/>
        <v>729.9</v>
      </c>
      <c r="N136" s="23">
        <f t="shared" si="59"/>
        <v>18867.900000000001</v>
      </c>
      <c r="O136" s="23">
        <f t="shared" si="59"/>
        <v>3029.6</v>
      </c>
      <c r="P136" s="23">
        <f t="shared" si="59"/>
        <v>163.6</v>
      </c>
      <c r="Q136" s="23">
        <f t="shared" si="59"/>
        <v>31548.1</v>
      </c>
      <c r="R136" s="23">
        <f t="shared" si="59"/>
        <v>3944.3</v>
      </c>
      <c r="S136" s="23">
        <f t="shared" si="59"/>
        <v>938.6</v>
      </c>
      <c r="T136" s="23">
        <f t="shared" si="59"/>
        <v>118.5</v>
      </c>
      <c r="U136" s="23">
        <f t="shared" si="59"/>
        <v>36.5</v>
      </c>
      <c r="V136" s="23">
        <f t="shared" si="59"/>
        <v>188.9</v>
      </c>
      <c r="W136" s="23">
        <f t="shared" si="59"/>
        <v>37.200000000000003</v>
      </c>
      <c r="X136" s="23">
        <f t="shared" si="59"/>
        <v>22.6</v>
      </c>
      <c r="Y136" s="23">
        <f t="shared" si="59"/>
        <v>735.2</v>
      </c>
      <c r="Z136" s="23">
        <f t="shared" si="59"/>
        <v>90.1</v>
      </c>
      <c r="AA136" s="23">
        <f t="shared" si="59"/>
        <v>11330.4</v>
      </c>
      <c r="AB136" s="23">
        <f t="shared" si="59"/>
        <v>7389</v>
      </c>
      <c r="AC136" s="23">
        <f t="shared" si="59"/>
        <v>311.89999999999998</v>
      </c>
      <c r="AD136" s="23">
        <f t="shared" si="59"/>
        <v>559.29999999999995</v>
      </c>
      <c r="AE136" s="23">
        <f t="shared" si="59"/>
        <v>67.7</v>
      </c>
      <c r="AF136" s="23">
        <f t="shared" si="59"/>
        <v>89.6</v>
      </c>
      <c r="AG136" s="23">
        <f t="shared" si="59"/>
        <v>188.1</v>
      </c>
      <c r="AH136" s="23">
        <f t="shared" si="59"/>
        <v>624.1</v>
      </c>
      <c r="AI136" s="23">
        <f t="shared" si="59"/>
        <v>234.2</v>
      </c>
      <c r="AJ136" s="23">
        <f t="shared" si="59"/>
        <v>153.69999999999999</v>
      </c>
      <c r="AK136" s="23">
        <f t="shared" si="59"/>
        <v>148.5</v>
      </c>
      <c r="AL136" s="23">
        <f t="shared" si="59"/>
        <v>237.9</v>
      </c>
      <c r="AM136" s="23">
        <f t="shared" si="59"/>
        <v>201</v>
      </c>
      <c r="AN136" s="23">
        <f t="shared" si="59"/>
        <v>139.6</v>
      </c>
      <c r="AO136" s="23">
        <f t="shared" si="59"/>
        <v>2493.1</v>
      </c>
      <c r="AP136" s="23">
        <f t="shared" si="59"/>
        <v>52878.5</v>
      </c>
      <c r="AQ136" s="23">
        <f t="shared" si="59"/>
        <v>151.5</v>
      </c>
      <c r="AR136" s="23">
        <f t="shared" si="59"/>
        <v>10739.2</v>
      </c>
      <c r="AS136" s="23">
        <f t="shared" si="59"/>
        <v>2678</v>
      </c>
      <c r="AT136" s="23">
        <f t="shared" si="59"/>
        <v>605.20000000000005</v>
      </c>
      <c r="AU136" s="23">
        <f t="shared" si="59"/>
        <v>108.3</v>
      </c>
      <c r="AV136" s="23">
        <f t="shared" si="59"/>
        <v>187.1</v>
      </c>
      <c r="AW136" s="23">
        <f t="shared" si="59"/>
        <v>88.3</v>
      </c>
      <c r="AX136" s="23">
        <f t="shared" si="59"/>
        <v>44.4</v>
      </c>
      <c r="AY136" s="23">
        <f t="shared" si="59"/>
        <v>210.6</v>
      </c>
      <c r="AZ136" s="23">
        <f t="shared" si="59"/>
        <v>8114.5</v>
      </c>
      <c r="BA136" s="23">
        <f t="shared" si="59"/>
        <v>4395.8</v>
      </c>
      <c r="BB136" s="23">
        <f t="shared" si="59"/>
        <v>3664.6</v>
      </c>
      <c r="BC136" s="23">
        <f t="shared" si="59"/>
        <v>14233.5</v>
      </c>
      <c r="BD136" s="23">
        <f t="shared" si="59"/>
        <v>795.2</v>
      </c>
      <c r="BE136" s="23">
        <f t="shared" si="59"/>
        <v>415.3</v>
      </c>
      <c r="BF136" s="23">
        <f t="shared" si="59"/>
        <v>5915.8</v>
      </c>
      <c r="BG136" s="23">
        <f t="shared" si="59"/>
        <v>551.29999999999995</v>
      </c>
      <c r="BH136" s="23">
        <f t="shared" si="59"/>
        <v>170.4</v>
      </c>
      <c r="BI136" s="23">
        <f t="shared" si="59"/>
        <v>190.9</v>
      </c>
      <c r="BJ136" s="23">
        <f t="shared" si="59"/>
        <v>1101</v>
      </c>
      <c r="BK136" s="23">
        <f t="shared" si="59"/>
        <v>14155.7</v>
      </c>
      <c r="BL136" s="23">
        <f t="shared" si="59"/>
        <v>55.7</v>
      </c>
      <c r="BM136" s="23">
        <f t="shared" si="59"/>
        <v>229</v>
      </c>
      <c r="BN136" s="23">
        <f t="shared" si="59"/>
        <v>1807.7</v>
      </c>
      <c r="BO136" s="23">
        <f t="shared" si="59"/>
        <v>683.1</v>
      </c>
      <c r="BP136" s="23">
        <f t="shared" si="59"/>
        <v>87.6</v>
      </c>
      <c r="BQ136" s="23">
        <f t="shared" si="59"/>
        <v>2928.7</v>
      </c>
      <c r="BR136" s="23">
        <f t="shared" si="59"/>
        <v>2231.5</v>
      </c>
      <c r="BS136" s="23">
        <f t="shared" si="59"/>
        <v>772.3</v>
      </c>
      <c r="BT136" s="23">
        <f t="shared" si="59"/>
        <v>162.69999999999999</v>
      </c>
      <c r="BU136" s="23">
        <f t="shared" si="59"/>
        <v>166.7</v>
      </c>
      <c r="BV136" s="23">
        <f t="shared" si="59"/>
        <v>413.7</v>
      </c>
      <c r="BW136" s="23">
        <f t="shared" si="59"/>
        <v>715</v>
      </c>
      <c r="BX136" s="23">
        <f t="shared" si="59"/>
        <v>22.5</v>
      </c>
      <c r="BY136" s="23">
        <f t="shared" si="59"/>
        <v>343.9</v>
      </c>
      <c r="BZ136" s="23">
        <f t="shared" si="59"/>
        <v>163.6</v>
      </c>
      <c r="CA136" s="23">
        <f t="shared" si="59"/>
        <v>45.4</v>
      </c>
      <c r="CB136" s="23">
        <f t="shared" si="59"/>
        <v>22526.7</v>
      </c>
      <c r="CC136" s="23">
        <f t="shared" si="59"/>
        <v>121.6</v>
      </c>
      <c r="CD136" s="23">
        <f t="shared" si="59"/>
        <v>12.2</v>
      </c>
      <c r="CE136" s="23">
        <f t="shared" si="59"/>
        <v>73.8</v>
      </c>
      <c r="CF136" s="23">
        <f t="shared" si="59"/>
        <v>50</v>
      </c>
      <c r="CG136" s="23">
        <f t="shared" si="59"/>
        <v>86.8</v>
      </c>
      <c r="CH136" s="23">
        <f t="shared" si="59"/>
        <v>68</v>
      </c>
      <c r="CI136" s="23">
        <f t="shared" si="59"/>
        <v>430.8</v>
      </c>
      <c r="CJ136" s="23">
        <f t="shared" si="59"/>
        <v>511.5</v>
      </c>
      <c r="CK136" s="23">
        <f t="shared" si="59"/>
        <v>1796.8</v>
      </c>
      <c r="CL136" s="23">
        <f t="shared" si="59"/>
        <v>493.5</v>
      </c>
      <c r="CM136" s="23">
        <f t="shared" si="59"/>
        <v>352.2</v>
      </c>
      <c r="CN136" s="23">
        <f t="shared" si="59"/>
        <v>9777.4</v>
      </c>
      <c r="CO136" s="23">
        <f t="shared" si="59"/>
        <v>4698.3999999999996</v>
      </c>
      <c r="CP136" s="23">
        <f t="shared" si="59"/>
        <v>426.6</v>
      </c>
      <c r="CQ136" s="23">
        <f t="shared" si="59"/>
        <v>574.20000000000005</v>
      </c>
      <c r="CR136" s="23">
        <f t="shared" si="59"/>
        <v>73.3</v>
      </c>
      <c r="CS136" s="23">
        <f t="shared" si="59"/>
        <v>99.5</v>
      </c>
      <c r="CT136" s="23">
        <f t="shared" si="59"/>
        <v>90.6</v>
      </c>
      <c r="CU136" s="23">
        <f t="shared" si="59"/>
        <v>208.7</v>
      </c>
      <c r="CV136" s="23">
        <f t="shared" si="59"/>
        <v>9.1</v>
      </c>
      <c r="CW136" s="23">
        <f t="shared" si="59"/>
        <v>105.2</v>
      </c>
      <c r="CX136" s="23">
        <f t="shared" si="59"/>
        <v>231.2</v>
      </c>
      <c r="CY136" s="23">
        <f t="shared" si="59"/>
        <v>13.2</v>
      </c>
      <c r="CZ136" s="23">
        <f t="shared" si="59"/>
        <v>1003.3</v>
      </c>
      <c r="DA136" s="23">
        <f t="shared" si="59"/>
        <v>50.5</v>
      </c>
      <c r="DB136" s="23">
        <f t="shared" si="59"/>
        <v>91</v>
      </c>
      <c r="DC136" s="23">
        <f t="shared" si="59"/>
        <v>50.6</v>
      </c>
      <c r="DD136" s="23">
        <f t="shared" si="59"/>
        <v>109.8</v>
      </c>
      <c r="DE136" s="23">
        <f t="shared" si="59"/>
        <v>129.5</v>
      </c>
      <c r="DF136" s="23">
        <f t="shared" si="59"/>
        <v>11723.2</v>
      </c>
      <c r="DG136" s="23">
        <f t="shared" si="59"/>
        <v>37.6</v>
      </c>
      <c r="DH136" s="23">
        <f t="shared" si="59"/>
        <v>977.3</v>
      </c>
      <c r="DI136" s="23">
        <f t="shared" si="59"/>
        <v>1568.7</v>
      </c>
      <c r="DJ136" s="23">
        <f t="shared" si="59"/>
        <v>338.6</v>
      </c>
      <c r="DK136" s="23">
        <f t="shared" si="59"/>
        <v>196.6</v>
      </c>
      <c r="DL136" s="23">
        <f t="shared" si="59"/>
        <v>3187.1</v>
      </c>
      <c r="DM136" s="23">
        <f t="shared" si="59"/>
        <v>137.1</v>
      </c>
      <c r="DN136" s="23">
        <f t="shared" si="59"/>
        <v>851</v>
      </c>
      <c r="DO136" s="23">
        <f t="shared" si="59"/>
        <v>2012.2</v>
      </c>
      <c r="DP136" s="23">
        <f t="shared" si="59"/>
        <v>66.3</v>
      </c>
      <c r="DQ136" s="23">
        <f t="shared" si="59"/>
        <v>373.1</v>
      </c>
      <c r="DR136" s="23">
        <f t="shared" si="59"/>
        <v>982.1</v>
      </c>
      <c r="DS136" s="23">
        <f t="shared" si="59"/>
        <v>453.9</v>
      </c>
      <c r="DT136" s="23">
        <f t="shared" si="59"/>
        <v>152.19999999999999</v>
      </c>
      <c r="DU136" s="23">
        <f t="shared" si="59"/>
        <v>207.3</v>
      </c>
      <c r="DV136" s="23">
        <f t="shared" si="59"/>
        <v>92.1</v>
      </c>
      <c r="DW136" s="23">
        <f t="shared" si="59"/>
        <v>151.30000000000001</v>
      </c>
      <c r="DX136" s="23">
        <f t="shared" si="59"/>
        <v>56.7</v>
      </c>
      <c r="DY136" s="23">
        <f t="shared" si="59"/>
        <v>71.2</v>
      </c>
      <c r="DZ136" s="23">
        <f t="shared" si="59"/>
        <v>240.2</v>
      </c>
      <c r="EA136" s="23">
        <f t="shared" si="59"/>
        <v>222.4</v>
      </c>
      <c r="EB136" s="23">
        <f t="shared" si="59"/>
        <v>314.8</v>
      </c>
      <c r="EC136" s="23">
        <f t="shared" si="59"/>
        <v>96.6</v>
      </c>
      <c r="ED136" s="23">
        <f t="shared" si="59"/>
        <v>103</v>
      </c>
      <c r="EE136" s="23">
        <f t="shared" si="59"/>
        <v>132.30000000000001</v>
      </c>
      <c r="EF136" s="23">
        <f t="shared" si="59"/>
        <v>963.2</v>
      </c>
      <c r="EG136" s="23">
        <f t="shared" si="59"/>
        <v>161.30000000000001</v>
      </c>
      <c r="EH136" s="23">
        <f t="shared" si="59"/>
        <v>130.69999999999999</v>
      </c>
      <c r="EI136" s="23">
        <f t="shared" si="59"/>
        <v>10751.4</v>
      </c>
      <c r="EJ136" s="23">
        <f t="shared" si="59"/>
        <v>5234</v>
      </c>
      <c r="EK136" s="23">
        <f t="shared" si="59"/>
        <v>254.2</v>
      </c>
      <c r="EL136" s="23">
        <f t="shared" si="59"/>
        <v>215.9</v>
      </c>
      <c r="EM136" s="23">
        <f t="shared" si="59"/>
        <v>208.5</v>
      </c>
      <c r="EN136" s="23">
        <f t="shared" si="59"/>
        <v>680</v>
      </c>
      <c r="EO136" s="23">
        <f t="shared" si="59"/>
        <v>138.19999999999999</v>
      </c>
      <c r="EP136" s="23">
        <f t="shared" si="59"/>
        <v>118</v>
      </c>
      <c r="EQ136" s="23">
        <f t="shared" si="59"/>
        <v>480.4</v>
      </c>
      <c r="ER136" s="23">
        <f t="shared" si="59"/>
        <v>87.7</v>
      </c>
      <c r="ES136" s="23">
        <f t="shared" si="59"/>
        <v>124.4</v>
      </c>
      <c r="ET136" s="23">
        <f t="shared" si="59"/>
        <v>153.1</v>
      </c>
      <c r="EU136" s="23">
        <f t="shared" si="59"/>
        <v>532.79999999999995</v>
      </c>
      <c r="EV136" s="23">
        <f t="shared" si="59"/>
        <v>40.299999999999997</v>
      </c>
      <c r="EW136" s="23">
        <f t="shared" si="59"/>
        <v>229.6</v>
      </c>
      <c r="EX136" s="23">
        <f t="shared" si="59"/>
        <v>92.2</v>
      </c>
      <c r="EY136" s="23">
        <f t="shared" si="59"/>
        <v>427.7</v>
      </c>
      <c r="EZ136" s="23">
        <f t="shared" si="59"/>
        <v>69.900000000000006</v>
      </c>
      <c r="FA136" s="23">
        <f t="shared" si="59"/>
        <v>1285.8</v>
      </c>
      <c r="FB136" s="23">
        <f t="shared" si="59"/>
        <v>214.1</v>
      </c>
      <c r="FC136" s="23">
        <f t="shared" si="59"/>
        <v>618.70000000000005</v>
      </c>
      <c r="FD136" s="23">
        <f t="shared" si="59"/>
        <v>228</v>
      </c>
      <c r="FE136" s="23">
        <f t="shared" si="59"/>
        <v>47.7</v>
      </c>
      <c r="FF136" s="23">
        <f t="shared" si="59"/>
        <v>102.8</v>
      </c>
      <c r="FG136" s="23">
        <f t="shared" si="59"/>
        <v>52.6</v>
      </c>
      <c r="FH136" s="23">
        <f t="shared" si="59"/>
        <v>32.1</v>
      </c>
      <c r="FI136" s="23">
        <f t="shared" si="59"/>
        <v>1032.5</v>
      </c>
      <c r="FJ136" s="23">
        <f t="shared" si="59"/>
        <v>747.8</v>
      </c>
      <c r="FK136" s="23">
        <f t="shared" si="59"/>
        <v>1374.3</v>
      </c>
      <c r="FL136" s="23">
        <f t="shared" si="59"/>
        <v>2171.9</v>
      </c>
      <c r="FM136" s="23">
        <f t="shared" si="59"/>
        <v>1300.2</v>
      </c>
      <c r="FN136" s="23">
        <f t="shared" si="59"/>
        <v>15884.6</v>
      </c>
      <c r="FO136" s="23">
        <f t="shared" si="59"/>
        <v>578.4</v>
      </c>
      <c r="FP136" s="23">
        <f t="shared" si="59"/>
        <v>1343.2</v>
      </c>
      <c r="FQ136" s="23">
        <f t="shared" si="59"/>
        <v>354</v>
      </c>
      <c r="FR136" s="23">
        <f t="shared" si="59"/>
        <v>44.2</v>
      </c>
      <c r="FS136" s="23">
        <f t="shared" si="59"/>
        <v>45</v>
      </c>
      <c r="FT136" s="23" t="e">
        <f t="shared" ca="1" si="59"/>
        <v>#NAME?</v>
      </c>
      <c r="FU136" s="23">
        <f t="shared" si="59"/>
        <v>485.3</v>
      </c>
      <c r="FV136" s="23">
        <f t="shared" si="59"/>
        <v>434.2</v>
      </c>
      <c r="FW136" s="23">
        <f t="shared" si="59"/>
        <v>81.7</v>
      </c>
      <c r="FX136" s="23">
        <f t="shared" si="59"/>
        <v>29.3</v>
      </c>
      <c r="FY136" s="23"/>
      <c r="FZ136" s="58"/>
      <c r="GA136" s="7"/>
      <c r="GB136" s="32"/>
      <c r="GC136" s="32"/>
      <c r="GD136" s="32"/>
      <c r="GE136" s="7"/>
      <c r="GF136" s="32"/>
      <c r="GG136" s="32"/>
      <c r="GH136" s="32"/>
      <c r="GI136" s="7"/>
      <c r="GJ136" s="7"/>
      <c r="GK136" s="7"/>
    </row>
    <row r="137" spans="1:207" ht="15.5" x14ac:dyDescent="0.35">
      <c r="A137" s="12" t="s">
        <v>592</v>
      </c>
      <c r="B137" s="25" t="s">
        <v>593</v>
      </c>
      <c r="C137" s="25">
        <f t="shared" ref="C137:FX137" si="60">MAX(C135,C136)</f>
        <v>4792.3</v>
      </c>
      <c r="D137" s="25">
        <f t="shared" si="60"/>
        <v>19193</v>
      </c>
      <c r="E137" s="25">
        <f t="shared" si="60"/>
        <v>4709.3</v>
      </c>
      <c r="F137" s="25">
        <f t="shared" si="60"/>
        <v>12549.4</v>
      </c>
      <c r="G137" s="25">
        <f t="shared" si="60"/>
        <v>812.2</v>
      </c>
      <c r="H137" s="25">
        <f t="shared" si="60"/>
        <v>438.2</v>
      </c>
      <c r="I137" s="25">
        <f t="shared" si="60"/>
        <v>6388</v>
      </c>
      <c r="J137" s="25">
        <f t="shared" si="60"/>
        <v>1579.5</v>
      </c>
      <c r="K137" s="25">
        <f t="shared" si="60"/>
        <v>152.1</v>
      </c>
      <c r="L137" s="25">
        <f t="shared" si="60"/>
        <v>1348.7</v>
      </c>
      <c r="M137" s="25">
        <f t="shared" si="60"/>
        <v>729.9</v>
      </c>
      <c r="N137" s="25">
        <f t="shared" si="60"/>
        <v>18867.900000000001</v>
      </c>
      <c r="O137" s="25">
        <f t="shared" si="60"/>
        <v>3029.6</v>
      </c>
      <c r="P137" s="25">
        <f t="shared" si="60"/>
        <v>163.6</v>
      </c>
      <c r="Q137" s="25">
        <f t="shared" si="60"/>
        <v>31548.1</v>
      </c>
      <c r="R137" s="25">
        <f t="shared" si="60"/>
        <v>3944.3</v>
      </c>
      <c r="S137" s="25">
        <f t="shared" si="60"/>
        <v>938.6</v>
      </c>
      <c r="T137" s="25">
        <f t="shared" si="60"/>
        <v>118.5</v>
      </c>
      <c r="U137" s="25">
        <f t="shared" si="60"/>
        <v>36.5</v>
      </c>
      <c r="V137" s="25">
        <f t="shared" si="60"/>
        <v>188.9</v>
      </c>
      <c r="W137" s="25">
        <f t="shared" si="60"/>
        <v>37.200000000000003</v>
      </c>
      <c r="X137" s="25">
        <f t="shared" si="60"/>
        <v>22.6</v>
      </c>
      <c r="Y137" s="25">
        <f t="shared" si="60"/>
        <v>735.2</v>
      </c>
      <c r="Z137" s="25">
        <f t="shared" si="60"/>
        <v>90.1</v>
      </c>
      <c r="AA137" s="25">
        <f t="shared" si="60"/>
        <v>11330.4</v>
      </c>
      <c r="AB137" s="25">
        <f t="shared" si="60"/>
        <v>7389</v>
      </c>
      <c r="AC137" s="25">
        <f t="shared" si="60"/>
        <v>311.89999999999998</v>
      </c>
      <c r="AD137" s="25">
        <f t="shared" si="60"/>
        <v>559.29999999999995</v>
      </c>
      <c r="AE137" s="25">
        <f t="shared" si="60"/>
        <v>67.7</v>
      </c>
      <c r="AF137" s="25">
        <f t="shared" si="60"/>
        <v>89.6</v>
      </c>
      <c r="AG137" s="25">
        <f t="shared" si="60"/>
        <v>188.1</v>
      </c>
      <c r="AH137" s="25">
        <f t="shared" si="60"/>
        <v>624.1</v>
      </c>
      <c r="AI137" s="25">
        <f t="shared" si="60"/>
        <v>234.2</v>
      </c>
      <c r="AJ137" s="25">
        <f t="shared" si="60"/>
        <v>153.69999999999999</v>
      </c>
      <c r="AK137" s="25">
        <f t="shared" si="60"/>
        <v>148.5</v>
      </c>
      <c r="AL137" s="25">
        <f t="shared" si="60"/>
        <v>237.9</v>
      </c>
      <c r="AM137" s="25">
        <f t="shared" si="60"/>
        <v>201</v>
      </c>
      <c r="AN137" s="25">
        <f t="shared" si="60"/>
        <v>139.6</v>
      </c>
      <c r="AO137" s="25">
        <f t="shared" si="60"/>
        <v>2493.1</v>
      </c>
      <c r="AP137" s="25">
        <f t="shared" si="60"/>
        <v>52878.5</v>
      </c>
      <c r="AQ137" s="25">
        <f t="shared" si="60"/>
        <v>151.5</v>
      </c>
      <c r="AR137" s="25">
        <f t="shared" si="60"/>
        <v>10739.2</v>
      </c>
      <c r="AS137" s="25">
        <f t="shared" si="60"/>
        <v>2678</v>
      </c>
      <c r="AT137" s="25">
        <f t="shared" si="60"/>
        <v>605.20000000000005</v>
      </c>
      <c r="AU137" s="25">
        <f t="shared" si="60"/>
        <v>108.3</v>
      </c>
      <c r="AV137" s="25">
        <f t="shared" si="60"/>
        <v>187.1</v>
      </c>
      <c r="AW137" s="25">
        <f t="shared" si="60"/>
        <v>88.3</v>
      </c>
      <c r="AX137" s="25">
        <f t="shared" si="60"/>
        <v>44.4</v>
      </c>
      <c r="AY137" s="25">
        <f t="shared" si="60"/>
        <v>210.6</v>
      </c>
      <c r="AZ137" s="25">
        <f t="shared" si="60"/>
        <v>8114.5</v>
      </c>
      <c r="BA137" s="25">
        <f t="shared" si="60"/>
        <v>4395.8</v>
      </c>
      <c r="BB137" s="25">
        <f t="shared" si="60"/>
        <v>3664.6</v>
      </c>
      <c r="BC137" s="25">
        <f t="shared" si="60"/>
        <v>14233.5</v>
      </c>
      <c r="BD137" s="25">
        <f t="shared" si="60"/>
        <v>795.2</v>
      </c>
      <c r="BE137" s="25">
        <f t="shared" si="60"/>
        <v>415.3</v>
      </c>
      <c r="BF137" s="25">
        <f t="shared" si="60"/>
        <v>5915.8</v>
      </c>
      <c r="BG137" s="25">
        <f t="shared" si="60"/>
        <v>551.29999999999995</v>
      </c>
      <c r="BH137" s="25">
        <f t="shared" si="60"/>
        <v>170.4</v>
      </c>
      <c r="BI137" s="25">
        <f t="shared" si="60"/>
        <v>190.9</v>
      </c>
      <c r="BJ137" s="25">
        <f t="shared" si="60"/>
        <v>1101</v>
      </c>
      <c r="BK137" s="25">
        <f t="shared" si="60"/>
        <v>14155.7</v>
      </c>
      <c r="BL137" s="25">
        <f t="shared" si="60"/>
        <v>55.7</v>
      </c>
      <c r="BM137" s="25">
        <f t="shared" si="60"/>
        <v>229</v>
      </c>
      <c r="BN137" s="25">
        <f t="shared" si="60"/>
        <v>1807.7</v>
      </c>
      <c r="BO137" s="25">
        <f t="shared" si="60"/>
        <v>683.1</v>
      </c>
      <c r="BP137" s="25">
        <f t="shared" si="60"/>
        <v>87.6</v>
      </c>
      <c r="BQ137" s="25">
        <f t="shared" si="60"/>
        <v>2928.7</v>
      </c>
      <c r="BR137" s="25">
        <f t="shared" si="60"/>
        <v>2231.5</v>
      </c>
      <c r="BS137" s="25">
        <f t="shared" si="60"/>
        <v>772.3</v>
      </c>
      <c r="BT137" s="25">
        <f t="shared" si="60"/>
        <v>162.69999999999999</v>
      </c>
      <c r="BU137" s="25">
        <f t="shared" si="60"/>
        <v>166.7</v>
      </c>
      <c r="BV137" s="25">
        <f t="shared" si="60"/>
        <v>413.7</v>
      </c>
      <c r="BW137" s="25">
        <f t="shared" si="60"/>
        <v>715</v>
      </c>
      <c r="BX137" s="25">
        <f t="shared" si="60"/>
        <v>22.5</v>
      </c>
      <c r="BY137" s="25">
        <f t="shared" si="60"/>
        <v>343.9</v>
      </c>
      <c r="BZ137" s="25">
        <f t="shared" si="60"/>
        <v>163.6</v>
      </c>
      <c r="CA137" s="25">
        <f t="shared" si="60"/>
        <v>45.4</v>
      </c>
      <c r="CB137" s="25">
        <f t="shared" si="60"/>
        <v>22526.7</v>
      </c>
      <c r="CC137" s="25">
        <f t="shared" si="60"/>
        <v>121.6</v>
      </c>
      <c r="CD137" s="25">
        <f t="shared" si="60"/>
        <v>12.2</v>
      </c>
      <c r="CE137" s="25">
        <f t="shared" si="60"/>
        <v>73.8</v>
      </c>
      <c r="CF137" s="25">
        <f t="shared" si="60"/>
        <v>50</v>
      </c>
      <c r="CG137" s="25">
        <f t="shared" si="60"/>
        <v>86.8</v>
      </c>
      <c r="CH137" s="25">
        <f t="shared" si="60"/>
        <v>68</v>
      </c>
      <c r="CI137" s="25">
        <f t="shared" si="60"/>
        <v>430.8</v>
      </c>
      <c r="CJ137" s="25">
        <f t="shared" si="60"/>
        <v>511.5</v>
      </c>
      <c r="CK137" s="25">
        <f t="shared" si="60"/>
        <v>1796.8</v>
      </c>
      <c r="CL137" s="25">
        <f t="shared" si="60"/>
        <v>493.5</v>
      </c>
      <c r="CM137" s="25">
        <f t="shared" si="60"/>
        <v>352.2</v>
      </c>
      <c r="CN137" s="25">
        <f t="shared" si="60"/>
        <v>9777.4</v>
      </c>
      <c r="CO137" s="25">
        <f t="shared" si="60"/>
        <v>4698.3999999999996</v>
      </c>
      <c r="CP137" s="25">
        <f t="shared" si="60"/>
        <v>426.6</v>
      </c>
      <c r="CQ137" s="25">
        <f t="shared" si="60"/>
        <v>574.20000000000005</v>
      </c>
      <c r="CR137" s="25">
        <f t="shared" si="60"/>
        <v>73.3</v>
      </c>
      <c r="CS137" s="25">
        <f t="shared" si="60"/>
        <v>99.5</v>
      </c>
      <c r="CT137" s="25">
        <f t="shared" si="60"/>
        <v>90.6</v>
      </c>
      <c r="CU137" s="25">
        <f t="shared" si="60"/>
        <v>208.7</v>
      </c>
      <c r="CV137" s="25">
        <f t="shared" si="60"/>
        <v>9.1</v>
      </c>
      <c r="CW137" s="25">
        <f t="shared" si="60"/>
        <v>105.2</v>
      </c>
      <c r="CX137" s="25">
        <f t="shared" si="60"/>
        <v>231.2</v>
      </c>
      <c r="CY137" s="25">
        <f t="shared" si="60"/>
        <v>13.2</v>
      </c>
      <c r="CZ137" s="25">
        <f t="shared" si="60"/>
        <v>1003.3</v>
      </c>
      <c r="DA137" s="25">
        <f t="shared" si="60"/>
        <v>50.5</v>
      </c>
      <c r="DB137" s="25">
        <f t="shared" si="60"/>
        <v>91</v>
      </c>
      <c r="DC137" s="25">
        <f t="shared" si="60"/>
        <v>50.6</v>
      </c>
      <c r="DD137" s="25">
        <f t="shared" si="60"/>
        <v>109.8</v>
      </c>
      <c r="DE137" s="25">
        <f t="shared" si="60"/>
        <v>129.5</v>
      </c>
      <c r="DF137" s="25">
        <f t="shared" si="60"/>
        <v>11723.2</v>
      </c>
      <c r="DG137" s="25">
        <f t="shared" si="60"/>
        <v>37.6</v>
      </c>
      <c r="DH137" s="25">
        <f t="shared" si="60"/>
        <v>977.3</v>
      </c>
      <c r="DI137" s="25">
        <f t="shared" si="60"/>
        <v>1568.7</v>
      </c>
      <c r="DJ137" s="25">
        <f t="shared" si="60"/>
        <v>338.6</v>
      </c>
      <c r="DK137" s="25">
        <f t="shared" si="60"/>
        <v>196.6</v>
      </c>
      <c r="DL137" s="25">
        <f t="shared" si="60"/>
        <v>3187.1</v>
      </c>
      <c r="DM137" s="25">
        <f t="shared" si="60"/>
        <v>137.1</v>
      </c>
      <c r="DN137" s="25">
        <f t="shared" si="60"/>
        <v>851</v>
      </c>
      <c r="DO137" s="25">
        <f t="shared" si="60"/>
        <v>2012.2</v>
      </c>
      <c r="DP137" s="25">
        <f t="shared" si="60"/>
        <v>66.3</v>
      </c>
      <c r="DQ137" s="25">
        <f t="shared" si="60"/>
        <v>373.1</v>
      </c>
      <c r="DR137" s="25">
        <f t="shared" si="60"/>
        <v>982.1</v>
      </c>
      <c r="DS137" s="25">
        <f t="shared" si="60"/>
        <v>453.9</v>
      </c>
      <c r="DT137" s="25">
        <f t="shared" si="60"/>
        <v>152.19999999999999</v>
      </c>
      <c r="DU137" s="25">
        <f t="shared" si="60"/>
        <v>207.3</v>
      </c>
      <c r="DV137" s="25">
        <f t="shared" si="60"/>
        <v>92.1</v>
      </c>
      <c r="DW137" s="25">
        <f t="shared" si="60"/>
        <v>151.30000000000001</v>
      </c>
      <c r="DX137" s="25">
        <f t="shared" si="60"/>
        <v>56.7</v>
      </c>
      <c r="DY137" s="25">
        <f t="shared" si="60"/>
        <v>71.2</v>
      </c>
      <c r="DZ137" s="25">
        <f t="shared" si="60"/>
        <v>240.2</v>
      </c>
      <c r="EA137" s="25">
        <f t="shared" si="60"/>
        <v>222.4</v>
      </c>
      <c r="EB137" s="25">
        <f t="shared" si="60"/>
        <v>314.8</v>
      </c>
      <c r="EC137" s="25">
        <f t="shared" si="60"/>
        <v>96.6</v>
      </c>
      <c r="ED137" s="25">
        <f t="shared" si="60"/>
        <v>103</v>
      </c>
      <c r="EE137" s="25">
        <f t="shared" si="60"/>
        <v>132.30000000000001</v>
      </c>
      <c r="EF137" s="25">
        <f t="shared" si="60"/>
        <v>963.2</v>
      </c>
      <c r="EG137" s="25">
        <f t="shared" si="60"/>
        <v>161.30000000000001</v>
      </c>
      <c r="EH137" s="25">
        <f t="shared" si="60"/>
        <v>130.69999999999999</v>
      </c>
      <c r="EI137" s="25">
        <f t="shared" si="60"/>
        <v>10751.4</v>
      </c>
      <c r="EJ137" s="25">
        <f t="shared" si="60"/>
        <v>5234</v>
      </c>
      <c r="EK137" s="25">
        <f t="shared" si="60"/>
        <v>254.2</v>
      </c>
      <c r="EL137" s="25">
        <f t="shared" si="60"/>
        <v>215.9</v>
      </c>
      <c r="EM137" s="25">
        <f t="shared" si="60"/>
        <v>208.5</v>
      </c>
      <c r="EN137" s="25">
        <f t="shared" si="60"/>
        <v>680</v>
      </c>
      <c r="EO137" s="25">
        <f t="shared" si="60"/>
        <v>138.19999999999999</v>
      </c>
      <c r="EP137" s="25">
        <f t="shared" si="60"/>
        <v>118</v>
      </c>
      <c r="EQ137" s="25">
        <f t="shared" si="60"/>
        <v>480.4</v>
      </c>
      <c r="ER137" s="25">
        <f t="shared" si="60"/>
        <v>87.7</v>
      </c>
      <c r="ES137" s="25">
        <f t="shared" si="60"/>
        <v>124.4</v>
      </c>
      <c r="ET137" s="25">
        <f t="shared" si="60"/>
        <v>153.1</v>
      </c>
      <c r="EU137" s="25">
        <f t="shared" si="60"/>
        <v>532.79999999999995</v>
      </c>
      <c r="EV137" s="25">
        <f t="shared" si="60"/>
        <v>40.299999999999997</v>
      </c>
      <c r="EW137" s="25">
        <f t="shared" si="60"/>
        <v>229.6</v>
      </c>
      <c r="EX137" s="25">
        <f t="shared" si="60"/>
        <v>92.2</v>
      </c>
      <c r="EY137" s="25">
        <f t="shared" si="60"/>
        <v>427.7</v>
      </c>
      <c r="EZ137" s="25">
        <f t="shared" si="60"/>
        <v>69.900000000000006</v>
      </c>
      <c r="FA137" s="25">
        <f t="shared" si="60"/>
        <v>1285.8</v>
      </c>
      <c r="FB137" s="25">
        <f t="shared" si="60"/>
        <v>214.1</v>
      </c>
      <c r="FC137" s="25">
        <f t="shared" si="60"/>
        <v>618.70000000000005</v>
      </c>
      <c r="FD137" s="25">
        <f t="shared" si="60"/>
        <v>228</v>
      </c>
      <c r="FE137" s="25">
        <f t="shared" si="60"/>
        <v>47.7</v>
      </c>
      <c r="FF137" s="25">
        <f t="shared" si="60"/>
        <v>102.8</v>
      </c>
      <c r="FG137" s="25">
        <f t="shared" si="60"/>
        <v>52.6</v>
      </c>
      <c r="FH137" s="25">
        <f t="shared" si="60"/>
        <v>32.1</v>
      </c>
      <c r="FI137" s="25">
        <f t="shared" si="60"/>
        <v>1032.5</v>
      </c>
      <c r="FJ137" s="25">
        <f t="shared" si="60"/>
        <v>747.8</v>
      </c>
      <c r="FK137" s="25">
        <f t="shared" si="60"/>
        <v>1374.3</v>
      </c>
      <c r="FL137" s="25">
        <f t="shared" si="60"/>
        <v>2171.9</v>
      </c>
      <c r="FM137" s="25">
        <f t="shared" si="60"/>
        <v>1300.2</v>
      </c>
      <c r="FN137" s="25">
        <f t="shared" si="60"/>
        <v>15884.6</v>
      </c>
      <c r="FO137" s="25">
        <f t="shared" si="60"/>
        <v>578.4</v>
      </c>
      <c r="FP137" s="25">
        <f t="shared" si="60"/>
        <v>1343.2</v>
      </c>
      <c r="FQ137" s="25">
        <f t="shared" si="60"/>
        <v>354</v>
      </c>
      <c r="FR137" s="25">
        <f t="shared" si="60"/>
        <v>44.2</v>
      </c>
      <c r="FS137" s="25">
        <f t="shared" si="60"/>
        <v>45</v>
      </c>
      <c r="FT137" s="25" t="e">
        <f t="shared" ca="1" si="60"/>
        <v>#NAME?</v>
      </c>
      <c r="FU137" s="25">
        <f t="shared" si="60"/>
        <v>485.3</v>
      </c>
      <c r="FV137" s="25">
        <f t="shared" si="60"/>
        <v>434.2</v>
      </c>
      <c r="FW137" s="25">
        <f t="shared" si="60"/>
        <v>81.7</v>
      </c>
      <c r="FX137" s="25">
        <f t="shared" si="60"/>
        <v>29.3</v>
      </c>
      <c r="FY137" s="23"/>
      <c r="FZ137" s="25" t="e">
        <f ca="1">SUM(C137:FY137)</f>
        <v>#NAME?</v>
      </c>
      <c r="GA137" s="57"/>
      <c r="GB137" s="25" t="e">
        <f ca="1">FZ137-GA137</f>
        <v>#NAME?</v>
      </c>
      <c r="GC137" s="25"/>
      <c r="GD137" s="25"/>
      <c r="GE137" s="7"/>
      <c r="GF137" s="31"/>
      <c r="GG137" s="31"/>
      <c r="GH137" s="31"/>
      <c r="GI137" s="31"/>
      <c r="GJ137" s="31"/>
      <c r="GK137" s="31"/>
    </row>
    <row r="138" spans="1:207" ht="15.5" x14ac:dyDescent="0.35">
      <c r="A138" s="12"/>
      <c r="B138" s="7" t="s">
        <v>865</v>
      </c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23"/>
      <c r="FZ138" s="25"/>
      <c r="GA138" s="7"/>
      <c r="GB138" s="25"/>
      <c r="GC138" s="25"/>
      <c r="GD138" s="25"/>
      <c r="GE138" s="7"/>
      <c r="GF138" s="23"/>
      <c r="GG138" s="23"/>
      <c r="GH138" s="23"/>
      <c r="GI138" s="7"/>
      <c r="GJ138" s="7"/>
      <c r="GK138" s="7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</row>
    <row r="139" spans="1:207" ht="15.5" x14ac:dyDescent="0.35">
      <c r="A139" s="12" t="s">
        <v>594</v>
      </c>
      <c r="B139" s="7" t="s">
        <v>866</v>
      </c>
      <c r="C139" s="31">
        <f t="shared" ref="C139:FX139" si="61">ROUND((C137/C21),4)</f>
        <v>0.73480000000000001</v>
      </c>
      <c r="D139" s="31">
        <f t="shared" si="61"/>
        <v>0.51690000000000003</v>
      </c>
      <c r="E139" s="31">
        <f t="shared" si="61"/>
        <v>0.88429999999999997</v>
      </c>
      <c r="F139" s="31">
        <f t="shared" si="61"/>
        <v>0.51400000000000001</v>
      </c>
      <c r="G139" s="31">
        <f t="shared" si="61"/>
        <v>0.4405</v>
      </c>
      <c r="H139" s="31">
        <f t="shared" si="61"/>
        <v>0.40920000000000001</v>
      </c>
      <c r="I139" s="31">
        <f t="shared" si="61"/>
        <v>0.8196</v>
      </c>
      <c r="J139" s="31">
        <f t="shared" si="61"/>
        <v>0.79410000000000003</v>
      </c>
      <c r="K139" s="31">
        <f t="shared" si="61"/>
        <v>0.61080000000000001</v>
      </c>
      <c r="L139" s="31">
        <f t="shared" si="61"/>
        <v>0.64590000000000003</v>
      </c>
      <c r="M139" s="31">
        <f t="shared" si="61"/>
        <v>0.85960000000000003</v>
      </c>
      <c r="N139" s="31">
        <f t="shared" si="61"/>
        <v>0.3755</v>
      </c>
      <c r="O139" s="31">
        <f t="shared" si="61"/>
        <v>0.24490000000000001</v>
      </c>
      <c r="P139" s="31">
        <f t="shared" si="61"/>
        <v>0.52439999999999998</v>
      </c>
      <c r="Q139" s="31">
        <f t="shared" si="61"/>
        <v>0.78779999999999994</v>
      </c>
      <c r="R139" s="31">
        <f t="shared" si="61"/>
        <v>0.53339999999999999</v>
      </c>
      <c r="S139" s="31">
        <f t="shared" si="61"/>
        <v>0.59230000000000005</v>
      </c>
      <c r="T139" s="31">
        <f t="shared" si="61"/>
        <v>0.74060000000000004</v>
      </c>
      <c r="U139" s="31">
        <f t="shared" si="61"/>
        <v>0.67589999999999995</v>
      </c>
      <c r="V139" s="31">
        <f t="shared" si="61"/>
        <v>0.74519999999999997</v>
      </c>
      <c r="W139" s="31">
        <f t="shared" si="61"/>
        <v>0.78320000000000001</v>
      </c>
      <c r="X139" s="31">
        <f t="shared" si="61"/>
        <v>0.56359999999999999</v>
      </c>
      <c r="Y139" s="31">
        <f t="shared" si="61"/>
        <v>0.8417</v>
      </c>
      <c r="Z139" s="31">
        <f t="shared" si="61"/>
        <v>0.39</v>
      </c>
      <c r="AA139" s="31">
        <f t="shared" si="61"/>
        <v>0.36459999999999998</v>
      </c>
      <c r="AB139" s="31">
        <f t="shared" si="61"/>
        <v>0.27510000000000001</v>
      </c>
      <c r="AC139" s="31">
        <f t="shared" si="61"/>
        <v>0.36799999999999999</v>
      </c>
      <c r="AD139" s="31">
        <f t="shared" si="61"/>
        <v>0.3866</v>
      </c>
      <c r="AE139" s="31">
        <f t="shared" si="61"/>
        <v>0.69789999999999996</v>
      </c>
      <c r="AF139" s="31">
        <f t="shared" si="61"/>
        <v>0.54469999999999996</v>
      </c>
      <c r="AG139" s="31">
        <f t="shared" si="61"/>
        <v>0.32129999999999997</v>
      </c>
      <c r="AH139" s="31">
        <f t="shared" si="61"/>
        <v>0.68730000000000002</v>
      </c>
      <c r="AI139" s="31">
        <f t="shared" si="61"/>
        <v>0.61150000000000004</v>
      </c>
      <c r="AJ139" s="31">
        <f t="shared" si="61"/>
        <v>0.8468</v>
      </c>
      <c r="AK139" s="31">
        <f t="shared" si="61"/>
        <v>0.93100000000000005</v>
      </c>
      <c r="AL139" s="31">
        <f t="shared" si="61"/>
        <v>0.83330000000000004</v>
      </c>
      <c r="AM139" s="31">
        <f t="shared" si="61"/>
        <v>0.65490000000000004</v>
      </c>
      <c r="AN139" s="31">
        <f t="shared" si="61"/>
        <v>0.5161</v>
      </c>
      <c r="AO139" s="31">
        <f t="shared" si="61"/>
        <v>0.60499999999999998</v>
      </c>
      <c r="AP139" s="31">
        <f t="shared" si="61"/>
        <v>0.62880000000000003</v>
      </c>
      <c r="AQ139" s="31">
        <f t="shared" si="61"/>
        <v>0.60240000000000005</v>
      </c>
      <c r="AR139" s="31">
        <f t="shared" si="61"/>
        <v>0.1754</v>
      </c>
      <c r="AS139" s="31">
        <f t="shared" si="61"/>
        <v>0.42709999999999998</v>
      </c>
      <c r="AT139" s="31">
        <f t="shared" si="61"/>
        <v>0.23669999999999999</v>
      </c>
      <c r="AU139" s="31">
        <f t="shared" si="61"/>
        <v>0.40410000000000001</v>
      </c>
      <c r="AV139" s="31">
        <f t="shared" si="61"/>
        <v>0.6321</v>
      </c>
      <c r="AW139" s="31">
        <f t="shared" si="61"/>
        <v>0.34360000000000002</v>
      </c>
      <c r="AX139" s="31">
        <f t="shared" si="61"/>
        <v>0.54810000000000003</v>
      </c>
      <c r="AY139" s="31">
        <f t="shared" si="61"/>
        <v>0.53790000000000004</v>
      </c>
      <c r="AZ139" s="31">
        <f t="shared" si="61"/>
        <v>0.67120000000000002</v>
      </c>
      <c r="BA139" s="31">
        <f t="shared" si="61"/>
        <v>0.48359999999999997</v>
      </c>
      <c r="BB139" s="31">
        <f t="shared" si="61"/>
        <v>0.49070000000000003</v>
      </c>
      <c r="BC139" s="31">
        <f t="shared" si="61"/>
        <v>0.57669999999999999</v>
      </c>
      <c r="BD139" s="31">
        <f t="shared" si="61"/>
        <v>0.21840000000000001</v>
      </c>
      <c r="BE139" s="31">
        <f t="shared" si="61"/>
        <v>0.38030000000000003</v>
      </c>
      <c r="BF139" s="31">
        <f t="shared" si="61"/>
        <v>0.22520000000000001</v>
      </c>
      <c r="BG139" s="31">
        <f t="shared" si="61"/>
        <v>0.59860000000000002</v>
      </c>
      <c r="BH139" s="31">
        <f t="shared" si="61"/>
        <v>0.2949</v>
      </c>
      <c r="BI139" s="31">
        <f t="shared" si="61"/>
        <v>0.75009999999999999</v>
      </c>
      <c r="BJ139" s="31">
        <f t="shared" si="61"/>
        <v>0.17130000000000001</v>
      </c>
      <c r="BK139" s="31">
        <f t="shared" si="61"/>
        <v>0.50849999999999995</v>
      </c>
      <c r="BL139" s="31">
        <f t="shared" si="61"/>
        <v>0.61750000000000005</v>
      </c>
      <c r="BM139" s="31">
        <f t="shared" si="61"/>
        <v>0.6361</v>
      </c>
      <c r="BN139" s="31">
        <f t="shared" si="61"/>
        <v>0.59299999999999997</v>
      </c>
      <c r="BO139" s="31">
        <f t="shared" si="61"/>
        <v>0.57450000000000001</v>
      </c>
      <c r="BP139" s="31">
        <f t="shared" si="61"/>
        <v>0.63939999999999997</v>
      </c>
      <c r="BQ139" s="31">
        <f t="shared" si="61"/>
        <v>0.51349999999999996</v>
      </c>
      <c r="BR139" s="31">
        <f t="shared" si="61"/>
        <v>0.50919999999999999</v>
      </c>
      <c r="BS139" s="31">
        <f t="shared" si="61"/>
        <v>0.67689999999999995</v>
      </c>
      <c r="BT139" s="31">
        <f t="shared" si="61"/>
        <v>0.46029999999999999</v>
      </c>
      <c r="BU139" s="31">
        <f t="shared" si="61"/>
        <v>0.43519999999999998</v>
      </c>
      <c r="BV139" s="31">
        <f t="shared" si="61"/>
        <v>0.33239999999999997</v>
      </c>
      <c r="BW139" s="31">
        <f t="shared" si="61"/>
        <v>0.35349999999999998</v>
      </c>
      <c r="BX139" s="31">
        <f t="shared" si="61"/>
        <v>0.3947</v>
      </c>
      <c r="BY139" s="31">
        <f t="shared" si="61"/>
        <v>0.874</v>
      </c>
      <c r="BZ139" s="31">
        <f t="shared" si="61"/>
        <v>0.71750000000000003</v>
      </c>
      <c r="CA139" s="31">
        <f t="shared" si="61"/>
        <v>0.32079999999999997</v>
      </c>
      <c r="CB139" s="31">
        <f t="shared" si="61"/>
        <v>0.30819999999999997</v>
      </c>
      <c r="CC139" s="31">
        <f t="shared" si="61"/>
        <v>0.65380000000000005</v>
      </c>
      <c r="CD139" s="31">
        <f t="shared" si="61"/>
        <v>0.40670000000000001</v>
      </c>
      <c r="CE139" s="31">
        <f t="shared" si="61"/>
        <v>0.4627</v>
      </c>
      <c r="CF139" s="31">
        <f t="shared" si="61"/>
        <v>0.5</v>
      </c>
      <c r="CG139" s="31">
        <f t="shared" si="61"/>
        <v>0.45090000000000002</v>
      </c>
      <c r="CH139" s="31">
        <f t="shared" si="61"/>
        <v>0.75560000000000005</v>
      </c>
      <c r="CI139" s="31">
        <f t="shared" si="61"/>
        <v>0.63070000000000004</v>
      </c>
      <c r="CJ139" s="31">
        <f t="shared" si="61"/>
        <v>0.62150000000000005</v>
      </c>
      <c r="CK139" s="31">
        <f t="shared" si="61"/>
        <v>0.36980000000000002</v>
      </c>
      <c r="CL139" s="31">
        <f t="shared" si="61"/>
        <v>0.42720000000000002</v>
      </c>
      <c r="CM139" s="31">
        <f t="shared" si="61"/>
        <v>0.57079999999999997</v>
      </c>
      <c r="CN139" s="31">
        <f t="shared" si="61"/>
        <v>0.32050000000000001</v>
      </c>
      <c r="CO139" s="31">
        <f t="shared" si="61"/>
        <v>0.33260000000000001</v>
      </c>
      <c r="CP139" s="31">
        <f t="shared" si="61"/>
        <v>0.4748</v>
      </c>
      <c r="CQ139" s="31">
        <f t="shared" si="61"/>
        <v>0.75649999999999995</v>
      </c>
      <c r="CR139" s="31">
        <f t="shared" si="61"/>
        <v>0.37490000000000001</v>
      </c>
      <c r="CS139" s="31">
        <f t="shared" si="61"/>
        <v>0.40379999999999999</v>
      </c>
      <c r="CT139" s="31">
        <f t="shared" si="61"/>
        <v>0.80889999999999995</v>
      </c>
      <c r="CU139" s="31">
        <f t="shared" si="61"/>
        <v>0.44879999999999998</v>
      </c>
      <c r="CV139" s="31">
        <f t="shared" si="61"/>
        <v>0.37919999999999998</v>
      </c>
      <c r="CW139" s="31">
        <f t="shared" si="61"/>
        <v>0.56530000000000002</v>
      </c>
      <c r="CX139" s="31">
        <f t="shared" si="61"/>
        <v>0.50539999999999996</v>
      </c>
      <c r="CY139" s="31">
        <f t="shared" si="61"/>
        <v>0.51759999999999995</v>
      </c>
      <c r="CZ139" s="31">
        <f t="shared" si="61"/>
        <v>0.5665</v>
      </c>
      <c r="DA139" s="31">
        <f t="shared" si="61"/>
        <v>0.2475</v>
      </c>
      <c r="DB139" s="31">
        <f t="shared" si="61"/>
        <v>0.29310000000000003</v>
      </c>
      <c r="DC139" s="31">
        <f t="shared" si="61"/>
        <v>0.26219999999999999</v>
      </c>
      <c r="DD139" s="31">
        <f t="shared" si="61"/>
        <v>0.62560000000000004</v>
      </c>
      <c r="DE139" s="31">
        <f t="shared" si="61"/>
        <v>0.46250000000000002</v>
      </c>
      <c r="DF139" s="31">
        <f t="shared" si="61"/>
        <v>0.56259999999999999</v>
      </c>
      <c r="DG139" s="31">
        <f t="shared" si="61"/>
        <v>0.40210000000000001</v>
      </c>
      <c r="DH139" s="31">
        <f t="shared" si="61"/>
        <v>0.57899999999999996</v>
      </c>
      <c r="DI139" s="31">
        <f t="shared" si="61"/>
        <v>0.66669999999999996</v>
      </c>
      <c r="DJ139" s="31">
        <f t="shared" si="61"/>
        <v>0.56530000000000002</v>
      </c>
      <c r="DK139" s="31">
        <f t="shared" si="61"/>
        <v>0.41610000000000003</v>
      </c>
      <c r="DL139" s="31">
        <f t="shared" si="61"/>
        <v>0.5655</v>
      </c>
      <c r="DM139" s="31">
        <f t="shared" si="61"/>
        <v>0.58089999999999997</v>
      </c>
      <c r="DN139" s="31">
        <f t="shared" si="61"/>
        <v>0.66339999999999999</v>
      </c>
      <c r="DO139" s="31">
        <f t="shared" si="61"/>
        <v>0.61319999999999997</v>
      </c>
      <c r="DP139" s="31">
        <f t="shared" si="61"/>
        <v>0.3332</v>
      </c>
      <c r="DQ139" s="31">
        <f t="shared" si="61"/>
        <v>0.42570000000000002</v>
      </c>
      <c r="DR139" s="31">
        <f t="shared" si="61"/>
        <v>0.77539999999999998</v>
      </c>
      <c r="DS139" s="31">
        <f t="shared" si="61"/>
        <v>0.83279999999999998</v>
      </c>
      <c r="DT139" s="31">
        <f t="shared" si="61"/>
        <v>0.86480000000000001</v>
      </c>
      <c r="DU139" s="31">
        <f t="shared" si="61"/>
        <v>0.59909999999999997</v>
      </c>
      <c r="DV139" s="31">
        <f t="shared" si="61"/>
        <v>0.46400000000000002</v>
      </c>
      <c r="DW139" s="31">
        <f t="shared" si="61"/>
        <v>0.52990000000000004</v>
      </c>
      <c r="DX139" s="31">
        <f t="shared" si="61"/>
        <v>0.33750000000000002</v>
      </c>
      <c r="DY139" s="31">
        <f t="shared" si="61"/>
        <v>0.25430000000000003</v>
      </c>
      <c r="DZ139" s="31">
        <f t="shared" si="61"/>
        <v>0.39600000000000002</v>
      </c>
      <c r="EA139" s="31">
        <f t="shared" si="61"/>
        <v>0.43740000000000001</v>
      </c>
      <c r="EB139" s="31">
        <f t="shared" si="61"/>
        <v>0.63019999999999998</v>
      </c>
      <c r="EC139" s="31">
        <f t="shared" si="61"/>
        <v>0.37080000000000002</v>
      </c>
      <c r="ED139" s="31">
        <f t="shared" si="61"/>
        <v>6.6500000000000004E-2</v>
      </c>
      <c r="EE139" s="31">
        <f t="shared" si="61"/>
        <v>0.71319999999999995</v>
      </c>
      <c r="EF139" s="31">
        <f t="shared" si="61"/>
        <v>0.76319999999999999</v>
      </c>
      <c r="EG139" s="31">
        <f t="shared" si="61"/>
        <v>0.6452</v>
      </c>
      <c r="EH139" s="31">
        <f t="shared" si="61"/>
        <v>0.53129999999999999</v>
      </c>
      <c r="EI139" s="31">
        <f t="shared" si="61"/>
        <v>0.80859999999999999</v>
      </c>
      <c r="EJ139" s="31">
        <f t="shared" si="61"/>
        <v>0.52329999999999999</v>
      </c>
      <c r="EK139" s="31">
        <f t="shared" si="61"/>
        <v>0.38159999999999999</v>
      </c>
      <c r="EL139" s="31">
        <f t="shared" si="61"/>
        <v>0.48299999999999998</v>
      </c>
      <c r="EM139" s="31">
        <f t="shared" si="61"/>
        <v>0.59550000000000003</v>
      </c>
      <c r="EN139" s="31">
        <f t="shared" si="61"/>
        <v>0.7389</v>
      </c>
      <c r="EO139" s="31">
        <f t="shared" si="61"/>
        <v>0.48149999999999998</v>
      </c>
      <c r="EP139" s="31">
        <f t="shared" si="61"/>
        <v>0.27510000000000001</v>
      </c>
      <c r="EQ139" s="31">
        <f t="shared" si="61"/>
        <v>0.19089999999999999</v>
      </c>
      <c r="ER139" s="31">
        <f t="shared" si="61"/>
        <v>0.28339999999999999</v>
      </c>
      <c r="ES139" s="31">
        <f t="shared" si="61"/>
        <v>0.60209999999999997</v>
      </c>
      <c r="ET139" s="31">
        <f t="shared" si="61"/>
        <v>0.7651</v>
      </c>
      <c r="EU139" s="31">
        <f t="shared" si="61"/>
        <v>0.93799999999999994</v>
      </c>
      <c r="EV139" s="31">
        <f t="shared" si="61"/>
        <v>0.61060000000000003</v>
      </c>
      <c r="EW139" s="31">
        <f t="shared" si="61"/>
        <v>0.30759999999999998</v>
      </c>
      <c r="EX139" s="31">
        <f t="shared" si="61"/>
        <v>0.53139999999999998</v>
      </c>
      <c r="EY139" s="31">
        <f t="shared" si="61"/>
        <v>0.6583</v>
      </c>
      <c r="EZ139" s="31">
        <f t="shared" si="61"/>
        <v>0.5504</v>
      </c>
      <c r="FA139" s="31">
        <f t="shared" si="61"/>
        <v>0.39419999999999999</v>
      </c>
      <c r="FB139" s="31">
        <f t="shared" si="61"/>
        <v>0.7974</v>
      </c>
      <c r="FC139" s="31">
        <f t="shared" si="61"/>
        <v>0.36509999999999998</v>
      </c>
      <c r="FD139" s="31">
        <f t="shared" si="61"/>
        <v>0.57140000000000002</v>
      </c>
      <c r="FE139" s="31">
        <f t="shared" si="61"/>
        <v>0.68140000000000001</v>
      </c>
      <c r="FF139" s="31">
        <f t="shared" si="61"/>
        <v>0.58740000000000003</v>
      </c>
      <c r="FG139" s="31">
        <f t="shared" si="61"/>
        <v>0.46139999999999998</v>
      </c>
      <c r="FH139" s="31">
        <f t="shared" si="61"/>
        <v>0.4652</v>
      </c>
      <c r="FI139" s="31">
        <f t="shared" si="61"/>
        <v>0.62860000000000005</v>
      </c>
      <c r="FJ139" s="31">
        <f t="shared" si="61"/>
        <v>0.3725</v>
      </c>
      <c r="FK139" s="31">
        <f t="shared" si="61"/>
        <v>0.55479999999999996</v>
      </c>
      <c r="FL139" s="31">
        <f t="shared" si="61"/>
        <v>0.25419999999999998</v>
      </c>
      <c r="FM139" s="31">
        <f t="shared" si="61"/>
        <v>0.32769999999999999</v>
      </c>
      <c r="FN139" s="31">
        <f t="shared" si="61"/>
        <v>0.69579999999999997</v>
      </c>
      <c r="FO139" s="31">
        <f t="shared" si="61"/>
        <v>0.51639999999999997</v>
      </c>
      <c r="FP139" s="31">
        <f t="shared" si="61"/>
        <v>0.57330000000000003</v>
      </c>
      <c r="FQ139" s="31">
        <f t="shared" si="61"/>
        <v>0.35980000000000001</v>
      </c>
      <c r="FR139" s="31">
        <f t="shared" si="61"/>
        <v>0.28129999999999999</v>
      </c>
      <c r="FS139" s="31">
        <f t="shared" si="61"/>
        <v>0.28039999999999998</v>
      </c>
      <c r="FT139" s="31" t="e">
        <f t="shared" ca="1" si="61"/>
        <v>#NAME?</v>
      </c>
      <c r="FU139" s="31">
        <f t="shared" si="61"/>
        <v>0.6381</v>
      </c>
      <c r="FV139" s="31">
        <f t="shared" si="61"/>
        <v>0.62339999999999995</v>
      </c>
      <c r="FW139" s="31">
        <f t="shared" si="61"/>
        <v>0.62849999999999995</v>
      </c>
      <c r="FX139" s="31">
        <f t="shared" si="61"/>
        <v>0.45779999999999998</v>
      </c>
      <c r="FY139" s="26"/>
      <c r="FZ139" s="31" t="e">
        <f ca="1">ROUND((FZ137/FZ21),4)</f>
        <v>#NAME?</v>
      </c>
      <c r="GA139" s="7"/>
      <c r="GB139" s="25"/>
      <c r="GC139" s="25"/>
      <c r="GD139" s="25"/>
      <c r="GE139" s="7"/>
      <c r="GF139" s="7"/>
      <c r="GG139" s="7"/>
      <c r="GH139" s="7"/>
      <c r="GI139" s="7"/>
      <c r="GJ139" s="7"/>
      <c r="GK139" s="7"/>
    </row>
    <row r="140" spans="1:207" ht="15.5" x14ac:dyDescent="0.35">
      <c r="A140" s="7"/>
      <c r="B140" s="7" t="s">
        <v>867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23"/>
      <c r="FZ140" s="7"/>
      <c r="GA140" s="7"/>
      <c r="GB140" s="25"/>
      <c r="GC140" s="25"/>
      <c r="GD140" s="25"/>
      <c r="GE140" s="7"/>
      <c r="GF140" s="23"/>
      <c r="GG140" s="23"/>
      <c r="GH140" s="23"/>
      <c r="GI140" s="7"/>
      <c r="GJ140" s="7"/>
      <c r="GK140" s="7"/>
    </row>
    <row r="141" spans="1:207" ht="15.5" x14ac:dyDescent="0.35">
      <c r="A141" s="105" t="s">
        <v>4</v>
      </c>
      <c r="B141" s="65" t="s">
        <v>868</v>
      </c>
      <c r="C141" s="65">
        <f t="shared" ref="C141:FX141" si="62">C43</f>
        <v>0.12</v>
      </c>
      <c r="D141" s="65">
        <f t="shared" si="62"/>
        <v>0.12</v>
      </c>
      <c r="E141" s="65">
        <f t="shared" si="62"/>
        <v>0.12</v>
      </c>
      <c r="F141" s="65">
        <f t="shared" si="62"/>
        <v>0.12</v>
      </c>
      <c r="G141" s="65">
        <f t="shared" si="62"/>
        <v>0.12</v>
      </c>
      <c r="H141" s="65">
        <f t="shared" si="62"/>
        <v>0.12</v>
      </c>
      <c r="I141" s="65">
        <f t="shared" si="62"/>
        <v>0.12</v>
      </c>
      <c r="J141" s="65">
        <f t="shared" si="62"/>
        <v>0.12</v>
      </c>
      <c r="K141" s="65">
        <f t="shared" si="62"/>
        <v>0.12</v>
      </c>
      <c r="L141" s="65">
        <f t="shared" si="62"/>
        <v>0.12</v>
      </c>
      <c r="M141" s="65">
        <f t="shared" si="62"/>
        <v>0.12</v>
      </c>
      <c r="N141" s="65">
        <f t="shared" si="62"/>
        <v>0.12</v>
      </c>
      <c r="O141" s="65">
        <f t="shared" si="62"/>
        <v>0.12</v>
      </c>
      <c r="P141" s="65">
        <f t="shared" si="62"/>
        <v>0.12</v>
      </c>
      <c r="Q141" s="65">
        <f t="shared" si="62"/>
        <v>0.12</v>
      </c>
      <c r="R141" s="65">
        <f t="shared" si="62"/>
        <v>0.12</v>
      </c>
      <c r="S141" s="65">
        <f t="shared" si="62"/>
        <v>0.12</v>
      </c>
      <c r="T141" s="65">
        <f t="shared" si="62"/>
        <v>0.12</v>
      </c>
      <c r="U141" s="65">
        <f t="shared" si="62"/>
        <v>0.12</v>
      </c>
      <c r="V141" s="65">
        <f t="shared" si="62"/>
        <v>0.12</v>
      </c>
      <c r="W141" s="65">
        <f t="shared" si="62"/>
        <v>0.12</v>
      </c>
      <c r="X141" s="65">
        <f t="shared" si="62"/>
        <v>0.12</v>
      </c>
      <c r="Y141" s="65">
        <f t="shared" si="62"/>
        <v>0.12</v>
      </c>
      <c r="Z141" s="65">
        <f t="shared" si="62"/>
        <v>0.12</v>
      </c>
      <c r="AA141" s="65">
        <f t="shared" si="62"/>
        <v>0.12</v>
      </c>
      <c r="AB141" s="65">
        <f t="shared" si="62"/>
        <v>0.12</v>
      </c>
      <c r="AC141" s="65">
        <f t="shared" si="62"/>
        <v>0.12</v>
      </c>
      <c r="AD141" s="65">
        <f t="shared" si="62"/>
        <v>0.12</v>
      </c>
      <c r="AE141" s="65">
        <f t="shared" si="62"/>
        <v>0.12</v>
      </c>
      <c r="AF141" s="65">
        <f t="shared" si="62"/>
        <v>0.12</v>
      </c>
      <c r="AG141" s="65">
        <f t="shared" si="62"/>
        <v>0.12</v>
      </c>
      <c r="AH141" s="65">
        <f t="shared" si="62"/>
        <v>0.12</v>
      </c>
      <c r="AI141" s="65">
        <f t="shared" si="62"/>
        <v>0.12</v>
      </c>
      <c r="AJ141" s="65">
        <f t="shared" si="62"/>
        <v>0.12</v>
      </c>
      <c r="AK141" s="65">
        <f t="shared" si="62"/>
        <v>0.12</v>
      </c>
      <c r="AL141" s="65">
        <f t="shared" si="62"/>
        <v>0.12</v>
      </c>
      <c r="AM141" s="65">
        <f t="shared" si="62"/>
        <v>0.12</v>
      </c>
      <c r="AN141" s="65">
        <f t="shared" si="62"/>
        <v>0.12</v>
      </c>
      <c r="AO141" s="65">
        <f t="shared" si="62"/>
        <v>0.12</v>
      </c>
      <c r="AP141" s="65">
        <f t="shared" si="62"/>
        <v>0.12</v>
      </c>
      <c r="AQ141" s="65">
        <f t="shared" si="62"/>
        <v>0.12</v>
      </c>
      <c r="AR141" s="65">
        <f t="shared" si="62"/>
        <v>0.12</v>
      </c>
      <c r="AS141" s="65">
        <f t="shared" si="62"/>
        <v>0.12</v>
      </c>
      <c r="AT141" s="65">
        <f t="shared" si="62"/>
        <v>0.12</v>
      </c>
      <c r="AU141" s="65">
        <f t="shared" si="62"/>
        <v>0.12</v>
      </c>
      <c r="AV141" s="65">
        <f t="shared" si="62"/>
        <v>0.12</v>
      </c>
      <c r="AW141" s="65">
        <f t="shared" si="62"/>
        <v>0.12</v>
      </c>
      <c r="AX141" s="65">
        <f t="shared" si="62"/>
        <v>0.12</v>
      </c>
      <c r="AY141" s="65">
        <f t="shared" si="62"/>
        <v>0.12</v>
      </c>
      <c r="AZ141" s="65">
        <f t="shared" si="62"/>
        <v>0.12</v>
      </c>
      <c r="BA141" s="65">
        <f t="shared" si="62"/>
        <v>0.12</v>
      </c>
      <c r="BB141" s="65">
        <f t="shared" si="62"/>
        <v>0.12</v>
      </c>
      <c r="BC141" s="65">
        <f t="shared" si="62"/>
        <v>0.12</v>
      </c>
      <c r="BD141" s="65">
        <f t="shared" si="62"/>
        <v>0.12</v>
      </c>
      <c r="BE141" s="65">
        <f t="shared" si="62"/>
        <v>0.12</v>
      </c>
      <c r="BF141" s="65">
        <f t="shared" si="62"/>
        <v>0.12</v>
      </c>
      <c r="BG141" s="65">
        <f t="shared" si="62"/>
        <v>0.12</v>
      </c>
      <c r="BH141" s="65">
        <f t="shared" si="62"/>
        <v>0.12</v>
      </c>
      <c r="BI141" s="65">
        <f t="shared" si="62"/>
        <v>0.12</v>
      </c>
      <c r="BJ141" s="65">
        <f t="shared" si="62"/>
        <v>0.12</v>
      </c>
      <c r="BK141" s="65">
        <f t="shared" si="62"/>
        <v>0.12</v>
      </c>
      <c r="BL141" s="65">
        <f t="shared" si="62"/>
        <v>0.12</v>
      </c>
      <c r="BM141" s="65">
        <f t="shared" si="62"/>
        <v>0.12</v>
      </c>
      <c r="BN141" s="65">
        <f t="shared" si="62"/>
        <v>0.12</v>
      </c>
      <c r="BO141" s="65">
        <f t="shared" si="62"/>
        <v>0.12</v>
      </c>
      <c r="BP141" s="65">
        <f t="shared" si="62"/>
        <v>0.12</v>
      </c>
      <c r="BQ141" s="65">
        <f t="shared" si="62"/>
        <v>0.12</v>
      </c>
      <c r="BR141" s="65">
        <f t="shared" si="62"/>
        <v>0.12</v>
      </c>
      <c r="BS141" s="65">
        <f t="shared" si="62"/>
        <v>0.12</v>
      </c>
      <c r="BT141" s="65">
        <f t="shared" si="62"/>
        <v>0.12</v>
      </c>
      <c r="BU141" s="65">
        <f t="shared" si="62"/>
        <v>0.12</v>
      </c>
      <c r="BV141" s="65">
        <f t="shared" si="62"/>
        <v>0.12</v>
      </c>
      <c r="BW141" s="65">
        <f t="shared" si="62"/>
        <v>0.12</v>
      </c>
      <c r="BX141" s="65">
        <f t="shared" si="62"/>
        <v>0.12</v>
      </c>
      <c r="BY141" s="65">
        <f t="shared" si="62"/>
        <v>0.12</v>
      </c>
      <c r="BZ141" s="65">
        <f t="shared" si="62"/>
        <v>0.12</v>
      </c>
      <c r="CA141" s="65">
        <f t="shared" si="62"/>
        <v>0.12</v>
      </c>
      <c r="CB141" s="65">
        <f t="shared" si="62"/>
        <v>0.12</v>
      </c>
      <c r="CC141" s="65">
        <f t="shared" si="62"/>
        <v>0.12</v>
      </c>
      <c r="CD141" s="65">
        <f t="shared" si="62"/>
        <v>0.12</v>
      </c>
      <c r="CE141" s="65">
        <f t="shared" si="62"/>
        <v>0.12</v>
      </c>
      <c r="CF141" s="65">
        <f t="shared" si="62"/>
        <v>0.12</v>
      </c>
      <c r="CG141" s="65">
        <f t="shared" si="62"/>
        <v>0.12</v>
      </c>
      <c r="CH141" s="65">
        <f t="shared" si="62"/>
        <v>0.12</v>
      </c>
      <c r="CI141" s="65">
        <f t="shared" si="62"/>
        <v>0.12</v>
      </c>
      <c r="CJ141" s="65">
        <f t="shared" si="62"/>
        <v>0.12</v>
      </c>
      <c r="CK141" s="65">
        <f t="shared" si="62"/>
        <v>0.12</v>
      </c>
      <c r="CL141" s="65">
        <f t="shared" si="62"/>
        <v>0.12</v>
      </c>
      <c r="CM141" s="65">
        <f t="shared" si="62"/>
        <v>0.12</v>
      </c>
      <c r="CN141" s="65">
        <f t="shared" si="62"/>
        <v>0.12</v>
      </c>
      <c r="CO141" s="65">
        <f t="shared" si="62"/>
        <v>0.12</v>
      </c>
      <c r="CP141" s="65">
        <f t="shared" si="62"/>
        <v>0.12</v>
      </c>
      <c r="CQ141" s="65">
        <f t="shared" si="62"/>
        <v>0.12</v>
      </c>
      <c r="CR141" s="65">
        <f t="shared" si="62"/>
        <v>0.12</v>
      </c>
      <c r="CS141" s="65">
        <f t="shared" si="62"/>
        <v>0.12</v>
      </c>
      <c r="CT141" s="65">
        <f t="shared" si="62"/>
        <v>0.12</v>
      </c>
      <c r="CU141" s="65">
        <f t="shared" si="62"/>
        <v>0.12</v>
      </c>
      <c r="CV141" s="65">
        <f t="shared" si="62"/>
        <v>0.12</v>
      </c>
      <c r="CW141" s="65">
        <f t="shared" si="62"/>
        <v>0.12</v>
      </c>
      <c r="CX141" s="65">
        <f t="shared" si="62"/>
        <v>0.12</v>
      </c>
      <c r="CY141" s="65">
        <f t="shared" si="62"/>
        <v>0.12</v>
      </c>
      <c r="CZ141" s="65">
        <f t="shared" si="62"/>
        <v>0.12</v>
      </c>
      <c r="DA141" s="65">
        <f t="shared" si="62"/>
        <v>0.12</v>
      </c>
      <c r="DB141" s="65">
        <f t="shared" si="62"/>
        <v>0.12</v>
      </c>
      <c r="DC141" s="65">
        <f t="shared" si="62"/>
        <v>0.12</v>
      </c>
      <c r="DD141" s="65">
        <f t="shared" si="62"/>
        <v>0.12</v>
      </c>
      <c r="DE141" s="65">
        <f t="shared" si="62"/>
        <v>0.12</v>
      </c>
      <c r="DF141" s="65">
        <f t="shared" si="62"/>
        <v>0.12</v>
      </c>
      <c r="DG141" s="65">
        <f t="shared" si="62"/>
        <v>0.12</v>
      </c>
      <c r="DH141" s="65">
        <f t="shared" si="62"/>
        <v>0.12</v>
      </c>
      <c r="DI141" s="65">
        <f t="shared" si="62"/>
        <v>0.12</v>
      </c>
      <c r="DJ141" s="65">
        <f t="shared" si="62"/>
        <v>0.12</v>
      </c>
      <c r="DK141" s="65">
        <f t="shared" si="62"/>
        <v>0.12</v>
      </c>
      <c r="DL141" s="65">
        <f t="shared" si="62"/>
        <v>0.12</v>
      </c>
      <c r="DM141" s="65">
        <f t="shared" si="62"/>
        <v>0.12</v>
      </c>
      <c r="DN141" s="65">
        <f t="shared" si="62"/>
        <v>0.12</v>
      </c>
      <c r="DO141" s="65">
        <f t="shared" si="62"/>
        <v>0.12</v>
      </c>
      <c r="DP141" s="65">
        <f t="shared" si="62"/>
        <v>0.12</v>
      </c>
      <c r="DQ141" s="65">
        <f t="shared" si="62"/>
        <v>0.12</v>
      </c>
      <c r="DR141" s="65">
        <f t="shared" si="62"/>
        <v>0.12</v>
      </c>
      <c r="DS141" s="65">
        <f t="shared" si="62"/>
        <v>0.12</v>
      </c>
      <c r="DT141" s="65">
        <f t="shared" si="62"/>
        <v>0.12</v>
      </c>
      <c r="DU141" s="65">
        <f t="shared" si="62"/>
        <v>0.12</v>
      </c>
      <c r="DV141" s="65">
        <f t="shared" si="62"/>
        <v>0.12</v>
      </c>
      <c r="DW141" s="65">
        <f t="shared" si="62"/>
        <v>0.12</v>
      </c>
      <c r="DX141" s="65">
        <f t="shared" si="62"/>
        <v>0.12</v>
      </c>
      <c r="DY141" s="65">
        <f t="shared" si="62"/>
        <v>0.12</v>
      </c>
      <c r="DZ141" s="65">
        <f t="shared" si="62"/>
        <v>0.12</v>
      </c>
      <c r="EA141" s="65">
        <f t="shared" si="62"/>
        <v>0.12</v>
      </c>
      <c r="EB141" s="65">
        <f t="shared" si="62"/>
        <v>0.12</v>
      </c>
      <c r="EC141" s="65">
        <f t="shared" si="62"/>
        <v>0.12</v>
      </c>
      <c r="ED141" s="65">
        <f t="shared" si="62"/>
        <v>0.12</v>
      </c>
      <c r="EE141" s="65">
        <f t="shared" si="62"/>
        <v>0.12</v>
      </c>
      <c r="EF141" s="65">
        <f t="shared" si="62"/>
        <v>0.12</v>
      </c>
      <c r="EG141" s="65">
        <f t="shared" si="62"/>
        <v>0.12</v>
      </c>
      <c r="EH141" s="65">
        <f t="shared" si="62"/>
        <v>0.12</v>
      </c>
      <c r="EI141" s="65">
        <f t="shared" si="62"/>
        <v>0.12</v>
      </c>
      <c r="EJ141" s="65">
        <f t="shared" si="62"/>
        <v>0.12</v>
      </c>
      <c r="EK141" s="65">
        <f t="shared" si="62"/>
        <v>0.12</v>
      </c>
      <c r="EL141" s="65">
        <f t="shared" si="62"/>
        <v>0.12</v>
      </c>
      <c r="EM141" s="65">
        <f t="shared" si="62"/>
        <v>0.12</v>
      </c>
      <c r="EN141" s="65">
        <f t="shared" si="62"/>
        <v>0.12</v>
      </c>
      <c r="EO141" s="65">
        <f t="shared" si="62"/>
        <v>0.12</v>
      </c>
      <c r="EP141" s="65">
        <f t="shared" si="62"/>
        <v>0.12</v>
      </c>
      <c r="EQ141" s="65">
        <f t="shared" si="62"/>
        <v>0.12</v>
      </c>
      <c r="ER141" s="65">
        <f t="shared" si="62"/>
        <v>0.12</v>
      </c>
      <c r="ES141" s="65">
        <f t="shared" si="62"/>
        <v>0.12</v>
      </c>
      <c r="ET141" s="65">
        <f t="shared" si="62"/>
        <v>0.12</v>
      </c>
      <c r="EU141" s="65">
        <f t="shared" si="62"/>
        <v>0.12</v>
      </c>
      <c r="EV141" s="65">
        <f t="shared" si="62"/>
        <v>0.12</v>
      </c>
      <c r="EW141" s="65">
        <f t="shared" si="62"/>
        <v>0.12</v>
      </c>
      <c r="EX141" s="65">
        <f t="shared" si="62"/>
        <v>0.12</v>
      </c>
      <c r="EY141" s="65">
        <f t="shared" si="62"/>
        <v>0.12</v>
      </c>
      <c r="EZ141" s="65">
        <f t="shared" si="62"/>
        <v>0.12</v>
      </c>
      <c r="FA141" s="65">
        <f t="shared" si="62"/>
        <v>0.12</v>
      </c>
      <c r="FB141" s="65">
        <f t="shared" si="62"/>
        <v>0.12</v>
      </c>
      <c r="FC141" s="65">
        <f t="shared" si="62"/>
        <v>0.12</v>
      </c>
      <c r="FD141" s="65">
        <f t="shared" si="62"/>
        <v>0.12</v>
      </c>
      <c r="FE141" s="65">
        <f t="shared" si="62"/>
        <v>0.12</v>
      </c>
      <c r="FF141" s="65">
        <f t="shared" si="62"/>
        <v>0.12</v>
      </c>
      <c r="FG141" s="65">
        <f t="shared" si="62"/>
        <v>0.12</v>
      </c>
      <c r="FH141" s="65">
        <f t="shared" si="62"/>
        <v>0.12</v>
      </c>
      <c r="FI141" s="65">
        <f t="shared" si="62"/>
        <v>0.12</v>
      </c>
      <c r="FJ141" s="65">
        <f t="shared" si="62"/>
        <v>0.12</v>
      </c>
      <c r="FK141" s="65">
        <f t="shared" si="62"/>
        <v>0.12</v>
      </c>
      <c r="FL141" s="65">
        <f t="shared" si="62"/>
        <v>0.12</v>
      </c>
      <c r="FM141" s="65">
        <f t="shared" si="62"/>
        <v>0.12</v>
      </c>
      <c r="FN141" s="65">
        <f t="shared" si="62"/>
        <v>0.12</v>
      </c>
      <c r="FO141" s="65">
        <f t="shared" si="62"/>
        <v>0.12</v>
      </c>
      <c r="FP141" s="65">
        <f t="shared" si="62"/>
        <v>0.12</v>
      </c>
      <c r="FQ141" s="65">
        <f t="shared" si="62"/>
        <v>0.12</v>
      </c>
      <c r="FR141" s="65">
        <f t="shared" si="62"/>
        <v>0.12</v>
      </c>
      <c r="FS141" s="65">
        <f t="shared" si="62"/>
        <v>0.12</v>
      </c>
      <c r="FT141" s="65">
        <f t="shared" si="62"/>
        <v>0.12</v>
      </c>
      <c r="FU141" s="65">
        <f t="shared" si="62"/>
        <v>0.12</v>
      </c>
      <c r="FV141" s="65">
        <f t="shared" si="62"/>
        <v>0.12</v>
      </c>
      <c r="FW141" s="65">
        <f t="shared" si="62"/>
        <v>0.12</v>
      </c>
      <c r="FX141" s="65">
        <f t="shared" si="62"/>
        <v>0.12</v>
      </c>
      <c r="FY141" s="31"/>
      <c r="FZ141" s="65"/>
      <c r="GA141" s="31"/>
      <c r="GB141" s="25"/>
      <c r="GC141" s="25"/>
      <c r="GD141" s="25"/>
      <c r="GE141" s="7"/>
      <c r="GF141" s="23"/>
      <c r="GG141" s="23"/>
      <c r="GH141" s="23"/>
      <c r="GI141" s="7"/>
      <c r="GJ141" s="7"/>
      <c r="GK141" s="7"/>
    </row>
    <row r="142" spans="1:207" ht="15.5" x14ac:dyDescent="0.35">
      <c r="A142" s="12" t="s">
        <v>597</v>
      </c>
      <c r="B142" s="7" t="s">
        <v>869</v>
      </c>
      <c r="C142" s="31" t="e">
        <f t="shared" ref="C142:FX142" ca="1" si="63">ROUND(IF((C139-C19)*0.3&lt;0=TRUE(),0,IF((C103&lt;=50000),ROUND((C139-C19)*0.3,6),0)),4)</f>
        <v>#NAME?</v>
      </c>
      <c r="D142" s="31" t="e">
        <f t="shared" ca="1" si="63"/>
        <v>#NAME?</v>
      </c>
      <c r="E142" s="31" t="e">
        <f t="shared" ca="1" si="63"/>
        <v>#NAME?</v>
      </c>
      <c r="F142" s="31" t="e">
        <f t="shared" ca="1" si="63"/>
        <v>#NAME?</v>
      </c>
      <c r="G142" s="31" t="e">
        <f t="shared" ca="1" si="63"/>
        <v>#NAME?</v>
      </c>
      <c r="H142" s="31" t="e">
        <f t="shared" ca="1" si="63"/>
        <v>#NAME?</v>
      </c>
      <c r="I142" s="31" t="e">
        <f t="shared" ca="1" si="63"/>
        <v>#NAME?</v>
      </c>
      <c r="J142" s="31" t="e">
        <f t="shared" ca="1" si="63"/>
        <v>#NAME?</v>
      </c>
      <c r="K142" s="31" t="e">
        <f t="shared" ca="1" si="63"/>
        <v>#NAME?</v>
      </c>
      <c r="L142" s="31" t="e">
        <f t="shared" ca="1" si="63"/>
        <v>#NAME?</v>
      </c>
      <c r="M142" s="31" t="e">
        <f t="shared" ca="1" si="63"/>
        <v>#NAME?</v>
      </c>
      <c r="N142" s="31" t="e">
        <f t="shared" ca="1" si="63"/>
        <v>#NAME?</v>
      </c>
      <c r="O142" s="31" t="e">
        <f t="shared" ca="1" si="63"/>
        <v>#NAME?</v>
      </c>
      <c r="P142" s="31" t="e">
        <f t="shared" ca="1" si="63"/>
        <v>#NAME?</v>
      </c>
      <c r="Q142" s="31" t="e">
        <f t="shared" ca="1" si="63"/>
        <v>#NAME?</v>
      </c>
      <c r="R142" s="31" t="e">
        <f t="shared" ca="1" si="63"/>
        <v>#NAME?</v>
      </c>
      <c r="S142" s="31" t="e">
        <f t="shared" ca="1" si="63"/>
        <v>#NAME?</v>
      </c>
      <c r="T142" s="31" t="e">
        <f t="shared" ca="1" si="63"/>
        <v>#NAME?</v>
      </c>
      <c r="U142" s="31" t="e">
        <f t="shared" ca="1" si="63"/>
        <v>#NAME?</v>
      </c>
      <c r="V142" s="31" t="e">
        <f t="shared" ca="1" si="63"/>
        <v>#NAME?</v>
      </c>
      <c r="W142" s="31" t="e">
        <f t="shared" ca="1" si="63"/>
        <v>#NAME?</v>
      </c>
      <c r="X142" s="31" t="e">
        <f t="shared" ca="1" si="63"/>
        <v>#NAME?</v>
      </c>
      <c r="Y142" s="31" t="e">
        <f t="shared" ca="1" si="63"/>
        <v>#NAME?</v>
      </c>
      <c r="Z142" s="31" t="e">
        <f t="shared" ca="1" si="63"/>
        <v>#NAME?</v>
      </c>
      <c r="AA142" s="31" t="e">
        <f t="shared" ca="1" si="63"/>
        <v>#NAME?</v>
      </c>
      <c r="AB142" s="31" t="e">
        <f t="shared" ca="1" si="63"/>
        <v>#NAME?</v>
      </c>
      <c r="AC142" s="31" t="e">
        <f t="shared" ca="1" si="63"/>
        <v>#NAME?</v>
      </c>
      <c r="AD142" s="31" t="e">
        <f t="shared" ca="1" si="63"/>
        <v>#NAME?</v>
      </c>
      <c r="AE142" s="31" t="e">
        <f t="shared" ca="1" si="63"/>
        <v>#NAME?</v>
      </c>
      <c r="AF142" s="31" t="e">
        <f t="shared" ca="1" si="63"/>
        <v>#NAME?</v>
      </c>
      <c r="AG142" s="31" t="e">
        <f t="shared" ca="1" si="63"/>
        <v>#NAME?</v>
      </c>
      <c r="AH142" s="31" t="e">
        <f t="shared" ca="1" si="63"/>
        <v>#NAME?</v>
      </c>
      <c r="AI142" s="31" t="e">
        <f t="shared" ca="1" si="63"/>
        <v>#NAME?</v>
      </c>
      <c r="AJ142" s="31" t="e">
        <f t="shared" ca="1" si="63"/>
        <v>#NAME?</v>
      </c>
      <c r="AK142" s="31" t="e">
        <f t="shared" ca="1" si="63"/>
        <v>#NAME?</v>
      </c>
      <c r="AL142" s="31" t="e">
        <f t="shared" ca="1" si="63"/>
        <v>#NAME?</v>
      </c>
      <c r="AM142" s="31" t="e">
        <f t="shared" ca="1" si="63"/>
        <v>#NAME?</v>
      </c>
      <c r="AN142" s="31" t="e">
        <f t="shared" ca="1" si="63"/>
        <v>#NAME?</v>
      </c>
      <c r="AO142" s="31" t="e">
        <f t="shared" ca="1" si="63"/>
        <v>#NAME?</v>
      </c>
      <c r="AP142" s="31" t="e">
        <f t="shared" ca="1" si="63"/>
        <v>#NAME?</v>
      </c>
      <c r="AQ142" s="31" t="e">
        <f t="shared" ca="1" si="63"/>
        <v>#NAME?</v>
      </c>
      <c r="AR142" s="31" t="e">
        <f t="shared" ca="1" si="63"/>
        <v>#NAME?</v>
      </c>
      <c r="AS142" s="31" t="e">
        <f t="shared" ca="1" si="63"/>
        <v>#NAME?</v>
      </c>
      <c r="AT142" s="31" t="e">
        <f t="shared" ca="1" si="63"/>
        <v>#NAME?</v>
      </c>
      <c r="AU142" s="31" t="e">
        <f t="shared" ca="1" si="63"/>
        <v>#NAME?</v>
      </c>
      <c r="AV142" s="31" t="e">
        <f t="shared" ca="1" si="63"/>
        <v>#NAME?</v>
      </c>
      <c r="AW142" s="31" t="e">
        <f t="shared" ca="1" si="63"/>
        <v>#NAME?</v>
      </c>
      <c r="AX142" s="31" t="e">
        <f t="shared" ca="1" si="63"/>
        <v>#NAME?</v>
      </c>
      <c r="AY142" s="31" t="e">
        <f t="shared" ca="1" si="63"/>
        <v>#NAME?</v>
      </c>
      <c r="AZ142" s="31" t="e">
        <f t="shared" ca="1" si="63"/>
        <v>#NAME?</v>
      </c>
      <c r="BA142" s="31" t="e">
        <f t="shared" ca="1" si="63"/>
        <v>#NAME?</v>
      </c>
      <c r="BB142" s="31" t="e">
        <f t="shared" ca="1" si="63"/>
        <v>#NAME?</v>
      </c>
      <c r="BC142" s="31" t="e">
        <f t="shared" ca="1" si="63"/>
        <v>#NAME?</v>
      </c>
      <c r="BD142" s="31" t="e">
        <f t="shared" ca="1" si="63"/>
        <v>#NAME?</v>
      </c>
      <c r="BE142" s="31" t="e">
        <f t="shared" ca="1" si="63"/>
        <v>#NAME?</v>
      </c>
      <c r="BF142" s="31" t="e">
        <f t="shared" ca="1" si="63"/>
        <v>#NAME?</v>
      </c>
      <c r="BG142" s="31" t="e">
        <f t="shared" ca="1" si="63"/>
        <v>#NAME?</v>
      </c>
      <c r="BH142" s="31" t="e">
        <f t="shared" ca="1" si="63"/>
        <v>#NAME?</v>
      </c>
      <c r="BI142" s="31" t="e">
        <f t="shared" ca="1" si="63"/>
        <v>#NAME?</v>
      </c>
      <c r="BJ142" s="31" t="e">
        <f t="shared" ca="1" si="63"/>
        <v>#NAME?</v>
      </c>
      <c r="BK142" s="31" t="e">
        <f t="shared" ca="1" si="63"/>
        <v>#NAME?</v>
      </c>
      <c r="BL142" s="31" t="e">
        <f t="shared" ca="1" si="63"/>
        <v>#NAME?</v>
      </c>
      <c r="BM142" s="31" t="e">
        <f t="shared" ca="1" si="63"/>
        <v>#NAME?</v>
      </c>
      <c r="BN142" s="31" t="e">
        <f t="shared" ca="1" si="63"/>
        <v>#NAME?</v>
      </c>
      <c r="BO142" s="31" t="e">
        <f t="shared" ca="1" si="63"/>
        <v>#NAME?</v>
      </c>
      <c r="BP142" s="31" t="e">
        <f t="shared" ca="1" si="63"/>
        <v>#NAME?</v>
      </c>
      <c r="BQ142" s="31" t="e">
        <f t="shared" ca="1" si="63"/>
        <v>#NAME?</v>
      </c>
      <c r="BR142" s="31" t="e">
        <f t="shared" ca="1" si="63"/>
        <v>#NAME?</v>
      </c>
      <c r="BS142" s="31" t="e">
        <f t="shared" ca="1" si="63"/>
        <v>#NAME?</v>
      </c>
      <c r="BT142" s="31" t="e">
        <f t="shared" ca="1" si="63"/>
        <v>#NAME?</v>
      </c>
      <c r="BU142" s="31" t="e">
        <f t="shared" ca="1" si="63"/>
        <v>#NAME?</v>
      </c>
      <c r="BV142" s="31" t="e">
        <f t="shared" ca="1" si="63"/>
        <v>#NAME?</v>
      </c>
      <c r="BW142" s="31" t="e">
        <f t="shared" ca="1" si="63"/>
        <v>#NAME?</v>
      </c>
      <c r="BX142" s="31" t="e">
        <f t="shared" ca="1" si="63"/>
        <v>#NAME?</v>
      </c>
      <c r="BY142" s="31" t="e">
        <f t="shared" ca="1" si="63"/>
        <v>#NAME?</v>
      </c>
      <c r="BZ142" s="31" t="e">
        <f t="shared" ca="1" si="63"/>
        <v>#NAME?</v>
      </c>
      <c r="CA142" s="31" t="e">
        <f t="shared" ca="1" si="63"/>
        <v>#NAME?</v>
      </c>
      <c r="CB142" s="31" t="e">
        <f t="shared" ca="1" si="63"/>
        <v>#NAME?</v>
      </c>
      <c r="CC142" s="31" t="e">
        <f t="shared" ca="1" si="63"/>
        <v>#NAME?</v>
      </c>
      <c r="CD142" s="31" t="e">
        <f t="shared" ca="1" si="63"/>
        <v>#NAME?</v>
      </c>
      <c r="CE142" s="31" t="e">
        <f t="shared" ca="1" si="63"/>
        <v>#NAME?</v>
      </c>
      <c r="CF142" s="31" t="e">
        <f t="shared" ca="1" si="63"/>
        <v>#NAME?</v>
      </c>
      <c r="CG142" s="31" t="e">
        <f t="shared" ca="1" si="63"/>
        <v>#NAME?</v>
      </c>
      <c r="CH142" s="31" t="e">
        <f t="shared" ca="1" si="63"/>
        <v>#NAME?</v>
      </c>
      <c r="CI142" s="31" t="e">
        <f t="shared" ca="1" si="63"/>
        <v>#NAME?</v>
      </c>
      <c r="CJ142" s="31" t="e">
        <f t="shared" ca="1" si="63"/>
        <v>#NAME?</v>
      </c>
      <c r="CK142" s="31" t="e">
        <f t="shared" ca="1" si="63"/>
        <v>#NAME?</v>
      </c>
      <c r="CL142" s="31" t="e">
        <f t="shared" ca="1" si="63"/>
        <v>#NAME?</v>
      </c>
      <c r="CM142" s="31" t="e">
        <f t="shared" ca="1" si="63"/>
        <v>#NAME?</v>
      </c>
      <c r="CN142" s="31" t="e">
        <f t="shared" ca="1" si="63"/>
        <v>#NAME?</v>
      </c>
      <c r="CO142" s="31" t="e">
        <f t="shared" ca="1" si="63"/>
        <v>#NAME?</v>
      </c>
      <c r="CP142" s="31" t="e">
        <f t="shared" ca="1" si="63"/>
        <v>#NAME?</v>
      </c>
      <c r="CQ142" s="31" t="e">
        <f t="shared" ca="1" si="63"/>
        <v>#NAME?</v>
      </c>
      <c r="CR142" s="31" t="e">
        <f t="shared" ca="1" si="63"/>
        <v>#NAME?</v>
      </c>
      <c r="CS142" s="31" t="e">
        <f t="shared" ca="1" si="63"/>
        <v>#NAME?</v>
      </c>
      <c r="CT142" s="31" t="e">
        <f t="shared" ca="1" si="63"/>
        <v>#NAME?</v>
      </c>
      <c r="CU142" s="31" t="e">
        <f t="shared" ca="1" si="63"/>
        <v>#NAME?</v>
      </c>
      <c r="CV142" s="31" t="e">
        <f t="shared" ca="1" si="63"/>
        <v>#NAME?</v>
      </c>
      <c r="CW142" s="31" t="e">
        <f t="shared" ca="1" si="63"/>
        <v>#NAME?</v>
      </c>
      <c r="CX142" s="31" t="e">
        <f t="shared" ca="1" si="63"/>
        <v>#NAME?</v>
      </c>
      <c r="CY142" s="31" t="e">
        <f t="shared" ca="1" si="63"/>
        <v>#NAME?</v>
      </c>
      <c r="CZ142" s="31" t="e">
        <f t="shared" ca="1" si="63"/>
        <v>#NAME?</v>
      </c>
      <c r="DA142" s="31" t="e">
        <f t="shared" ca="1" si="63"/>
        <v>#NAME?</v>
      </c>
      <c r="DB142" s="31" t="e">
        <f t="shared" ca="1" si="63"/>
        <v>#NAME?</v>
      </c>
      <c r="DC142" s="31" t="e">
        <f t="shared" ca="1" si="63"/>
        <v>#NAME?</v>
      </c>
      <c r="DD142" s="31" t="e">
        <f t="shared" ca="1" si="63"/>
        <v>#NAME?</v>
      </c>
      <c r="DE142" s="31" t="e">
        <f t="shared" ca="1" si="63"/>
        <v>#NAME?</v>
      </c>
      <c r="DF142" s="31" t="e">
        <f t="shared" ca="1" si="63"/>
        <v>#NAME?</v>
      </c>
      <c r="DG142" s="31" t="e">
        <f t="shared" ca="1" si="63"/>
        <v>#NAME?</v>
      </c>
      <c r="DH142" s="31" t="e">
        <f t="shared" ca="1" si="63"/>
        <v>#NAME?</v>
      </c>
      <c r="DI142" s="31" t="e">
        <f t="shared" ca="1" si="63"/>
        <v>#NAME?</v>
      </c>
      <c r="DJ142" s="31" t="e">
        <f t="shared" ca="1" si="63"/>
        <v>#NAME?</v>
      </c>
      <c r="DK142" s="31" t="e">
        <f t="shared" ca="1" si="63"/>
        <v>#NAME?</v>
      </c>
      <c r="DL142" s="31" t="e">
        <f t="shared" ca="1" si="63"/>
        <v>#NAME?</v>
      </c>
      <c r="DM142" s="31" t="e">
        <f t="shared" ca="1" si="63"/>
        <v>#NAME?</v>
      </c>
      <c r="DN142" s="31" t="e">
        <f t="shared" ca="1" si="63"/>
        <v>#NAME?</v>
      </c>
      <c r="DO142" s="31" t="e">
        <f t="shared" ca="1" si="63"/>
        <v>#NAME?</v>
      </c>
      <c r="DP142" s="31" t="e">
        <f t="shared" ca="1" si="63"/>
        <v>#NAME?</v>
      </c>
      <c r="DQ142" s="31" t="e">
        <f t="shared" ca="1" si="63"/>
        <v>#NAME?</v>
      </c>
      <c r="DR142" s="31" t="e">
        <f t="shared" ca="1" si="63"/>
        <v>#NAME?</v>
      </c>
      <c r="DS142" s="31" t="e">
        <f t="shared" ca="1" si="63"/>
        <v>#NAME?</v>
      </c>
      <c r="DT142" s="31" t="e">
        <f t="shared" ca="1" si="63"/>
        <v>#NAME?</v>
      </c>
      <c r="DU142" s="31" t="e">
        <f t="shared" ca="1" si="63"/>
        <v>#NAME?</v>
      </c>
      <c r="DV142" s="31" t="e">
        <f t="shared" ca="1" si="63"/>
        <v>#NAME?</v>
      </c>
      <c r="DW142" s="31" t="e">
        <f t="shared" ca="1" si="63"/>
        <v>#NAME?</v>
      </c>
      <c r="DX142" s="31" t="e">
        <f t="shared" ca="1" si="63"/>
        <v>#NAME?</v>
      </c>
      <c r="DY142" s="31" t="e">
        <f t="shared" ca="1" si="63"/>
        <v>#NAME?</v>
      </c>
      <c r="DZ142" s="31" t="e">
        <f t="shared" ca="1" si="63"/>
        <v>#NAME?</v>
      </c>
      <c r="EA142" s="31" t="e">
        <f t="shared" ca="1" si="63"/>
        <v>#NAME?</v>
      </c>
      <c r="EB142" s="31" t="e">
        <f t="shared" ca="1" si="63"/>
        <v>#NAME?</v>
      </c>
      <c r="EC142" s="31" t="e">
        <f t="shared" ca="1" si="63"/>
        <v>#NAME?</v>
      </c>
      <c r="ED142" s="31" t="e">
        <f t="shared" ca="1" si="63"/>
        <v>#NAME?</v>
      </c>
      <c r="EE142" s="31" t="e">
        <f t="shared" ca="1" si="63"/>
        <v>#NAME?</v>
      </c>
      <c r="EF142" s="31" t="e">
        <f t="shared" ca="1" si="63"/>
        <v>#NAME?</v>
      </c>
      <c r="EG142" s="31" t="e">
        <f t="shared" ca="1" si="63"/>
        <v>#NAME?</v>
      </c>
      <c r="EH142" s="31" t="e">
        <f t="shared" ca="1" si="63"/>
        <v>#NAME?</v>
      </c>
      <c r="EI142" s="31" t="e">
        <f t="shared" ca="1" si="63"/>
        <v>#NAME?</v>
      </c>
      <c r="EJ142" s="31" t="e">
        <f t="shared" ca="1" si="63"/>
        <v>#NAME?</v>
      </c>
      <c r="EK142" s="31" t="e">
        <f t="shared" ca="1" si="63"/>
        <v>#NAME?</v>
      </c>
      <c r="EL142" s="31" t="e">
        <f t="shared" ca="1" si="63"/>
        <v>#NAME?</v>
      </c>
      <c r="EM142" s="31" t="e">
        <f t="shared" ca="1" si="63"/>
        <v>#NAME?</v>
      </c>
      <c r="EN142" s="31" t="e">
        <f t="shared" ca="1" si="63"/>
        <v>#NAME?</v>
      </c>
      <c r="EO142" s="31" t="e">
        <f t="shared" ca="1" si="63"/>
        <v>#NAME?</v>
      </c>
      <c r="EP142" s="31" t="e">
        <f t="shared" ca="1" si="63"/>
        <v>#NAME?</v>
      </c>
      <c r="EQ142" s="31" t="e">
        <f t="shared" ca="1" si="63"/>
        <v>#NAME?</v>
      </c>
      <c r="ER142" s="31" t="e">
        <f t="shared" ca="1" si="63"/>
        <v>#NAME?</v>
      </c>
      <c r="ES142" s="31" t="e">
        <f t="shared" ca="1" si="63"/>
        <v>#NAME?</v>
      </c>
      <c r="ET142" s="31" t="e">
        <f t="shared" ca="1" si="63"/>
        <v>#NAME?</v>
      </c>
      <c r="EU142" s="31" t="e">
        <f t="shared" ca="1" si="63"/>
        <v>#NAME?</v>
      </c>
      <c r="EV142" s="31" t="e">
        <f t="shared" ca="1" si="63"/>
        <v>#NAME?</v>
      </c>
      <c r="EW142" s="31" t="e">
        <f t="shared" ca="1" si="63"/>
        <v>#NAME?</v>
      </c>
      <c r="EX142" s="31" t="e">
        <f t="shared" ca="1" si="63"/>
        <v>#NAME?</v>
      </c>
      <c r="EY142" s="31" t="e">
        <f t="shared" ca="1" si="63"/>
        <v>#NAME?</v>
      </c>
      <c r="EZ142" s="31" t="e">
        <f t="shared" ca="1" si="63"/>
        <v>#NAME?</v>
      </c>
      <c r="FA142" s="31" t="e">
        <f t="shared" ca="1" si="63"/>
        <v>#NAME?</v>
      </c>
      <c r="FB142" s="31" t="e">
        <f t="shared" ca="1" si="63"/>
        <v>#NAME?</v>
      </c>
      <c r="FC142" s="31" t="e">
        <f t="shared" ca="1" si="63"/>
        <v>#NAME?</v>
      </c>
      <c r="FD142" s="31" t="e">
        <f t="shared" ca="1" si="63"/>
        <v>#NAME?</v>
      </c>
      <c r="FE142" s="31" t="e">
        <f t="shared" ca="1" si="63"/>
        <v>#NAME?</v>
      </c>
      <c r="FF142" s="31" t="e">
        <f t="shared" ca="1" si="63"/>
        <v>#NAME?</v>
      </c>
      <c r="FG142" s="31" t="e">
        <f t="shared" ca="1" si="63"/>
        <v>#NAME?</v>
      </c>
      <c r="FH142" s="31" t="e">
        <f t="shared" ca="1" si="63"/>
        <v>#NAME?</v>
      </c>
      <c r="FI142" s="31" t="e">
        <f t="shared" ca="1" si="63"/>
        <v>#NAME?</v>
      </c>
      <c r="FJ142" s="31" t="e">
        <f t="shared" ca="1" si="63"/>
        <v>#NAME?</v>
      </c>
      <c r="FK142" s="31" t="e">
        <f t="shared" ca="1" si="63"/>
        <v>#NAME?</v>
      </c>
      <c r="FL142" s="31" t="e">
        <f t="shared" ca="1" si="63"/>
        <v>#NAME?</v>
      </c>
      <c r="FM142" s="31" t="e">
        <f t="shared" ca="1" si="63"/>
        <v>#NAME?</v>
      </c>
      <c r="FN142" s="31" t="e">
        <f t="shared" ca="1" si="63"/>
        <v>#NAME?</v>
      </c>
      <c r="FO142" s="31" t="e">
        <f t="shared" ca="1" si="63"/>
        <v>#NAME?</v>
      </c>
      <c r="FP142" s="31" t="e">
        <f t="shared" ca="1" si="63"/>
        <v>#NAME?</v>
      </c>
      <c r="FQ142" s="31" t="e">
        <f t="shared" ca="1" si="63"/>
        <v>#NAME?</v>
      </c>
      <c r="FR142" s="31" t="e">
        <f t="shared" ca="1" si="63"/>
        <v>#NAME?</v>
      </c>
      <c r="FS142" s="31" t="e">
        <f t="shared" ca="1" si="63"/>
        <v>#NAME?</v>
      </c>
      <c r="FT142" s="31" t="e">
        <f t="shared" ca="1" si="63"/>
        <v>#NAME?</v>
      </c>
      <c r="FU142" s="31" t="e">
        <f t="shared" ca="1" si="63"/>
        <v>#NAME?</v>
      </c>
      <c r="FV142" s="31" t="e">
        <f t="shared" ca="1" si="63"/>
        <v>#NAME?</v>
      </c>
      <c r="FW142" s="31" t="e">
        <f t="shared" ca="1" si="63"/>
        <v>#NAME?</v>
      </c>
      <c r="FX142" s="31" t="e">
        <f t="shared" ca="1" si="63"/>
        <v>#NAME?</v>
      </c>
      <c r="FY142" s="7"/>
      <c r="FZ142" s="31"/>
      <c r="GA142" s="7"/>
      <c r="GB142" s="25"/>
      <c r="GC142" s="25"/>
      <c r="GD142" s="25"/>
      <c r="GE142" s="7"/>
      <c r="GF142" s="23"/>
      <c r="GG142" s="23"/>
      <c r="GH142" s="23"/>
      <c r="GI142" s="7"/>
      <c r="GJ142" s="7"/>
      <c r="GK142" s="7"/>
    </row>
    <row r="143" spans="1:207" ht="15.5" x14ac:dyDescent="0.35">
      <c r="A143" s="7"/>
      <c r="B143" s="7" t="s">
        <v>870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65"/>
      <c r="FZ143" s="7"/>
      <c r="GA143" s="7"/>
      <c r="GB143" s="31"/>
      <c r="GC143" s="31"/>
      <c r="GD143" s="31"/>
      <c r="GE143" s="7"/>
      <c r="GF143" s="7"/>
      <c r="GG143" s="7"/>
      <c r="GH143" s="7"/>
      <c r="GI143" s="7"/>
      <c r="GJ143" s="7"/>
      <c r="GK143" s="7"/>
    </row>
    <row r="144" spans="1:207" ht="15.5" x14ac:dyDescent="0.35">
      <c r="A144" s="12" t="s">
        <v>599</v>
      </c>
      <c r="B144" s="7" t="s">
        <v>871</v>
      </c>
      <c r="C144" s="31" t="e">
        <f t="shared" ref="C144:FX144" ca="1" si="64">ROUND(IF((C139-C19)*0.36&lt;0=TRUE(),0,IF((C103&gt;50000),(C139-C19)*0.36,0)),4)</f>
        <v>#NAME?</v>
      </c>
      <c r="D144" s="31" t="e">
        <f t="shared" ca="1" si="64"/>
        <v>#NAME?</v>
      </c>
      <c r="E144" s="31" t="e">
        <f t="shared" ca="1" si="64"/>
        <v>#NAME?</v>
      </c>
      <c r="F144" s="31" t="e">
        <f t="shared" ca="1" si="64"/>
        <v>#NAME?</v>
      </c>
      <c r="G144" s="31" t="e">
        <f t="shared" ca="1" si="64"/>
        <v>#NAME?</v>
      </c>
      <c r="H144" s="31" t="e">
        <f t="shared" ca="1" si="64"/>
        <v>#NAME?</v>
      </c>
      <c r="I144" s="31" t="e">
        <f t="shared" ca="1" si="64"/>
        <v>#NAME?</v>
      </c>
      <c r="J144" s="31" t="e">
        <f t="shared" ca="1" si="64"/>
        <v>#NAME?</v>
      </c>
      <c r="K144" s="31" t="e">
        <f t="shared" ca="1" si="64"/>
        <v>#NAME?</v>
      </c>
      <c r="L144" s="31" t="e">
        <f t="shared" ca="1" si="64"/>
        <v>#NAME?</v>
      </c>
      <c r="M144" s="31" t="e">
        <f t="shared" ca="1" si="64"/>
        <v>#NAME?</v>
      </c>
      <c r="N144" s="31" t="e">
        <f t="shared" ca="1" si="64"/>
        <v>#NAME?</v>
      </c>
      <c r="O144" s="31" t="e">
        <f t="shared" ca="1" si="64"/>
        <v>#NAME?</v>
      </c>
      <c r="P144" s="31" t="e">
        <f t="shared" ca="1" si="64"/>
        <v>#NAME?</v>
      </c>
      <c r="Q144" s="31" t="e">
        <f t="shared" ca="1" si="64"/>
        <v>#NAME?</v>
      </c>
      <c r="R144" s="31" t="e">
        <f t="shared" ca="1" si="64"/>
        <v>#NAME?</v>
      </c>
      <c r="S144" s="31" t="e">
        <f t="shared" ca="1" si="64"/>
        <v>#NAME?</v>
      </c>
      <c r="T144" s="31" t="e">
        <f t="shared" ca="1" si="64"/>
        <v>#NAME?</v>
      </c>
      <c r="U144" s="31" t="e">
        <f t="shared" ca="1" si="64"/>
        <v>#NAME?</v>
      </c>
      <c r="V144" s="31" t="e">
        <f t="shared" ca="1" si="64"/>
        <v>#NAME?</v>
      </c>
      <c r="W144" s="31" t="e">
        <f t="shared" ca="1" si="64"/>
        <v>#NAME?</v>
      </c>
      <c r="X144" s="31" t="e">
        <f t="shared" ca="1" si="64"/>
        <v>#NAME?</v>
      </c>
      <c r="Y144" s="31" t="e">
        <f t="shared" ca="1" si="64"/>
        <v>#NAME?</v>
      </c>
      <c r="Z144" s="31" t="e">
        <f t="shared" ca="1" si="64"/>
        <v>#NAME?</v>
      </c>
      <c r="AA144" s="31" t="e">
        <f t="shared" ca="1" si="64"/>
        <v>#NAME?</v>
      </c>
      <c r="AB144" s="31" t="e">
        <f t="shared" ca="1" si="64"/>
        <v>#NAME?</v>
      </c>
      <c r="AC144" s="31" t="e">
        <f t="shared" ca="1" si="64"/>
        <v>#NAME?</v>
      </c>
      <c r="AD144" s="31" t="e">
        <f t="shared" ca="1" si="64"/>
        <v>#NAME?</v>
      </c>
      <c r="AE144" s="31" t="e">
        <f t="shared" ca="1" si="64"/>
        <v>#NAME?</v>
      </c>
      <c r="AF144" s="31" t="e">
        <f t="shared" ca="1" si="64"/>
        <v>#NAME?</v>
      </c>
      <c r="AG144" s="31" t="e">
        <f t="shared" ca="1" si="64"/>
        <v>#NAME?</v>
      </c>
      <c r="AH144" s="31" t="e">
        <f t="shared" ca="1" si="64"/>
        <v>#NAME?</v>
      </c>
      <c r="AI144" s="31" t="e">
        <f t="shared" ca="1" si="64"/>
        <v>#NAME?</v>
      </c>
      <c r="AJ144" s="31" t="e">
        <f t="shared" ca="1" si="64"/>
        <v>#NAME?</v>
      </c>
      <c r="AK144" s="31" t="e">
        <f t="shared" ca="1" si="64"/>
        <v>#NAME?</v>
      </c>
      <c r="AL144" s="31" t="e">
        <f t="shared" ca="1" si="64"/>
        <v>#NAME?</v>
      </c>
      <c r="AM144" s="31" t="e">
        <f t="shared" ca="1" si="64"/>
        <v>#NAME?</v>
      </c>
      <c r="AN144" s="31" t="e">
        <f t="shared" ca="1" si="64"/>
        <v>#NAME?</v>
      </c>
      <c r="AO144" s="31" t="e">
        <f t="shared" ca="1" si="64"/>
        <v>#NAME?</v>
      </c>
      <c r="AP144" s="31" t="e">
        <f t="shared" ca="1" si="64"/>
        <v>#NAME?</v>
      </c>
      <c r="AQ144" s="31" t="e">
        <f t="shared" ca="1" si="64"/>
        <v>#NAME?</v>
      </c>
      <c r="AR144" s="31" t="e">
        <f t="shared" ca="1" si="64"/>
        <v>#NAME?</v>
      </c>
      <c r="AS144" s="31" t="e">
        <f t="shared" ca="1" si="64"/>
        <v>#NAME?</v>
      </c>
      <c r="AT144" s="31" t="e">
        <f t="shared" ca="1" si="64"/>
        <v>#NAME?</v>
      </c>
      <c r="AU144" s="31" t="e">
        <f t="shared" ca="1" si="64"/>
        <v>#NAME?</v>
      </c>
      <c r="AV144" s="31" t="e">
        <f t="shared" ca="1" si="64"/>
        <v>#NAME?</v>
      </c>
      <c r="AW144" s="31" t="e">
        <f t="shared" ca="1" si="64"/>
        <v>#NAME?</v>
      </c>
      <c r="AX144" s="31" t="e">
        <f t="shared" ca="1" si="64"/>
        <v>#NAME?</v>
      </c>
      <c r="AY144" s="31" t="e">
        <f t="shared" ca="1" si="64"/>
        <v>#NAME?</v>
      </c>
      <c r="AZ144" s="31" t="e">
        <f t="shared" ca="1" si="64"/>
        <v>#NAME?</v>
      </c>
      <c r="BA144" s="31" t="e">
        <f t="shared" ca="1" si="64"/>
        <v>#NAME?</v>
      </c>
      <c r="BB144" s="31" t="e">
        <f t="shared" ca="1" si="64"/>
        <v>#NAME?</v>
      </c>
      <c r="BC144" s="31" t="e">
        <f t="shared" ca="1" si="64"/>
        <v>#NAME?</v>
      </c>
      <c r="BD144" s="31" t="e">
        <f t="shared" ca="1" si="64"/>
        <v>#NAME?</v>
      </c>
      <c r="BE144" s="31" t="e">
        <f t="shared" ca="1" si="64"/>
        <v>#NAME?</v>
      </c>
      <c r="BF144" s="31" t="e">
        <f t="shared" ca="1" si="64"/>
        <v>#NAME?</v>
      </c>
      <c r="BG144" s="31" t="e">
        <f t="shared" ca="1" si="64"/>
        <v>#NAME?</v>
      </c>
      <c r="BH144" s="31" t="e">
        <f t="shared" ca="1" si="64"/>
        <v>#NAME?</v>
      </c>
      <c r="BI144" s="31" t="e">
        <f t="shared" ca="1" si="64"/>
        <v>#NAME?</v>
      </c>
      <c r="BJ144" s="31" t="e">
        <f t="shared" ca="1" si="64"/>
        <v>#NAME?</v>
      </c>
      <c r="BK144" s="31" t="e">
        <f t="shared" ca="1" si="64"/>
        <v>#NAME?</v>
      </c>
      <c r="BL144" s="31" t="e">
        <f t="shared" ca="1" si="64"/>
        <v>#NAME?</v>
      </c>
      <c r="BM144" s="31" t="e">
        <f t="shared" ca="1" si="64"/>
        <v>#NAME?</v>
      </c>
      <c r="BN144" s="31" t="e">
        <f t="shared" ca="1" si="64"/>
        <v>#NAME?</v>
      </c>
      <c r="BO144" s="31" t="e">
        <f t="shared" ca="1" si="64"/>
        <v>#NAME?</v>
      </c>
      <c r="BP144" s="31" t="e">
        <f t="shared" ca="1" si="64"/>
        <v>#NAME?</v>
      </c>
      <c r="BQ144" s="31" t="e">
        <f t="shared" ca="1" si="64"/>
        <v>#NAME?</v>
      </c>
      <c r="BR144" s="31" t="e">
        <f t="shared" ca="1" si="64"/>
        <v>#NAME?</v>
      </c>
      <c r="BS144" s="31" t="e">
        <f t="shared" ca="1" si="64"/>
        <v>#NAME?</v>
      </c>
      <c r="BT144" s="31" t="e">
        <f t="shared" ca="1" si="64"/>
        <v>#NAME?</v>
      </c>
      <c r="BU144" s="31" t="e">
        <f t="shared" ca="1" si="64"/>
        <v>#NAME?</v>
      </c>
      <c r="BV144" s="31" t="e">
        <f t="shared" ca="1" si="64"/>
        <v>#NAME?</v>
      </c>
      <c r="BW144" s="31" t="e">
        <f t="shared" ca="1" si="64"/>
        <v>#NAME?</v>
      </c>
      <c r="BX144" s="31" t="e">
        <f t="shared" ca="1" si="64"/>
        <v>#NAME?</v>
      </c>
      <c r="BY144" s="31" t="e">
        <f t="shared" ca="1" si="64"/>
        <v>#NAME?</v>
      </c>
      <c r="BZ144" s="31" t="e">
        <f t="shared" ca="1" si="64"/>
        <v>#NAME?</v>
      </c>
      <c r="CA144" s="31" t="e">
        <f t="shared" ca="1" si="64"/>
        <v>#NAME?</v>
      </c>
      <c r="CB144" s="31" t="e">
        <f t="shared" ca="1" si="64"/>
        <v>#NAME?</v>
      </c>
      <c r="CC144" s="31" t="e">
        <f t="shared" ca="1" si="64"/>
        <v>#NAME?</v>
      </c>
      <c r="CD144" s="31" t="e">
        <f t="shared" ca="1" si="64"/>
        <v>#NAME?</v>
      </c>
      <c r="CE144" s="31" t="e">
        <f t="shared" ca="1" si="64"/>
        <v>#NAME?</v>
      </c>
      <c r="CF144" s="31" t="e">
        <f t="shared" ca="1" si="64"/>
        <v>#NAME?</v>
      </c>
      <c r="CG144" s="31" t="e">
        <f t="shared" ca="1" si="64"/>
        <v>#NAME?</v>
      </c>
      <c r="CH144" s="31" t="e">
        <f t="shared" ca="1" si="64"/>
        <v>#NAME?</v>
      </c>
      <c r="CI144" s="31" t="e">
        <f t="shared" ca="1" si="64"/>
        <v>#NAME?</v>
      </c>
      <c r="CJ144" s="31" t="e">
        <f t="shared" ca="1" si="64"/>
        <v>#NAME?</v>
      </c>
      <c r="CK144" s="31" t="e">
        <f t="shared" ca="1" si="64"/>
        <v>#NAME?</v>
      </c>
      <c r="CL144" s="31" t="e">
        <f t="shared" ca="1" si="64"/>
        <v>#NAME?</v>
      </c>
      <c r="CM144" s="31" t="e">
        <f t="shared" ca="1" si="64"/>
        <v>#NAME?</v>
      </c>
      <c r="CN144" s="31" t="e">
        <f t="shared" ca="1" si="64"/>
        <v>#NAME?</v>
      </c>
      <c r="CO144" s="31" t="e">
        <f t="shared" ca="1" si="64"/>
        <v>#NAME?</v>
      </c>
      <c r="CP144" s="31" t="e">
        <f t="shared" ca="1" si="64"/>
        <v>#NAME?</v>
      </c>
      <c r="CQ144" s="31" t="e">
        <f t="shared" ca="1" si="64"/>
        <v>#NAME?</v>
      </c>
      <c r="CR144" s="31" t="e">
        <f t="shared" ca="1" si="64"/>
        <v>#NAME?</v>
      </c>
      <c r="CS144" s="31" t="e">
        <f t="shared" ca="1" si="64"/>
        <v>#NAME?</v>
      </c>
      <c r="CT144" s="31" t="e">
        <f t="shared" ca="1" si="64"/>
        <v>#NAME?</v>
      </c>
      <c r="CU144" s="31" t="e">
        <f t="shared" ca="1" si="64"/>
        <v>#NAME?</v>
      </c>
      <c r="CV144" s="31" t="e">
        <f t="shared" ca="1" si="64"/>
        <v>#NAME?</v>
      </c>
      <c r="CW144" s="31" t="e">
        <f t="shared" ca="1" si="64"/>
        <v>#NAME?</v>
      </c>
      <c r="CX144" s="31" t="e">
        <f t="shared" ca="1" si="64"/>
        <v>#NAME?</v>
      </c>
      <c r="CY144" s="31" t="e">
        <f t="shared" ca="1" si="64"/>
        <v>#NAME?</v>
      </c>
      <c r="CZ144" s="31" t="e">
        <f t="shared" ca="1" si="64"/>
        <v>#NAME?</v>
      </c>
      <c r="DA144" s="31" t="e">
        <f t="shared" ca="1" si="64"/>
        <v>#NAME?</v>
      </c>
      <c r="DB144" s="31" t="e">
        <f t="shared" ca="1" si="64"/>
        <v>#NAME?</v>
      </c>
      <c r="DC144" s="31" t="e">
        <f t="shared" ca="1" si="64"/>
        <v>#NAME?</v>
      </c>
      <c r="DD144" s="31" t="e">
        <f t="shared" ca="1" si="64"/>
        <v>#NAME?</v>
      </c>
      <c r="DE144" s="31" t="e">
        <f t="shared" ca="1" si="64"/>
        <v>#NAME?</v>
      </c>
      <c r="DF144" s="31" t="e">
        <f t="shared" ca="1" si="64"/>
        <v>#NAME?</v>
      </c>
      <c r="DG144" s="31" t="e">
        <f t="shared" ca="1" si="64"/>
        <v>#NAME?</v>
      </c>
      <c r="DH144" s="31" t="e">
        <f t="shared" ca="1" si="64"/>
        <v>#NAME?</v>
      </c>
      <c r="DI144" s="31" t="e">
        <f t="shared" ca="1" si="64"/>
        <v>#NAME?</v>
      </c>
      <c r="DJ144" s="31" t="e">
        <f t="shared" ca="1" si="64"/>
        <v>#NAME?</v>
      </c>
      <c r="DK144" s="31" t="e">
        <f t="shared" ca="1" si="64"/>
        <v>#NAME?</v>
      </c>
      <c r="DL144" s="31" t="e">
        <f t="shared" ca="1" si="64"/>
        <v>#NAME?</v>
      </c>
      <c r="DM144" s="31" t="e">
        <f t="shared" ca="1" si="64"/>
        <v>#NAME?</v>
      </c>
      <c r="DN144" s="31" t="e">
        <f t="shared" ca="1" si="64"/>
        <v>#NAME?</v>
      </c>
      <c r="DO144" s="31" t="e">
        <f t="shared" ca="1" si="64"/>
        <v>#NAME?</v>
      </c>
      <c r="DP144" s="31" t="e">
        <f t="shared" ca="1" si="64"/>
        <v>#NAME?</v>
      </c>
      <c r="DQ144" s="31" t="e">
        <f t="shared" ca="1" si="64"/>
        <v>#NAME?</v>
      </c>
      <c r="DR144" s="31" t="e">
        <f t="shared" ca="1" si="64"/>
        <v>#NAME?</v>
      </c>
      <c r="DS144" s="31" t="e">
        <f t="shared" ca="1" si="64"/>
        <v>#NAME?</v>
      </c>
      <c r="DT144" s="31" t="e">
        <f t="shared" ca="1" si="64"/>
        <v>#NAME?</v>
      </c>
      <c r="DU144" s="31" t="e">
        <f t="shared" ca="1" si="64"/>
        <v>#NAME?</v>
      </c>
      <c r="DV144" s="31" t="e">
        <f t="shared" ca="1" si="64"/>
        <v>#NAME?</v>
      </c>
      <c r="DW144" s="31" t="e">
        <f t="shared" ca="1" si="64"/>
        <v>#NAME?</v>
      </c>
      <c r="DX144" s="31" t="e">
        <f t="shared" ca="1" si="64"/>
        <v>#NAME?</v>
      </c>
      <c r="DY144" s="31" t="e">
        <f t="shared" ca="1" si="64"/>
        <v>#NAME?</v>
      </c>
      <c r="DZ144" s="31" t="e">
        <f t="shared" ca="1" si="64"/>
        <v>#NAME?</v>
      </c>
      <c r="EA144" s="31" t="e">
        <f t="shared" ca="1" si="64"/>
        <v>#NAME?</v>
      </c>
      <c r="EB144" s="31" t="e">
        <f t="shared" ca="1" si="64"/>
        <v>#NAME?</v>
      </c>
      <c r="EC144" s="31" t="e">
        <f t="shared" ca="1" si="64"/>
        <v>#NAME?</v>
      </c>
      <c r="ED144" s="31" t="e">
        <f t="shared" ca="1" si="64"/>
        <v>#NAME?</v>
      </c>
      <c r="EE144" s="31" t="e">
        <f t="shared" ca="1" si="64"/>
        <v>#NAME?</v>
      </c>
      <c r="EF144" s="31" t="e">
        <f t="shared" ca="1" si="64"/>
        <v>#NAME?</v>
      </c>
      <c r="EG144" s="31" t="e">
        <f t="shared" ca="1" si="64"/>
        <v>#NAME?</v>
      </c>
      <c r="EH144" s="31" t="e">
        <f t="shared" ca="1" si="64"/>
        <v>#NAME?</v>
      </c>
      <c r="EI144" s="31" t="e">
        <f t="shared" ca="1" si="64"/>
        <v>#NAME?</v>
      </c>
      <c r="EJ144" s="31" t="e">
        <f t="shared" ca="1" si="64"/>
        <v>#NAME?</v>
      </c>
      <c r="EK144" s="31" t="e">
        <f t="shared" ca="1" si="64"/>
        <v>#NAME?</v>
      </c>
      <c r="EL144" s="31" t="e">
        <f t="shared" ca="1" si="64"/>
        <v>#NAME?</v>
      </c>
      <c r="EM144" s="31" t="e">
        <f t="shared" ca="1" si="64"/>
        <v>#NAME?</v>
      </c>
      <c r="EN144" s="31" t="e">
        <f t="shared" ca="1" si="64"/>
        <v>#NAME?</v>
      </c>
      <c r="EO144" s="31" t="e">
        <f t="shared" ca="1" si="64"/>
        <v>#NAME?</v>
      </c>
      <c r="EP144" s="31" t="e">
        <f t="shared" ca="1" si="64"/>
        <v>#NAME?</v>
      </c>
      <c r="EQ144" s="31" t="e">
        <f t="shared" ca="1" si="64"/>
        <v>#NAME?</v>
      </c>
      <c r="ER144" s="31" t="e">
        <f t="shared" ca="1" si="64"/>
        <v>#NAME?</v>
      </c>
      <c r="ES144" s="31" t="e">
        <f t="shared" ca="1" si="64"/>
        <v>#NAME?</v>
      </c>
      <c r="ET144" s="31" t="e">
        <f t="shared" ca="1" si="64"/>
        <v>#NAME?</v>
      </c>
      <c r="EU144" s="31" t="e">
        <f t="shared" ca="1" si="64"/>
        <v>#NAME?</v>
      </c>
      <c r="EV144" s="31" t="e">
        <f t="shared" ca="1" si="64"/>
        <v>#NAME?</v>
      </c>
      <c r="EW144" s="31" t="e">
        <f t="shared" ca="1" si="64"/>
        <v>#NAME?</v>
      </c>
      <c r="EX144" s="31" t="e">
        <f t="shared" ca="1" si="64"/>
        <v>#NAME?</v>
      </c>
      <c r="EY144" s="31" t="e">
        <f t="shared" ca="1" si="64"/>
        <v>#NAME?</v>
      </c>
      <c r="EZ144" s="31" t="e">
        <f t="shared" ca="1" si="64"/>
        <v>#NAME?</v>
      </c>
      <c r="FA144" s="31" t="e">
        <f t="shared" ca="1" si="64"/>
        <v>#NAME?</v>
      </c>
      <c r="FB144" s="31" t="e">
        <f t="shared" ca="1" si="64"/>
        <v>#NAME?</v>
      </c>
      <c r="FC144" s="31" t="e">
        <f t="shared" ca="1" si="64"/>
        <v>#NAME?</v>
      </c>
      <c r="FD144" s="31" t="e">
        <f t="shared" ca="1" si="64"/>
        <v>#NAME?</v>
      </c>
      <c r="FE144" s="31" t="e">
        <f t="shared" ca="1" si="64"/>
        <v>#NAME?</v>
      </c>
      <c r="FF144" s="31" t="e">
        <f t="shared" ca="1" si="64"/>
        <v>#NAME?</v>
      </c>
      <c r="FG144" s="31" t="e">
        <f t="shared" ca="1" si="64"/>
        <v>#NAME?</v>
      </c>
      <c r="FH144" s="31" t="e">
        <f t="shared" ca="1" si="64"/>
        <v>#NAME?</v>
      </c>
      <c r="FI144" s="31" t="e">
        <f t="shared" ca="1" si="64"/>
        <v>#NAME?</v>
      </c>
      <c r="FJ144" s="31" t="e">
        <f t="shared" ca="1" si="64"/>
        <v>#NAME?</v>
      </c>
      <c r="FK144" s="31" t="e">
        <f t="shared" ca="1" si="64"/>
        <v>#NAME?</v>
      </c>
      <c r="FL144" s="31" t="e">
        <f t="shared" ca="1" si="64"/>
        <v>#NAME?</v>
      </c>
      <c r="FM144" s="31" t="e">
        <f t="shared" ca="1" si="64"/>
        <v>#NAME?</v>
      </c>
      <c r="FN144" s="31" t="e">
        <f t="shared" ca="1" si="64"/>
        <v>#NAME?</v>
      </c>
      <c r="FO144" s="31" t="e">
        <f t="shared" ca="1" si="64"/>
        <v>#NAME?</v>
      </c>
      <c r="FP144" s="31" t="e">
        <f t="shared" ca="1" si="64"/>
        <v>#NAME?</v>
      </c>
      <c r="FQ144" s="31" t="e">
        <f t="shared" ca="1" si="64"/>
        <v>#NAME?</v>
      </c>
      <c r="FR144" s="31" t="e">
        <f t="shared" ca="1" si="64"/>
        <v>#NAME?</v>
      </c>
      <c r="FS144" s="31" t="e">
        <f t="shared" ca="1" si="64"/>
        <v>#NAME?</v>
      </c>
      <c r="FT144" s="31" t="e">
        <f t="shared" ca="1" si="64"/>
        <v>#NAME?</v>
      </c>
      <c r="FU144" s="31" t="e">
        <f t="shared" ca="1" si="64"/>
        <v>#NAME?</v>
      </c>
      <c r="FV144" s="31" t="e">
        <f t="shared" ca="1" si="64"/>
        <v>#NAME?</v>
      </c>
      <c r="FW144" s="31" t="e">
        <f t="shared" ca="1" si="64"/>
        <v>#NAME?</v>
      </c>
      <c r="FX144" s="31" t="e">
        <f t="shared" ca="1" si="64"/>
        <v>#NAME?</v>
      </c>
      <c r="FY144" s="31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</row>
    <row r="145" spans="1:193" ht="15.5" x14ac:dyDescent="0.35">
      <c r="A145" s="7"/>
      <c r="B145" s="7" t="s">
        <v>872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65"/>
      <c r="GC145" s="65"/>
      <c r="GD145" s="65"/>
      <c r="GE145" s="7"/>
      <c r="GF145" s="65"/>
      <c r="GG145" s="65"/>
      <c r="GH145" s="65"/>
      <c r="GI145" s="65"/>
      <c r="GJ145" s="65"/>
      <c r="GK145" s="65"/>
    </row>
    <row r="146" spans="1:193" ht="15.5" x14ac:dyDescent="0.35">
      <c r="A146" s="12" t="s">
        <v>873</v>
      </c>
      <c r="B146" s="7" t="s">
        <v>874</v>
      </c>
      <c r="C146" s="106" t="e">
        <f t="shared" ref="C146:FX146" ca="1" si="65">MAX(C142,C144)</f>
        <v>#NAME?</v>
      </c>
      <c r="D146" s="106" t="e">
        <f t="shared" ca="1" si="65"/>
        <v>#NAME?</v>
      </c>
      <c r="E146" s="106" t="e">
        <f t="shared" ca="1" si="65"/>
        <v>#NAME?</v>
      </c>
      <c r="F146" s="106" t="e">
        <f t="shared" ca="1" si="65"/>
        <v>#NAME?</v>
      </c>
      <c r="G146" s="106" t="e">
        <f t="shared" ca="1" si="65"/>
        <v>#NAME?</v>
      </c>
      <c r="H146" s="106" t="e">
        <f t="shared" ca="1" si="65"/>
        <v>#NAME?</v>
      </c>
      <c r="I146" s="106" t="e">
        <f t="shared" ca="1" si="65"/>
        <v>#NAME?</v>
      </c>
      <c r="J146" s="106" t="e">
        <f t="shared" ca="1" si="65"/>
        <v>#NAME?</v>
      </c>
      <c r="K146" s="106" t="e">
        <f t="shared" ca="1" si="65"/>
        <v>#NAME?</v>
      </c>
      <c r="L146" s="106" t="e">
        <f t="shared" ca="1" si="65"/>
        <v>#NAME?</v>
      </c>
      <c r="M146" s="106" t="e">
        <f t="shared" ca="1" si="65"/>
        <v>#NAME?</v>
      </c>
      <c r="N146" s="106" t="e">
        <f t="shared" ca="1" si="65"/>
        <v>#NAME?</v>
      </c>
      <c r="O146" s="106" t="e">
        <f t="shared" ca="1" si="65"/>
        <v>#NAME?</v>
      </c>
      <c r="P146" s="106" t="e">
        <f t="shared" ca="1" si="65"/>
        <v>#NAME?</v>
      </c>
      <c r="Q146" s="106" t="e">
        <f t="shared" ca="1" si="65"/>
        <v>#NAME?</v>
      </c>
      <c r="R146" s="106" t="e">
        <f t="shared" ca="1" si="65"/>
        <v>#NAME?</v>
      </c>
      <c r="S146" s="106" t="e">
        <f t="shared" ca="1" si="65"/>
        <v>#NAME?</v>
      </c>
      <c r="T146" s="106" t="e">
        <f t="shared" ca="1" si="65"/>
        <v>#NAME?</v>
      </c>
      <c r="U146" s="106" t="e">
        <f t="shared" ca="1" si="65"/>
        <v>#NAME?</v>
      </c>
      <c r="V146" s="106" t="e">
        <f t="shared" ca="1" si="65"/>
        <v>#NAME?</v>
      </c>
      <c r="W146" s="106" t="e">
        <f t="shared" ca="1" si="65"/>
        <v>#NAME?</v>
      </c>
      <c r="X146" s="106" t="e">
        <f t="shared" ca="1" si="65"/>
        <v>#NAME?</v>
      </c>
      <c r="Y146" s="106" t="e">
        <f t="shared" ca="1" si="65"/>
        <v>#NAME?</v>
      </c>
      <c r="Z146" s="106" t="e">
        <f t="shared" ca="1" si="65"/>
        <v>#NAME?</v>
      </c>
      <c r="AA146" s="106" t="e">
        <f t="shared" ca="1" si="65"/>
        <v>#NAME?</v>
      </c>
      <c r="AB146" s="106" t="e">
        <f t="shared" ca="1" si="65"/>
        <v>#NAME?</v>
      </c>
      <c r="AC146" s="106" t="e">
        <f t="shared" ca="1" si="65"/>
        <v>#NAME?</v>
      </c>
      <c r="AD146" s="106" t="e">
        <f t="shared" ca="1" si="65"/>
        <v>#NAME?</v>
      </c>
      <c r="AE146" s="106" t="e">
        <f t="shared" ca="1" si="65"/>
        <v>#NAME?</v>
      </c>
      <c r="AF146" s="106" t="e">
        <f t="shared" ca="1" si="65"/>
        <v>#NAME?</v>
      </c>
      <c r="AG146" s="106" t="e">
        <f t="shared" ca="1" si="65"/>
        <v>#NAME?</v>
      </c>
      <c r="AH146" s="106" t="e">
        <f t="shared" ca="1" si="65"/>
        <v>#NAME?</v>
      </c>
      <c r="AI146" s="106" t="e">
        <f t="shared" ca="1" si="65"/>
        <v>#NAME?</v>
      </c>
      <c r="AJ146" s="106" t="e">
        <f t="shared" ca="1" si="65"/>
        <v>#NAME?</v>
      </c>
      <c r="AK146" s="106" t="e">
        <f t="shared" ca="1" si="65"/>
        <v>#NAME?</v>
      </c>
      <c r="AL146" s="106" t="e">
        <f t="shared" ca="1" si="65"/>
        <v>#NAME?</v>
      </c>
      <c r="AM146" s="106" t="e">
        <f t="shared" ca="1" si="65"/>
        <v>#NAME?</v>
      </c>
      <c r="AN146" s="106" t="e">
        <f t="shared" ca="1" si="65"/>
        <v>#NAME?</v>
      </c>
      <c r="AO146" s="106" t="e">
        <f t="shared" ca="1" si="65"/>
        <v>#NAME?</v>
      </c>
      <c r="AP146" s="106" t="e">
        <f t="shared" ca="1" si="65"/>
        <v>#NAME?</v>
      </c>
      <c r="AQ146" s="106" t="e">
        <f t="shared" ca="1" si="65"/>
        <v>#NAME?</v>
      </c>
      <c r="AR146" s="106" t="e">
        <f t="shared" ca="1" si="65"/>
        <v>#NAME?</v>
      </c>
      <c r="AS146" s="106" t="e">
        <f t="shared" ca="1" si="65"/>
        <v>#NAME?</v>
      </c>
      <c r="AT146" s="106" t="e">
        <f t="shared" ca="1" si="65"/>
        <v>#NAME?</v>
      </c>
      <c r="AU146" s="106" t="e">
        <f t="shared" ca="1" si="65"/>
        <v>#NAME?</v>
      </c>
      <c r="AV146" s="106" t="e">
        <f t="shared" ca="1" si="65"/>
        <v>#NAME?</v>
      </c>
      <c r="AW146" s="106" t="e">
        <f t="shared" ca="1" si="65"/>
        <v>#NAME?</v>
      </c>
      <c r="AX146" s="106" t="e">
        <f t="shared" ca="1" si="65"/>
        <v>#NAME?</v>
      </c>
      <c r="AY146" s="106" t="e">
        <f t="shared" ca="1" si="65"/>
        <v>#NAME?</v>
      </c>
      <c r="AZ146" s="106" t="e">
        <f t="shared" ca="1" si="65"/>
        <v>#NAME?</v>
      </c>
      <c r="BA146" s="106" t="e">
        <f t="shared" ca="1" si="65"/>
        <v>#NAME?</v>
      </c>
      <c r="BB146" s="106" t="e">
        <f t="shared" ca="1" si="65"/>
        <v>#NAME?</v>
      </c>
      <c r="BC146" s="106" t="e">
        <f t="shared" ca="1" si="65"/>
        <v>#NAME?</v>
      </c>
      <c r="BD146" s="106" t="e">
        <f t="shared" ca="1" si="65"/>
        <v>#NAME?</v>
      </c>
      <c r="BE146" s="106" t="e">
        <f t="shared" ca="1" si="65"/>
        <v>#NAME?</v>
      </c>
      <c r="BF146" s="106" t="e">
        <f t="shared" ca="1" si="65"/>
        <v>#NAME?</v>
      </c>
      <c r="BG146" s="106" t="e">
        <f t="shared" ca="1" si="65"/>
        <v>#NAME?</v>
      </c>
      <c r="BH146" s="106" t="e">
        <f t="shared" ca="1" si="65"/>
        <v>#NAME?</v>
      </c>
      <c r="BI146" s="106" t="e">
        <f t="shared" ca="1" si="65"/>
        <v>#NAME?</v>
      </c>
      <c r="BJ146" s="106" t="e">
        <f t="shared" ca="1" si="65"/>
        <v>#NAME?</v>
      </c>
      <c r="BK146" s="106" t="e">
        <f t="shared" ca="1" si="65"/>
        <v>#NAME?</v>
      </c>
      <c r="BL146" s="106" t="e">
        <f t="shared" ca="1" si="65"/>
        <v>#NAME?</v>
      </c>
      <c r="BM146" s="106" t="e">
        <f t="shared" ca="1" si="65"/>
        <v>#NAME?</v>
      </c>
      <c r="BN146" s="106" t="e">
        <f t="shared" ca="1" si="65"/>
        <v>#NAME?</v>
      </c>
      <c r="BO146" s="106" t="e">
        <f t="shared" ca="1" si="65"/>
        <v>#NAME?</v>
      </c>
      <c r="BP146" s="106" t="e">
        <f t="shared" ca="1" si="65"/>
        <v>#NAME?</v>
      </c>
      <c r="BQ146" s="106" t="e">
        <f t="shared" ca="1" si="65"/>
        <v>#NAME?</v>
      </c>
      <c r="BR146" s="106" t="e">
        <f t="shared" ca="1" si="65"/>
        <v>#NAME?</v>
      </c>
      <c r="BS146" s="106" t="e">
        <f t="shared" ca="1" si="65"/>
        <v>#NAME?</v>
      </c>
      <c r="BT146" s="106" t="e">
        <f t="shared" ca="1" si="65"/>
        <v>#NAME?</v>
      </c>
      <c r="BU146" s="106" t="e">
        <f t="shared" ca="1" si="65"/>
        <v>#NAME?</v>
      </c>
      <c r="BV146" s="106" t="e">
        <f t="shared" ca="1" si="65"/>
        <v>#NAME?</v>
      </c>
      <c r="BW146" s="106" t="e">
        <f t="shared" ca="1" si="65"/>
        <v>#NAME?</v>
      </c>
      <c r="BX146" s="106" t="e">
        <f t="shared" ca="1" si="65"/>
        <v>#NAME?</v>
      </c>
      <c r="BY146" s="106" t="e">
        <f t="shared" ca="1" si="65"/>
        <v>#NAME?</v>
      </c>
      <c r="BZ146" s="106" t="e">
        <f t="shared" ca="1" si="65"/>
        <v>#NAME?</v>
      </c>
      <c r="CA146" s="106" t="e">
        <f t="shared" ca="1" si="65"/>
        <v>#NAME?</v>
      </c>
      <c r="CB146" s="106" t="e">
        <f t="shared" ca="1" si="65"/>
        <v>#NAME?</v>
      </c>
      <c r="CC146" s="106" t="e">
        <f t="shared" ca="1" si="65"/>
        <v>#NAME?</v>
      </c>
      <c r="CD146" s="106" t="e">
        <f t="shared" ca="1" si="65"/>
        <v>#NAME?</v>
      </c>
      <c r="CE146" s="106" t="e">
        <f t="shared" ca="1" si="65"/>
        <v>#NAME?</v>
      </c>
      <c r="CF146" s="106" t="e">
        <f t="shared" ca="1" si="65"/>
        <v>#NAME?</v>
      </c>
      <c r="CG146" s="106" t="e">
        <f t="shared" ca="1" si="65"/>
        <v>#NAME?</v>
      </c>
      <c r="CH146" s="106" t="e">
        <f t="shared" ca="1" si="65"/>
        <v>#NAME?</v>
      </c>
      <c r="CI146" s="106" t="e">
        <f t="shared" ca="1" si="65"/>
        <v>#NAME?</v>
      </c>
      <c r="CJ146" s="106" t="e">
        <f t="shared" ca="1" si="65"/>
        <v>#NAME?</v>
      </c>
      <c r="CK146" s="106" t="e">
        <f t="shared" ca="1" si="65"/>
        <v>#NAME?</v>
      </c>
      <c r="CL146" s="106" t="e">
        <f t="shared" ca="1" si="65"/>
        <v>#NAME?</v>
      </c>
      <c r="CM146" s="106" t="e">
        <f t="shared" ca="1" si="65"/>
        <v>#NAME?</v>
      </c>
      <c r="CN146" s="106" t="e">
        <f t="shared" ca="1" si="65"/>
        <v>#NAME?</v>
      </c>
      <c r="CO146" s="106" t="e">
        <f t="shared" ca="1" si="65"/>
        <v>#NAME?</v>
      </c>
      <c r="CP146" s="106" t="e">
        <f t="shared" ca="1" si="65"/>
        <v>#NAME?</v>
      </c>
      <c r="CQ146" s="106" t="e">
        <f t="shared" ca="1" si="65"/>
        <v>#NAME?</v>
      </c>
      <c r="CR146" s="106" t="e">
        <f t="shared" ca="1" si="65"/>
        <v>#NAME?</v>
      </c>
      <c r="CS146" s="106" t="e">
        <f t="shared" ca="1" si="65"/>
        <v>#NAME?</v>
      </c>
      <c r="CT146" s="106" t="e">
        <f t="shared" ca="1" si="65"/>
        <v>#NAME?</v>
      </c>
      <c r="CU146" s="106" t="e">
        <f t="shared" ca="1" si="65"/>
        <v>#NAME?</v>
      </c>
      <c r="CV146" s="106" t="e">
        <f t="shared" ca="1" si="65"/>
        <v>#NAME?</v>
      </c>
      <c r="CW146" s="106" t="e">
        <f t="shared" ca="1" si="65"/>
        <v>#NAME?</v>
      </c>
      <c r="CX146" s="106" t="e">
        <f t="shared" ca="1" si="65"/>
        <v>#NAME?</v>
      </c>
      <c r="CY146" s="106" t="e">
        <f t="shared" ca="1" si="65"/>
        <v>#NAME?</v>
      </c>
      <c r="CZ146" s="106" t="e">
        <f t="shared" ca="1" si="65"/>
        <v>#NAME?</v>
      </c>
      <c r="DA146" s="106" t="e">
        <f t="shared" ca="1" si="65"/>
        <v>#NAME?</v>
      </c>
      <c r="DB146" s="106" t="e">
        <f t="shared" ca="1" si="65"/>
        <v>#NAME?</v>
      </c>
      <c r="DC146" s="106" t="e">
        <f t="shared" ca="1" si="65"/>
        <v>#NAME?</v>
      </c>
      <c r="DD146" s="106" t="e">
        <f t="shared" ca="1" si="65"/>
        <v>#NAME?</v>
      </c>
      <c r="DE146" s="106" t="e">
        <f t="shared" ca="1" si="65"/>
        <v>#NAME?</v>
      </c>
      <c r="DF146" s="106" t="e">
        <f t="shared" ca="1" si="65"/>
        <v>#NAME?</v>
      </c>
      <c r="DG146" s="106" t="e">
        <f t="shared" ca="1" si="65"/>
        <v>#NAME?</v>
      </c>
      <c r="DH146" s="106" t="e">
        <f t="shared" ca="1" si="65"/>
        <v>#NAME?</v>
      </c>
      <c r="DI146" s="106" t="e">
        <f t="shared" ca="1" si="65"/>
        <v>#NAME?</v>
      </c>
      <c r="DJ146" s="106" t="e">
        <f t="shared" ca="1" si="65"/>
        <v>#NAME?</v>
      </c>
      <c r="DK146" s="106" t="e">
        <f t="shared" ca="1" si="65"/>
        <v>#NAME?</v>
      </c>
      <c r="DL146" s="106" t="e">
        <f t="shared" ca="1" si="65"/>
        <v>#NAME?</v>
      </c>
      <c r="DM146" s="106" t="e">
        <f t="shared" ca="1" si="65"/>
        <v>#NAME?</v>
      </c>
      <c r="DN146" s="106" t="e">
        <f t="shared" ca="1" si="65"/>
        <v>#NAME?</v>
      </c>
      <c r="DO146" s="106" t="e">
        <f t="shared" ca="1" si="65"/>
        <v>#NAME?</v>
      </c>
      <c r="DP146" s="106" t="e">
        <f t="shared" ca="1" si="65"/>
        <v>#NAME?</v>
      </c>
      <c r="DQ146" s="106" t="e">
        <f t="shared" ca="1" si="65"/>
        <v>#NAME?</v>
      </c>
      <c r="DR146" s="106" t="e">
        <f t="shared" ca="1" si="65"/>
        <v>#NAME?</v>
      </c>
      <c r="DS146" s="106" t="e">
        <f t="shared" ca="1" si="65"/>
        <v>#NAME?</v>
      </c>
      <c r="DT146" s="106" t="e">
        <f t="shared" ca="1" si="65"/>
        <v>#NAME?</v>
      </c>
      <c r="DU146" s="106" t="e">
        <f t="shared" ca="1" si="65"/>
        <v>#NAME?</v>
      </c>
      <c r="DV146" s="106" t="e">
        <f t="shared" ca="1" si="65"/>
        <v>#NAME?</v>
      </c>
      <c r="DW146" s="106" t="e">
        <f t="shared" ca="1" si="65"/>
        <v>#NAME?</v>
      </c>
      <c r="DX146" s="106" t="e">
        <f t="shared" ca="1" si="65"/>
        <v>#NAME?</v>
      </c>
      <c r="DY146" s="106" t="e">
        <f t="shared" ca="1" si="65"/>
        <v>#NAME?</v>
      </c>
      <c r="DZ146" s="106" t="e">
        <f t="shared" ca="1" si="65"/>
        <v>#NAME?</v>
      </c>
      <c r="EA146" s="106" t="e">
        <f t="shared" ca="1" si="65"/>
        <v>#NAME?</v>
      </c>
      <c r="EB146" s="106" t="e">
        <f t="shared" ca="1" si="65"/>
        <v>#NAME?</v>
      </c>
      <c r="EC146" s="106" t="e">
        <f t="shared" ca="1" si="65"/>
        <v>#NAME?</v>
      </c>
      <c r="ED146" s="106" t="e">
        <f t="shared" ca="1" si="65"/>
        <v>#NAME?</v>
      </c>
      <c r="EE146" s="106" t="e">
        <f t="shared" ca="1" si="65"/>
        <v>#NAME?</v>
      </c>
      <c r="EF146" s="106" t="e">
        <f t="shared" ca="1" si="65"/>
        <v>#NAME?</v>
      </c>
      <c r="EG146" s="106" t="e">
        <f t="shared" ca="1" si="65"/>
        <v>#NAME?</v>
      </c>
      <c r="EH146" s="106" t="e">
        <f t="shared" ca="1" si="65"/>
        <v>#NAME?</v>
      </c>
      <c r="EI146" s="106" t="e">
        <f t="shared" ca="1" si="65"/>
        <v>#NAME?</v>
      </c>
      <c r="EJ146" s="106" t="e">
        <f t="shared" ca="1" si="65"/>
        <v>#NAME?</v>
      </c>
      <c r="EK146" s="106" t="e">
        <f t="shared" ca="1" si="65"/>
        <v>#NAME?</v>
      </c>
      <c r="EL146" s="106" t="e">
        <f t="shared" ca="1" si="65"/>
        <v>#NAME?</v>
      </c>
      <c r="EM146" s="106" t="e">
        <f t="shared" ca="1" si="65"/>
        <v>#NAME?</v>
      </c>
      <c r="EN146" s="106" t="e">
        <f t="shared" ca="1" si="65"/>
        <v>#NAME?</v>
      </c>
      <c r="EO146" s="106" t="e">
        <f t="shared" ca="1" si="65"/>
        <v>#NAME?</v>
      </c>
      <c r="EP146" s="106" t="e">
        <f t="shared" ca="1" si="65"/>
        <v>#NAME?</v>
      </c>
      <c r="EQ146" s="106" t="e">
        <f t="shared" ca="1" si="65"/>
        <v>#NAME?</v>
      </c>
      <c r="ER146" s="106" t="e">
        <f t="shared" ca="1" si="65"/>
        <v>#NAME?</v>
      </c>
      <c r="ES146" s="106" t="e">
        <f t="shared" ca="1" si="65"/>
        <v>#NAME?</v>
      </c>
      <c r="ET146" s="106" t="e">
        <f t="shared" ca="1" si="65"/>
        <v>#NAME?</v>
      </c>
      <c r="EU146" s="106" t="e">
        <f t="shared" ca="1" si="65"/>
        <v>#NAME?</v>
      </c>
      <c r="EV146" s="106" t="e">
        <f t="shared" ca="1" si="65"/>
        <v>#NAME?</v>
      </c>
      <c r="EW146" s="106" t="e">
        <f t="shared" ca="1" si="65"/>
        <v>#NAME?</v>
      </c>
      <c r="EX146" s="106" t="e">
        <f t="shared" ca="1" si="65"/>
        <v>#NAME?</v>
      </c>
      <c r="EY146" s="106" t="e">
        <f t="shared" ca="1" si="65"/>
        <v>#NAME?</v>
      </c>
      <c r="EZ146" s="106" t="e">
        <f t="shared" ca="1" si="65"/>
        <v>#NAME?</v>
      </c>
      <c r="FA146" s="106" t="e">
        <f t="shared" ca="1" si="65"/>
        <v>#NAME?</v>
      </c>
      <c r="FB146" s="106" t="e">
        <f t="shared" ca="1" si="65"/>
        <v>#NAME?</v>
      </c>
      <c r="FC146" s="106" t="e">
        <f t="shared" ca="1" si="65"/>
        <v>#NAME?</v>
      </c>
      <c r="FD146" s="106" t="e">
        <f t="shared" ca="1" si="65"/>
        <v>#NAME?</v>
      </c>
      <c r="FE146" s="106" t="e">
        <f t="shared" ca="1" si="65"/>
        <v>#NAME?</v>
      </c>
      <c r="FF146" s="106" t="e">
        <f t="shared" ca="1" si="65"/>
        <v>#NAME?</v>
      </c>
      <c r="FG146" s="106" t="e">
        <f t="shared" ca="1" si="65"/>
        <v>#NAME?</v>
      </c>
      <c r="FH146" s="106" t="e">
        <f t="shared" ca="1" si="65"/>
        <v>#NAME?</v>
      </c>
      <c r="FI146" s="106" t="e">
        <f t="shared" ca="1" si="65"/>
        <v>#NAME?</v>
      </c>
      <c r="FJ146" s="106" t="e">
        <f t="shared" ca="1" si="65"/>
        <v>#NAME?</v>
      </c>
      <c r="FK146" s="106" t="e">
        <f t="shared" ca="1" si="65"/>
        <v>#NAME?</v>
      </c>
      <c r="FL146" s="106" t="e">
        <f t="shared" ca="1" si="65"/>
        <v>#NAME?</v>
      </c>
      <c r="FM146" s="106" t="e">
        <f t="shared" ca="1" si="65"/>
        <v>#NAME?</v>
      </c>
      <c r="FN146" s="106" t="e">
        <f t="shared" ca="1" si="65"/>
        <v>#NAME?</v>
      </c>
      <c r="FO146" s="106" t="e">
        <f t="shared" ca="1" si="65"/>
        <v>#NAME?</v>
      </c>
      <c r="FP146" s="106" t="e">
        <f t="shared" ca="1" si="65"/>
        <v>#NAME?</v>
      </c>
      <c r="FQ146" s="106" t="e">
        <f t="shared" ca="1" si="65"/>
        <v>#NAME?</v>
      </c>
      <c r="FR146" s="106" t="e">
        <f t="shared" ca="1" si="65"/>
        <v>#NAME?</v>
      </c>
      <c r="FS146" s="106" t="e">
        <f t="shared" ca="1" si="65"/>
        <v>#NAME?</v>
      </c>
      <c r="FT146" s="106" t="e">
        <f t="shared" ca="1" si="65"/>
        <v>#NAME?</v>
      </c>
      <c r="FU146" s="106" t="e">
        <f t="shared" ca="1" si="65"/>
        <v>#NAME?</v>
      </c>
      <c r="FV146" s="106" t="e">
        <f t="shared" ca="1" si="65"/>
        <v>#NAME?</v>
      </c>
      <c r="FW146" s="106" t="e">
        <f t="shared" ca="1" si="65"/>
        <v>#NAME?</v>
      </c>
      <c r="FX146" s="106" t="e">
        <f t="shared" ca="1" si="65"/>
        <v>#NAME?</v>
      </c>
      <c r="FY146" s="31"/>
      <c r="FZ146" s="7"/>
      <c r="GA146" s="7"/>
      <c r="GB146" s="31"/>
      <c r="GC146" s="31"/>
      <c r="GD146" s="31"/>
      <c r="GE146" s="7"/>
      <c r="GF146" s="7"/>
      <c r="GG146" s="7"/>
      <c r="GH146" s="7"/>
      <c r="GI146" s="7"/>
      <c r="GJ146" s="7"/>
      <c r="GK146" s="7"/>
    </row>
    <row r="147" spans="1:193" ht="15.5" x14ac:dyDescent="0.35">
      <c r="A147" s="7"/>
      <c r="B147" s="7" t="s">
        <v>875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</row>
    <row r="148" spans="1:193" ht="15.5" x14ac:dyDescent="0.35">
      <c r="A148" s="12" t="s">
        <v>876</v>
      </c>
      <c r="B148" s="7" t="s">
        <v>877</v>
      </c>
      <c r="C148" s="31" t="e">
        <f t="shared" ref="C148:FX148" ca="1" si="66">MIN(0.3,(C141+C146))</f>
        <v>#NAME?</v>
      </c>
      <c r="D148" s="31" t="e">
        <f t="shared" ca="1" si="66"/>
        <v>#NAME?</v>
      </c>
      <c r="E148" s="31" t="e">
        <f t="shared" ca="1" si="66"/>
        <v>#NAME?</v>
      </c>
      <c r="F148" s="31" t="e">
        <f t="shared" ca="1" si="66"/>
        <v>#NAME?</v>
      </c>
      <c r="G148" s="31" t="e">
        <f t="shared" ca="1" si="66"/>
        <v>#NAME?</v>
      </c>
      <c r="H148" s="31" t="e">
        <f t="shared" ca="1" si="66"/>
        <v>#NAME?</v>
      </c>
      <c r="I148" s="31" t="e">
        <f t="shared" ca="1" si="66"/>
        <v>#NAME?</v>
      </c>
      <c r="J148" s="31" t="e">
        <f t="shared" ca="1" si="66"/>
        <v>#NAME?</v>
      </c>
      <c r="K148" s="31" t="e">
        <f t="shared" ca="1" si="66"/>
        <v>#NAME?</v>
      </c>
      <c r="L148" s="31" t="e">
        <f t="shared" ca="1" si="66"/>
        <v>#NAME?</v>
      </c>
      <c r="M148" s="31" t="e">
        <f t="shared" ca="1" si="66"/>
        <v>#NAME?</v>
      </c>
      <c r="N148" s="31" t="e">
        <f t="shared" ca="1" si="66"/>
        <v>#NAME?</v>
      </c>
      <c r="O148" s="31" t="e">
        <f t="shared" ca="1" si="66"/>
        <v>#NAME?</v>
      </c>
      <c r="P148" s="31" t="e">
        <f t="shared" ca="1" si="66"/>
        <v>#NAME?</v>
      </c>
      <c r="Q148" s="31" t="e">
        <f t="shared" ca="1" si="66"/>
        <v>#NAME?</v>
      </c>
      <c r="R148" s="31" t="e">
        <f t="shared" ca="1" si="66"/>
        <v>#NAME?</v>
      </c>
      <c r="S148" s="31" t="e">
        <f t="shared" ca="1" si="66"/>
        <v>#NAME?</v>
      </c>
      <c r="T148" s="31" t="e">
        <f t="shared" ca="1" si="66"/>
        <v>#NAME?</v>
      </c>
      <c r="U148" s="31" t="e">
        <f t="shared" ca="1" si="66"/>
        <v>#NAME?</v>
      </c>
      <c r="V148" s="31" t="e">
        <f t="shared" ca="1" si="66"/>
        <v>#NAME?</v>
      </c>
      <c r="W148" s="31" t="e">
        <f t="shared" ca="1" si="66"/>
        <v>#NAME?</v>
      </c>
      <c r="X148" s="31" t="e">
        <f t="shared" ca="1" si="66"/>
        <v>#NAME?</v>
      </c>
      <c r="Y148" s="31" t="e">
        <f t="shared" ca="1" si="66"/>
        <v>#NAME?</v>
      </c>
      <c r="Z148" s="31" t="e">
        <f t="shared" ca="1" si="66"/>
        <v>#NAME?</v>
      </c>
      <c r="AA148" s="31" t="e">
        <f t="shared" ca="1" si="66"/>
        <v>#NAME?</v>
      </c>
      <c r="AB148" s="31" t="e">
        <f t="shared" ca="1" si="66"/>
        <v>#NAME?</v>
      </c>
      <c r="AC148" s="31" t="e">
        <f t="shared" ca="1" si="66"/>
        <v>#NAME?</v>
      </c>
      <c r="AD148" s="31" t="e">
        <f t="shared" ca="1" si="66"/>
        <v>#NAME?</v>
      </c>
      <c r="AE148" s="31" t="e">
        <f t="shared" ca="1" si="66"/>
        <v>#NAME?</v>
      </c>
      <c r="AF148" s="31" t="e">
        <f t="shared" ca="1" si="66"/>
        <v>#NAME?</v>
      </c>
      <c r="AG148" s="31" t="e">
        <f t="shared" ca="1" si="66"/>
        <v>#NAME?</v>
      </c>
      <c r="AH148" s="31" t="e">
        <f t="shared" ca="1" si="66"/>
        <v>#NAME?</v>
      </c>
      <c r="AI148" s="31" t="e">
        <f t="shared" ca="1" si="66"/>
        <v>#NAME?</v>
      </c>
      <c r="AJ148" s="31" t="e">
        <f t="shared" ca="1" si="66"/>
        <v>#NAME?</v>
      </c>
      <c r="AK148" s="31" t="e">
        <f t="shared" ca="1" si="66"/>
        <v>#NAME?</v>
      </c>
      <c r="AL148" s="31" t="e">
        <f t="shared" ca="1" si="66"/>
        <v>#NAME?</v>
      </c>
      <c r="AM148" s="31" t="e">
        <f t="shared" ca="1" si="66"/>
        <v>#NAME?</v>
      </c>
      <c r="AN148" s="31" t="e">
        <f t="shared" ca="1" si="66"/>
        <v>#NAME?</v>
      </c>
      <c r="AO148" s="31" t="e">
        <f t="shared" ca="1" si="66"/>
        <v>#NAME?</v>
      </c>
      <c r="AP148" s="31" t="e">
        <f t="shared" ca="1" si="66"/>
        <v>#NAME?</v>
      </c>
      <c r="AQ148" s="31" t="e">
        <f t="shared" ca="1" si="66"/>
        <v>#NAME?</v>
      </c>
      <c r="AR148" s="31" t="e">
        <f t="shared" ca="1" si="66"/>
        <v>#NAME?</v>
      </c>
      <c r="AS148" s="31" t="e">
        <f t="shared" ca="1" si="66"/>
        <v>#NAME?</v>
      </c>
      <c r="AT148" s="31" t="e">
        <f t="shared" ca="1" si="66"/>
        <v>#NAME?</v>
      </c>
      <c r="AU148" s="31" t="e">
        <f t="shared" ca="1" si="66"/>
        <v>#NAME?</v>
      </c>
      <c r="AV148" s="31" t="e">
        <f t="shared" ca="1" si="66"/>
        <v>#NAME?</v>
      </c>
      <c r="AW148" s="31" t="e">
        <f t="shared" ca="1" si="66"/>
        <v>#NAME?</v>
      </c>
      <c r="AX148" s="31" t="e">
        <f t="shared" ca="1" si="66"/>
        <v>#NAME?</v>
      </c>
      <c r="AY148" s="31" t="e">
        <f t="shared" ca="1" si="66"/>
        <v>#NAME?</v>
      </c>
      <c r="AZ148" s="31" t="e">
        <f t="shared" ca="1" si="66"/>
        <v>#NAME?</v>
      </c>
      <c r="BA148" s="31" t="e">
        <f t="shared" ca="1" si="66"/>
        <v>#NAME?</v>
      </c>
      <c r="BB148" s="31" t="e">
        <f t="shared" ca="1" si="66"/>
        <v>#NAME?</v>
      </c>
      <c r="BC148" s="31" t="e">
        <f t="shared" ca="1" si="66"/>
        <v>#NAME?</v>
      </c>
      <c r="BD148" s="31" t="e">
        <f t="shared" ca="1" si="66"/>
        <v>#NAME?</v>
      </c>
      <c r="BE148" s="31" t="e">
        <f t="shared" ca="1" si="66"/>
        <v>#NAME?</v>
      </c>
      <c r="BF148" s="31" t="e">
        <f t="shared" ca="1" si="66"/>
        <v>#NAME?</v>
      </c>
      <c r="BG148" s="31" t="e">
        <f t="shared" ca="1" si="66"/>
        <v>#NAME?</v>
      </c>
      <c r="BH148" s="31" t="e">
        <f t="shared" ca="1" si="66"/>
        <v>#NAME?</v>
      </c>
      <c r="BI148" s="31" t="e">
        <f t="shared" ca="1" si="66"/>
        <v>#NAME?</v>
      </c>
      <c r="BJ148" s="31" t="e">
        <f t="shared" ca="1" si="66"/>
        <v>#NAME?</v>
      </c>
      <c r="BK148" s="31" t="e">
        <f t="shared" ca="1" si="66"/>
        <v>#NAME?</v>
      </c>
      <c r="BL148" s="31" t="e">
        <f t="shared" ca="1" si="66"/>
        <v>#NAME?</v>
      </c>
      <c r="BM148" s="31" t="e">
        <f t="shared" ca="1" si="66"/>
        <v>#NAME?</v>
      </c>
      <c r="BN148" s="31" t="e">
        <f t="shared" ca="1" si="66"/>
        <v>#NAME?</v>
      </c>
      <c r="BO148" s="31" t="e">
        <f t="shared" ca="1" si="66"/>
        <v>#NAME?</v>
      </c>
      <c r="BP148" s="31" t="e">
        <f t="shared" ca="1" si="66"/>
        <v>#NAME?</v>
      </c>
      <c r="BQ148" s="31" t="e">
        <f t="shared" ca="1" si="66"/>
        <v>#NAME?</v>
      </c>
      <c r="BR148" s="31" t="e">
        <f t="shared" ca="1" si="66"/>
        <v>#NAME?</v>
      </c>
      <c r="BS148" s="31" t="e">
        <f t="shared" ca="1" si="66"/>
        <v>#NAME?</v>
      </c>
      <c r="BT148" s="31" t="e">
        <f t="shared" ca="1" si="66"/>
        <v>#NAME?</v>
      </c>
      <c r="BU148" s="31" t="e">
        <f t="shared" ca="1" si="66"/>
        <v>#NAME?</v>
      </c>
      <c r="BV148" s="31" t="e">
        <f t="shared" ca="1" si="66"/>
        <v>#NAME?</v>
      </c>
      <c r="BW148" s="31" t="e">
        <f t="shared" ca="1" si="66"/>
        <v>#NAME?</v>
      </c>
      <c r="BX148" s="31" t="e">
        <f t="shared" ca="1" si="66"/>
        <v>#NAME?</v>
      </c>
      <c r="BY148" s="31" t="e">
        <f t="shared" ca="1" si="66"/>
        <v>#NAME?</v>
      </c>
      <c r="BZ148" s="31" t="e">
        <f t="shared" ca="1" si="66"/>
        <v>#NAME?</v>
      </c>
      <c r="CA148" s="31" t="e">
        <f t="shared" ca="1" si="66"/>
        <v>#NAME?</v>
      </c>
      <c r="CB148" s="31" t="e">
        <f t="shared" ca="1" si="66"/>
        <v>#NAME?</v>
      </c>
      <c r="CC148" s="31" t="e">
        <f t="shared" ca="1" si="66"/>
        <v>#NAME?</v>
      </c>
      <c r="CD148" s="31" t="e">
        <f t="shared" ca="1" si="66"/>
        <v>#NAME?</v>
      </c>
      <c r="CE148" s="31" t="e">
        <f t="shared" ca="1" si="66"/>
        <v>#NAME?</v>
      </c>
      <c r="CF148" s="31" t="e">
        <f t="shared" ca="1" si="66"/>
        <v>#NAME?</v>
      </c>
      <c r="CG148" s="31" t="e">
        <f t="shared" ca="1" si="66"/>
        <v>#NAME?</v>
      </c>
      <c r="CH148" s="31" t="e">
        <f t="shared" ca="1" si="66"/>
        <v>#NAME?</v>
      </c>
      <c r="CI148" s="31" t="e">
        <f t="shared" ca="1" si="66"/>
        <v>#NAME?</v>
      </c>
      <c r="CJ148" s="31" t="e">
        <f t="shared" ca="1" si="66"/>
        <v>#NAME?</v>
      </c>
      <c r="CK148" s="31" t="e">
        <f t="shared" ca="1" si="66"/>
        <v>#NAME?</v>
      </c>
      <c r="CL148" s="31" t="e">
        <f t="shared" ca="1" si="66"/>
        <v>#NAME?</v>
      </c>
      <c r="CM148" s="31" t="e">
        <f t="shared" ca="1" si="66"/>
        <v>#NAME?</v>
      </c>
      <c r="CN148" s="31" t="e">
        <f t="shared" ca="1" si="66"/>
        <v>#NAME?</v>
      </c>
      <c r="CO148" s="31" t="e">
        <f t="shared" ca="1" si="66"/>
        <v>#NAME?</v>
      </c>
      <c r="CP148" s="31" t="e">
        <f t="shared" ca="1" si="66"/>
        <v>#NAME?</v>
      </c>
      <c r="CQ148" s="31" t="e">
        <f t="shared" ca="1" si="66"/>
        <v>#NAME?</v>
      </c>
      <c r="CR148" s="31" t="e">
        <f t="shared" ca="1" si="66"/>
        <v>#NAME?</v>
      </c>
      <c r="CS148" s="31" t="e">
        <f t="shared" ca="1" si="66"/>
        <v>#NAME?</v>
      </c>
      <c r="CT148" s="31" t="e">
        <f t="shared" ca="1" si="66"/>
        <v>#NAME?</v>
      </c>
      <c r="CU148" s="31" t="e">
        <f t="shared" ca="1" si="66"/>
        <v>#NAME?</v>
      </c>
      <c r="CV148" s="31" t="e">
        <f t="shared" ca="1" si="66"/>
        <v>#NAME?</v>
      </c>
      <c r="CW148" s="31" t="e">
        <f t="shared" ca="1" si="66"/>
        <v>#NAME?</v>
      </c>
      <c r="CX148" s="31" t="e">
        <f t="shared" ca="1" si="66"/>
        <v>#NAME?</v>
      </c>
      <c r="CY148" s="31" t="e">
        <f t="shared" ca="1" si="66"/>
        <v>#NAME?</v>
      </c>
      <c r="CZ148" s="31" t="e">
        <f t="shared" ca="1" si="66"/>
        <v>#NAME?</v>
      </c>
      <c r="DA148" s="31" t="e">
        <f t="shared" ca="1" si="66"/>
        <v>#NAME?</v>
      </c>
      <c r="DB148" s="31" t="e">
        <f t="shared" ca="1" si="66"/>
        <v>#NAME?</v>
      </c>
      <c r="DC148" s="31" t="e">
        <f t="shared" ca="1" si="66"/>
        <v>#NAME?</v>
      </c>
      <c r="DD148" s="31" t="e">
        <f t="shared" ca="1" si="66"/>
        <v>#NAME?</v>
      </c>
      <c r="DE148" s="31" t="e">
        <f t="shared" ca="1" si="66"/>
        <v>#NAME?</v>
      </c>
      <c r="DF148" s="31" t="e">
        <f t="shared" ca="1" si="66"/>
        <v>#NAME?</v>
      </c>
      <c r="DG148" s="31" t="e">
        <f t="shared" ca="1" si="66"/>
        <v>#NAME?</v>
      </c>
      <c r="DH148" s="31" t="e">
        <f t="shared" ca="1" si="66"/>
        <v>#NAME?</v>
      </c>
      <c r="DI148" s="31" t="e">
        <f t="shared" ca="1" si="66"/>
        <v>#NAME?</v>
      </c>
      <c r="DJ148" s="31" t="e">
        <f t="shared" ca="1" si="66"/>
        <v>#NAME?</v>
      </c>
      <c r="DK148" s="31" t="e">
        <f t="shared" ca="1" si="66"/>
        <v>#NAME?</v>
      </c>
      <c r="DL148" s="31" t="e">
        <f t="shared" ca="1" si="66"/>
        <v>#NAME?</v>
      </c>
      <c r="DM148" s="31" t="e">
        <f t="shared" ca="1" si="66"/>
        <v>#NAME?</v>
      </c>
      <c r="DN148" s="31" t="e">
        <f t="shared" ca="1" si="66"/>
        <v>#NAME?</v>
      </c>
      <c r="DO148" s="31" t="e">
        <f t="shared" ca="1" si="66"/>
        <v>#NAME?</v>
      </c>
      <c r="DP148" s="31" t="e">
        <f t="shared" ca="1" si="66"/>
        <v>#NAME?</v>
      </c>
      <c r="DQ148" s="31" t="e">
        <f t="shared" ca="1" si="66"/>
        <v>#NAME?</v>
      </c>
      <c r="DR148" s="31" t="e">
        <f t="shared" ca="1" si="66"/>
        <v>#NAME?</v>
      </c>
      <c r="DS148" s="31" t="e">
        <f t="shared" ca="1" si="66"/>
        <v>#NAME?</v>
      </c>
      <c r="DT148" s="31" t="e">
        <f t="shared" ca="1" si="66"/>
        <v>#NAME?</v>
      </c>
      <c r="DU148" s="31" t="e">
        <f t="shared" ca="1" si="66"/>
        <v>#NAME?</v>
      </c>
      <c r="DV148" s="31" t="e">
        <f t="shared" ca="1" si="66"/>
        <v>#NAME?</v>
      </c>
      <c r="DW148" s="31" t="e">
        <f t="shared" ca="1" si="66"/>
        <v>#NAME?</v>
      </c>
      <c r="DX148" s="31" t="e">
        <f t="shared" ca="1" si="66"/>
        <v>#NAME?</v>
      </c>
      <c r="DY148" s="31" t="e">
        <f t="shared" ca="1" si="66"/>
        <v>#NAME?</v>
      </c>
      <c r="DZ148" s="31" t="e">
        <f t="shared" ca="1" si="66"/>
        <v>#NAME?</v>
      </c>
      <c r="EA148" s="31" t="e">
        <f t="shared" ca="1" si="66"/>
        <v>#NAME?</v>
      </c>
      <c r="EB148" s="31" t="e">
        <f t="shared" ca="1" si="66"/>
        <v>#NAME?</v>
      </c>
      <c r="EC148" s="31" t="e">
        <f t="shared" ca="1" si="66"/>
        <v>#NAME?</v>
      </c>
      <c r="ED148" s="31" t="e">
        <f t="shared" ca="1" si="66"/>
        <v>#NAME?</v>
      </c>
      <c r="EE148" s="31" t="e">
        <f t="shared" ca="1" si="66"/>
        <v>#NAME?</v>
      </c>
      <c r="EF148" s="31" t="e">
        <f t="shared" ca="1" si="66"/>
        <v>#NAME?</v>
      </c>
      <c r="EG148" s="31" t="e">
        <f t="shared" ca="1" si="66"/>
        <v>#NAME?</v>
      </c>
      <c r="EH148" s="31" t="e">
        <f t="shared" ca="1" si="66"/>
        <v>#NAME?</v>
      </c>
      <c r="EI148" s="31" t="e">
        <f t="shared" ca="1" si="66"/>
        <v>#NAME?</v>
      </c>
      <c r="EJ148" s="31" t="e">
        <f t="shared" ca="1" si="66"/>
        <v>#NAME?</v>
      </c>
      <c r="EK148" s="31" t="e">
        <f t="shared" ca="1" si="66"/>
        <v>#NAME?</v>
      </c>
      <c r="EL148" s="31" t="e">
        <f t="shared" ca="1" si="66"/>
        <v>#NAME?</v>
      </c>
      <c r="EM148" s="31" t="e">
        <f t="shared" ca="1" si="66"/>
        <v>#NAME?</v>
      </c>
      <c r="EN148" s="31" t="e">
        <f t="shared" ca="1" si="66"/>
        <v>#NAME?</v>
      </c>
      <c r="EO148" s="31" t="e">
        <f t="shared" ca="1" si="66"/>
        <v>#NAME?</v>
      </c>
      <c r="EP148" s="31" t="e">
        <f t="shared" ca="1" si="66"/>
        <v>#NAME?</v>
      </c>
      <c r="EQ148" s="31" t="e">
        <f t="shared" ca="1" si="66"/>
        <v>#NAME?</v>
      </c>
      <c r="ER148" s="31" t="e">
        <f t="shared" ca="1" si="66"/>
        <v>#NAME?</v>
      </c>
      <c r="ES148" s="31" t="e">
        <f t="shared" ca="1" si="66"/>
        <v>#NAME?</v>
      </c>
      <c r="ET148" s="31" t="e">
        <f t="shared" ca="1" si="66"/>
        <v>#NAME?</v>
      </c>
      <c r="EU148" s="31" t="e">
        <f t="shared" ca="1" si="66"/>
        <v>#NAME?</v>
      </c>
      <c r="EV148" s="31" t="e">
        <f t="shared" ca="1" si="66"/>
        <v>#NAME?</v>
      </c>
      <c r="EW148" s="31" t="e">
        <f t="shared" ca="1" si="66"/>
        <v>#NAME?</v>
      </c>
      <c r="EX148" s="31" t="e">
        <f t="shared" ca="1" si="66"/>
        <v>#NAME?</v>
      </c>
      <c r="EY148" s="31" t="e">
        <f t="shared" ca="1" si="66"/>
        <v>#NAME?</v>
      </c>
      <c r="EZ148" s="31" t="e">
        <f t="shared" ca="1" si="66"/>
        <v>#NAME?</v>
      </c>
      <c r="FA148" s="31" t="e">
        <f t="shared" ca="1" si="66"/>
        <v>#NAME?</v>
      </c>
      <c r="FB148" s="31" t="e">
        <f t="shared" ca="1" si="66"/>
        <v>#NAME?</v>
      </c>
      <c r="FC148" s="31" t="e">
        <f t="shared" ca="1" si="66"/>
        <v>#NAME?</v>
      </c>
      <c r="FD148" s="31" t="e">
        <f t="shared" ca="1" si="66"/>
        <v>#NAME?</v>
      </c>
      <c r="FE148" s="31" t="e">
        <f t="shared" ca="1" si="66"/>
        <v>#NAME?</v>
      </c>
      <c r="FF148" s="31" t="e">
        <f t="shared" ca="1" si="66"/>
        <v>#NAME?</v>
      </c>
      <c r="FG148" s="31" t="e">
        <f t="shared" ca="1" si="66"/>
        <v>#NAME?</v>
      </c>
      <c r="FH148" s="31" t="e">
        <f t="shared" ca="1" si="66"/>
        <v>#NAME?</v>
      </c>
      <c r="FI148" s="31" t="e">
        <f t="shared" ca="1" si="66"/>
        <v>#NAME?</v>
      </c>
      <c r="FJ148" s="31" t="e">
        <f t="shared" ca="1" si="66"/>
        <v>#NAME?</v>
      </c>
      <c r="FK148" s="31" t="e">
        <f t="shared" ca="1" si="66"/>
        <v>#NAME?</v>
      </c>
      <c r="FL148" s="31" t="e">
        <f t="shared" ca="1" si="66"/>
        <v>#NAME?</v>
      </c>
      <c r="FM148" s="31" t="e">
        <f t="shared" ca="1" si="66"/>
        <v>#NAME?</v>
      </c>
      <c r="FN148" s="31" t="e">
        <f t="shared" ca="1" si="66"/>
        <v>#NAME?</v>
      </c>
      <c r="FO148" s="31" t="e">
        <f t="shared" ca="1" si="66"/>
        <v>#NAME?</v>
      </c>
      <c r="FP148" s="31" t="e">
        <f t="shared" ca="1" si="66"/>
        <v>#NAME?</v>
      </c>
      <c r="FQ148" s="31" t="e">
        <f t="shared" ca="1" si="66"/>
        <v>#NAME?</v>
      </c>
      <c r="FR148" s="31" t="e">
        <f t="shared" ca="1" si="66"/>
        <v>#NAME?</v>
      </c>
      <c r="FS148" s="31" t="e">
        <f t="shared" ca="1" si="66"/>
        <v>#NAME?</v>
      </c>
      <c r="FT148" s="31" t="e">
        <f t="shared" ca="1" si="66"/>
        <v>#NAME?</v>
      </c>
      <c r="FU148" s="31" t="e">
        <f t="shared" ca="1" si="66"/>
        <v>#NAME?</v>
      </c>
      <c r="FV148" s="31" t="e">
        <f t="shared" ca="1" si="66"/>
        <v>#NAME?</v>
      </c>
      <c r="FW148" s="31" t="e">
        <f t="shared" ca="1" si="66"/>
        <v>#NAME?</v>
      </c>
      <c r="FX148" s="31" t="e">
        <f t="shared" ca="1" si="66"/>
        <v>#NAME?</v>
      </c>
      <c r="FY148" s="106"/>
      <c r="FZ148" s="47" t="e">
        <f ca="1">SUM(C148:FX148)</f>
        <v>#NAME?</v>
      </c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</row>
    <row r="149" spans="1:193" ht="15.5" x14ac:dyDescent="0.35">
      <c r="A149" s="7"/>
      <c r="B149" s="7" t="s">
        <v>878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</row>
    <row r="150" spans="1:193" ht="15.5" x14ac:dyDescent="0.35">
      <c r="A150" s="12" t="s">
        <v>879</v>
      </c>
      <c r="B150" s="7" t="s">
        <v>880</v>
      </c>
      <c r="C150" s="7">
        <f t="shared" ref="C150:FX150" si="67">ROUND(IF(C103&lt;=459,C124*C141*C137,0),2)</f>
        <v>0</v>
      </c>
      <c r="D150" s="7">
        <f t="shared" si="67"/>
        <v>0</v>
      </c>
      <c r="E150" s="7">
        <f t="shared" si="67"/>
        <v>0</v>
      </c>
      <c r="F150" s="7">
        <f t="shared" si="67"/>
        <v>0</v>
      </c>
      <c r="G150" s="7">
        <f t="shared" si="67"/>
        <v>0</v>
      </c>
      <c r="H150" s="7">
        <f t="shared" si="67"/>
        <v>0</v>
      </c>
      <c r="I150" s="7">
        <f t="shared" si="67"/>
        <v>0</v>
      </c>
      <c r="J150" s="7">
        <f t="shared" si="67"/>
        <v>0</v>
      </c>
      <c r="K150" s="7">
        <f t="shared" ca="1" si="67"/>
        <v>283125.45</v>
      </c>
      <c r="L150" s="7">
        <f t="shared" si="67"/>
        <v>0</v>
      </c>
      <c r="M150" s="7">
        <f t="shared" si="67"/>
        <v>0</v>
      </c>
      <c r="N150" s="7">
        <f t="shared" si="67"/>
        <v>0</v>
      </c>
      <c r="O150" s="7">
        <f t="shared" si="67"/>
        <v>0</v>
      </c>
      <c r="P150" s="7">
        <f t="shared" ca="1" si="67"/>
        <v>297006.36</v>
      </c>
      <c r="Q150" s="7">
        <f t="shared" si="67"/>
        <v>0</v>
      </c>
      <c r="R150" s="7">
        <f t="shared" si="67"/>
        <v>0</v>
      </c>
      <c r="S150" s="7">
        <f t="shared" si="67"/>
        <v>0</v>
      </c>
      <c r="T150" s="7">
        <f t="shared" ca="1" si="67"/>
        <v>261020.59</v>
      </c>
      <c r="U150" s="7">
        <f t="shared" ca="1" si="67"/>
        <v>95842.76</v>
      </c>
      <c r="V150" s="7">
        <f t="shared" ca="1" si="67"/>
        <v>340577.65</v>
      </c>
      <c r="W150" s="7">
        <f t="shared" ca="1" si="67"/>
        <v>97032.41</v>
      </c>
      <c r="X150" s="7">
        <f t="shared" ca="1" si="67"/>
        <v>59814.11</v>
      </c>
      <c r="Y150" s="7">
        <f t="shared" si="67"/>
        <v>0</v>
      </c>
      <c r="Z150" s="7">
        <f t="shared" ca="1" si="67"/>
        <v>168185.63</v>
      </c>
      <c r="AA150" s="7">
        <f t="shared" si="67"/>
        <v>0</v>
      </c>
      <c r="AB150" s="7">
        <f t="shared" si="67"/>
        <v>0</v>
      </c>
      <c r="AC150" s="7">
        <f t="shared" si="67"/>
        <v>0</v>
      </c>
      <c r="AD150" s="7">
        <f t="shared" si="67"/>
        <v>0</v>
      </c>
      <c r="AE150" s="7">
        <f t="shared" ca="1" si="67"/>
        <v>165110.03</v>
      </c>
      <c r="AF150" s="7">
        <f t="shared" ca="1" si="67"/>
        <v>200413.71</v>
      </c>
      <c r="AG150" s="7">
        <f t="shared" si="67"/>
        <v>0</v>
      </c>
      <c r="AH150" s="7">
        <f t="shared" si="67"/>
        <v>0</v>
      </c>
      <c r="AI150" s="7">
        <f t="shared" ca="1" si="67"/>
        <v>361631.14</v>
      </c>
      <c r="AJ150" s="7">
        <f t="shared" ca="1" si="67"/>
        <v>333090.88</v>
      </c>
      <c r="AK150" s="7">
        <f t="shared" ca="1" si="67"/>
        <v>325962.96000000002</v>
      </c>
      <c r="AL150" s="7">
        <f t="shared" ca="1" si="67"/>
        <v>410068.51</v>
      </c>
      <c r="AM150" s="7">
        <f t="shared" ca="1" si="67"/>
        <v>324570.98</v>
      </c>
      <c r="AN150" s="7">
        <f t="shared" ca="1" si="67"/>
        <v>245151.74</v>
      </c>
      <c r="AO150" s="7">
        <f t="shared" si="67"/>
        <v>0</v>
      </c>
      <c r="AP150" s="7">
        <f t="shared" si="67"/>
        <v>0</v>
      </c>
      <c r="AQ150" s="7">
        <f t="shared" ca="1" si="67"/>
        <v>294870.96999999997</v>
      </c>
      <c r="AR150" s="7">
        <f t="shared" si="67"/>
        <v>0</v>
      </c>
      <c r="AS150" s="7">
        <f t="shared" si="67"/>
        <v>0</v>
      </c>
      <c r="AT150" s="7">
        <f t="shared" si="67"/>
        <v>0</v>
      </c>
      <c r="AU150" s="7">
        <f t="shared" ca="1" si="67"/>
        <v>207769.34</v>
      </c>
      <c r="AV150" s="7">
        <f t="shared" ca="1" si="67"/>
        <v>340340.03</v>
      </c>
      <c r="AW150" s="7">
        <f t="shared" ca="1" si="67"/>
        <v>173746.39</v>
      </c>
      <c r="AX150" s="7">
        <f t="shared" ca="1" si="67"/>
        <v>120264.08</v>
      </c>
      <c r="AY150" s="7">
        <f t="shared" ca="1" si="67"/>
        <v>340375.31</v>
      </c>
      <c r="AZ150" s="7">
        <f t="shared" si="67"/>
        <v>0</v>
      </c>
      <c r="BA150" s="7">
        <f t="shared" si="67"/>
        <v>0</v>
      </c>
      <c r="BB150" s="7">
        <f t="shared" si="67"/>
        <v>0</v>
      </c>
      <c r="BC150" s="7">
        <f t="shared" si="67"/>
        <v>0</v>
      </c>
      <c r="BD150" s="7">
        <f t="shared" si="67"/>
        <v>0</v>
      </c>
      <c r="BE150" s="7">
        <f t="shared" si="67"/>
        <v>0</v>
      </c>
      <c r="BF150" s="7">
        <f t="shared" si="67"/>
        <v>0</v>
      </c>
      <c r="BG150" s="7">
        <f t="shared" si="67"/>
        <v>0</v>
      </c>
      <c r="BH150" s="7">
        <f t="shared" si="67"/>
        <v>0</v>
      </c>
      <c r="BI150" s="7">
        <f t="shared" ca="1" si="67"/>
        <v>368754.2</v>
      </c>
      <c r="BJ150" s="7">
        <f t="shared" si="67"/>
        <v>0</v>
      </c>
      <c r="BK150" s="7">
        <f t="shared" si="67"/>
        <v>0</v>
      </c>
      <c r="BL150" s="7">
        <f t="shared" ca="1" si="67"/>
        <v>150826.93</v>
      </c>
      <c r="BM150" s="7">
        <f t="shared" ca="1" si="67"/>
        <v>382003.56</v>
      </c>
      <c r="BN150" s="7">
        <f t="shared" si="67"/>
        <v>0</v>
      </c>
      <c r="BO150" s="7">
        <f t="shared" si="67"/>
        <v>0</v>
      </c>
      <c r="BP150" s="7">
        <f t="shared" ca="1" si="67"/>
        <v>199338.6</v>
      </c>
      <c r="BQ150" s="7">
        <f t="shared" si="67"/>
        <v>0</v>
      </c>
      <c r="BR150" s="7">
        <f t="shared" si="67"/>
        <v>0</v>
      </c>
      <c r="BS150" s="7">
        <f t="shared" si="67"/>
        <v>0</v>
      </c>
      <c r="BT150" s="7">
        <f t="shared" ca="1" si="67"/>
        <v>280241.84999999998</v>
      </c>
      <c r="BU150" s="7">
        <f t="shared" ca="1" si="67"/>
        <v>280206.69</v>
      </c>
      <c r="BV150" s="7">
        <f t="shared" si="67"/>
        <v>0</v>
      </c>
      <c r="BW150" s="7">
        <f t="shared" si="67"/>
        <v>0</v>
      </c>
      <c r="BX150" s="7">
        <f t="shared" ca="1" si="67"/>
        <v>64280.81</v>
      </c>
      <c r="BY150" s="7">
        <f t="shared" ca="1" si="67"/>
        <v>523542.71</v>
      </c>
      <c r="BZ150" s="7">
        <f t="shared" ca="1" si="67"/>
        <v>310569.59999999998</v>
      </c>
      <c r="CA150" s="7">
        <f t="shared" ca="1" si="67"/>
        <v>109115.36</v>
      </c>
      <c r="CB150" s="7">
        <f t="shared" si="67"/>
        <v>0</v>
      </c>
      <c r="CC150" s="7">
        <f t="shared" ca="1" si="67"/>
        <v>249871.67</v>
      </c>
      <c r="CD150" s="7">
        <f t="shared" ca="1" si="67"/>
        <v>31582.47</v>
      </c>
      <c r="CE150" s="7">
        <f t="shared" ca="1" si="67"/>
        <v>162433.03</v>
      </c>
      <c r="CF150" s="7">
        <f t="shared" ca="1" si="67"/>
        <v>116030.97</v>
      </c>
      <c r="CG150" s="7">
        <f t="shared" ca="1" si="67"/>
        <v>176187.13</v>
      </c>
      <c r="CH150" s="7">
        <f t="shared" ca="1" si="67"/>
        <v>167247.29</v>
      </c>
      <c r="CI150" s="7">
        <f t="shared" si="67"/>
        <v>0</v>
      </c>
      <c r="CJ150" s="7">
        <f t="shared" si="67"/>
        <v>0</v>
      </c>
      <c r="CK150" s="7">
        <f t="shared" si="67"/>
        <v>0</v>
      </c>
      <c r="CL150" s="7">
        <f t="shared" si="67"/>
        <v>0</v>
      </c>
      <c r="CM150" s="7">
        <f t="shared" si="67"/>
        <v>0</v>
      </c>
      <c r="CN150" s="7">
        <f t="shared" si="67"/>
        <v>0</v>
      </c>
      <c r="CO150" s="7">
        <f t="shared" si="67"/>
        <v>0</v>
      </c>
      <c r="CP150" s="7">
        <f t="shared" si="67"/>
        <v>0</v>
      </c>
      <c r="CQ150" s="7">
        <f t="shared" si="67"/>
        <v>0</v>
      </c>
      <c r="CR150" s="7">
        <f t="shared" ca="1" si="67"/>
        <v>147880.14000000001</v>
      </c>
      <c r="CS150" s="7">
        <f t="shared" ca="1" si="67"/>
        <v>174535.01</v>
      </c>
      <c r="CT150" s="7">
        <f t="shared" ca="1" si="67"/>
        <v>215783.38</v>
      </c>
      <c r="CU150" s="7">
        <f t="shared" si="67"/>
        <v>0</v>
      </c>
      <c r="CV150" s="7">
        <f t="shared" ca="1" si="67"/>
        <v>23012.21</v>
      </c>
      <c r="CW150" s="7">
        <f t="shared" ca="1" si="67"/>
        <v>220414.02</v>
      </c>
      <c r="CX150" s="7">
        <f t="shared" si="67"/>
        <v>0</v>
      </c>
      <c r="CY150" s="7">
        <f t="shared" ca="1" si="67"/>
        <v>35252.019999999997</v>
      </c>
      <c r="CZ150" s="7">
        <f t="shared" si="67"/>
        <v>0</v>
      </c>
      <c r="DA150" s="7">
        <f t="shared" ca="1" si="67"/>
        <v>105232.55</v>
      </c>
      <c r="DB150" s="7">
        <f t="shared" ca="1" si="67"/>
        <v>157783.5</v>
      </c>
      <c r="DC150" s="7">
        <f t="shared" ca="1" si="67"/>
        <v>108596.12</v>
      </c>
      <c r="DD150" s="7">
        <f t="shared" ca="1" si="67"/>
        <v>243550.94</v>
      </c>
      <c r="DE150" s="7">
        <f t="shared" ca="1" si="67"/>
        <v>231242.2</v>
      </c>
      <c r="DF150" s="7">
        <f t="shared" si="67"/>
        <v>0</v>
      </c>
      <c r="DG150" s="7">
        <f t="shared" ca="1" si="67"/>
        <v>98282.9</v>
      </c>
      <c r="DH150" s="7">
        <f t="shared" si="67"/>
        <v>0</v>
      </c>
      <c r="DI150" s="7">
        <f t="shared" si="67"/>
        <v>0</v>
      </c>
      <c r="DJ150" s="7">
        <f t="shared" si="67"/>
        <v>0</v>
      </c>
      <c r="DK150" s="7">
        <f t="shared" si="67"/>
        <v>0</v>
      </c>
      <c r="DL150" s="7">
        <f t="shared" si="67"/>
        <v>0</v>
      </c>
      <c r="DM150" s="7">
        <f t="shared" ca="1" si="67"/>
        <v>283100.67</v>
      </c>
      <c r="DN150" s="7">
        <f t="shared" si="67"/>
        <v>0</v>
      </c>
      <c r="DO150" s="7">
        <f t="shared" si="67"/>
        <v>0</v>
      </c>
      <c r="DP150" s="7">
        <f t="shared" ca="1" si="67"/>
        <v>144688.45000000001</v>
      </c>
      <c r="DQ150" s="7">
        <f t="shared" si="67"/>
        <v>0</v>
      </c>
      <c r="DR150" s="7">
        <f t="shared" si="67"/>
        <v>0</v>
      </c>
      <c r="DS150" s="7">
        <f t="shared" si="67"/>
        <v>0</v>
      </c>
      <c r="DT150" s="7">
        <f t="shared" ca="1" si="67"/>
        <v>337520.35</v>
      </c>
      <c r="DU150" s="7">
        <f t="shared" ca="1" si="67"/>
        <v>338226.79</v>
      </c>
      <c r="DV150" s="7">
        <f t="shared" ca="1" si="67"/>
        <v>190141.83</v>
      </c>
      <c r="DW150" s="7">
        <f t="shared" ca="1" si="67"/>
        <v>263269.31</v>
      </c>
      <c r="DX150" s="7">
        <f t="shared" ca="1" si="67"/>
        <v>144404.78</v>
      </c>
      <c r="DY150" s="7">
        <f t="shared" ca="1" si="67"/>
        <v>138466.88</v>
      </c>
      <c r="DZ150" s="7">
        <f t="shared" si="67"/>
        <v>0</v>
      </c>
      <c r="EA150" s="7">
        <f t="shared" si="67"/>
        <v>0</v>
      </c>
      <c r="EB150" s="7">
        <f t="shared" si="67"/>
        <v>0</v>
      </c>
      <c r="EC150" s="7">
        <f t="shared" ca="1" si="67"/>
        <v>163611.96</v>
      </c>
      <c r="ED150" s="7">
        <f t="shared" si="67"/>
        <v>0</v>
      </c>
      <c r="EE150" s="7">
        <f t="shared" ca="1" si="67"/>
        <v>272483.38</v>
      </c>
      <c r="EF150" s="7">
        <f t="shared" si="67"/>
        <v>0</v>
      </c>
      <c r="EG150" s="7">
        <f t="shared" ca="1" si="67"/>
        <v>283858.28999999998</v>
      </c>
      <c r="EH150" s="7">
        <f t="shared" ca="1" si="67"/>
        <v>238737.9</v>
      </c>
      <c r="EI150" s="7">
        <f t="shared" si="67"/>
        <v>0</v>
      </c>
      <c r="EJ150" s="7">
        <f t="shared" si="67"/>
        <v>0</v>
      </c>
      <c r="EK150" s="7">
        <f t="shared" si="67"/>
        <v>0</v>
      </c>
      <c r="EL150" s="7">
        <f t="shared" si="67"/>
        <v>0</v>
      </c>
      <c r="EM150" s="7">
        <f t="shared" ca="1" si="67"/>
        <v>328773.40999999997</v>
      </c>
      <c r="EN150" s="7">
        <f t="shared" si="67"/>
        <v>0</v>
      </c>
      <c r="EO150" s="7">
        <f t="shared" ca="1" si="67"/>
        <v>235559.47</v>
      </c>
      <c r="EP150" s="7">
        <f t="shared" ca="1" si="67"/>
        <v>191275.04</v>
      </c>
      <c r="EQ150" s="7">
        <f t="shared" si="67"/>
        <v>0</v>
      </c>
      <c r="ER150" s="7">
        <f t="shared" ca="1" si="67"/>
        <v>163791.82999999999</v>
      </c>
      <c r="ES150" s="7">
        <f t="shared" ca="1" si="67"/>
        <v>272622.65999999997</v>
      </c>
      <c r="ET150" s="7">
        <f t="shared" ca="1" si="67"/>
        <v>361568.7</v>
      </c>
      <c r="EU150" s="7">
        <f t="shared" si="67"/>
        <v>0</v>
      </c>
      <c r="EV150" s="7">
        <f t="shared" ca="1" si="67"/>
        <v>111130.23</v>
      </c>
      <c r="EW150" s="7">
        <f t="shared" si="67"/>
        <v>0</v>
      </c>
      <c r="EX150" s="7">
        <f t="shared" ca="1" si="67"/>
        <v>220502.13</v>
      </c>
      <c r="EY150" s="7">
        <f t="shared" si="67"/>
        <v>0</v>
      </c>
      <c r="EZ150" s="7">
        <f t="shared" ca="1" si="67"/>
        <v>165713.54999999999</v>
      </c>
      <c r="FA150" s="7">
        <f t="shared" si="67"/>
        <v>0</v>
      </c>
      <c r="FB150" s="7">
        <f t="shared" ca="1" si="67"/>
        <v>381139.17</v>
      </c>
      <c r="FC150" s="7">
        <f t="shared" si="67"/>
        <v>0</v>
      </c>
      <c r="FD150" s="7">
        <f t="shared" ca="1" si="67"/>
        <v>355086.12</v>
      </c>
      <c r="FE150" s="7">
        <f t="shared" ca="1" si="67"/>
        <v>124339.73</v>
      </c>
      <c r="FF150" s="7">
        <f t="shared" ca="1" si="67"/>
        <v>224347.86</v>
      </c>
      <c r="FG150" s="7">
        <f t="shared" ca="1" si="67"/>
        <v>130351.06</v>
      </c>
      <c r="FH150" s="7">
        <f t="shared" ca="1" si="67"/>
        <v>84412.67</v>
      </c>
      <c r="FI150" s="7">
        <f t="shared" si="67"/>
        <v>0</v>
      </c>
      <c r="FJ150" s="7">
        <f t="shared" si="67"/>
        <v>0</v>
      </c>
      <c r="FK150" s="7">
        <f t="shared" si="67"/>
        <v>0</v>
      </c>
      <c r="FL150" s="7">
        <f t="shared" si="67"/>
        <v>0</v>
      </c>
      <c r="FM150" s="7">
        <f t="shared" si="67"/>
        <v>0</v>
      </c>
      <c r="FN150" s="7">
        <f t="shared" si="67"/>
        <v>0</v>
      </c>
      <c r="FO150" s="7">
        <f t="shared" si="67"/>
        <v>0</v>
      </c>
      <c r="FP150" s="7">
        <f t="shared" si="67"/>
        <v>0</v>
      </c>
      <c r="FQ150" s="7">
        <f t="shared" si="67"/>
        <v>0</v>
      </c>
      <c r="FR150" s="7">
        <f t="shared" ca="1" si="67"/>
        <v>100787.05</v>
      </c>
      <c r="FS150" s="7">
        <f t="shared" ca="1" si="67"/>
        <v>102273.7</v>
      </c>
      <c r="FT150" s="7" t="e">
        <f t="shared" ca="1" si="67"/>
        <v>#NAME?</v>
      </c>
      <c r="FU150" s="7">
        <f t="shared" si="67"/>
        <v>0</v>
      </c>
      <c r="FV150" s="7">
        <f t="shared" si="67"/>
        <v>0</v>
      </c>
      <c r="FW150" s="7">
        <f t="shared" ca="1" si="67"/>
        <v>192660.61</v>
      </c>
      <c r="FX150" s="7">
        <f t="shared" ca="1" si="67"/>
        <v>82771.59</v>
      </c>
      <c r="FY150" s="31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</row>
    <row r="151" spans="1:193" ht="15.5" x14ac:dyDescent="0.35">
      <c r="A151" s="7"/>
      <c r="B151" s="7" t="s">
        <v>881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</row>
    <row r="152" spans="1:193" ht="15.5" x14ac:dyDescent="0.35">
      <c r="A152" s="12" t="s">
        <v>882</v>
      </c>
      <c r="B152" s="7" t="s">
        <v>883</v>
      </c>
      <c r="C152" s="7" t="e">
        <f t="shared" ref="C152:FX152" ca="1" si="68">ROUND(IF(C103&lt;=459,0,IF(C139&lt;=C19,C124*C141*C137,0)),2)</f>
        <v>#NAME?</v>
      </c>
      <c r="D152" s="7" t="e">
        <f t="shared" ca="1" si="68"/>
        <v>#NAME?</v>
      </c>
      <c r="E152" s="7" t="e">
        <f t="shared" ca="1" si="68"/>
        <v>#NAME?</v>
      </c>
      <c r="F152" s="7" t="e">
        <f t="shared" ca="1" si="68"/>
        <v>#NAME?</v>
      </c>
      <c r="G152" s="7" t="e">
        <f t="shared" ca="1" si="68"/>
        <v>#NAME?</v>
      </c>
      <c r="H152" s="7" t="e">
        <f t="shared" ca="1" si="68"/>
        <v>#NAME?</v>
      </c>
      <c r="I152" s="7" t="e">
        <f t="shared" ca="1" si="68"/>
        <v>#NAME?</v>
      </c>
      <c r="J152" s="7" t="e">
        <f t="shared" ca="1" si="68"/>
        <v>#NAME?</v>
      </c>
      <c r="K152" s="7">
        <f t="shared" si="68"/>
        <v>0</v>
      </c>
      <c r="L152" s="7" t="e">
        <f t="shared" ca="1" si="68"/>
        <v>#NAME?</v>
      </c>
      <c r="M152" s="7" t="e">
        <f t="shared" ca="1" si="68"/>
        <v>#NAME?</v>
      </c>
      <c r="N152" s="7" t="e">
        <f t="shared" ca="1" si="68"/>
        <v>#NAME?</v>
      </c>
      <c r="O152" s="7" t="e">
        <f t="shared" ca="1" si="68"/>
        <v>#NAME?</v>
      </c>
      <c r="P152" s="7">
        <f t="shared" si="68"/>
        <v>0</v>
      </c>
      <c r="Q152" s="7" t="e">
        <f t="shared" ca="1" si="68"/>
        <v>#NAME?</v>
      </c>
      <c r="R152" s="7" t="e">
        <f t="shared" ca="1" si="68"/>
        <v>#NAME?</v>
      </c>
      <c r="S152" s="7" t="e">
        <f t="shared" ca="1" si="68"/>
        <v>#NAME?</v>
      </c>
      <c r="T152" s="7">
        <f t="shared" si="68"/>
        <v>0</v>
      </c>
      <c r="U152" s="7">
        <f t="shared" si="68"/>
        <v>0</v>
      </c>
      <c r="V152" s="7">
        <f t="shared" si="68"/>
        <v>0</v>
      </c>
      <c r="W152" s="7">
        <f t="shared" si="68"/>
        <v>0</v>
      </c>
      <c r="X152" s="7">
        <f t="shared" si="68"/>
        <v>0</v>
      </c>
      <c r="Y152" s="7" t="e">
        <f t="shared" ca="1" si="68"/>
        <v>#NAME?</v>
      </c>
      <c r="Z152" s="7">
        <f t="shared" si="68"/>
        <v>0</v>
      </c>
      <c r="AA152" s="7" t="e">
        <f t="shared" ca="1" si="68"/>
        <v>#NAME?</v>
      </c>
      <c r="AB152" s="7" t="e">
        <f t="shared" ca="1" si="68"/>
        <v>#NAME?</v>
      </c>
      <c r="AC152" s="7" t="e">
        <f t="shared" ca="1" si="68"/>
        <v>#NAME?</v>
      </c>
      <c r="AD152" s="7" t="e">
        <f t="shared" ca="1" si="68"/>
        <v>#NAME?</v>
      </c>
      <c r="AE152" s="7">
        <f t="shared" si="68"/>
        <v>0</v>
      </c>
      <c r="AF152" s="7">
        <f t="shared" si="68"/>
        <v>0</v>
      </c>
      <c r="AG152" s="7" t="e">
        <f t="shared" ca="1" si="68"/>
        <v>#NAME?</v>
      </c>
      <c r="AH152" s="7" t="e">
        <f t="shared" ca="1" si="68"/>
        <v>#NAME?</v>
      </c>
      <c r="AI152" s="7">
        <f t="shared" si="68"/>
        <v>0</v>
      </c>
      <c r="AJ152" s="7">
        <f t="shared" si="68"/>
        <v>0</v>
      </c>
      <c r="AK152" s="7">
        <f t="shared" si="68"/>
        <v>0</v>
      </c>
      <c r="AL152" s="7">
        <f t="shared" si="68"/>
        <v>0</v>
      </c>
      <c r="AM152" s="7">
        <f t="shared" si="68"/>
        <v>0</v>
      </c>
      <c r="AN152" s="7">
        <f t="shared" si="68"/>
        <v>0</v>
      </c>
      <c r="AO152" s="7" t="e">
        <f t="shared" ca="1" si="68"/>
        <v>#NAME?</v>
      </c>
      <c r="AP152" s="7" t="e">
        <f t="shared" ca="1" si="68"/>
        <v>#NAME?</v>
      </c>
      <c r="AQ152" s="7">
        <f t="shared" si="68"/>
        <v>0</v>
      </c>
      <c r="AR152" s="7" t="e">
        <f t="shared" ca="1" si="68"/>
        <v>#NAME?</v>
      </c>
      <c r="AS152" s="7" t="e">
        <f t="shared" ca="1" si="68"/>
        <v>#NAME?</v>
      </c>
      <c r="AT152" s="7" t="e">
        <f t="shared" ca="1" si="68"/>
        <v>#NAME?</v>
      </c>
      <c r="AU152" s="7">
        <f t="shared" si="68"/>
        <v>0</v>
      </c>
      <c r="AV152" s="7">
        <f t="shared" si="68"/>
        <v>0</v>
      </c>
      <c r="AW152" s="7">
        <f t="shared" si="68"/>
        <v>0</v>
      </c>
      <c r="AX152" s="7">
        <f t="shared" si="68"/>
        <v>0</v>
      </c>
      <c r="AY152" s="7">
        <f t="shared" si="68"/>
        <v>0</v>
      </c>
      <c r="AZ152" s="7" t="e">
        <f t="shared" ca="1" si="68"/>
        <v>#NAME?</v>
      </c>
      <c r="BA152" s="7" t="e">
        <f t="shared" ca="1" si="68"/>
        <v>#NAME?</v>
      </c>
      <c r="BB152" s="7" t="e">
        <f t="shared" ca="1" si="68"/>
        <v>#NAME?</v>
      </c>
      <c r="BC152" s="7" t="e">
        <f t="shared" ca="1" si="68"/>
        <v>#NAME?</v>
      </c>
      <c r="BD152" s="7" t="e">
        <f t="shared" ca="1" si="68"/>
        <v>#NAME?</v>
      </c>
      <c r="BE152" s="7" t="e">
        <f t="shared" ca="1" si="68"/>
        <v>#NAME?</v>
      </c>
      <c r="BF152" s="7" t="e">
        <f t="shared" ca="1" si="68"/>
        <v>#NAME?</v>
      </c>
      <c r="BG152" s="7" t="e">
        <f t="shared" ca="1" si="68"/>
        <v>#NAME?</v>
      </c>
      <c r="BH152" s="7" t="e">
        <f t="shared" ca="1" si="68"/>
        <v>#NAME?</v>
      </c>
      <c r="BI152" s="7">
        <f t="shared" si="68"/>
        <v>0</v>
      </c>
      <c r="BJ152" s="7" t="e">
        <f t="shared" ca="1" si="68"/>
        <v>#NAME?</v>
      </c>
      <c r="BK152" s="7" t="e">
        <f t="shared" ca="1" si="68"/>
        <v>#NAME?</v>
      </c>
      <c r="BL152" s="7">
        <f t="shared" si="68"/>
        <v>0</v>
      </c>
      <c r="BM152" s="7">
        <f t="shared" si="68"/>
        <v>0</v>
      </c>
      <c r="BN152" s="7" t="e">
        <f t="shared" ca="1" si="68"/>
        <v>#NAME?</v>
      </c>
      <c r="BO152" s="7" t="e">
        <f t="shared" ca="1" si="68"/>
        <v>#NAME?</v>
      </c>
      <c r="BP152" s="7">
        <f t="shared" si="68"/>
        <v>0</v>
      </c>
      <c r="BQ152" s="7" t="e">
        <f t="shared" ca="1" si="68"/>
        <v>#NAME?</v>
      </c>
      <c r="BR152" s="7" t="e">
        <f t="shared" ca="1" si="68"/>
        <v>#NAME?</v>
      </c>
      <c r="BS152" s="7" t="e">
        <f t="shared" ca="1" si="68"/>
        <v>#NAME?</v>
      </c>
      <c r="BT152" s="7">
        <f t="shared" si="68"/>
        <v>0</v>
      </c>
      <c r="BU152" s="7">
        <f t="shared" si="68"/>
        <v>0</v>
      </c>
      <c r="BV152" s="7" t="e">
        <f t="shared" ca="1" si="68"/>
        <v>#NAME?</v>
      </c>
      <c r="BW152" s="7" t="e">
        <f t="shared" ca="1" si="68"/>
        <v>#NAME?</v>
      </c>
      <c r="BX152" s="7">
        <f t="shared" si="68"/>
        <v>0</v>
      </c>
      <c r="BY152" s="7">
        <f t="shared" si="68"/>
        <v>0</v>
      </c>
      <c r="BZ152" s="7">
        <f t="shared" si="68"/>
        <v>0</v>
      </c>
      <c r="CA152" s="7">
        <f t="shared" si="68"/>
        <v>0</v>
      </c>
      <c r="CB152" s="7" t="e">
        <f t="shared" ca="1" si="68"/>
        <v>#NAME?</v>
      </c>
      <c r="CC152" s="7">
        <f t="shared" si="68"/>
        <v>0</v>
      </c>
      <c r="CD152" s="7">
        <f t="shared" si="68"/>
        <v>0</v>
      </c>
      <c r="CE152" s="7">
        <f t="shared" si="68"/>
        <v>0</v>
      </c>
      <c r="CF152" s="7">
        <f t="shared" si="68"/>
        <v>0</v>
      </c>
      <c r="CG152" s="7">
        <f t="shared" si="68"/>
        <v>0</v>
      </c>
      <c r="CH152" s="7">
        <f t="shared" si="68"/>
        <v>0</v>
      </c>
      <c r="CI152" s="7" t="e">
        <f t="shared" ca="1" si="68"/>
        <v>#NAME?</v>
      </c>
      <c r="CJ152" s="7" t="e">
        <f t="shared" ca="1" si="68"/>
        <v>#NAME?</v>
      </c>
      <c r="CK152" s="7" t="e">
        <f t="shared" ca="1" si="68"/>
        <v>#NAME?</v>
      </c>
      <c r="CL152" s="7" t="e">
        <f t="shared" ca="1" si="68"/>
        <v>#NAME?</v>
      </c>
      <c r="CM152" s="7" t="e">
        <f t="shared" ca="1" si="68"/>
        <v>#NAME?</v>
      </c>
      <c r="CN152" s="7" t="e">
        <f t="shared" ca="1" si="68"/>
        <v>#NAME?</v>
      </c>
      <c r="CO152" s="7" t="e">
        <f t="shared" ca="1" si="68"/>
        <v>#NAME?</v>
      </c>
      <c r="CP152" s="7" t="e">
        <f t="shared" ca="1" si="68"/>
        <v>#NAME?</v>
      </c>
      <c r="CQ152" s="7" t="e">
        <f t="shared" ca="1" si="68"/>
        <v>#NAME?</v>
      </c>
      <c r="CR152" s="7">
        <f t="shared" si="68"/>
        <v>0</v>
      </c>
      <c r="CS152" s="7">
        <f t="shared" si="68"/>
        <v>0</v>
      </c>
      <c r="CT152" s="7">
        <f t="shared" si="68"/>
        <v>0</v>
      </c>
      <c r="CU152" s="7" t="e">
        <f t="shared" ca="1" si="68"/>
        <v>#NAME?</v>
      </c>
      <c r="CV152" s="7">
        <f t="shared" si="68"/>
        <v>0</v>
      </c>
      <c r="CW152" s="7">
        <f t="shared" si="68"/>
        <v>0</v>
      </c>
      <c r="CX152" s="7" t="e">
        <f t="shared" ca="1" si="68"/>
        <v>#NAME?</v>
      </c>
      <c r="CY152" s="7">
        <f t="shared" si="68"/>
        <v>0</v>
      </c>
      <c r="CZ152" s="7" t="e">
        <f t="shared" ca="1" si="68"/>
        <v>#NAME?</v>
      </c>
      <c r="DA152" s="7">
        <f t="shared" si="68"/>
        <v>0</v>
      </c>
      <c r="DB152" s="7">
        <f t="shared" si="68"/>
        <v>0</v>
      </c>
      <c r="DC152" s="7">
        <f t="shared" si="68"/>
        <v>0</v>
      </c>
      <c r="DD152" s="7">
        <f t="shared" si="68"/>
        <v>0</v>
      </c>
      <c r="DE152" s="7">
        <f t="shared" si="68"/>
        <v>0</v>
      </c>
      <c r="DF152" s="7" t="e">
        <f t="shared" ca="1" si="68"/>
        <v>#NAME?</v>
      </c>
      <c r="DG152" s="7">
        <f t="shared" si="68"/>
        <v>0</v>
      </c>
      <c r="DH152" s="7" t="e">
        <f t="shared" ca="1" si="68"/>
        <v>#NAME?</v>
      </c>
      <c r="DI152" s="7" t="e">
        <f t="shared" ca="1" si="68"/>
        <v>#NAME?</v>
      </c>
      <c r="DJ152" s="7" t="e">
        <f t="shared" ca="1" si="68"/>
        <v>#NAME?</v>
      </c>
      <c r="DK152" s="7" t="e">
        <f t="shared" ca="1" si="68"/>
        <v>#NAME?</v>
      </c>
      <c r="DL152" s="7" t="e">
        <f t="shared" ca="1" si="68"/>
        <v>#NAME?</v>
      </c>
      <c r="DM152" s="7">
        <f t="shared" si="68"/>
        <v>0</v>
      </c>
      <c r="DN152" s="7" t="e">
        <f t="shared" ca="1" si="68"/>
        <v>#NAME?</v>
      </c>
      <c r="DO152" s="7" t="e">
        <f t="shared" ca="1" si="68"/>
        <v>#NAME?</v>
      </c>
      <c r="DP152" s="7">
        <f t="shared" si="68"/>
        <v>0</v>
      </c>
      <c r="DQ152" s="7" t="e">
        <f t="shared" ca="1" si="68"/>
        <v>#NAME?</v>
      </c>
      <c r="DR152" s="7" t="e">
        <f t="shared" ca="1" si="68"/>
        <v>#NAME?</v>
      </c>
      <c r="DS152" s="7" t="e">
        <f t="shared" ca="1" si="68"/>
        <v>#NAME?</v>
      </c>
      <c r="DT152" s="7">
        <f t="shared" si="68"/>
        <v>0</v>
      </c>
      <c r="DU152" s="7">
        <f t="shared" si="68"/>
        <v>0</v>
      </c>
      <c r="DV152" s="7">
        <f t="shared" si="68"/>
        <v>0</v>
      </c>
      <c r="DW152" s="7">
        <f t="shared" si="68"/>
        <v>0</v>
      </c>
      <c r="DX152" s="7">
        <f t="shared" si="68"/>
        <v>0</v>
      </c>
      <c r="DY152" s="7">
        <f t="shared" si="68"/>
        <v>0</v>
      </c>
      <c r="DZ152" s="7" t="e">
        <f t="shared" ca="1" si="68"/>
        <v>#NAME?</v>
      </c>
      <c r="EA152" s="7" t="e">
        <f t="shared" ca="1" si="68"/>
        <v>#NAME?</v>
      </c>
      <c r="EB152" s="7" t="e">
        <f t="shared" ca="1" si="68"/>
        <v>#NAME?</v>
      </c>
      <c r="EC152" s="7">
        <f t="shared" si="68"/>
        <v>0</v>
      </c>
      <c r="ED152" s="7" t="e">
        <f t="shared" ca="1" si="68"/>
        <v>#NAME?</v>
      </c>
      <c r="EE152" s="7">
        <f t="shared" si="68"/>
        <v>0</v>
      </c>
      <c r="EF152" s="7" t="e">
        <f t="shared" ca="1" si="68"/>
        <v>#NAME?</v>
      </c>
      <c r="EG152" s="7">
        <f t="shared" si="68"/>
        <v>0</v>
      </c>
      <c r="EH152" s="7">
        <f t="shared" si="68"/>
        <v>0</v>
      </c>
      <c r="EI152" s="7" t="e">
        <f t="shared" ca="1" si="68"/>
        <v>#NAME?</v>
      </c>
      <c r="EJ152" s="7" t="e">
        <f t="shared" ca="1" si="68"/>
        <v>#NAME?</v>
      </c>
      <c r="EK152" s="7" t="e">
        <f t="shared" ca="1" si="68"/>
        <v>#NAME?</v>
      </c>
      <c r="EL152" s="7" t="e">
        <f t="shared" ca="1" si="68"/>
        <v>#NAME?</v>
      </c>
      <c r="EM152" s="7">
        <f t="shared" si="68"/>
        <v>0</v>
      </c>
      <c r="EN152" s="7" t="e">
        <f t="shared" ca="1" si="68"/>
        <v>#NAME?</v>
      </c>
      <c r="EO152" s="7">
        <f t="shared" si="68"/>
        <v>0</v>
      </c>
      <c r="EP152" s="7">
        <f t="shared" si="68"/>
        <v>0</v>
      </c>
      <c r="EQ152" s="7" t="e">
        <f t="shared" ca="1" si="68"/>
        <v>#NAME?</v>
      </c>
      <c r="ER152" s="7">
        <f t="shared" si="68"/>
        <v>0</v>
      </c>
      <c r="ES152" s="7">
        <f t="shared" si="68"/>
        <v>0</v>
      </c>
      <c r="ET152" s="7">
        <f t="shared" si="68"/>
        <v>0</v>
      </c>
      <c r="EU152" s="7" t="e">
        <f t="shared" ca="1" si="68"/>
        <v>#NAME?</v>
      </c>
      <c r="EV152" s="7">
        <f t="shared" si="68"/>
        <v>0</v>
      </c>
      <c r="EW152" s="7" t="e">
        <f t="shared" ca="1" si="68"/>
        <v>#NAME?</v>
      </c>
      <c r="EX152" s="7">
        <f t="shared" si="68"/>
        <v>0</v>
      </c>
      <c r="EY152" s="7" t="e">
        <f t="shared" ca="1" si="68"/>
        <v>#NAME?</v>
      </c>
      <c r="EZ152" s="7">
        <f t="shared" si="68"/>
        <v>0</v>
      </c>
      <c r="FA152" s="7" t="e">
        <f t="shared" ca="1" si="68"/>
        <v>#NAME?</v>
      </c>
      <c r="FB152" s="7">
        <f t="shared" si="68"/>
        <v>0</v>
      </c>
      <c r="FC152" s="7" t="e">
        <f t="shared" ca="1" si="68"/>
        <v>#NAME?</v>
      </c>
      <c r="FD152" s="7">
        <f t="shared" si="68"/>
        <v>0</v>
      </c>
      <c r="FE152" s="7">
        <f t="shared" si="68"/>
        <v>0</v>
      </c>
      <c r="FF152" s="7">
        <f t="shared" si="68"/>
        <v>0</v>
      </c>
      <c r="FG152" s="7">
        <f t="shared" si="68"/>
        <v>0</v>
      </c>
      <c r="FH152" s="7">
        <f t="shared" si="68"/>
        <v>0</v>
      </c>
      <c r="FI152" s="7" t="e">
        <f t="shared" ca="1" si="68"/>
        <v>#NAME?</v>
      </c>
      <c r="FJ152" s="7" t="e">
        <f t="shared" ca="1" si="68"/>
        <v>#NAME?</v>
      </c>
      <c r="FK152" s="7" t="e">
        <f t="shared" ca="1" si="68"/>
        <v>#NAME?</v>
      </c>
      <c r="FL152" s="7" t="e">
        <f t="shared" ca="1" si="68"/>
        <v>#NAME?</v>
      </c>
      <c r="FM152" s="7" t="e">
        <f t="shared" ca="1" si="68"/>
        <v>#NAME?</v>
      </c>
      <c r="FN152" s="7" t="e">
        <f t="shared" ca="1" si="68"/>
        <v>#NAME?</v>
      </c>
      <c r="FO152" s="7" t="e">
        <f t="shared" ca="1" si="68"/>
        <v>#NAME?</v>
      </c>
      <c r="FP152" s="7" t="e">
        <f t="shared" ca="1" si="68"/>
        <v>#NAME?</v>
      </c>
      <c r="FQ152" s="7" t="e">
        <f t="shared" ca="1" si="68"/>
        <v>#NAME?</v>
      </c>
      <c r="FR152" s="7">
        <f t="shared" si="68"/>
        <v>0</v>
      </c>
      <c r="FS152" s="7">
        <f t="shared" si="68"/>
        <v>0</v>
      </c>
      <c r="FT152" s="7" t="e">
        <f t="shared" ca="1" si="68"/>
        <v>#NAME?</v>
      </c>
      <c r="FU152" s="7" t="e">
        <f t="shared" ca="1" si="68"/>
        <v>#NAME?</v>
      </c>
      <c r="FV152" s="7" t="e">
        <f t="shared" ca="1" si="68"/>
        <v>#NAME?</v>
      </c>
      <c r="FW152" s="7">
        <f t="shared" si="68"/>
        <v>0</v>
      </c>
      <c r="FX152" s="7">
        <f t="shared" si="68"/>
        <v>0</v>
      </c>
      <c r="FY152" s="7"/>
      <c r="FZ152" s="7"/>
      <c r="GA152" s="7"/>
      <c r="GB152" s="31"/>
      <c r="GC152" s="31"/>
      <c r="GD152" s="31"/>
      <c r="GE152" s="7"/>
      <c r="GF152" s="7"/>
      <c r="GG152" s="7"/>
      <c r="GH152" s="7"/>
      <c r="GI152" s="7"/>
      <c r="GJ152" s="7"/>
      <c r="GK152" s="7"/>
    </row>
    <row r="153" spans="1:193" ht="15.5" x14ac:dyDescent="0.35">
      <c r="A153" s="7"/>
      <c r="B153" s="7" t="s">
        <v>884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</row>
    <row r="154" spans="1:193" ht="15.5" x14ac:dyDescent="0.35">
      <c r="A154" s="12" t="s">
        <v>885</v>
      </c>
      <c r="B154" s="7" t="s">
        <v>886</v>
      </c>
      <c r="C154" s="23" t="e">
        <f t="shared" ref="C154:FX154" ca="1" si="69">ROUND(IF((AND((C103&lt;=459),(C139&lt;=C19)))=TRUE(),0,IF((AND(C150=0,C152=0))=TRUE(),C19*C21,0)),1)</f>
        <v>#NAME?</v>
      </c>
      <c r="D154" s="23" t="e">
        <f t="shared" ca="1" si="69"/>
        <v>#NAME?</v>
      </c>
      <c r="E154" s="23" t="e">
        <f t="shared" ca="1" si="69"/>
        <v>#NAME?</v>
      </c>
      <c r="F154" s="23" t="e">
        <f t="shared" ca="1" si="69"/>
        <v>#NAME?</v>
      </c>
      <c r="G154" s="23" t="e">
        <f t="shared" ca="1" si="69"/>
        <v>#NAME?</v>
      </c>
      <c r="H154" s="23" t="e">
        <f t="shared" ca="1" si="69"/>
        <v>#NAME?</v>
      </c>
      <c r="I154" s="23" t="e">
        <f t="shared" ca="1" si="69"/>
        <v>#NAME?</v>
      </c>
      <c r="J154" s="23" t="e">
        <f t="shared" ca="1" si="69"/>
        <v>#NAME?</v>
      </c>
      <c r="K154" s="23" t="e">
        <f t="shared" ca="1" si="69"/>
        <v>#NAME?</v>
      </c>
      <c r="L154" s="23" t="e">
        <f t="shared" ca="1" si="69"/>
        <v>#NAME?</v>
      </c>
      <c r="M154" s="23" t="e">
        <f t="shared" ca="1" si="69"/>
        <v>#NAME?</v>
      </c>
      <c r="N154" s="23" t="e">
        <f t="shared" ca="1" si="69"/>
        <v>#NAME?</v>
      </c>
      <c r="O154" s="23" t="e">
        <f t="shared" ca="1" si="69"/>
        <v>#NAME?</v>
      </c>
      <c r="P154" s="23" t="e">
        <f t="shared" ca="1" si="69"/>
        <v>#NAME?</v>
      </c>
      <c r="Q154" s="23" t="e">
        <f t="shared" ca="1" si="69"/>
        <v>#NAME?</v>
      </c>
      <c r="R154" s="23" t="e">
        <f t="shared" ca="1" si="69"/>
        <v>#NAME?</v>
      </c>
      <c r="S154" s="23" t="e">
        <f t="shared" ca="1" si="69"/>
        <v>#NAME?</v>
      </c>
      <c r="T154" s="23" t="e">
        <f t="shared" ca="1" si="69"/>
        <v>#NAME?</v>
      </c>
      <c r="U154" s="23" t="e">
        <f t="shared" ca="1" si="69"/>
        <v>#NAME?</v>
      </c>
      <c r="V154" s="23" t="e">
        <f t="shared" ca="1" si="69"/>
        <v>#NAME?</v>
      </c>
      <c r="W154" s="23" t="e">
        <f t="shared" ca="1" si="69"/>
        <v>#NAME?</v>
      </c>
      <c r="X154" s="23" t="e">
        <f t="shared" ca="1" si="69"/>
        <v>#NAME?</v>
      </c>
      <c r="Y154" s="23" t="e">
        <f t="shared" ca="1" si="69"/>
        <v>#NAME?</v>
      </c>
      <c r="Z154" s="23" t="e">
        <f t="shared" ca="1" si="69"/>
        <v>#NAME?</v>
      </c>
      <c r="AA154" s="23" t="e">
        <f t="shared" ca="1" si="69"/>
        <v>#NAME?</v>
      </c>
      <c r="AB154" s="23" t="e">
        <f t="shared" ca="1" si="69"/>
        <v>#NAME?</v>
      </c>
      <c r="AC154" s="23" t="e">
        <f t="shared" ca="1" si="69"/>
        <v>#NAME?</v>
      </c>
      <c r="AD154" s="23" t="e">
        <f t="shared" ca="1" si="69"/>
        <v>#NAME?</v>
      </c>
      <c r="AE154" s="23" t="e">
        <f t="shared" ca="1" si="69"/>
        <v>#NAME?</v>
      </c>
      <c r="AF154" s="23" t="e">
        <f t="shared" ca="1" si="69"/>
        <v>#NAME?</v>
      </c>
      <c r="AG154" s="23" t="e">
        <f t="shared" ca="1" si="69"/>
        <v>#NAME?</v>
      </c>
      <c r="AH154" s="23" t="e">
        <f t="shared" ca="1" si="69"/>
        <v>#NAME?</v>
      </c>
      <c r="AI154" s="23" t="e">
        <f t="shared" ca="1" si="69"/>
        <v>#NAME?</v>
      </c>
      <c r="AJ154" s="23" t="e">
        <f t="shared" ca="1" si="69"/>
        <v>#NAME?</v>
      </c>
      <c r="AK154" s="23" t="e">
        <f t="shared" ca="1" si="69"/>
        <v>#NAME?</v>
      </c>
      <c r="AL154" s="23" t="e">
        <f t="shared" ca="1" si="69"/>
        <v>#NAME?</v>
      </c>
      <c r="AM154" s="23" t="e">
        <f t="shared" ca="1" si="69"/>
        <v>#NAME?</v>
      </c>
      <c r="AN154" s="23" t="e">
        <f t="shared" ca="1" si="69"/>
        <v>#NAME?</v>
      </c>
      <c r="AO154" s="23" t="e">
        <f t="shared" ca="1" si="69"/>
        <v>#NAME?</v>
      </c>
      <c r="AP154" s="23" t="e">
        <f t="shared" ca="1" si="69"/>
        <v>#NAME?</v>
      </c>
      <c r="AQ154" s="23" t="e">
        <f t="shared" ca="1" si="69"/>
        <v>#NAME?</v>
      </c>
      <c r="AR154" s="23" t="e">
        <f t="shared" ca="1" si="69"/>
        <v>#NAME?</v>
      </c>
      <c r="AS154" s="23" t="e">
        <f t="shared" ca="1" si="69"/>
        <v>#NAME?</v>
      </c>
      <c r="AT154" s="23" t="e">
        <f t="shared" ca="1" si="69"/>
        <v>#NAME?</v>
      </c>
      <c r="AU154" s="23" t="e">
        <f t="shared" ca="1" si="69"/>
        <v>#NAME?</v>
      </c>
      <c r="AV154" s="23" t="e">
        <f t="shared" ca="1" si="69"/>
        <v>#NAME?</v>
      </c>
      <c r="AW154" s="23" t="e">
        <f t="shared" ca="1" si="69"/>
        <v>#NAME?</v>
      </c>
      <c r="AX154" s="23" t="e">
        <f t="shared" ca="1" si="69"/>
        <v>#NAME?</v>
      </c>
      <c r="AY154" s="23" t="e">
        <f t="shared" ca="1" si="69"/>
        <v>#NAME?</v>
      </c>
      <c r="AZ154" s="23" t="e">
        <f t="shared" ca="1" si="69"/>
        <v>#NAME?</v>
      </c>
      <c r="BA154" s="23" t="e">
        <f t="shared" ca="1" si="69"/>
        <v>#NAME?</v>
      </c>
      <c r="BB154" s="23" t="e">
        <f t="shared" ca="1" si="69"/>
        <v>#NAME?</v>
      </c>
      <c r="BC154" s="23" t="e">
        <f t="shared" ca="1" si="69"/>
        <v>#NAME?</v>
      </c>
      <c r="BD154" s="23" t="e">
        <f t="shared" ca="1" si="69"/>
        <v>#NAME?</v>
      </c>
      <c r="BE154" s="23" t="e">
        <f t="shared" ca="1" si="69"/>
        <v>#NAME?</v>
      </c>
      <c r="BF154" s="23" t="e">
        <f t="shared" ca="1" si="69"/>
        <v>#NAME?</v>
      </c>
      <c r="BG154" s="23" t="e">
        <f t="shared" ca="1" si="69"/>
        <v>#NAME?</v>
      </c>
      <c r="BH154" s="23" t="e">
        <f t="shared" ca="1" si="69"/>
        <v>#NAME?</v>
      </c>
      <c r="BI154" s="23" t="e">
        <f t="shared" ca="1" si="69"/>
        <v>#NAME?</v>
      </c>
      <c r="BJ154" s="23" t="e">
        <f t="shared" ca="1" si="69"/>
        <v>#NAME?</v>
      </c>
      <c r="BK154" s="23" t="e">
        <f t="shared" ca="1" si="69"/>
        <v>#NAME?</v>
      </c>
      <c r="BL154" s="23" t="e">
        <f t="shared" ca="1" si="69"/>
        <v>#NAME?</v>
      </c>
      <c r="BM154" s="23" t="e">
        <f t="shared" ca="1" si="69"/>
        <v>#NAME?</v>
      </c>
      <c r="BN154" s="23" t="e">
        <f t="shared" ca="1" si="69"/>
        <v>#NAME?</v>
      </c>
      <c r="BO154" s="23" t="e">
        <f t="shared" ca="1" si="69"/>
        <v>#NAME?</v>
      </c>
      <c r="BP154" s="23" t="e">
        <f t="shared" ca="1" si="69"/>
        <v>#NAME?</v>
      </c>
      <c r="BQ154" s="23" t="e">
        <f t="shared" ca="1" si="69"/>
        <v>#NAME?</v>
      </c>
      <c r="BR154" s="23" t="e">
        <f t="shared" ca="1" si="69"/>
        <v>#NAME?</v>
      </c>
      <c r="BS154" s="23" t="e">
        <f t="shared" ca="1" si="69"/>
        <v>#NAME?</v>
      </c>
      <c r="BT154" s="23" t="e">
        <f t="shared" ca="1" si="69"/>
        <v>#NAME?</v>
      </c>
      <c r="BU154" s="23" t="e">
        <f t="shared" ca="1" si="69"/>
        <v>#NAME?</v>
      </c>
      <c r="BV154" s="23" t="e">
        <f t="shared" ca="1" si="69"/>
        <v>#NAME?</v>
      </c>
      <c r="BW154" s="23" t="e">
        <f t="shared" ca="1" si="69"/>
        <v>#NAME?</v>
      </c>
      <c r="BX154" s="23" t="e">
        <f t="shared" ca="1" si="69"/>
        <v>#NAME?</v>
      </c>
      <c r="BY154" s="23" t="e">
        <f t="shared" ca="1" si="69"/>
        <v>#NAME?</v>
      </c>
      <c r="BZ154" s="23" t="e">
        <f t="shared" ca="1" si="69"/>
        <v>#NAME?</v>
      </c>
      <c r="CA154" s="23" t="e">
        <f t="shared" ca="1" si="69"/>
        <v>#NAME?</v>
      </c>
      <c r="CB154" s="23" t="e">
        <f t="shared" ca="1" si="69"/>
        <v>#NAME?</v>
      </c>
      <c r="CC154" s="23" t="e">
        <f t="shared" ca="1" si="69"/>
        <v>#NAME?</v>
      </c>
      <c r="CD154" s="23" t="e">
        <f t="shared" ca="1" si="69"/>
        <v>#NAME?</v>
      </c>
      <c r="CE154" s="23" t="e">
        <f t="shared" ca="1" si="69"/>
        <v>#NAME?</v>
      </c>
      <c r="CF154" s="23" t="e">
        <f t="shared" ca="1" si="69"/>
        <v>#NAME?</v>
      </c>
      <c r="CG154" s="23" t="e">
        <f t="shared" ca="1" si="69"/>
        <v>#NAME?</v>
      </c>
      <c r="CH154" s="23" t="e">
        <f t="shared" ca="1" si="69"/>
        <v>#NAME?</v>
      </c>
      <c r="CI154" s="23" t="e">
        <f t="shared" ca="1" si="69"/>
        <v>#NAME?</v>
      </c>
      <c r="CJ154" s="23" t="e">
        <f t="shared" ca="1" si="69"/>
        <v>#NAME?</v>
      </c>
      <c r="CK154" s="23" t="e">
        <f t="shared" ca="1" si="69"/>
        <v>#NAME?</v>
      </c>
      <c r="CL154" s="23" t="e">
        <f t="shared" ca="1" si="69"/>
        <v>#NAME?</v>
      </c>
      <c r="CM154" s="23" t="e">
        <f t="shared" ca="1" si="69"/>
        <v>#NAME?</v>
      </c>
      <c r="CN154" s="23" t="e">
        <f t="shared" ca="1" si="69"/>
        <v>#NAME?</v>
      </c>
      <c r="CO154" s="23" t="e">
        <f t="shared" ca="1" si="69"/>
        <v>#NAME?</v>
      </c>
      <c r="CP154" s="23" t="e">
        <f t="shared" ca="1" si="69"/>
        <v>#NAME?</v>
      </c>
      <c r="CQ154" s="23" t="e">
        <f t="shared" ca="1" si="69"/>
        <v>#NAME?</v>
      </c>
      <c r="CR154" s="23" t="e">
        <f t="shared" ca="1" si="69"/>
        <v>#NAME?</v>
      </c>
      <c r="CS154" s="23" t="e">
        <f t="shared" ca="1" si="69"/>
        <v>#NAME?</v>
      </c>
      <c r="CT154" s="23" t="e">
        <f t="shared" ca="1" si="69"/>
        <v>#NAME?</v>
      </c>
      <c r="CU154" s="23" t="e">
        <f t="shared" ca="1" si="69"/>
        <v>#NAME?</v>
      </c>
      <c r="CV154" s="23" t="e">
        <f t="shared" ca="1" si="69"/>
        <v>#NAME?</v>
      </c>
      <c r="CW154" s="23" t="e">
        <f t="shared" ca="1" si="69"/>
        <v>#NAME?</v>
      </c>
      <c r="CX154" s="23" t="e">
        <f t="shared" ca="1" si="69"/>
        <v>#NAME?</v>
      </c>
      <c r="CY154" s="23" t="e">
        <f t="shared" ca="1" si="69"/>
        <v>#NAME?</v>
      </c>
      <c r="CZ154" s="23" t="e">
        <f t="shared" ca="1" si="69"/>
        <v>#NAME?</v>
      </c>
      <c r="DA154" s="23" t="e">
        <f t="shared" ca="1" si="69"/>
        <v>#NAME?</v>
      </c>
      <c r="DB154" s="23" t="e">
        <f t="shared" ca="1" si="69"/>
        <v>#NAME?</v>
      </c>
      <c r="DC154" s="23" t="e">
        <f t="shared" ca="1" si="69"/>
        <v>#NAME?</v>
      </c>
      <c r="DD154" s="23" t="e">
        <f t="shared" ca="1" si="69"/>
        <v>#NAME?</v>
      </c>
      <c r="DE154" s="23" t="e">
        <f t="shared" ca="1" si="69"/>
        <v>#NAME?</v>
      </c>
      <c r="DF154" s="23" t="e">
        <f t="shared" ca="1" si="69"/>
        <v>#NAME?</v>
      </c>
      <c r="DG154" s="23" t="e">
        <f t="shared" ca="1" si="69"/>
        <v>#NAME?</v>
      </c>
      <c r="DH154" s="23" t="e">
        <f t="shared" ca="1" si="69"/>
        <v>#NAME?</v>
      </c>
      <c r="DI154" s="23" t="e">
        <f t="shared" ca="1" si="69"/>
        <v>#NAME?</v>
      </c>
      <c r="DJ154" s="23" t="e">
        <f t="shared" ca="1" si="69"/>
        <v>#NAME?</v>
      </c>
      <c r="DK154" s="23" t="e">
        <f t="shared" ca="1" si="69"/>
        <v>#NAME?</v>
      </c>
      <c r="DL154" s="23" t="e">
        <f t="shared" ca="1" si="69"/>
        <v>#NAME?</v>
      </c>
      <c r="DM154" s="23" t="e">
        <f t="shared" ca="1" si="69"/>
        <v>#NAME?</v>
      </c>
      <c r="DN154" s="23" t="e">
        <f t="shared" ca="1" si="69"/>
        <v>#NAME?</v>
      </c>
      <c r="DO154" s="23" t="e">
        <f t="shared" ca="1" si="69"/>
        <v>#NAME?</v>
      </c>
      <c r="DP154" s="23" t="e">
        <f t="shared" ca="1" si="69"/>
        <v>#NAME?</v>
      </c>
      <c r="DQ154" s="23" t="e">
        <f t="shared" ca="1" si="69"/>
        <v>#NAME?</v>
      </c>
      <c r="DR154" s="23" t="e">
        <f t="shared" ca="1" si="69"/>
        <v>#NAME?</v>
      </c>
      <c r="DS154" s="23" t="e">
        <f t="shared" ca="1" si="69"/>
        <v>#NAME?</v>
      </c>
      <c r="DT154" s="23" t="e">
        <f t="shared" ca="1" si="69"/>
        <v>#NAME?</v>
      </c>
      <c r="DU154" s="23" t="e">
        <f t="shared" ca="1" si="69"/>
        <v>#NAME?</v>
      </c>
      <c r="DV154" s="23" t="e">
        <f t="shared" ca="1" si="69"/>
        <v>#NAME?</v>
      </c>
      <c r="DW154" s="23" t="e">
        <f t="shared" ca="1" si="69"/>
        <v>#NAME?</v>
      </c>
      <c r="DX154" s="23" t="e">
        <f t="shared" ca="1" si="69"/>
        <v>#NAME?</v>
      </c>
      <c r="DY154" s="23" t="e">
        <f t="shared" ca="1" si="69"/>
        <v>#NAME?</v>
      </c>
      <c r="DZ154" s="23" t="e">
        <f t="shared" ca="1" si="69"/>
        <v>#NAME?</v>
      </c>
      <c r="EA154" s="23" t="e">
        <f t="shared" ca="1" si="69"/>
        <v>#NAME?</v>
      </c>
      <c r="EB154" s="23" t="e">
        <f t="shared" ca="1" si="69"/>
        <v>#NAME?</v>
      </c>
      <c r="EC154" s="23" t="e">
        <f t="shared" ca="1" si="69"/>
        <v>#NAME?</v>
      </c>
      <c r="ED154" s="23" t="e">
        <f t="shared" ca="1" si="69"/>
        <v>#NAME?</v>
      </c>
      <c r="EE154" s="23" t="e">
        <f t="shared" ca="1" si="69"/>
        <v>#NAME?</v>
      </c>
      <c r="EF154" s="23" t="e">
        <f t="shared" ca="1" si="69"/>
        <v>#NAME?</v>
      </c>
      <c r="EG154" s="23" t="e">
        <f t="shared" ca="1" si="69"/>
        <v>#NAME?</v>
      </c>
      <c r="EH154" s="23" t="e">
        <f t="shared" ca="1" si="69"/>
        <v>#NAME?</v>
      </c>
      <c r="EI154" s="23" t="e">
        <f t="shared" ca="1" si="69"/>
        <v>#NAME?</v>
      </c>
      <c r="EJ154" s="23" t="e">
        <f t="shared" ca="1" si="69"/>
        <v>#NAME?</v>
      </c>
      <c r="EK154" s="23" t="e">
        <f t="shared" ca="1" si="69"/>
        <v>#NAME?</v>
      </c>
      <c r="EL154" s="23" t="e">
        <f t="shared" ca="1" si="69"/>
        <v>#NAME?</v>
      </c>
      <c r="EM154" s="23" t="e">
        <f t="shared" ca="1" si="69"/>
        <v>#NAME?</v>
      </c>
      <c r="EN154" s="23" t="e">
        <f t="shared" ca="1" si="69"/>
        <v>#NAME?</v>
      </c>
      <c r="EO154" s="23" t="e">
        <f t="shared" ca="1" si="69"/>
        <v>#NAME?</v>
      </c>
      <c r="EP154" s="23" t="e">
        <f t="shared" ca="1" si="69"/>
        <v>#NAME?</v>
      </c>
      <c r="EQ154" s="23" t="e">
        <f t="shared" ca="1" si="69"/>
        <v>#NAME?</v>
      </c>
      <c r="ER154" s="23" t="e">
        <f t="shared" ca="1" si="69"/>
        <v>#NAME?</v>
      </c>
      <c r="ES154" s="23" t="e">
        <f t="shared" ca="1" si="69"/>
        <v>#NAME?</v>
      </c>
      <c r="ET154" s="23" t="e">
        <f t="shared" ca="1" si="69"/>
        <v>#NAME?</v>
      </c>
      <c r="EU154" s="23" t="e">
        <f t="shared" ca="1" si="69"/>
        <v>#NAME?</v>
      </c>
      <c r="EV154" s="23" t="e">
        <f t="shared" ca="1" si="69"/>
        <v>#NAME?</v>
      </c>
      <c r="EW154" s="23" t="e">
        <f t="shared" ca="1" si="69"/>
        <v>#NAME?</v>
      </c>
      <c r="EX154" s="23" t="e">
        <f t="shared" ca="1" si="69"/>
        <v>#NAME?</v>
      </c>
      <c r="EY154" s="23" t="e">
        <f t="shared" ca="1" si="69"/>
        <v>#NAME?</v>
      </c>
      <c r="EZ154" s="23" t="e">
        <f t="shared" ca="1" si="69"/>
        <v>#NAME?</v>
      </c>
      <c r="FA154" s="23" t="e">
        <f t="shared" ca="1" si="69"/>
        <v>#NAME?</v>
      </c>
      <c r="FB154" s="23" t="e">
        <f t="shared" ca="1" si="69"/>
        <v>#NAME?</v>
      </c>
      <c r="FC154" s="23" t="e">
        <f t="shared" ca="1" si="69"/>
        <v>#NAME?</v>
      </c>
      <c r="FD154" s="23" t="e">
        <f t="shared" ca="1" si="69"/>
        <v>#NAME?</v>
      </c>
      <c r="FE154" s="23" t="e">
        <f t="shared" ca="1" si="69"/>
        <v>#NAME?</v>
      </c>
      <c r="FF154" s="23" t="e">
        <f t="shared" ca="1" si="69"/>
        <v>#NAME?</v>
      </c>
      <c r="FG154" s="23" t="e">
        <f t="shared" ca="1" si="69"/>
        <v>#NAME?</v>
      </c>
      <c r="FH154" s="23" t="e">
        <f t="shared" ca="1" si="69"/>
        <v>#NAME?</v>
      </c>
      <c r="FI154" s="23" t="e">
        <f t="shared" ca="1" si="69"/>
        <v>#NAME?</v>
      </c>
      <c r="FJ154" s="23" t="e">
        <f t="shared" ca="1" si="69"/>
        <v>#NAME?</v>
      </c>
      <c r="FK154" s="23" t="e">
        <f t="shared" ca="1" si="69"/>
        <v>#NAME?</v>
      </c>
      <c r="FL154" s="23" t="e">
        <f t="shared" ca="1" si="69"/>
        <v>#NAME?</v>
      </c>
      <c r="FM154" s="23" t="e">
        <f t="shared" ca="1" si="69"/>
        <v>#NAME?</v>
      </c>
      <c r="FN154" s="23" t="e">
        <f t="shared" ca="1" si="69"/>
        <v>#NAME?</v>
      </c>
      <c r="FO154" s="23" t="e">
        <f t="shared" ca="1" si="69"/>
        <v>#NAME?</v>
      </c>
      <c r="FP154" s="23" t="e">
        <f t="shared" ca="1" si="69"/>
        <v>#NAME?</v>
      </c>
      <c r="FQ154" s="23" t="e">
        <f t="shared" ca="1" si="69"/>
        <v>#NAME?</v>
      </c>
      <c r="FR154" s="23" t="e">
        <f t="shared" ca="1" si="69"/>
        <v>#NAME?</v>
      </c>
      <c r="FS154" s="23" t="e">
        <f t="shared" ca="1" si="69"/>
        <v>#NAME?</v>
      </c>
      <c r="FT154" s="23" t="e">
        <f t="shared" ca="1" si="69"/>
        <v>#NAME?</v>
      </c>
      <c r="FU154" s="23" t="e">
        <f t="shared" ca="1" si="69"/>
        <v>#NAME?</v>
      </c>
      <c r="FV154" s="23" t="e">
        <f t="shared" ca="1" si="69"/>
        <v>#NAME?</v>
      </c>
      <c r="FW154" s="23" t="e">
        <f t="shared" ca="1" si="69"/>
        <v>#NAME?</v>
      </c>
      <c r="FX154" s="23" t="e">
        <f t="shared" ca="1" si="69"/>
        <v>#NAME?</v>
      </c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</row>
    <row r="155" spans="1:193" ht="15.5" x14ac:dyDescent="0.35">
      <c r="A155" s="7"/>
      <c r="B155" s="7" t="s">
        <v>887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</row>
    <row r="156" spans="1:193" ht="15.5" x14ac:dyDescent="0.35">
      <c r="A156" s="12" t="s">
        <v>888</v>
      </c>
      <c r="B156" s="7" t="s">
        <v>889</v>
      </c>
      <c r="C156" s="7" t="e">
        <f t="shared" ref="C156:FX156" ca="1" si="70">ROUND(IF((AND((C103&lt;=459),(C139&lt;=C19)))=TRUE(),0,(C124*C141*C154)),2)</f>
        <v>#NAME?</v>
      </c>
      <c r="D156" s="7" t="e">
        <f t="shared" ca="1" si="70"/>
        <v>#NAME?</v>
      </c>
      <c r="E156" s="7" t="e">
        <f t="shared" ca="1" si="70"/>
        <v>#NAME?</v>
      </c>
      <c r="F156" s="7" t="e">
        <f t="shared" ca="1" si="70"/>
        <v>#NAME?</v>
      </c>
      <c r="G156" s="7" t="e">
        <f t="shared" ca="1" si="70"/>
        <v>#NAME?</v>
      </c>
      <c r="H156" s="7" t="e">
        <f t="shared" ca="1" si="70"/>
        <v>#NAME?</v>
      </c>
      <c r="I156" s="7" t="e">
        <f t="shared" ca="1" si="70"/>
        <v>#NAME?</v>
      </c>
      <c r="J156" s="7" t="e">
        <f t="shared" ca="1" si="70"/>
        <v>#NAME?</v>
      </c>
      <c r="K156" s="7" t="e">
        <f t="shared" ca="1" si="70"/>
        <v>#NAME?</v>
      </c>
      <c r="L156" s="7" t="e">
        <f t="shared" ca="1" si="70"/>
        <v>#NAME?</v>
      </c>
      <c r="M156" s="7" t="e">
        <f t="shared" ca="1" si="70"/>
        <v>#NAME?</v>
      </c>
      <c r="N156" s="7" t="e">
        <f t="shared" ca="1" si="70"/>
        <v>#NAME?</v>
      </c>
      <c r="O156" s="7" t="e">
        <f t="shared" ca="1" si="70"/>
        <v>#NAME?</v>
      </c>
      <c r="P156" s="7" t="e">
        <f t="shared" ca="1" si="70"/>
        <v>#NAME?</v>
      </c>
      <c r="Q156" s="7" t="e">
        <f t="shared" ca="1" si="70"/>
        <v>#NAME?</v>
      </c>
      <c r="R156" s="7" t="e">
        <f t="shared" ca="1" si="70"/>
        <v>#NAME?</v>
      </c>
      <c r="S156" s="7" t="e">
        <f t="shared" ca="1" si="70"/>
        <v>#NAME?</v>
      </c>
      <c r="T156" s="7" t="e">
        <f t="shared" ca="1" si="70"/>
        <v>#NAME?</v>
      </c>
      <c r="U156" s="7" t="e">
        <f t="shared" ca="1" si="70"/>
        <v>#NAME?</v>
      </c>
      <c r="V156" s="7" t="e">
        <f t="shared" ca="1" si="70"/>
        <v>#NAME?</v>
      </c>
      <c r="W156" s="7" t="e">
        <f t="shared" ca="1" si="70"/>
        <v>#NAME?</v>
      </c>
      <c r="X156" s="7" t="e">
        <f t="shared" ca="1" si="70"/>
        <v>#NAME?</v>
      </c>
      <c r="Y156" s="7" t="e">
        <f t="shared" ca="1" si="70"/>
        <v>#NAME?</v>
      </c>
      <c r="Z156" s="7" t="e">
        <f t="shared" ca="1" si="70"/>
        <v>#NAME?</v>
      </c>
      <c r="AA156" s="7" t="e">
        <f t="shared" ca="1" si="70"/>
        <v>#NAME?</v>
      </c>
      <c r="AB156" s="7" t="e">
        <f t="shared" ca="1" si="70"/>
        <v>#NAME?</v>
      </c>
      <c r="AC156" s="7" t="e">
        <f t="shared" ca="1" si="70"/>
        <v>#NAME?</v>
      </c>
      <c r="AD156" s="7" t="e">
        <f t="shared" ca="1" si="70"/>
        <v>#NAME?</v>
      </c>
      <c r="AE156" s="7" t="e">
        <f t="shared" ca="1" si="70"/>
        <v>#NAME?</v>
      </c>
      <c r="AF156" s="7" t="e">
        <f t="shared" ca="1" si="70"/>
        <v>#NAME?</v>
      </c>
      <c r="AG156" s="7" t="e">
        <f t="shared" ca="1" si="70"/>
        <v>#NAME?</v>
      </c>
      <c r="AH156" s="7" t="e">
        <f t="shared" ca="1" si="70"/>
        <v>#NAME?</v>
      </c>
      <c r="AI156" s="7" t="e">
        <f t="shared" ca="1" si="70"/>
        <v>#NAME?</v>
      </c>
      <c r="AJ156" s="7" t="e">
        <f t="shared" ca="1" si="70"/>
        <v>#NAME?</v>
      </c>
      <c r="AK156" s="7" t="e">
        <f t="shared" ca="1" si="70"/>
        <v>#NAME?</v>
      </c>
      <c r="AL156" s="7" t="e">
        <f t="shared" ca="1" si="70"/>
        <v>#NAME?</v>
      </c>
      <c r="AM156" s="7" t="e">
        <f t="shared" ca="1" si="70"/>
        <v>#NAME?</v>
      </c>
      <c r="AN156" s="7" t="e">
        <f t="shared" ca="1" si="70"/>
        <v>#NAME?</v>
      </c>
      <c r="AO156" s="7" t="e">
        <f t="shared" ca="1" si="70"/>
        <v>#NAME?</v>
      </c>
      <c r="AP156" s="7" t="e">
        <f t="shared" ca="1" si="70"/>
        <v>#NAME?</v>
      </c>
      <c r="AQ156" s="7" t="e">
        <f t="shared" ca="1" si="70"/>
        <v>#NAME?</v>
      </c>
      <c r="AR156" s="7" t="e">
        <f t="shared" ca="1" si="70"/>
        <v>#NAME?</v>
      </c>
      <c r="AS156" s="7" t="e">
        <f t="shared" ca="1" si="70"/>
        <v>#NAME?</v>
      </c>
      <c r="AT156" s="7" t="e">
        <f t="shared" ca="1" si="70"/>
        <v>#NAME?</v>
      </c>
      <c r="AU156" s="7" t="e">
        <f t="shared" ca="1" si="70"/>
        <v>#NAME?</v>
      </c>
      <c r="AV156" s="7" t="e">
        <f t="shared" ca="1" si="70"/>
        <v>#NAME?</v>
      </c>
      <c r="AW156" s="7" t="e">
        <f t="shared" ca="1" si="70"/>
        <v>#NAME?</v>
      </c>
      <c r="AX156" s="7" t="e">
        <f t="shared" ca="1" si="70"/>
        <v>#NAME?</v>
      </c>
      <c r="AY156" s="7" t="e">
        <f t="shared" ca="1" si="70"/>
        <v>#NAME?</v>
      </c>
      <c r="AZ156" s="7" t="e">
        <f t="shared" ca="1" si="70"/>
        <v>#NAME?</v>
      </c>
      <c r="BA156" s="7" t="e">
        <f t="shared" ca="1" si="70"/>
        <v>#NAME?</v>
      </c>
      <c r="BB156" s="7" t="e">
        <f t="shared" ca="1" si="70"/>
        <v>#NAME?</v>
      </c>
      <c r="BC156" s="7" t="e">
        <f t="shared" ca="1" si="70"/>
        <v>#NAME?</v>
      </c>
      <c r="BD156" s="7" t="e">
        <f t="shared" ca="1" si="70"/>
        <v>#NAME?</v>
      </c>
      <c r="BE156" s="7" t="e">
        <f t="shared" ca="1" si="70"/>
        <v>#NAME?</v>
      </c>
      <c r="BF156" s="7" t="e">
        <f t="shared" ca="1" si="70"/>
        <v>#NAME?</v>
      </c>
      <c r="BG156" s="7" t="e">
        <f t="shared" ca="1" si="70"/>
        <v>#NAME?</v>
      </c>
      <c r="BH156" s="7" t="e">
        <f t="shared" ca="1" si="70"/>
        <v>#NAME?</v>
      </c>
      <c r="BI156" s="7" t="e">
        <f t="shared" ca="1" si="70"/>
        <v>#NAME?</v>
      </c>
      <c r="BJ156" s="7" t="e">
        <f t="shared" ca="1" si="70"/>
        <v>#NAME?</v>
      </c>
      <c r="BK156" s="7" t="e">
        <f t="shared" ca="1" si="70"/>
        <v>#NAME?</v>
      </c>
      <c r="BL156" s="7" t="e">
        <f t="shared" ca="1" si="70"/>
        <v>#NAME?</v>
      </c>
      <c r="BM156" s="7" t="e">
        <f t="shared" ca="1" si="70"/>
        <v>#NAME?</v>
      </c>
      <c r="BN156" s="7" t="e">
        <f t="shared" ca="1" si="70"/>
        <v>#NAME?</v>
      </c>
      <c r="BO156" s="7" t="e">
        <f t="shared" ca="1" si="70"/>
        <v>#NAME?</v>
      </c>
      <c r="BP156" s="7" t="e">
        <f t="shared" ca="1" si="70"/>
        <v>#NAME?</v>
      </c>
      <c r="BQ156" s="7" t="e">
        <f t="shared" ca="1" si="70"/>
        <v>#NAME?</v>
      </c>
      <c r="BR156" s="7" t="e">
        <f t="shared" ca="1" si="70"/>
        <v>#NAME?</v>
      </c>
      <c r="BS156" s="7" t="e">
        <f t="shared" ca="1" si="70"/>
        <v>#NAME?</v>
      </c>
      <c r="BT156" s="7" t="e">
        <f t="shared" ca="1" si="70"/>
        <v>#NAME?</v>
      </c>
      <c r="BU156" s="7" t="e">
        <f t="shared" ca="1" si="70"/>
        <v>#NAME?</v>
      </c>
      <c r="BV156" s="7" t="e">
        <f t="shared" ca="1" si="70"/>
        <v>#NAME?</v>
      </c>
      <c r="BW156" s="7" t="e">
        <f t="shared" ca="1" si="70"/>
        <v>#NAME?</v>
      </c>
      <c r="BX156" s="7" t="e">
        <f t="shared" ca="1" si="70"/>
        <v>#NAME?</v>
      </c>
      <c r="BY156" s="7" t="e">
        <f t="shared" ca="1" si="70"/>
        <v>#NAME?</v>
      </c>
      <c r="BZ156" s="7" t="e">
        <f t="shared" ca="1" si="70"/>
        <v>#NAME?</v>
      </c>
      <c r="CA156" s="7" t="e">
        <f t="shared" ca="1" si="70"/>
        <v>#NAME?</v>
      </c>
      <c r="CB156" s="7" t="e">
        <f t="shared" ca="1" si="70"/>
        <v>#NAME?</v>
      </c>
      <c r="CC156" s="7" t="e">
        <f t="shared" ca="1" si="70"/>
        <v>#NAME?</v>
      </c>
      <c r="CD156" s="7" t="e">
        <f t="shared" ca="1" si="70"/>
        <v>#NAME?</v>
      </c>
      <c r="CE156" s="7" t="e">
        <f t="shared" ca="1" si="70"/>
        <v>#NAME?</v>
      </c>
      <c r="CF156" s="7" t="e">
        <f t="shared" ca="1" si="70"/>
        <v>#NAME?</v>
      </c>
      <c r="CG156" s="7" t="e">
        <f t="shared" ca="1" si="70"/>
        <v>#NAME?</v>
      </c>
      <c r="CH156" s="7" t="e">
        <f t="shared" ca="1" si="70"/>
        <v>#NAME?</v>
      </c>
      <c r="CI156" s="7" t="e">
        <f t="shared" ca="1" si="70"/>
        <v>#NAME?</v>
      </c>
      <c r="CJ156" s="7" t="e">
        <f t="shared" ca="1" si="70"/>
        <v>#NAME?</v>
      </c>
      <c r="CK156" s="7" t="e">
        <f t="shared" ca="1" si="70"/>
        <v>#NAME?</v>
      </c>
      <c r="CL156" s="7" t="e">
        <f t="shared" ca="1" si="70"/>
        <v>#NAME?</v>
      </c>
      <c r="CM156" s="7" t="e">
        <f t="shared" ca="1" si="70"/>
        <v>#NAME?</v>
      </c>
      <c r="CN156" s="7" t="e">
        <f t="shared" ca="1" si="70"/>
        <v>#NAME?</v>
      </c>
      <c r="CO156" s="7" t="e">
        <f t="shared" ca="1" si="70"/>
        <v>#NAME?</v>
      </c>
      <c r="CP156" s="7" t="e">
        <f t="shared" ca="1" si="70"/>
        <v>#NAME?</v>
      </c>
      <c r="CQ156" s="7" t="e">
        <f t="shared" ca="1" si="70"/>
        <v>#NAME?</v>
      </c>
      <c r="CR156" s="7" t="e">
        <f t="shared" ca="1" si="70"/>
        <v>#NAME?</v>
      </c>
      <c r="CS156" s="7" t="e">
        <f t="shared" ca="1" si="70"/>
        <v>#NAME?</v>
      </c>
      <c r="CT156" s="7" t="e">
        <f t="shared" ca="1" si="70"/>
        <v>#NAME?</v>
      </c>
      <c r="CU156" s="7" t="e">
        <f t="shared" ca="1" si="70"/>
        <v>#NAME?</v>
      </c>
      <c r="CV156" s="7" t="e">
        <f t="shared" ca="1" si="70"/>
        <v>#NAME?</v>
      </c>
      <c r="CW156" s="7" t="e">
        <f t="shared" ca="1" si="70"/>
        <v>#NAME?</v>
      </c>
      <c r="CX156" s="7" t="e">
        <f t="shared" ca="1" si="70"/>
        <v>#NAME?</v>
      </c>
      <c r="CY156" s="7" t="e">
        <f t="shared" ca="1" si="70"/>
        <v>#NAME?</v>
      </c>
      <c r="CZ156" s="7" t="e">
        <f t="shared" ca="1" si="70"/>
        <v>#NAME?</v>
      </c>
      <c r="DA156" s="7" t="e">
        <f t="shared" ca="1" si="70"/>
        <v>#NAME?</v>
      </c>
      <c r="DB156" s="7" t="e">
        <f t="shared" ca="1" si="70"/>
        <v>#NAME?</v>
      </c>
      <c r="DC156" s="7" t="e">
        <f t="shared" ca="1" si="70"/>
        <v>#NAME?</v>
      </c>
      <c r="DD156" s="7" t="e">
        <f t="shared" ca="1" si="70"/>
        <v>#NAME?</v>
      </c>
      <c r="DE156" s="7" t="e">
        <f t="shared" ca="1" si="70"/>
        <v>#NAME?</v>
      </c>
      <c r="DF156" s="7" t="e">
        <f t="shared" ca="1" si="70"/>
        <v>#NAME?</v>
      </c>
      <c r="DG156" s="7" t="e">
        <f t="shared" ca="1" si="70"/>
        <v>#NAME?</v>
      </c>
      <c r="DH156" s="7" t="e">
        <f t="shared" ca="1" si="70"/>
        <v>#NAME?</v>
      </c>
      <c r="DI156" s="7" t="e">
        <f t="shared" ca="1" si="70"/>
        <v>#NAME?</v>
      </c>
      <c r="DJ156" s="7" t="e">
        <f t="shared" ca="1" si="70"/>
        <v>#NAME?</v>
      </c>
      <c r="DK156" s="7" t="e">
        <f t="shared" ca="1" si="70"/>
        <v>#NAME?</v>
      </c>
      <c r="DL156" s="7" t="e">
        <f t="shared" ca="1" si="70"/>
        <v>#NAME?</v>
      </c>
      <c r="DM156" s="7" t="e">
        <f t="shared" ca="1" si="70"/>
        <v>#NAME?</v>
      </c>
      <c r="DN156" s="7" t="e">
        <f t="shared" ca="1" si="70"/>
        <v>#NAME?</v>
      </c>
      <c r="DO156" s="7" t="e">
        <f t="shared" ca="1" si="70"/>
        <v>#NAME?</v>
      </c>
      <c r="DP156" s="7" t="e">
        <f t="shared" ca="1" si="70"/>
        <v>#NAME?</v>
      </c>
      <c r="DQ156" s="7" t="e">
        <f t="shared" ca="1" si="70"/>
        <v>#NAME?</v>
      </c>
      <c r="DR156" s="7" t="e">
        <f t="shared" ca="1" si="70"/>
        <v>#NAME?</v>
      </c>
      <c r="DS156" s="7" t="e">
        <f t="shared" ca="1" si="70"/>
        <v>#NAME?</v>
      </c>
      <c r="DT156" s="7" t="e">
        <f t="shared" ca="1" si="70"/>
        <v>#NAME?</v>
      </c>
      <c r="DU156" s="7" t="e">
        <f t="shared" ca="1" si="70"/>
        <v>#NAME?</v>
      </c>
      <c r="DV156" s="7" t="e">
        <f t="shared" ca="1" si="70"/>
        <v>#NAME?</v>
      </c>
      <c r="DW156" s="7" t="e">
        <f t="shared" ca="1" si="70"/>
        <v>#NAME?</v>
      </c>
      <c r="DX156" s="7" t="e">
        <f t="shared" ca="1" si="70"/>
        <v>#NAME?</v>
      </c>
      <c r="DY156" s="7" t="e">
        <f t="shared" ca="1" si="70"/>
        <v>#NAME?</v>
      </c>
      <c r="DZ156" s="7" t="e">
        <f t="shared" ca="1" si="70"/>
        <v>#NAME?</v>
      </c>
      <c r="EA156" s="7" t="e">
        <f t="shared" ca="1" si="70"/>
        <v>#NAME?</v>
      </c>
      <c r="EB156" s="7" t="e">
        <f t="shared" ca="1" si="70"/>
        <v>#NAME?</v>
      </c>
      <c r="EC156" s="7" t="e">
        <f t="shared" ca="1" si="70"/>
        <v>#NAME?</v>
      </c>
      <c r="ED156" s="7" t="e">
        <f t="shared" ca="1" si="70"/>
        <v>#NAME?</v>
      </c>
      <c r="EE156" s="7" t="e">
        <f t="shared" ca="1" si="70"/>
        <v>#NAME?</v>
      </c>
      <c r="EF156" s="7" t="e">
        <f t="shared" ca="1" si="70"/>
        <v>#NAME?</v>
      </c>
      <c r="EG156" s="7" t="e">
        <f t="shared" ca="1" si="70"/>
        <v>#NAME?</v>
      </c>
      <c r="EH156" s="7" t="e">
        <f t="shared" ca="1" si="70"/>
        <v>#NAME?</v>
      </c>
      <c r="EI156" s="7" t="e">
        <f t="shared" ca="1" si="70"/>
        <v>#NAME?</v>
      </c>
      <c r="EJ156" s="7" t="e">
        <f t="shared" ca="1" si="70"/>
        <v>#NAME?</v>
      </c>
      <c r="EK156" s="7" t="e">
        <f t="shared" ca="1" si="70"/>
        <v>#NAME?</v>
      </c>
      <c r="EL156" s="7" t="e">
        <f t="shared" ca="1" si="70"/>
        <v>#NAME?</v>
      </c>
      <c r="EM156" s="7" t="e">
        <f t="shared" ca="1" si="70"/>
        <v>#NAME?</v>
      </c>
      <c r="EN156" s="7" t="e">
        <f t="shared" ca="1" si="70"/>
        <v>#NAME?</v>
      </c>
      <c r="EO156" s="7" t="e">
        <f t="shared" ca="1" si="70"/>
        <v>#NAME?</v>
      </c>
      <c r="EP156" s="7" t="e">
        <f t="shared" ca="1" si="70"/>
        <v>#NAME?</v>
      </c>
      <c r="EQ156" s="7" t="e">
        <f t="shared" ca="1" si="70"/>
        <v>#NAME?</v>
      </c>
      <c r="ER156" s="7" t="e">
        <f t="shared" ca="1" si="70"/>
        <v>#NAME?</v>
      </c>
      <c r="ES156" s="7" t="e">
        <f t="shared" ca="1" si="70"/>
        <v>#NAME?</v>
      </c>
      <c r="ET156" s="7" t="e">
        <f t="shared" ca="1" si="70"/>
        <v>#NAME?</v>
      </c>
      <c r="EU156" s="7" t="e">
        <f t="shared" ca="1" si="70"/>
        <v>#NAME?</v>
      </c>
      <c r="EV156" s="7" t="e">
        <f t="shared" ca="1" si="70"/>
        <v>#NAME?</v>
      </c>
      <c r="EW156" s="7" t="e">
        <f t="shared" ca="1" si="70"/>
        <v>#NAME?</v>
      </c>
      <c r="EX156" s="7" t="e">
        <f t="shared" ca="1" si="70"/>
        <v>#NAME?</v>
      </c>
      <c r="EY156" s="7" t="e">
        <f t="shared" ca="1" si="70"/>
        <v>#NAME?</v>
      </c>
      <c r="EZ156" s="7" t="e">
        <f t="shared" ca="1" si="70"/>
        <v>#NAME?</v>
      </c>
      <c r="FA156" s="7" t="e">
        <f t="shared" ca="1" si="70"/>
        <v>#NAME?</v>
      </c>
      <c r="FB156" s="7" t="e">
        <f t="shared" ca="1" si="70"/>
        <v>#NAME?</v>
      </c>
      <c r="FC156" s="7" t="e">
        <f t="shared" ca="1" si="70"/>
        <v>#NAME?</v>
      </c>
      <c r="FD156" s="7" t="e">
        <f t="shared" ca="1" si="70"/>
        <v>#NAME?</v>
      </c>
      <c r="FE156" s="7" t="e">
        <f t="shared" ca="1" si="70"/>
        <v>#NAME?</v>
      </c>
      <c r="FF156" s="7" t="e">
        <f t="shared" ca="1" si="70"/>
        <v>#NAME?</v>
      </c>
      <c r="FG156" s="7" t="e">
        <f t="shared" ca="1" si="70"/>
        <v>#NAME?</v>
      </c>
      <c r="FH156" s="7" t="e">
        <f t="shared" ca="1" si="70"/>
        <v>#NAME?</v>
      </c>
      <c r="FI156" s="7" t="e">
        <f t="shared" ca="1" si="70"/>
        <v>#NAME?</v>
      </c>
      <c r="FJ156" s="7" t="e">
        <f t="shared" ca="1" si="70"/>
        <v>#NAME?</v>
      </c>
      <c r="FK156" s="7" t="e">
        <f t="shared" ca="1" si="70"/>
        <v>#NAME?</v>
      </c>
      <c r="FL156" s="7" t="e">
        <f t="shared" ca="1" si="70"/>
        <v>#NAME?</v>
      </c>
      <c r="FM156" s="7" t="e">
        <f t="shared" ca="1" si="70"/>
        <v>#NAME?</v>
      </c>
      <c r="FN156" s="7" t="e">
        <f t="shared" ca="1" si="70"/>
        <v>#NAME?</v>
      </c>
      <c r="FO156" s="7" t="e">
        <f t="shared" ca="1" si="70"/>
        <v>#NAME?</v>
      </c>
      <c r="FP156" s="7" t="e">
        <f t="shared" ca="1" si="70"/>
        <v>#NAME?</v>
      </c>
      <c r="FQ156" s="7" t="e">
        <f t="shared" ca="1" si="70"/>
        <v>#NAME?</v>
      </c>
      <c r="FR156" s="7" t="e">
        <f t="shared" ca="1" si="70"/>
        <v>#NAME?</v>
      </c>
      <c r="FS156" s="7" t="e">
        <f t="shared" ca="1" si="70"/>
        <v>#NAME?</v>
      </c>
      <c r="FT156" s="7" t="e">
        <f t="shared" ca="1" si="70"/>
        <v>#NAME?</v>
      </c>
      <c r="FU156" s="7" t="e">
        <f t="shared" ca="1" si="70"/>
        <v>#NAME?</v>
      </c>
      <c r="FV156" s="7" t="e">
        <f t="shared" ca="1" si="70"/>
        <v>#NAME?</v>
      </c>
      <c r="FW156" s="7" t="e">
        <f t="shared" ca="1" si="70"/>
        <v>#NAME?</v>
      </c>
      <c r="FX156" s="7" t="e">
        <f t="shared" ca="1" si="70"/>
        <v>#NAME?</v>
      </c>
      <c r="FY156" s="23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</row>
    <row r="157" spans="1:193" ht="15.5" x14ac:dyDescent="0.35">
      <c r="A157" s="7"/>
      <c r="B157" s="7" t="s">
        <v>890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</row>
    <row r="158" spans="1:193" ht="15.5" x14ac:dyDescent="0.35">
      <c r="A158" s="12" t="s">
        <v>891</v>
      </c>
      <c r="B158" s="7" t="s">
        <v>892</v>
      </c>
      <c r="C158" s="7" t="e">
        <f t="shared" ref="C158:FX158" ca="1" si="71">ROUND(IF((AND((C103&lt;=459),(C139&lt;=C19)))=TRUE(),0,IF(C156=0,0,C124*C148*(C137-C154))),2)</f>
        <v>#NAME?</v>
      </c>
      <c r="D158" s="7" t="e">
        <f t="shared" ca="1" si="71"/>
        <v>#NAME?</v>
      </c>
      <c r="E158" s="7" t="e">
        <f t="shared" ca="1" si="71"/>
        <v>#NAME?</v>
      </c>
      <c r="F158" s="7" t="e">
        <f t="shared" ca="1" si="71"/>
        <v>#NAME?</v>
      </c>
      <c r="G158" s="7" t="e">
        <f t="shared" ca="1" si="71"/>
        <v>#NAME?</v>
      </c>
      <c r="H158" s="7" t="e">
        <f t="shared" ca="1" si="71"/>
        <v>#NAME?</v>
      </c>
      <c r="I158" s="7" t="e">
        <f t="shared" ca="1" si="71"/>
        <v>#NAME?</v>
      </c>
      <c r="J158" s="7" t="e">
        <f t="shared" ca="1" si="71"/>
        <v>#NAME?</v>
      </c>
      <c r="K158" s="7" t="e">
        <f t="shared" ca="1" si="71"/>
        <v>#NAME?</v>
      </c>
      <c r="L158" s="7" t="e">
        <f t="shared" ca="1" si="71"/>
        <v>#NAME?</v>
      </c>
      <c r="M158" s="7" t="e">
        <f t="shared" ca="1" si="71"/>
        <v>#NAME?</v>
      </c>
      <c r="N158" s="7" t="e">
        <f t="shared" ca="1" si="71"/>
        <v>#NAME?</v>
      </c>
      <c r="O158" s="7" t="e">
        <f t="shared" ca="1" si="71"/>
        <v>#NAME?</v>
      </c>
      <c r="P158" s="7" t="e">
        <f t="shared" ca="1" si="71"/>
        <v>#NAME?</v>
      </c>
      <c r="Q158" s="7" t="e">
        <f t="shared" ca="1" si="71"/>
        <v>#NAME?</v>
      </c>
      <c r="R158" s="7" t="e">
        <f t="shared" ca="1" si="71"/>
        <v>#NAME?</v>
      </c>
      <c r="S158" s="7" t="e">
        <f t="shared" ca="1" si="71"/>
        <v>#NAME?</v>
      </c>
      <c r="T158" s="7" t="e">
        <f t="shared" ca="1" si="71"/>
        <v>#NAME?</v>
      </c>
      <c r="U158" s="7" t="e">
        <f t="shared" ca="1" si="71"/>
        <v>#NAME?</v>
      </c>
      <c r="V158" s="7" t="e">
        <f t="shared" ca="1" si="71"/>
        <v>#NAME?</v>
      </c>
      <c r="W158" s="7" t="e">
        <f t="shared" ca="1" si="71"/>
        <v>#NAME?</v>
      </c>
      <c r="X158" s="7" t="e">
        <f t="shared" ca="1" si="71"/>
        <v>#NAME?</v>
      </c>
      <c r="Y158" s="7" t="e">
        <f t="shared" ca="1" si="71"/>
        <v>#NAME?</v>
      </c>
      <c r="Z158" s="7" t="e">
        <f t="shared" ca="1" si="71"/>
        <v>#NAME?</v>
      </c>
      <c r="AA158" s="7" t="e">
        <f t="shared" ca="1" si="71"/>
        <v>#NAME?</v>
      </c>
      <c r="AB158" s="7" t="e">
        <f t="shared" ca="1" si="71"/>
        <v>#NAME?</v>
      </c>
      <c r="AC158" s="7" t="e">
        <f t="shared" ca="1" si="71"/>
        <v>#NAME?</v>
      </c>
      <c r="AD158" s="7" t="e">
        <f t="shared" ca="1" si="71"/>
        <v>#NAME?</v>
      </c>
      <c r="AE158" s="7" t="e">
        <f t="shared" ca="1" si="71"/>
        <v>#NAME?</v>
      </c>
      <c r="AF158" s="7" t="e">
        <f t="shared" ca="1" si="71"/>
        <v>#NAME?</v>
      </c>
      <c r="AG158" s="7" t="e">
        <f t="shared" ca="1" si="71"/>
        <v>#NAME?</v>
      </c>
      <c r="AH158" s="7" t="e">
        <f t="shared" ca="1" si="71"/>
        <v>#NAME?</v>
      </c>
      <c r="AI158" s="7" t="e">
        <f t="shared" ca="1" si="71"/>
        <v>#NAME?</v>
      </c>
      <c r="AJ158" s="7" t="e">
        <f t="shared" ca="1" si="71"/>
        <v>#NAME?</v>
      </c>
      <c r="AK158" s="7" t="e">
        <f t="shared" ca="1" si="71"/>
        <v>#NAME?</v>
      </c>
      <c r="AL158" s="7" t="e">
        <f t="shared" ca="1" si="71"/>
        <v>#NAME?</v>
      </c>
      <c r="AM158" s="7" t="e">
        <f t="shared" ca="1" si="71"/>
        <v>#NAME?</v>
      </c>
      <c r="AN158" s="7" t="e">
        <f t="shared" ca="1" si="71"/>
        <v>#NAME?</v>
      </c>
      <c r="AO158" s="7" t="e">
        <f t="shared" ca="1" si="71"/>
        <v>#NAME?</v>
      </c>
      <c r="AP158" s="7" t="e">
        <f t="shared" ca="1" si="71"/>
        <v>#NAME?</v>
      </c>
      <c r="AQ158" s="7" t="e">
        <f t="shared" ca="1" si="71"/>
        <v>#NAME?</v>
      </c>
      <c r="AR158" s="7" t="e">
        <f t="shared" ca="1" si="71"/>
        <v>#NAME?</v>
      </c>
      <c r="AS158" s="7" t="e">
        <f t="shared" ca="1" si="71"/>
        <v>#NAME?</v>
      </c>
      <c r="AT158" s="7" t="e">
        <f t="shared" ca="1" si="71"/>
        <v>#NAME?</v>
      </c>
      <c r="AU158" s="7" t="e">
        <f t="shared" ca="1" si="71"/>
        <v>#NAME?</v>
      </c>
      <c r="AV158" s="7" t="e">
        <f t="shared" ca="1" si="71"/>
        <v>#NAME?</v>
      </c>
      <c r="AW158" s="7" t="e">
        <f t="shared" ca="1" si="71"/>
        <v>#NAME?</v>
      </c>
      <c r="AX158" s="7" t="e">
        <f t="shared" ca="1" si="71"/>
        <v>#NAME?</v>
      </c>
      <c r="AY158" s="7" t="e">
        <f t="shared" ca="1" si="71"/>
        <v>#NAME?</v>
      </c>
      <c r="AZ158" s="7" t="e">
        <f t="shared" ca="1" si="71"/>
        <v>#NAME?</v>
      </c>
      <c r="BA158" s="7" t="e">
        <f t="shared" ca="1" si="71"/>
        <v>#NAME?</v>
      </c>
      <c r="BB158" s="7" t="e">
        <f t="shared" ca="1" si="71"/>
        <v>#NAME?</v>
      </c>
      <c r="BC158" s="7" t="e">
        <f t="shared" ca="1" si="71"/>
        <v>#NAME?</v>
      </c>
      <c r="BD158" s="7" t="e">
        <f t="shared" ca="1" si="71"/>
        <v>#NAME?</v>
      </c>
      <c r="BE158" s="7" t="e">
        <f t="shared" ca="1" si="71"/>
        <v>#NAME?</v>
      </c>
      <c r="BF158" s="7" t="e">
        <f t="shared" ca="1" si="71"/>
        <v>#NAME?</v>
      </c>
      <c r="BG158" s="7" t="e">
        <f t="shared" ca="1" si="71"/>
        <v>#NAME?</v>
      </c>
      <c r="BH158" s="7" t="e">
        <f t="shared" ca="1" si="71"/>
        <v>#NAME?</v>
      </c>
      <c r="BI158" s="7" t="e">
        <f t="shared" ca="1" si="71"/>
        <v>#NAME?</v>
      </c>
      <c r="BJ158" s="7" t="e">
        <f t="shared" ca="1" si="71"/>
        <v>#NAME?</v>
      </c>
      <c r="BK158" s="7" t="e">
        <f t="shared" ca="1" si="71"/>
        <v>#NAME?</v>
      </c>
      <c r="BL158" s="7" t="e">
        <f t="shared" ca="1" si="71"/>
        <v>#NAME?</v>
      </c>
      <c r="BM158" s="7" t="e">
        <f t="shared" ca="1" si="71"/>
        <v>#NAME?</v>
      </c>
      <c r="BN158" s="7" t="e">
        <f t="shared" ca="1" si="71"/>
        <v>#NAME?</v>
      </c>
      <c r="BO158" s="7" t="e">
        <f t="shared" ca="1" si="71"/>
        <v>#NAME?</v>
      </c>
      <c r="BP158" s="7" t="e">
        <f t="shared" ca="1" si="71"/>
        <v>#NAME?</v>
      </c>
      <c r="BQ158" s="7" t="e">
        <f t="shared" ca="1" si="71"/>
        <v>#NAME?</v>
      </c>
      <c r="BR158" s="7" t="e">
        <f t="shared" ca="1" si="71"/>
        <v>#NAME?</v>
      </c>
      <c r="BS158" s="7" t="e">
        <f t="shared" ca="1" si="71"/>
        <v>#NAME?</v>
      </c>
      <c r="BT158" s="7" t="e">
        <f t="shared" ca="1" si="71"/>
        <v>#NAME?</v>
      </c>
      <c r="BU158" s="7" t="e">
        <f t="shared" ca="1" si="71"/>
        <v>#NAME?</v>
      </c>
      <c r="BV158" s="7" t="e">
        <f t="shared" ca="1" si="71"/>
        <v>#NAME?</v>
      </c>
      <c r="BW158" s="7" t="e">
        <f t="shared" ca="1" si="71"/>
        <v>#NAME?</v>
      </c>
      <c r="BX158" s="7" t="e">
        <f t="shared" ca="1" si="71"/>
        <v>#NAME?</v>
      </c>
      <c r="BY158" s="7" t="e">
        <f t="shared" ca="1" si="71"/>
        <v>#NAME?</v>
      </c>
      <c r="BZ158" s="7" t="e">
        <f t="shared" ca="1" si="71"/>
        <v>#NAME?</v>
      </c>
      <c r="CA158" s="7" t="e">
        <f t="shared" ca="1" si="71"/>
        <v>#NAME?</v>
      </c>
      <c r="CB158" s="7" t="e">
        <f t="shared" ca="1" si="71"/>
        <v>#NAME?</v>
      </c>
      <c r="CC158" s="7" t="e">
        <f t="shared" ca="1" si="71"/>
        <v>#NAME?</v>
      </c>
      <c r="CD158" s="7" t="e">
        <f t="shared" ca="1" si="71"/>
        <v>#NAME?</v>
      </c>
      <c r="CE158" s="7" t="e">
        <f t="shared" ca="1" si="71"/>
        <v>#NAME?</v>
      </c>
      <c r="CF158" s="7" t="e">
        <f t="shared" ca="1" si="71"/>
        <v>#NAME?</v>
      </c>
      <c r="CG158" s="7" t="e">
        <f t="shared" ca="1" si="71"/>
        <v>#NAME?</v>
      </c>
      <c r="CH158" s="7" t="e">
        <f t="shared" ca="1" si="71"/>
        <v>#NAME?</v>
      </c>
      <c r="CI158" s="7" t="e">
        <f t="shared" ca="1" si="71"/>
        <v>#NAME?</v>
      </c>
      <c r="CJ158" s="7" t="e">
        <f t="shared" ca="1" si="71"/>
        <v>#NAME?</v>
      </c>
      <c r="CK158" s="7" t="e">
        <f t="shared" ca="1" si="71"/>
        <v>#NAME?</v>
      </c>
      <c r="CL158" s="7" t="e">
        <f t="shared" ca="1" si="71"/>
        <v>#NAME?</v>
      </c>
      <c r="CM158" s="7" t="e">
        <f t="shared" ca="1" si="71"/>
        <v>#NAME?</v>
      </c>
      <c r="CN158" s="7" t="e">
        <f t="shared" ca="1" si="71"/>
        <v>#NAME?</v>
      </c>
      <c r="CO158" s="7" t="e">
        <f t="shared" ca="1" si="71"/>
        <v>#NAME?</v>
      </c>
      <c r="CP158" s="7" t="e">
        <f t="shared" ca="1" si="71"/>
        <v>#NAME?</v>
      </c>
      <c r="CQ158" s="7" t="e">
        <f t="shared" ca="1" si="71"/>
        <v>#NAME?</v>
      </c>
      <c r="CR158" s="7" t="e">
        <f t="shared" ca="1" si="71"/>
        <v>#NAME?</v>
      </c>
      <c r="CS158" s="7" t="e">
        <f t="shared" ca="1" si="71"/>
        <v>#NAME?</v>
      </c>
      <c r="CT158" s="7" t="e">
        <f t="shared" ca="1" si="71"/>
        <v>#NAME?</v>
      </c>
      <c r="CU158" s="7" t="e">
        <f t="shared" ca="1" si="71"/>
        <v>#NAME?</v>
      </c>
      <c r="CV158" s="7" t="e">
        <f t="shared" ca="1" si="71"/>
        <v>#NAME?</v>
      </c>
      <c r="CW158" s="7" t="e">
        <f t="shared" ca="1" si="71"/>
        <v>#NAME?</v>
      </c>
      <c r="CX158" s="7" t="e">
        <f t="shared" ca="1" si="71"/>
        <v>#NAME?</v>
      </c>
      <c r="CY158" s="7" t="e">
        <f t="shared" ca="1" si="71"/>
        <v>#NAME?</v>
      </c>
      <c r="CZ158" s="7" t="e">
        <f t="shared" ca="1" si="71"/>
        <v>#NAME?</v>
      </c>
      <c r="DA158" s="7" t="e">
        <f t="shared" ca="1" si="71"/>
        <v>#NAME?</v>
      </c>
      <c r="DB158" s="7" t="e">
        <f t="shared" ca="1" si="71"/>
        <v>#NAME?</v>
      </c>
      <c r="DC158" s="7" t="e">
        <f t="shared" ca="1" si="71"/>
        <v>#NAME?</v>
      </c>
      <c r="DD158" s="7" t="e">
        <f t="shared" ca="1" si="71"/>
        <v>#NAME?</v>
      </c>
      <c r="DE158" s="7" t="e">
        <f t="shared" ca="1" si="71"/>
        <v>#NAME?</v>
      </c>
      <c r="DF158" s="7" t="e">
        <f t="shared" ca="1" si="71"/>
        <v>#NAME?</v>
      </c>
      <c r="DG158" s="7" t="e">
        <f t="shared" ca="1" si="71"/>
        <v>#NAME?</v>
      </c>
      <c r="DH158" s="7" t="e">
        <f t="shared" ca="1" si="71"/>
        <v>#NAME?</v>
      </c>
      <c r="DI158" s="7" t="e">
        <f t="shared" ca="1" si="71"/>
        <v>#NAME?</v>
      </c>
      <c r="DJ158" s="7" t="e">
        <f t="shared" ca="1" si="71"/>
        <v>#NAME?</v>
      </c>
      <c r="DK158" s="7" t="e">
        <f t="shared" ca="1" si="71"/>
        <v>#NAME?</v>
      </c>
      <c r="DL158" s="7" t="e">
        <f t="shared" ca="1" si="71"/>
        <v>#NAME?</v>
      </c>
      <c r="DM158" s="7" t="e">
        <f t="shared" ca="1" si="71"/>
        <v>#NAME?</v>
      </c>
      <c r="DN158" s="7" t="e">
        <f t="shared" ca="1" si="71"/>
        <v>#NAME?</v>
      </c>
      <c r="DO158" s="7" t="e">
        <f t="shared" ca="1" si="71"/>
        <v>#NAME?</v>
      </c>
      <c r="DP158" s="7" t="e">
        <f t="shared" ca="1" si="71"/>
        <v>#NAME?</v>
      </c>
      <c r="DQ158" s="7" t="e">
        <f t="shared" ca="1" si="71"/>
        <v>#NAME?</v>
      </c>
      <c r="DR158" s="7" t="e">
        <f t="shared" ca="1" si="71"/>
        <v>#NAME?</v>
      </c>
      <c r="DS158" s="7" t="e">
        <f t="shared" ca="1" si="71"/>
        <v>#NAME?</v>
      </c>
      <c r="DT158" s="7" t="e">
        <f t="shared" ca="1" si="71"/>
        <v>#NAME?</v>
      </c>
      <c r="DU158" s="7" t="e">
        <f t="shared" ca="1" si="71"/>
        <v>#NAME?</v>
      </c>
      <c r="DV158" s="7" t="e">
        <f t="shared" ca="1" si="71"/>
        <v>#NAME?</v>
      </c>
      <c r="DW158" s="7" t="e">
        <f t="shared" ca="1" si="71"/>
        <v>#NAME?</v>
      </c>
      <c r="DX158" s="7" t="e">
        <f t="shared" ca="1" si="71"/>
        <v>#NAME?</v>
      </c>
      <c r="DY158" s="7" t="e">
        <f t="shared" ca="1" si="71"/>
        <v>#NAME?</v>
      </c>
      <c r="DZ158" s="7" t="e">
        <f t="shared" ca="1" si="71"/>
        <v>#NAME?</v>
      </c>
      <c r="EA158" s="7" t="e">
        <f t="shared" ca="1" si="71"/>
        <v>#NAME?</v>
      </c>
      <c r="EB158" s="7" t="e">
        <f t="shared" ca="1" si="71"/>
        <v>#NAME?</v>
      </c>
      <c r="EC158" s="7" t="e">
        <f t="shared" ca="1" si="71"/>
        <v>#NAME?</v>
      </c>
      <c r="ED158" s="7" t="e">
        <f t="shared" ca="1" si="71"/>
        <v>#NAME?</v>
      </c>
      <c r="EE158" s="7" t="e">
        <f t="shared" ca="1" si="71"/>
        <v>#NAME?</v>
      </c>
      <c r="EF158" s="7" t="e">
        <f t="shared" ca="1" si="71"/>
        <v>#NAME?</v>
      </c>
      <c r="EG158" s="7" t="e">
        <f t="shared" ca="1" si="71"/>
        <v>#NAME?</v>
      </c>
      <c r="EH158" s="7" t="e">
        <f t="shared" ca="1" si="71"/>
        <v>#NAME?</v>
      </c>
      <c r="EI158" s="7" t="e">
        <f t="shared" ca="1" si="71"/>
        <v>#NAME?</v>
      </c>
      <c r="EJ158" s="7" t="e">
        <f t="shared" ca="1" si="71"/>
        <v>#NAME?</v>
      </c>
      <c r="EK158" s="7" t="e">
        <f t="shared" ca="1" si="71"/>
        <v>#NAME?</v>
      </c>
      <c r="EL158" s="7" t="e">
        <f t="shared" ca="1" si="71"/>
        <v>#NAME?</v>
      </c>
      <c r="EM158" s="7" t="e">
        <f t="shared" ca="1" si="71"/>
        <v>#NAME?</v>
      </c>
      <c r="EN158" s="7" t="e">
        <f t="shared" ca="1" si="71"/>
        <v>#NAME?</v>
      </c>
      <c r="EO158" s="7" t="e">
        <f t="shared" ca="1" si="71"/>
        <v>#NAME?</v>
      </c>
      <c r="EP158" s="7" t="e">
        <f t="shared" ca="1" si="71"/>
        <v>#NAME?</v>
      </c>
      <c r="EQ158" s="7" t="e">
        <f t="shared" ca="1" si="71"/>
        <v>#NAME?</v>
      </c>
      <c r="ER158" s="7" t="e">
        <f t="shared" ca="1" si="71"/>
        <v>#NAME?</v>
      </c>
      <c r="ES158" s="7" t="e">
        <f t="shared" ca="1" si="71"/>
        <v>#NAME?</v>
      </c>
      <c r="ET158" s="7" t="e">
        <f t="shared" ca="1" si="71"/>
        <v>#NAME?</v>
      </c>
      <c r="EU158" s="7" t="e">
        <f t="shared" ca="1" si="71"/>
        <v>#NAME?</v>
      </c>
      <c r="EV158" s="7" t="e">
        <f t="shared" ca="1" si="71"/>
        <v>#NAME?</v>
      </c>
      <c r="EW158" s="7" t="e">
        <f t="shared" ca="1" si="71"/>
        <v>#NAME?</v>
      </c>
      <c r="EX158" s="7" t="e">
        <f t="shared" ca="1" si="71"/>
        <v>#NAME?</v>
      </c>
      <c r="EY158" s="7" t="e">
        <f t="shared" ca="1" si="71"/>
        <v>#NAME?</v>
      </c>
      <c r="EZ158" s="7" t="e">
        <f t="shared" ca="1" si="71"/>
        <v>#NAME?</v>
      </c>
      <c r="FA158" s="7" t="e">
        <f t="shared" ca="1" si="71"/>
        <v>#NAME?</v>
      </c>
      <c r="FB158" s="7" t="e">
        <f t="shared" ca="1" si="71"/>
        <v>#NAME?</v>
      </c>
      <c r="FC158" s="7" t="e">
        <f t="shared" ca="1" si="71"/>
        <v>#NAME?</v>
      </c>
      <c r="FD158" s="7" t="e">
        <f t="shared" ca="1" si="71"/>
        <v>#NAME?</v>
      </c>
      <c r="FE158" s="7" t="e">
        <f t="shared" ca="1" si="71"/>
        <v>#NAME?</v>
      </c>
      <c r="FF158" s="7" t="e">
        <f t="shared" ca="1" si="71"/>
        <v>#NAME?</v>
      </c>
      <c r="FG158" s="7" t="e">
        <f t="shared" ca="1" si="71"/>
        <v>#NAME?</v>
      </c>
      <c r="FH158" s="7" t="e">
        <f t="shared" ca="1" si="71"/>
        <v>#NAME?</v>
      </c>
      <c r="FI158" s="7" t="e">
        <f t="shared" ca="1" si="71"/>
        <v>#NAME?</v>
      </c>
      <c r="FJ158" s="7" t="e">
        <f t="shared" ca="1" si="71"/>
        <v>#NAME?</v>
      </c>
      <c r="FK158" s="7" t="e">
        <f t="shared" ca="1" si="71"/>
        <v>#NAME?</v>
      </c>
      <c r="FL158" s="7" t="e">
        <f t="shared" ca="1" si="71"/>
        <v>#NAME?</v>
      </c>
      <c r="FM158" s="7" t="e">
        <f t="shared" ca="1" si="71"/>
        <v>#NAME?</v>
      </c>
      <c r="FN158" s="7" t="e">
        <f t="shared" ca="1" si="71"/>
        <v>#NAME?</v>
      </c>
      <c r="FO158" s="7" t="e">
        <f t="shared" ca="1" si="71"/>
        <v>#NAME?</v>
      </c>
      <c r="FP158" s="7" t="e">
        <f t="shared" ca="1" si="71"/>
        <v>#NAME?</v>
      </c>
      <c r="FQ158" s="7" t="e">
        <f t="shared" ca="1" si="71"/>
        <v>#NAME?</v>
      </c>
      <c r="FR158" s="7" t="e">
        <f t="shared" ca="1" si="71"/>
        <v>#NAME?</v>
      </c>
      <c r="FS158" s="7" t="e">
        <f t="shared" ca="1" si="71"/>
        <v>#NAME?</v>
      </c>
      <c r="FT158" s="7" t="e">
        <f t="shared" ca="1" si="71"/>
        <v>#NAME?</v>
      </c>
      <c r="FU158" s="7" t="e">
        <f t="shared" ca="1" si="71"/>
        <v>#NAME?</v>
      </c>
      <c r="FV158" s="7" t="e">
        <f t="shared" ca="1" si="71"/>
        <v>#NAME?</v>
      </c>
      <c r="FW158" s="7" t="e">
        <f t="shared" ca="1" si="71"/>
        <v>#NAME?</v>
      </c>
      <c r="FX158" s="7" t="e">
        <f t="shared" ca="1" si="71"/>
        <v>#NAME?</v>
      </c>
      <c r="FY158" s="7"/>
      <c r="FZ158" s="7"/>
      <c r="GA158" s="23"/>
      <c r="GB158" s="7"/>
      <c r="GC158" s="7"/>
      <c r="GD158" s="7"/>
      <c r="GE158" s="7"/>
      <c r="GF158" s="7"/>
      <c r="GG158" s="7"/>
      <c r="GH158" s="7"/>
      <c r="GI158" s="7"/>
      <c r="GJ158" s="7"/>
      <c r="GK158" s="7"/>
    </row>
    <row r="159" spans="1:193" ht="15.5" x14ac:dyDescent="0.35">
      <c r="A159" s="7"/>
      <c r="B159" s="7" t="s">
        <v>893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</row>
    <row r="160" spans="1:193" ht="15.5" x14ac:dyDescent="0.35">
      <c r="A160" s="12" t="s">
        <v>894</v>
      </c>
      <c r="B160" s="7" t="s">
        <v>895</v>
      </c>
      <c r="C160" s="7">
        <f ca="1">IFERROR(__xludf.DUMMYFUNCTION("ROUND(IF((AND((C103&lt;=459),(C139&lt;=C19)))=TRUE(),0,+C156+C158),2)"),7702524.55)</f>
        <v>7702524.5499999998</v>
      </c>
      <c r="D160" s="7">
        <f ca="1">IFERROR(__xludf.DUMMYFUNCTION("ROUND(IF((AND((D103&lt;=459),(D139&lt;=D19)))=TRUE(),0,+D156+D158),2)"),25149309.99)</f>
        <v>25149309.989999998</v>
      </c>
      <c r="E160" s="7">
        <f ca="1">IFERROR(__xludf.DUMMYFUNCTION("ROUND(IF((AND((E103&lt;=459),(E139&lt;=E19)))=TRUE(),0,+E156+E158),2)"),9000474.32)</f>
        <v>9000474.3200000003</v>
      </c>
      <c r="F160" s="7">
        <f ca="1">IFERROR(__xludf.DUMMYFUNCTION("ROUND(IF((AND((F103&lt;=459),(F139&lt;=F19)))=TRUE(),0,+F156+F158),2)"),16283677.71)</f>
        <v>16283677.710000001</v>
      </c>
      <c r="G160" s="7">
        <f ca="1">IFERROR(__xludf.DUMMYFUNCTION("ROUND(IF((AND((G103&lt;=459),(G139&lt;=G19)))=TRUE(),0,+G156+G158),2)"),0)</f>
        <v>0</v>
      </c>
      <c r="H160" s="7">
        <f ca="1">IFERROR(__xludf.DUMMYFUNCTION("ROUND(IF((AND((H103&lt;=459),(H139&lt;=H19)))=TRUE(),0,+H156+H158),2)"),0)</f>
        <v>0</v>
      </c>
      <c r="I160" s="7">
        <f ca="1">IFERROR(__xludf.DUMMYFUNCTION("ROUND(IF((AND((I103&lt;=459),(I139&lt;=I19)))=TRUE(),0,+I156+I158),2)"),11302227.64)</f>
        <v>11302227.640000001</v>
      </c>
      <c r="J160" s="7">
        <f ca="1">IFERROR(__xludf.DUMMYFUNCTION("ROUND(IF((AND((J103&lt;=459),(J139&lt;=J19)))=TRUE(),0,+J156+J158),2)"),2620199.99)</f>
        <v>2620199.9900000002</v>
      </c>
      <c r="K160" s="7">
        <f ca="1">IFERROR(__xludf.DUMMYFUNCTION("ROUND(IF((AND((K103&lt;=459),(K139&lt;=K19)))=TRUE(),0,+K156+K158),2)"),0)</f>
        <v>0</v>
      </c>
      <c r="L160" s="7">
        <f ca="1">IFERROR(__xludf.DUMMYFUNCTION("ROUND(IF((AND((L103&lt;=459),(L139&lt;=L19)))=TRUE(),0,+L156+L158),2)"),2034225.27)</f>
        <v>2034225.27</v>
      </c>
      <c r="M160" s="7">
        <f ca="1">IFERROR(__xludf.DUMMYFUNCTION("ROUND(IF((AND((M103&lt;=459),(M139&lt;=M19)))=TRUE(),0,+M156+M158),2)"),1515039.22)</f>
        <v>1515039.22</v>
      </c>
      <c r="N160" s="7">
        <f ca="1">IFERROR(__xludf.DUMMYFUNCTION("ROUND(IF((AND((N103&lt;=459),(N139&lt;=N19)))=TRUE(),0,+N156+N158),2)"),0)</f>
        <v>0</v>
      </c>
      <c r="O160" s="7">
        <f ca="1">IFERROR(__xludf.DUMMYFUNCTION("ROUND(IF((AND((O103&lt;=459),(O139&lt;=O19)))=TRUE(),0,+O156+O158),2)"),0)</f>
        <v>0</v>
      </c>
      <c r="P160" s="7">
        <f ca="1">IFERROR(__xludf.DUMMYFUNCTION("ROUND(IF((AND((P103&lt;=459),(P139&lt;=P19)))=TRUE(),0,+P156+P158),2)"),0)</f>
        <v>0</v>
      </c>
      <c r="Q160" s="7">
        <f ca="1">IFERROR(__xludf.DUMMYFUNCTION("ROUND(IF((AND((Q103&lt;=459),(Q139&lt;=Q19)))=TRUE(),0,+Q156+Q158),2)"),55064680.12)</f>
        <v>55064680.119999997</v>
      </c>
      <c r="R160" s="7">
        <f ca="1">IFERROR(__xludf.DUMMYFUNCTION("ROUND(IF((AND((R103&lt;=459),(R139&lt;=R19)))=TRUE(),0,+R156+R158),2)"),5154876.45)</f>
        <v>5154876.45</v>
      </c>
      <c r="S160" s="7">
        <f ca="1">IFERROR(__xludf.DUMMYFUNCTION("ROUND(IF((AND((S103&lt;=459),(S139&lt;=S19)))=TRUE(),0,+S156+S158),2)"),1320376.69)</f>
        <v>1320376.69</v>
      </c>
      <c r="T160" s="7">
        <f ca="1">IFERROR(__xludf.DUMMYFUNCTION("ROUND(IF((AND((T103&lt;=459),(T139&lt;=T19)))=TRUE(),0,+T156+T158),2)"),0)</f>
        <v>0</v>
      </c>
      <c r="U160" s="7">
        <f ca="1">IFERROR(__xludf.DUMMYFUNCTION("ROUND(IF((AND((U103&lt;=459),(U139&lt;=U19)))=TRUE(),0,+U156+U158),2)"),0)</f>
        <v>0</v>
      </c>
      <c r="V160" s="7">
        <f ca="1">IFERROR(__xludf.DUMMYFUNCTION("ROUND(IF((AND((V103&lt;=459),(V139&lt;=V19)))=TRUE(),0,+V156+V158),2)"),0)</f>
        <v>0</v>
      </c>
      <c r="W160" s="7">
        <f ca="1">IFERROR(__xludf.DUMMYFUNCTION("ROUND(IF((AND((W103&lt;=459),(W139&lt;=W19)))=TRUE(),0,+W156+W158),2)"),0)</f>
        <v>0</v>
      </c>
      <c r="X160" s="7">
        <f ca="1">IFERROR(__xludf.DUMMYFUNCTION("ROUND(IF((AND((X103&lt;=459),(X139&lt;=X19)))=TRUE(),0,+X156+X158),2)"),0)</f>
        <v>0</v>
      </c>
      <c r="Y160" s="7">
        <f ca="1">IFERROR(__xludf.DUMMYFUNCTION("ROUND(IF((AND((Y103&lt;=459),(Y139&lt;=Y19)))=TRUE(),0,+Y156+Y158),2)"),1327527.72)</f>
        <v>1327527.72</v>
      </c>
      <c r="Z160" s="7">
        <f ca="1">IFERROR(__xludf.DUMMYFUNCTION("ROUND(IF((AND((Z103&lt;=459),(Z139&lt;=Z19)))=TRUE(),0,+Z156+Z158),2)"),0)</f>
        <v>0</v>
      </c>
      <c r="AA160" s="7">
        <f ca="1">IFERROR(__xludf.DUMMYFUNCTION("ROUND(IF((AND((AA103&lt;=459),(AA139&lt;=AA19)))=TRUE(),0,+AA156+AA158),2)"),0)</f>
        <v>0</v>
      </c>
      <c r="AB160" s="7">
        <f ca="1">IFERROR(__xludf.DUMMYFUNCTION("ROUND(IF((AND((AB103&lt;=459),(AB139&lt;=AB19)))=TRUE(),0,+AB156+AB158),2)"),0)</f>
        <v>0</v>
      </c>
      <c r="AC160" s="7">
        <f ca="1">IFERROR(__xludf.DUMMYFUNCTION("ROUND(IF((AND((AC103&lt;=459),(AC139&lt;=AC19)))=TRUE(),0,+AC156+AC158),2)"),0)</f>
        <v>0</v>
      </c>
      <c r="AD160" s="7">
        <f ca="1">IFERROR(__xludf.DUMMYFUNCTION("ROUND(IF((AND((AD103&lt;=459),(AD139&lt;=AD19)))=TRUE(),0,+AD156+AD158),2)"),0)</f>
        <v>0</v>
      </c>
      <c r="AE160" s="7">
        <f ca="1">IFERROR(__xludf.DUMMYFUNCTION("ROUND(IF((AND((AE103&lt;=459),(AE139&lt;=AE19)))=TRUE(),0,+AE156+AE158),2)"),0)</f>
        <v>0</v>
      </c>
      <c r="AF160" s="7">
        <f ca="1">IFERROR(__xludf.DUMMYFUNCTION("ROUND(IF((AND((AF103&lt;=459),(AF139&lt;=AF19)))=TRUE(),0,+AF156+AF158),2)"),0)</f>
        <v>0</v>
      </c>
      <c r="AG160" s="7">
        <f ca="1">IFERROR(__xludf.DUMMYFUNCTION("ROUND(IF((AND((AG103&lt;=459),(AG139&lt;=AG19)))=TRUE(),0,+AG156+AG158),2)"),0)</f>
        <v>0</v>
      </c>
      <c r="AH160" s="7">
        <f ca="1">IFERROR(__xludf.DUMMYFUNCTION("ROUND(IF((AND((AH103&lt;=459),(AH139&lt;=AH19)))=TRUE(),0,+AH156+AH158),2)"),953247.2)</f>
        <v>953247.2</v>
      </c>
      <c r="AI160" s="7">
        <f ca="1">IFERROR(__xludf.DUMMYFUNCTION("ROUND(IF((AND((AI103&lt;=459),(AI139&lt;=AI19)))=TRUE(),0,+AI156+AI158),2)"),0)</f>
        <v>0</v>
      </c>
      <c r="AJ160" s="7">
        <f ca="1">IFERROR(__xludf.DUMMYFUNCTION("ROUND(IF((AND((AJ103&lt;=459),(AJ139&lt;=AJ19)))=TRUE(),0,+AJ156+AJ158),2)"),0)</f>
        <v>0</v>
      </c>
      <c r="AK160" s="7">
        <f ca="1">IFERROR(__xludf.DUMMYFUNCTION("ROUND(IF((AND((AK103&lt;=459),(AK139&lt;=AK19)))=TRUE(),0,+AK156+AK158),2)"),0)</f>
        <v>0</v>
      </c>
      <c r="AL160" s="7">
        <f ca="1">IFERROR(__xludf.DUMMYFUNCTION("ROUND(IF((AND((AL103&lt;=459),(AL139&lt;=AL19)))=TRUE(),0,+AL156+AL158),2)"),0)</f>
        <v>0</v>
      </c>
      <c r="AM160" s="7">
        <f ca="1">IFERROR(__xludf.DUMMYFUNCTION("ROUND(IF((AND((AM103&lt;=459),(AM139&lt;=AM19)))=TRUE(),0,+AM156+AM158),2)"),0)</f>
        <v>0</v>
      </c>
      <c r="AN160" s="7">
        <f ca="1">IFERROR(__xludf.DUMMYFUNCTION("ROUND(IF((AND((AN103&lt;=459),(AN139&lt;=AN19)))=TRUE(),0,+AN156+AN158),2)"),0)</f>
        <v>0</v>
      </c>
      <c r="AO160" s="7">
        <f ca="1">IFERROR(__xludf.DUMMYFUNCTION("ROUND(IF((AND((AO103&lt;=459),(AO139&lt;=AO19)))=TRUE(),0,+AO156+AO158),2)"),3392999.36)</f>
        <v>3392999.36</v>
      </c>
      <c r="AP160" s="7">
        <f ca="1">IFERROR(__xludf.DUMMYFUNCTION("ROUND(IF((AND((AP103&lt;=459),(AP139&lt;=AP19)))=TRUE(),0,+AP156+AP158),2)"),78296235.93)</f>
        <v>78296235.930000007</v>
      </c>
      <c r="AQ160" s="7">
        <f ca="1">IFERROR(__xludf.DUMMYFUNCTION("ROUND(IF((AND((AQ103&lt;=459),(AQ139&lt;=AQ19)))=TRUE(),0,+AQ156+AQ158),2)"),0)</f>
        <v>0</v>
      </c>
      <c r="AR160" s="7">
        <f ca="1">IFERROR(__xludf.DUMMYFUNCTION("ROUND(IF((AND((AR103&lt;=459),(AR139&lt;=AR19)))=TRUE(),0,+AR156+AR158),2)"),0)</f>
        <v>0</v>
      </c>
      <c r="AS160" s="7">
        <f ca="1">IFERROR(__xludf.DUMMYFUNCTION("ROUND(IF((AND((AS103&lt;=459),(AS139&lt;=AS19)))=TRUE(),0,+AS156+AS158),2)"),0)</f>
        <v>0</v>
      </c>
      <c r="AT160" s="7">
        <f ca="1">IFERROR(__xludf.DUMMYFUNCTION("ROUND(IF((AND((AT103&lt;=459),(AT139&lt;=AT19)))=TRUE(),0,+AT156+AT158),2)"),0)</f>
        <v>0</v>
      </c>
      <c r="AU160" s="7">
        <f ca="1">IFERROR(__xludf.DUMMYFUNCTION("ROUND(IF((AND((AU103&lt;=459),(AU139&lt;=AU19)))=TRUE(),0,+AU156+AU158),2)"),0)</f>
        <v>0</v>
      </c>
      <c r="AV160" s="7">
        <f ca="1">IFERROR(__xludf.DUMMYFUNCTION("ROUND(IF((AND((AV103&lt;=459),(AV139&lt;=AV19)))=TRUE(),0,+AV156+AV158),2)"),0)</f>
        <v>0</v>
      </c>
      <c r="AW160" s="7">
        <f ca="1">IFERROR(__xludf.DUMMYFUNCTION("ROUND(IF((AND((AW103&lt;=459),(AW139&lt;=AW19)))=TRUE(),0,+AW156+AW158),2)"),0)</f>
        <v>0</v>
      </c>
      <c r="AX160" s="7">
        <f ca="1">IFERROR(__xludf.DUMMYFUNCTION("ROUND(IF((AND((AX103&lt;=459),(AX139&lt;=AX19)))=TRUE(),0,+AX156+AX158),2)"),0)</f>
        <v>0</v>
      </c>
      <c r="AY160" s="7">
        <f ca="1">IFERROR(__xludf.DUMMYFUNCTION("ROUND(IF((AND((AY103&lt;=459),(AY139&lt;=AY19)))=TRUE(),0,+AY156+AY158),2)"),0)</f>
        <v>0</v>
      </c>
      <c r="AZ160" s="7">
        <f ca="1">IFERROR(__xludf.DUMMYFUNCTION("ROUND(IF((AND((AZ103&lt;=459),(AZ139&lt;=AZ19)))=TRUE(),0,+AZ156+AZ158),2)"),11966830.19)</f>
        <v>11966830.189999999</v>
      </c>
      <c r="BA160" s="7">
        <f ca="1">IFERROR(__xludf.DUMMYFUNCTION("ROUND(IF((AND((BA103&lt;=459),(BA139&lt;=BA19)))=TRUE(),0,+BA156+BA158),2)"),5483637.6)</f>
        <v>5483637.5999999996</v>
      </c>
      <c r="BB160" s="7">
        <f ca="1">IFERROR(__xludf.DUMMYFUNCTION("ROUND(IF((AND((BB103&lt;=459),(BB139&lt;=BB19)))=TRUE(),0,+BB156+BB158),2)"),4612477.33)</f>
        <v>4612477.33</v>
      </c>
      <c r="BC160" s="7">
        <f ca="1">IFERROR(__xludf.DUMMYFUNCTION("ROUND(IF((AND((BC103&lt;=459),(BC139&lt;=BC19)))=TRUE(),0,+BC156+BC158),2)"),19124788.96)</f>
        <v>19124788.960000001</v>
      </c>
      <c r="BD160" s="7">
        <f ca="1">IFERROR(__xludf.DUMMYFUNCTION("ROUND(IF((AND((BD103&lt;=459),(BD139&lt;=BD19)))=TRUE(),0,+BD156+BD158),2)"),0)</f>
        <v>0</v>
      </c>
      <c r="BE160" s="7">
        <f ca="1">IFERROR(__xludf.DUMMYFUNCTION("ROUND(IF((AND((BE103&lt;=459),(BE139&lt;=BE19)))=TRUE(),0,+BE156+BE158),2)"),0)</f>
        <v>0</v>
      </c>
      <c r="BF160" s="7">
        <f ca="1">IFERROR(__xludf.DUMMYFUNCTION("ROUND(IF((AND((BF103&lt;=459),(BF139&lt;=BF19)))=TRUE(),0,+BF156+BF158),2)"),0)</f>
        <v>0</v>
      </c>
      <c r="BG160" s="7">
        <f ca="1">IFERROR(__xludf.DUMMYFUNCTION("ROUND(IF((AND((BG103&lt;=459),(BG139&lt;=BG19)))=TRUE(),0,+BG156+BG158),2)"),822488.54)</f>
        <v>822488.54</v>
      </c>
      <c r="BH160" s="7">
        <f ca="1">IFERROR(__xludf.DUMMYFUNCTION("ROUND(IF((AND((BH103&lt;=459),(BH139&lt;=BH19)))=TRUE(),0,+BH156+BH158),2)"),0)</f>
        <v>0</v>
      </c>
      <c r="BI160" s="7">
        <f ca="1">IFERROR(__xludf.DUMMYFUNCTION("ROUND(IF((AND((BI103&lt;=459),(BI139&lt;=BI19)))=TRUE(),0,+BI156+BI158),2)"),0)</f>
        <v>0</v>
      </c>
      <c r="BJ160" s="7">
        <f ca="1">IFERROR(__xludf.DUMMYFUNCTION("ROUND(IF((AND((BJ103&lt;=459),(BJ139&lt;=BJ19)))=TRUE(),0,+BJ156+BJ158),2)"),0)</f>
        <v>0</v>
      </c>
      <c r="BK160" s="7">
        <f ca="1">IFERROR(__xludf.DUMMYFUNCTION("ROUND(IF((AND((BK103&lt;=459),(BK139&lt;=BK19)))=TRUE(),0,+BK156+BK158),2)"),18259110.43)</f>
        <v>18259110.43</v>
      </c>
      <c r="BL160" s="7">
        <f ca="1">IFERROR(__xludf.DUMMYFUNCTION("ROUND(IF((AND((BL103&lt;=459),(BL139&lt;=BL19)))=TRUE(),0,+BL156+BL158),2)"),0)</f>
        <v>0</v>
      </c>
      <c r="BM160" s="7">
        <f ca="1">IFERROR(__xludf.DUMMYFUNCTION("ROUND(IF((AND((BM103&lt;=459),(BM139&lt;=BM19)))=TRUE(),0,+BM156+BM158),2)"),0)</f>
        <v>0</v>
      </c>
      <c r="BN160" s="7">
        <f ca="1">IFERROR(__xludf.DUMMYFUNCTION("ROUND(IF((AND((BN103&lt;=459),(BN139&lt;=BN19)))=TRUE(),0,+BN156+BN158),2)"),2381038.71)</f>
        <v>2381038.71</v>
      </c>
      <c r="BO160" s="7">
        <f ca="1">IFERROR(__xludf.DUMMYFUNCTION("ROUND(IF((AND((BO103&lt;=459),(BO139&lt;=BO19)))=TRUE(),0,+BO156+BO158),2)"),929495.27)</f>
        <v>929495.27</v>
      </c>
      <c r="BP160" s="7">
        <f ca="1">IFERROR(__xludf.DUMMYFUNCTION("ROUND(IF((AND((BP103&lt;=459),(BP139&lt;=BP19)))=TRUE(),0,+BP156+BP158),2)"),0)</f>
        <v>0</v>
      </c>
      <c r="BQ160" s="7">
        <f ca="1">IFERROR(__xludf.DUMMYFUNCTION("ROUND(IF((AND((BQ103&lt;=459),(BQ139&lt;=BQ19)))=TRUE(),0,+BQ156+BQ158),2)"),4047062.13)</f>
        <v>4047062.13</v>
      </c>
      <c r="BR160" s="7">
        <f ca="1">IFERROR(__xludf.DUMMYFUNCTION("ROUND(IF((AND((BR103&lt;=459),(BR139&lt;=BR19)))=TRUE(),0,+BR156+BR158),2)"),2861589.72)</f>
        <v>2861589.72</v>
      </c>
      <c r="BS160" s="7">
        <f ca="1">IFERROR(__xludf.DUMMYFUNCTION("ROUND(IF((AND((BS103&lt;=459),(BS139&lt;=BS19)))=TRUE(),0,+BS156+BS158),2)"),1236615.1)</f>
        <v>1236615.1000000001</v>
      </c>
      <c r="BT160" s="7">
        <f ca="1">IFERROR(__xludf.DUMMYFUNCTION("ROUND(IF((AND((BT103&lt;=459),(BT139&lt;=BT19)))=TRUE(),0,+BT156+BT158),2)"),0)</f>
        <v>0</v>
      </c>
      <c r="BU160" s="7">
        <f ca="1">IFERROR(__xludf.DUMMYFUNCTION("ROUND(IF((AND((BU103&lt;=459),(BU139&lt;=BU19)))=TRUE(),0,+BU156+BU158),2)"),0)</f>
        <v>0</v>
      </c>
      <c r="BV160" s="7">
        <f ca="1">IFERROR(__xludf.DUMMYFUNCTION("ROUND(IF((AND((BV103&lt;=459),(BV139&lt;=BV19)))=TRUE(),0,+BV156+BV158),2)"),0)</f>
        <v>0</v>
      </c>
      <c r="BW160" s="7">
        <f ca="1">IFERROR(__xludf.DUMMYFUNCTION("ROUND(IF((AND((BW103&lt;=459),(BW139&lt;=BW19)))=TRUE(),0,+BW156+BW158),2)"),0)</f>
        <v>0</v>
      </c>
      <c r="BX160" s="7">
        <f ca="1">IFERROR(__xludf.DUMMYFUNCTION("ROUND(IF((AND((BX103&lt;=459),(BX139&lt;=BX19)))=TRUE(),0,+BX156+BX158),2)"),0)</f>
        <v>0</v>
      </c>
      <c r="BY160" s="7">
        <f ca="1">IFERROR(__xludf.DUMMYFUNCTION("ROUND(IF((AND((BY103&lt;=459),(BY139&lt;=BY19)))=TRUE(),0,+BY156+BY158),2)"),0)</f>
        <v>0</v>
      </c>
      <c r="BZ160" s="7">
        <f ca="1">IFERROR(__xludf.DUMMYFUNCTION("ROUND(IF((AND((BZ103&lt;=459),(BZ139&lt;=BZ19)))=TRUE(),0,+BZ156+BZ158),2)"),0)</f>
        <v>0</v>
      </c>
      <c r="CA160" s="7">
        <f ca="1">IFERROR(__xludf.DUMMYFUNCTION("ROUND(IF((AND((CA103&lt;=459),(CA139&lt;=CA19)))=TRUE(),0,+CA156+CA158),2)"),0)</f>
        <v>0</v>
      </c>
      <c r="CB160" s="7">
        <f ca="1">IFERROR(__xludf.DUMMYFUNCTION("ROUND(IF((AND((CB103&lt;=459),(CB139&lt;=CB19)))=TRUE(),0,+CB156+CB158),2)"),0)</f>
        <v>0</v>
      </c>
      <c r="CC160" s="7">
        <f ca="1">IFERROR(__xludf.DUMMYFUNCTION("ROUND(IF((AND((CC103&lt;=459),(CC139&lt;=CC19)))=TRUE(),0,+CC156+CC158),2)"),0)</f>
        <v>0</v>
      </c>
      <c r="CD160" s="7">
        <f ca="1">IFERROR(__xludf.DUMMYFUNCTION("ROUND(IF((AND((CD103&lt;=459),(CD139&lt;=CD19)))=TRUE(),0,+CD156+CD158),2)"),0)</f>
        <v>0</v>
      </c>
      <c r="CE160" s="7">
        <f ca="1">IFERROR(__xludf.DUMMYFUNCTION("ROUND(IF((AND((CE103&lt;=459),(CE139&lt;=CE19)))=TRUE(),0,+CE156+CE158),2)"),0)</f>
        <v>0</v>
      </c>
      <c r="CF160" s="7">
        <f ca="1">IFERROR(__xludf.DUMMYFUNCTION("ROUND(IF((AND((CF103&lt;=459),(CF139&lt;=CF19)))=TRUE(),0,+CF156+CF158),2)"),0)</f>
        <v>0</v>
      </c>
      <c r="CG160" s="7">
        <f ca="1">IFERROR(__xludf.DUMMYFUNCTION("ROUND(IF((AND((CG103&lt;=459),(CG139&lt;=CG19)))=TRUE(),0,+CG156+CG158),2)"),0)</f>
        <v>0</v>
      </c>
      <c r="CH160" s="7">
        <f ca="1">IFERROR(__xludf.DUMMYFUNCTION("ROUND(IF((AND((CH103&lt;=459),(CH139&lt;=CH19)))=TRUE(),0,+CH156+CH158),2)"),0)</f>
        <v>0</v>
      </c>
      <c r="CI160" s="7">
        <f ca="1">IFERROR(__xludf.DUMMYFUNCTION("ROUND(IF((AND((CI103&lt;=459),(CI139&lt;=CI19)))=TRUE(),0,+CI156+CI158),2)"),631890.12)</f>
        <v>631890.12</v>
      </c>
      <c r="CJ160" s="7">
        <f ca="1">IFERROR(__xludf.DUMMYFUNCTION("ROUND(IF((AND((CJ103&lt;=459),(CJ139&lt;=CJ19)))=TRUE(),0,+CJ156+CJ158),2)"),782829.8)</f>
        <v>782829.8</v>
      </c>
      <c r="CK160" s="7">
        <f ca="1">IFERROR(__xludf.DUMMYFUNCTION("ROUND(IF((AND((CK103&lt;=459),(CK139&lt;=CK19)))=TRUE(),0,+CK156+CK158),2)"),0)</f>
        <v>0</v>
      </c>
      <c r="CL160" s="7">
        <f ca="1">IFERROR(__xludf.DUMMYFUNCTION("ROUND(IF((AND((CL103&lt;=459),(CL139&lt;=CL19)))=TRUE(),0,+CL156+CL158),2)"),0)</f>
        <v>0</v>
      </c>
      <c r="CM160" s="7">
        <f ca="1">IFERROR(__xludf.DUMMYFUNCTION("ROUND(IF((AND((CM103&lt;=459),(CM139&lt;=CM19)))=TRUE(),0,+CM156+CM158),2)"),545028.26)</f>
        <v>545028.26</v>
      </c>
      <c r="CN160" s="7">
        <f ca="1">IFERROR(__xludf.DUMMYFUNCTION("ROUND(IF((AND((CN103&lt;=459),(CN139&lt;=CN19)))=TRUE(),0,+CN156+CN158),2)"),0)</f>
        <v>0</v>
      </c>
      <c r="CO160" s="7">
        <f ca="1">IFERROR(__xludf.DUMMYFUNCTION("ROUND(IF((AND((CO103&lt;=459),(CO139&lt;=CO19)))=TRUE(),0,+CO156+CO158),2)"),0)</f>
        <v>0</v>
      </c>
      <c r="CP160" s="7">
        <f ca="1">IFERROR(__xludf.DUMMYFUNCTION("ROUND(IF((AND((CP103&lt;=459),(CP139&lt;=CP19)))=TRUE(),0,+CP156+CP158),2)"),603286.3)</f>
        <v>603286.30000000005</v>
      </c>
      <c r="CQ160" s="7">
        <f ca="1">IFERROR(__xludf.DUMMYFUNCTION("ROUND(IF((AND((CQ103&lt;=459),(CQ139&lt;=CQ19)))=TRUE(),0,+CQ156+CQ158),2)"),1022295.94)</f>
        <v>1022295.94</v>
      </c>
      <c r="CR160" s="7">
        <f ca="1">IFERROR(__xludf.DUMMYFUNCTION("ROUND(IF((AND((CR103&lt;=459),(CR139&lt;=CR19)))=TRUE(),0,+CR156+CR158),2)"),0)</f>
        <v>0</v>
      </c>
      <c r="CS160" s="7">
        <f ca="1">IFERROR(__xludf.DUMMYFUNCTION("ROUND(IF((AND((CS103&lt;=459),(CS139&lt;=CS19)))=TRUE(),0,+CS156+CS158),2)"),0)</f>
        <v>0</v>
      </c>
      <c r="CT160" s="7">
        <f ca="1">IFERROR(__xludf.DUMMYFUNCTION("ROUND(IF((AND((CT103&lt;=459),(CT139&lt;=CT19)))=TRUE(),0,+CT156+CT158),2)"),0)</f>
        <v>0</v>
      </c>
      <c r="CU160" s="7">
        <f ca="1">IFERROR(__xludf.DUMMYFUNCTION("ROUND(IF((AND((CU103&lt;=459),(CU139&lt;=CU19)))=TRUE(),0,+CU156+CU158),2)"),0)</f>
        <v>0</v>
      </c>
      <c r="CV160" s="7">
        <f ca="1">IFERROR(__xludf.DUMMYFUNCTION("ROUND(IF((AND((CV103&lt;=459),(CV139&lt;=CV19)))=TRUE(),0,+CV156+CV158),2)"),0)</f>
        <v>0</v>
      </c>
      <c r="CW160" s="7">
        <f ca="1">IFERROR(__xludf.DUMMYFUNCTION("ROUND(IF((AND((CW103&lt;=459),(CW139&lt;=CW19)))=TRUE(),0,+CW156+CW158),2)"),0)</f>
        <v>0</v>
      </c>
      <c r="CX160" s="7">
        <f ca="1">IFERROR(__xludf.DUMMYFUNCTION("ROUND(IF((AND((CX103&lt;=459),(CX139&lt;=CX19)))=TRUE(),0,+CX156+CX158),2)"),337153.17)</f>
        <v>337153.17</v>
      </c>
      <c r="CY160" s="7">
        <f ca="1">IFERROR(__xludf.DUMMYFUNCTION("ROUND(IF((AND((CY103&lt;=459),(CY139&lt;=CY19)))=TRUE(),0,+CY156+CY158),2)"),0)</f>
        <v>0</v>
      </c>
      <c r="CZ160" s="7">
        <f ca="1">IFERROR(__xludf.DUMMYFUNCTION("ROUND(IF((AND((CZ103&lt;=459),(CZ139&lt;=CZ19)))=TRUE(),0,+CZ156+CZ158),2)"),1344401.22)</f>
        <v>1344401.22</v>
      </c>
      <c r="DA160" s="7">
        <f ca="1">IFERROR(__xludf.DUMMYFUNCTION("ROUND(IF((AND((DA103&lt;=459),(DA139&lt;=DA19)))=TRUE(),0,+DA156+DA158),2)"),0)</f>
        <v>0</v>
      </c>
      <c r="DB160" s="7">
        <f ca="1">IFERROR(__xludf.DUMMYFUNCTION("ROUND(IF((AND((DB103&lt;=459),(DB139&lt;=DB19)))=TRUE(),0,+DB156+DB158),2)"),0)</f>
        <v>0</v>
      </c>
      <c r="DC160" s="7">
        <f ca="1">IFERROR(__xludf.DUMMYFUNCTION("ROUND(IF((AND((DC103&lt;=459),(DC139&lt;=DC19)))=TRUE(),0,+DC156+DC158),2)"),0)</f>
        <v>0</v>
      </c>
      <c r="DD160" s="7">
        <f ca="1">IFERROR(__xludf.DUMMYFUNCTION("ROUND(IF((AND((DD103&lt;=459),(DD139&lt;=DD19)))=TRUE(),0,+DD156+DD158),2)"),0)</f>
        <v>0</v>
      </c>
      <c r="DE160" s="7">
        <f ca="1">IFERROR(__xludf.DUMMYFUNCTION("ROUND(IF((AND((DE103&lt;=459),(DE139&lt;=DE19)))=TRUE(),0,+DE156+DE158),2)"),0)</f>
        <v>0</v>
      </c>
      <c r="DF160" s="7">
        <f ca="1">IFERROR(__xludf.DUMMYFUNCTION("ROUND(IF((AND((DF103&lt;=459),(DF139&lt;=DF19)))=TRUE(),0,+DF156+DF158),2)"),14838409.64)</f>
        <v>14838409.640000001</v>
      </c>
      <c r="DG160" s="7">
        <f ca="1">IFERROR(__xludf.DUMMYFUNCTION("ROUND(IF((AND((DG103&lt;=459),(DG139&lt;=DG19)))=TRUE(),0,+DG156+DG158),2)"),0)</f>
        <v>0</v>
      </c>
      <c r="DH160" s="7">
        <f ca="1">IFERROR(__xludf.DUMMYFUNCTION("ROUND(IF((AND((DH103&lt;=459),(DH139&lt;=DH19)))=TRUE(),0,+DH156+DH158),2)"),1297872.44)</f>
        <v>1297872.44</v>
      </c>
      <c r="DI160" s="7">
        <f ca="1">IFERROR(__xludf.DUMMYFUNCTION("ROUND(IF((AND((DI103&lt;=459),(DI139&lt;=DI19)))=TRUE(),0,+DI156+DI158),2)"),2237974.71)</f>
        <v>2237974.71</v>
      </c>
      <c r="DJ160" s="7">
        <f ca="1">IFERROR(__xludf.DUMMYFUNCTION("ROUND(IF((AND((DJ103&lt;=459),(DJ139&lt;=DJ19)))=TRUE(),0,+DJ156+DJ158),2)"),503211.97)</f>
        <v>503211.97</v>
      </c>
      <c r="DK160" s="7">
        <f ca="1">IFERROR(__xludf.DUMMYFUNCTION("ROUND(IF((AND((DK103&lt;=459),(DK139&lt;=DK19)))=TRUE(),0,+DK156+DK158),2)"),0)</f>
        <v>0</v>
      </c>
      <c r="DL160" s="7">
        <f ca="1">IFERROR(__xludf.DUMMYFUNCTION("ROUND(IF((AND((DL103&lt;=459),(DL139&lt;=DL19)))=TRUE(),0,+DL156+DL158),2)"),4289317.1)</f>
        <v>4289317.0999999996</v>
      </c>
      <c r="DM160" s="7">
        <f ca="1">IFERROR(__xludf.DUMMYFUNCTION("ROUND(IF((AND((DM103&lt;=459),(DM139&lt;=DM19)))=TRUE(),0,+DM156+DM158),2)"),0)</f>
        <v>0</v>
      </c>
      <c r="DN160" s="7">
        <f ca="1">IFERROR(__xludf.DUMMYFUNCTION("ROUND(IF((AND((DN103&lt;=459),(DN139&lt;=DN19)))=TRUE(),0,+DN156+DN158),2)"),1309224.69)</f>
        <v>1309224.69</v>
      </c>
      <c r="DO160" s="7">
        <f ca="1">IFERROR(__xludf.DUMMYFUNCTION("ROUND(IF((AND((DO103&lt;=459),(DO139&lt;=DO19)))=TRUE(),0,+DO156+DO158),2)"),2781204.44)</f>
        <v>2781204.44</v>
      </c>
      <c r="DP160" s="7">
        <f ca="1">IFERROR(__xludf.DUMMYFUNCTION("ROUND(IF((AND((DP103&lt;=459),(DP139&lt;=DP19)))=TRUE(),0,+DP156+DP158),2)"),0)</f>
        <v>0</v>
      </c>
      <c r="DQ160" s="7">
        <f ca="1">IFERROR(__xludf.DUMMYFUNCTION("ROUND(IF((AND((DQ103&lt;=459),(DQ139&lt;=DQ19)))=TRUE(),0,+DQ156+DQ158),2)"),0)</f>
        <v>0</v>
      </c>
      <c r="DR160" s="7">
        <f ca="1">IFERROR(__xludf.DUMMYFUNCTION("ROUND(IF((AND((DR103&lt;=459),(DR139&lt;=DR19)))=TRUE(),0,+DR156+DR158),2)"),1667379.13)</f>
        <v>1667379.13</v>
      </c>
      <c r="DS160" s="7">
        <f ca="1">IFERROR(__xludf.DUMMYFUNCTION("ROUND(IF((AND((DS103&lt;=459),(DS139&lt;=DS19)))=TRUE(),0,+DS156+DS158),2)"),894329.53)</f>
        <v>894329.53</v>
      </c>
      <c r="DT160" s="7">
        <f ca="1">IFERROR(__xludf.DUMMYFUNCTION("ROUND(IF((AND((DT103&lt;=459),(DT139&lt;=DT19)))=TRUE(),0,+DT156+DT158),2)"),0)</f>
        <v>0</v>
      </c>
      <c r="DU160" s="7">
        <f ca="1">IFERROR(__xludf.DUMMYFUNCTION("ROUND(IF((AND((DU103&lt;=459),(DU139&lt;=DU19)))=TRUE(),0,+DU156+DU158),2)"),0)</f>
        <v>0</v>
      </c>
      <c r="DV160" s="7">
        <f ca="1">IFERROR(__xludf.DUMMYFUNCTION("ROUND(IF((AND((DV103&lt;=459),(DV139&lt;=DV19)))=TRUE(),0,+DV156+DV158),2)"),0)</f>
        <v>0</v>
      </c>
      <c r="DW160" s="7">
        <f ca="1">IFERROR(__xludf.DUMMYFUNCTION("ROUND(IF((AND((DW103&lt;=459),(DW139&lt;=DW19)))=TRUE(),0,+DW156+DW158),2)"),0)</f>
        <v>0</v>
      </c>
      <c r="DX160" s="7">
        <f ca="1">IFERROR(__xludf.DUMMYFUNCTION("ROUND(IF((AND((DX103&lt;=459),(DX139&lt;=DX19)))=TRUE(),0,+DX156+DX158),2)"),0)</f>
        <v>0</v>
      </c>
      <c r="DY160" s="7">
        <f ca="1">IFERROR(__xludf.DUMMYFUNCTION("ROUND(IF((AND((DY103&lt;=459),(DY139&lt;=DY19)))=TRUE(),0,+DY156+DY158),2)"),0)</f>
        <v>0</v>
      </c>
      <c r="DZ160" s="7">
        <f ca="1">IFERROR(__xludf.DUMMYFUNCTION("ROUND(IF((AND((DZ103&lt;=459),(DZ139&lt;=DZ19)))=TRUE(),0,+DZ156+DZ158),2)"),0)</f>
        <v>0</v>
      </c>
      <c r="EA160" s="7">
        <f ca="1">IFERROR(__xludf.DUMMYFUNCTION("ROUND(IF((AND((EA103&lt;=459),(EA139&lt;=EA19)))=TRUE(),0,+EA156+EA158),2)"),0)</f>
        <v>0</v>
      </c>
      <c r="EB160" s="7">
        <f ca="1">IFERROR(__xludf.DUMMYFUNCTION("ROUND(IF((AND((EB103&lt;=459),(EB139&lt;=EB19)))=TRUE(),0,+EB156+EB158),2)"),488363.68)</f>
        <v>488363.68</v>
      </c>
      <c r="EC160" s="7">
        <f ca="1">IFERROR(__xludf.DUMMYFUNCTION("ROUND(IF((AND((EC103&lt;=459),(EC139&lt;=EC19)))=TRUE(),0,+EC156+EC158),2)"),0)</f>
        <v>0</v>
      </c>
      <c r="ED160" s="7">
        <f ca="1">IFERROR(__xludf.DUMMYFUNCTION("ROUND(IF((AND((ED103&lt;=459),(ED139&lt;=ED19)))=TRUE(),0,+ED156+ED158),2)"),0)</f>
        <v>0</v>
      </c>
      <c r="EE160" s="7">
        <f ca="1">IFERROR(__xludf.DUMMYFUNCTION("ROUND(IF((AND((EE103&lt;=459),(EE139&lt;=EE19)))=TRUE(),0,+EE156+EE158),2)"),0)</f>
        <v>0</v>
      </c>
      <c r="EF160" s="7">
        <f ca="1">IFERROR(__xludf.DUMMYFUNCTION("ROUND(IF((AND((EF103&lt;=459),(EF139&lt;=EF19)))=TRUE(),0,+EF156+EF158),2)"),1593783.85)</f>
        <v>1593783.85</v>
      </c>
      <c r="EG160" s="7">
        <f ca="1">IFERROR(__xludf.DUMMYFUNCTION("ROUND(IF((AND((EG103&lt;=459),(EG139&lt;=EG19)))=TRUE(),0,+EG156+EG158),2)"),0)</f>
        <v>0</v>
      </c>
      <c r="EH160" s="7">
        <f ca="1">IFERROR(__xludf.DUMMYFUNCTION("ROUND(IF((AND((EH103&lt;=459),(EH139&lt;=EH19)))=TRUE(),0,+EH156+EH158),2)"),0)</f>
        <v>0</v>
      </c>
      <c r="EI160" s="7">
        <f ca="1">IFERROR(__xludf.DUMMYFUNCTION("ROUND(IF((AND((EI103&lt;=459),(EI139&lt;=EI19)))=TRUE(),0,+EI156+EI158),2)"),18252061.22)</f>
        <v>18252061.219999999</v>
      </c>
      <c r="EJ160" s="7">
        <f ca="1">IFERROR(__xludf.DUMMYFUNCTION("ROUND(IF((AND((EJ103&lt;=459),(EJ139&lt;=EJ19)))=TRUE(),0,+EJ156+EJ158),2)"),6552800.9)</f>
        <v>6552800.9000000004</v>
      </c>
      <c r="EK160" s="7">
        <f ca="1">IFERROR(__xludf.DUMMYFUNCTION("ROUND(IF((AND((EK103&lt;=459),(EK139&lt;=EK19)))=TRUE(),0,+EK156+EK158),2)"),0)</f>
        <v>0</v>
      </c>
      <c r="EL160" s="7">
        <f ca="1">IFERROR(__xludf.DUMMYFUNCTION("ROUND(IF((AND((EL103&lt;=459),(EL139&lt;=EL19)))=TRUE(),0,+EL156+EL158),2)"),303521.7)</f>
        <v>303521.7</v>
      </c>
      <c r="EM160" s="7">
        <f ca="1">IFERROR(__xludf.DUMMYFUNCTION("ROUND(IF((AND((EM103&lt;=459),(EM139&lt;=EM19)))=TRUE(),0,+EM156+EM158),2)"),0)</f>
        <v>0</v>
      </c>
      <c r="EN160" s="7">
        <f ca="1">IFERROR(__xludf.DUMMYFUNCTION("ROUND(IF((AND((EN103&lt;=459),(EN139&lt;=EN19)))=TRUE(),0,+EN156+EN158),2)"),1117499.9)</f>
        <v>1117499.8999999999</v>
      </c>
      <c r="EO160" s="7">
        <f ca="1">IFERROR(__xludf.DUMMYFUNCTION("ROUND(IF((AND((EO103&lt;=459),(EO139&lt;=EO19)))=TRUE(),0,+EO156+EO158),2)"),0)</f>
        <v>0</v>
      </c>
      <c r="EP160" s="7">
        <f ca="1">IFERROR(__xludf.DUMMYFUNCTION("ROUND(IF((AND((EP103&lt;=459),(EP139&lt;=EP19)))=TRUE(),0,+EP156+EP158),2)"),0)</f>
        <v>0</v>
      </c>
      <c r="EQ160" s="7">
        <f ca="1">IFERROR(__xludf.DUMMYFUNCTION("ROUND(IF((AND((EQ103&lt;=459),(EQ139&lt;=EQ19)))=TRUE(),0,+EQ156+EQ158),2)"),0)</f>
        <v>0</v>
      </c>
      <c r="ER160" s="7">
        <f ca="1">IFERROR(__xludf.DUMMYFUNCTION("ROUND(IF((AND((ER103&lt;=459),(ER139&lt;=ER19)))=TRUE(),0,+ER156+ER158),2)"),0)</f>
        <v>0</v>
      </c>
      <c r="ES160" s="7">
        <f ca="1">IFERROR(__xludf.DUMMYFUNCTION("ROUND(IF((AND((ES103&lt;=459),(ES139&lt;=ES19)))=TRUE(),0,+ES156+ES158),2)"),0)</f>
        <v>0</v>
      </c>
      <c r="ET160" s="7">
        <f ca="1">IFERROR(__xludf.DUMMYFUNCTION("ROUND(IF((AND((ET103&lt;=459),(ET139&lt;=ET19)))=TRUE(),0,+ET156+ET158),2)"),0)</f>
        <v>0</v>
      </c>
      <c r="EU160" s="7">
        <f ca="1">IFERROR(__xludf.DUMMYFUNCTION("ROUND(IF((AND((EU103&lt;=459),(EU139&lt;=EU19)))=TRUE(),0,+EU156+EU158),2)"),1158927.58)</f>
        <v>1158927.58</v>
      </c>
      <c r="EV160" s="7">
        <f ca="1">IFERROR(__xludf.DUMMYFUNCTION("ROUND(IF((AND((EV103&lt;=459),(EV139&lt;=EV19)))=TRUE(),0,+EV156+EV158),2)"),0)</f>
        <v>0</v>
      </c>
      <c r="EW160" s="7">
        <f ca="1">IFERROR(__xludf.DUMMYFUNCTION("ROUND(IF((AND((EW103&lt;=459),(EW139&lt;=EW19)))=TRUE(),0,+EW156+EW158),2)"),0)</f>
        <v>0</v>
      </c>
      <c r="EX160" s="7">
        <f ca="1">IFERROR(__xludf.DUMMYFUNCTION("ROUND(IF((AND((EX103&lt;=459),(EX139&lt;=EX19)))=TRUE(),0,+EX156+EX158),2)"),0)</f>
        <v>0</v>
      </c>
      <c r="EY160" s="7">
        <f ca="1">IFERROR(__xludf.DUMMYFUNCTION("ROUND(IF((AND((EY103&lt;=459),(EY139&lt;=EY19)))=TRUE(),0,+EY156+EY158),2)"),669249.91)</f>
        <v>669249.91</v>
      </c>
      <c r="EZ160" s="7">
        <f ca="1">IFERROR(__xludf.DUMMYFUNCTION("ROUND(IF((AND((EZ103&lt;=459),(EZ139&lt;=EZ19)))=TRUE(),0,+EZ156+EZ158),2)"),0)</f>
        <v>0</v>
      </c>
      <c r="FA160" s="7">
        <f ca="1">IFERROR(__xludf.DUMMYFUNCTION("ROUND(IF((AND((FA103&lt;=459),(FA139&lt;=FA19)))=TRUE(),0,+FA156+FA158),2)"),0)</f>
        <v>0</v>
      </c>
      <c r="FB160" s="7">
        <f ca="1">IFERROR(__xludf.DUMMYFUNCTION("ROUND(IF((AND((FB103&lt;=459),(FB139&lt;=FB19)))=TRUE(),0,+FB156+FB158),2)"),0)</f>
        <v>0</v>
      </c>
      <c r="FC160" s="7">
        <f ca="1">IFERROR(__xludf.DUMMYFUNCTION("ROUND(IF((AND((FC103&lt;=459),(FC139&lt;=FC19)))=TRUE(),0,+FC156+FC158),2)"),0)</f>
        <v>0</v>
      </c>
      <c r="FD160" s="7">
        <f ca="1">IFERROR(__xludf.DUMMYFUNCTION("ROUND(IF((AND((FD103&lt;=459),(FD139&lt;=FD19)))=TRUE(),0,+FD156+FD158),2)"),0)</f>
        <v>0</v>
      </c>
      <c r="FE160" s="7">
        <f ca="1">IFERROR(__xludf.DUMMYFUNCTION("ROUND(IF((AND((FE103&lt;=459),(FE139&lt;=FE19)))=TRUE(),0,+FE156+FE158),2)"),0)</f>
        <v>0</v>
      </c>
      <c r="FF160" s="7">
        <f ca="1">IFERROR(__xludf.DUMMYFUNCTION("ROUND(IF((AND((FF103&lt;=459),(FF139&lt;=FF19)))=TRUE(),0,+FF156+FF158),2)"),0)</f>
        <v>0</v>
      </c>
      <c r="FG160" s="7">
        <f ca="1">IFERROR(__xludf.DUMMYFUNCTION("ROUND(IF((AND((FG103&lt;=459),(FG139&lt;=FG19)))=TRUE(),0,+FG156+FG158),2)"),0)</f>
        <v>0</v>
      </c>
      <c r="FH160" s="7">
        <f ca="1">IFERROR(__xludf.DUMMYFUNCTION("ROUND(IF((AND((FH103&lt;=459),(FH139&lt;=FH19)))=TRUE(),0,+FH156+FH158),2)"),0)</f>
        <v>0</v>
      </c>
      <c r="FI160" s="7">
        <f ca="1">IFERROR(__xludf.DUMMYFUNCTION("ROUND(IF((AND((FI103&lt;=459),(FI139&lt;=FI19)))=TRUE(),0,+FI156+FI158),2)"),1488162.37)</f>
        <v>1488162.37</v>
      </c>
      <c r="FJ160" s="7">
        <f ca="1">IFERROR(__xludf.DUMMYFUNCTION("ROUND(IF((AND((FJ103&lt;=459),(FJ139&lt;=FJ19)))=TRUE(),0,+FJ156+FJ158),2)"),0)</f>
        <v>0</v>
      </c>
      <c r="FK160" s="7">
        <f ca="1">IFERROR(__xludf.DUMMYFUNCTION("ROUND(IF((AND((FK103&lt;=459),(FK139&lt;=FK19)))=TRUE(),0,+FK156+FK158),2)"),1811742.16)</f>
        <v>1811742.16</v>
      </c>
      <c r="FL160" s="7">
        <f ca="1">IFERROR(__xludf.DUMMYFUNCTION("ROUND(IF((AND((FL103&lt;=459),(FL139&lt;=FL19)))=TRUE(),0,+FL156+FL158),2)"),0)</f>
        <v>0</v>
      </c>
      <c r="FM160" s="7">
        <f ca="1">IFERROR(__xludf.DUMMYFUNCTION("ROUND(IF((AND((FM103&lt;=459),(FM139&lt;=FM19)))=TRUE(),0,+FM156+FM158),2)"),0)</f>
        <v>0</v>
      </c>
      <c r="FN160" s="7">
        <f ca="1">IFERROR(__xludf.DUMMYFUNCTION("ROUND(IF((AND((FN103&lt;=459),(FN139&lt;=FN19)))=TRUE(),0,+FN156+FN158),2)"),23696133.83)</f>
        <v>23696133.829999998</v>
      </c>
      <c r="FO160" s="7">
        <f ca="1">IFERROR(__xludf.DUMMYFUNCTION("ROUND(IF((AND((FO103&lt;=459),(FO139&lt;=FO19)))=TRUE(),0,+FO156+FO158),2)"),784156.66)</f>
        <v>784156.66</v>
      </c>
      <c r="FP160" s="7">
        <f ca="1">IFERROR(__xludf.DUMMYFUNCTION("ROUND(IF((AND((FP103&lt;=459),(FP139&lt;=FP19)))=TRUE(),0,+FP156+FP158),2)"),1825259.1)</f>
        <v>1825259.1</v>
      </c>
      <c r="FQ160" s="7">
        <f ca="1">IFERROR(__xludf.DUMMYFUNCTION("ROUND(IF((AND((FQ103&lt;=459),(FQ139&lt;=FQ19)))=TRUE(),0,+FQ156+FQ158),2)"),0)</f>
        <v>0</v>
      </c>
      <c r="FR160" s="7">
        <f ca="1">IFERROR(__xludf.DUMMYFUNCTION("ROUND(IF((AND((FR103&lt;=459),(FR139&lt;=FR19)))=TRUE(),0,+FR156+FR158),2)"),0)</f>
        <v>0</v>
      </c>
      <c r="FS160" s="7">
        <f ca="1">IFERROR(__xludf.DUMMYFUNCTION("ROUND(IF((AND((FS103&lt;=459),(FS139&lt;=FS19)))=TRUE(),0,+FS156+FS158),2)"),0)</f>
        <v>0</v>
      </c>
      <c r="FT160" s="7">
        <f ca="1">IFERROR(__xludf.DUMMYFUNCTION("ROUND(IF((AND((FT103&lt;=459),(FT139&lt;=FT19)))=TRUE(),0,+FT156+FT158),2)"),0)</f>
        <v>0</v>
      </c>
      <c r="FU160" s="7">
        <f ca="1">IFERROR(__xludf.DUMMYFUNCTION("ROUND(IF((AND((FU103&lt;=459),(FU139&lt;=FU19)))=TRUE(),0,+FU156+FU158),2)"),769260.71)</f>
        <v>769260.71</v>
      </c>
      <c r="FV160" s="7">
        <f ca="1">IFERROR(__xludf.DUMMYFUNCTION("ROUND(IF((AND((FV103&lt;=459),(FV139&lt;=FV19)))=TRUE(),0,+FV156+FV158),2)"),665564.09)</f>
        <v>665564.09</v>
      </c>
      <c r="FW160" s="7">
        <f ca="1">IFERROR(__xludf.DUMMYFUNCTION("ROUND(IF((AND((FW103&lt;=459),(FW139&lt;=FW19)))=TRUE(),0,+FW156+FW158),2)"),0)</f>
        <v>0</v>
      </c>
      <c r="FX160" s="7">
        <f ca="1">IFERROR(__xludf.DUMMYFUNCTION("ROUND(IF((AND((FX103&lt;=459),(FX139&lt;=FX19)))=TRUE(),0,+FX156+FX158),2)"),0)</f>
        <v>0</v>
      </c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</row>
    <row r="161" spans="1:193" ht="15.5" x14ac:dyDescent="0.35">
      <c r="A161" s="7"/>
      <c r="B161" s="7" t="s">
        <v>896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</row>
    <row r="162" spans="1:193" ht="15.5" x14ac:dyDescent="0.35">
      <c r="A162" s="12" t="s">
        <v>5</v>
      </c>
      <c r="B162" s="7" t="s">
        <v>897</v>
      </c>
      <c r="C162" s="7" t="e">
        <f t="shared" ref="C162:FX162" ca="1" si="72">MAX(C150,C152,C160)</f>
        <v>#NAME?</v>
      </c>
      <c r="D162" s="7" t="e">
        <f t="shared" ca="1" si="72"/>
        <v>#NAME?</v>
      </c>
      <c r="E162" s="7" t="e">
        <f t="shared" ca="1" si="72"/>
        <v>#NAME?</v>
      </c>
      <c r="F162" s="7" t="e">
        <f t="shared" ca="1" si="72"/>
        <v>#NAME?</v>
      </c>
      <c r="G162" s="7" t="e">
        <f t="shared" ca="1" si="72"/>
        <v>#NAME?</v>
      </c>
      <c r="H162" s="7" t="e">
        <f t="shared" ca="1" si="72"/>
        <v>#NAME?</v>
      </c>
      <c r="I162" s="7" t="e">
        <f t="shared" ca="1" si="72"/>
        <v>#NAME?</v>
      </c>
      <c r="J162" s="7" t="e">
        <f t="shared" ca="1" si="72"/>
        <v>#NAME?</v>
      </c>
      <c r="K162" s="7">
        <f t="shared" ca="1" si="72"/>
        <v>283125.45</v>
      </c>
      <c r="L162" s="7" t="e">
        <f t="shared" ca="1" si="72"/>
        <v>#NAME?</v>
      </c>
      <c r="M162" s="7" t="e">
        <f t="shared" ca="1" si="72"/>
        <v>#NAME?</v>
      </c>
      <c r="N162" s="7" t="e">
        <f t="shared" ca="1" si="72"/>
        <v>#NAME?</v>
      </c>
      <c r="O162" s="7" t="e">
        <f t="shared" ca="1" si="72"/>
        <v>#NAME?</v>
      </c>
      <c r="P162" s="7">
        <f t="shared" ca="1" si="72"/>
        <v>297006.36</v>
      </c>
      <c r="Q162" s="7" t="e">
        <f t="shared" ca="1" si="72"/>
        <v>#NAME?</v>
      </c>
      <c r="R162" s="7" t="e">
        <f t="shared" ca="1" si="72"/>
        <v>#NAME?</v>
      </c>
      <c r="S162" s="7" t="e">
        <f t="shared" ca="1" si="72"/>
        <v>#NAME?</v>
      </c>
      <c r="T162" s="7">
        <f t="shared" ca="1" si="72"/>
        <v>261020.59</v>
      </c>
      <c r="U162" s="7">
        <f t="shared" ca="1" si="72"/>
        <v>95842.76</v>
      </c>
      <c r="V162" s="7">
        <f t="shared" ca="1" si="72"/>
        <v>340577.65</v>
      </c>
      <c r="W162" s="7">
        <f t="shared" ca="1" si="72"/>
        <v>97032.41</v>
      </c>
      <c r="X162" s="7">
        <f t="shared" ca="1" si="72"/>
        <v>59814.11</v>
      </c>
      <c r="Y162" s="7" t="e">
        <f t="shared" ca="1" si="72"/>
        <v>#NAME?</v>
      </c>
      <c r="Z162" s="7">
        <f t="shared" ca="1" si="72"/>
        <v>168185.63</v>
      </c>
      <c r="AA162" s="7" t="e">
        <f t="shared" ca="1" si="72"/>
        <v>#NAME?</v>
      </c>
      <c r="AB162" s="7" t="e">
        <f t="shared" ca="1" si="72"/>
        <v>#NAME?</v>
      </c>
      <c r="AC162" s="7" t="e">
        <f t="shared" ca="1" si="72"/>
        <v>#NAME?</v>
      </c>
      <c r="AD162" s="7" t="e">
        <f t="shared" ca="1" si="72"/>
        <v>#NAME?</v>
      </c>
      <c r="AE162" s="7">
        <f t="shared" ca="1" si="72"/>
        <v>165110.03</v>
      </c>
      <c r="AF162" s="7">
        <f t="shared" ca="1" si="72"/>
        <v>200413.71</v>
      </c>
      <c r="AG162" s="7" t="e">
        <f t="shared" ca="1" si="72"/>
        <v>#NAME?</v>
      </c>
      <c r="AH162" s="7" t="e">
        <f t="shared" ca="1" si="72"/>
        <v>#NAME?</v>
      </c>
      <c r="AI162" s="7">
        <f t="shared" ca="1" si="72"/>
        <v>361631.14</v>
      </c>
      <c r="AJ162" s="7">
        <f t="shared" ca="1" si="72"/>
        <v>333090.88</v>
      </c>
      <c r="AK162" s="7">
        <f t="shared" ca="1" si="72"/>
        <v>325962.96000000002</v>
      </c>
      <c r="AL162" s="7">
        <f t="shared" ca="1" si="72"/>
        <v>410068.51</v>
      </c>
      <c r="AM162" s="7">
        <f t="shared" ca="1" si="72"/>
        <v>324570.98</v>
      </c>
      <c r="AN162" s="7">
        <f t="shared" ca="1" si="72"/>
        <v>245151.74</v>
      </c>
      <c r="AO162" s="7" t="e">
        <f t="shared" ca="1" si="72"/>
        <v>#NAME?</v>
      </c>
      <c r="AP162" s="7" t="e">
        <f t="shared" ca="1" si="72"/>
        <v>#NAME?</v>
      </c>
      <c r="AQ162" s="7">
        <f t="shared" ca="1" si="72"/>
        <v>294870.96999999997</v>
      </c>
      <c r="AR162" s="7" t="e">
        <f t="shared" ca="1" si="72"/>
        <v>#NAME?</v>
      </c>
      <c r="AS162" s="7" t="e">
        <f t="shared" ca="1" si="72"/>
        <v>#NAME?</v>
      </c>
      <c r="AT162" s="7" t="e">
        <f t="shared" ca="1" si="72"/>
        <v>#NAME?</v>
      </c>
      <c r="AU162" s="7">
        <f t="shared" ca="1" si="72"/>
        <v>207769.34</v>
      </c>
      <c r="AV162" s="7">
        <f t="shared" ca="1" si="72"/>
        <v>340340.03</v>
      </c>
      <c r="AW162" s="7">
        <f t="shared" ca="1" si="72"/>
        <v>173746.39</v>
      </c>
      <c r="AX162" s="7">
        <f t="shared" ca="1" si="72"/>
        <v>120264.08</v>
      </c>
      <c r="AY162" s="7">
        <f t="shared" ca="1" si="72"/>
        <v>340375.31</v>
      </c>
      <c r="AZ162" s="7" t="e">
        <f t="shared" ca="1" si="72"/>
        <v>#NAME?</v>
      </c>
      <c r="BA162" s="7" t="e">
        <f t="shared" ca="1" si="72"/>
        <v>#NAME?</v>
      </c>
      <c r="BB162" s="7" t="e">
        <f t="shared" ca="1" si="72"/>
        <v>#NAME?</v>
      </c>
      <c r="BC162" s="7" t="e">
        <f t="shared" ca="1" si="72"/>
        <v>#NAME?</v>
      </c>
      <c r="BD162" s="7" t="e">
        <f t="shared" ca="1" si="72"/>
        <v>#NAME?</v>
      </c>
      <c r="BE162" s="7" t="e">
        <f t="shared" ca="1" si="72"/>
        <v>#NAME?</v>
      </c>
      <c r="BF162" s="7" t="e">
        <f t="shared" ca="1" si="72"/>
        <v>#NAME?</v>
      </c>
      <c r="BG162" s="7" t="e">
        <f t="shared" ca="1" si="72"/>
        <v>#NAME?</v>
      </c>
      <c r="BH162" s="7" t="e">
        <f t="shared" ca="1" si="72"/>
        <v>#NAME?</v>
      </c>
      <c r="BI162" s="7">
        <f t="shared" ca="1" si="72"/>
        <v>368754.2</v>
      </c>
      <c r="BJ162" s="7" t="e">
        <f t="shared" ca="1" si="72"/>
        <v>#NAME?</v>
      </c>
      <c r="BK162" s="7" t="e">
        <f t="shared" ca="1" si="72"/>
        <v>#NAME?</v>
      </c>
      <c r="BL162" s="7">
        <f t="shared" ca="1" si="72"/>
        <v>150826.93</v>
      </c>
      <c r="BM162" s="7">
        <f t="shared" ca="1" si="72"/>
        <v>382003.56</v>
      </c>
      <c r="BN162" s="7" t="e">
        <f t="shared" ca="1" si="72"/>
        <v>#NAME?</v>
      </c>
      <c r="BO162" s="7" t="e">
        <f t="shared" ca="1" si="72"/>
        <v>#NAME?</v>
      </c>
      <c r="BP162" s="7">
        <f t="shared" ca="1" si="72"/>
        <v>199338.6</v>
      </c>
      <c r="BQ162" s="7" t="e">
        <f t="shared" ca="1" si="72"/>
        <v>#NAME?</v>
      </c>
      <c r="BR162" s="7" t="e">
        <f t="shared" ca="1" si="72"/>
        <v>#NAME?</v>
      </c>
      <c r="BS162" s="7" t="e">
        <f t="shared" ca="1" si="72"/>
        <v>#NAME?</v>
      </c>
      <c r="BT162" s="7">
        <f t="shared" ca="1" si="72"/>
        <v>280241.84999999998</v>
      </c>
      <c r="BU162" s="7">
        <f t="shared" ca="1" si="72"/>
        <v>280206.69</v>
      </c>
      <c r="BV162" s="7" t="e">
        <f t="shared" ca="1" si="72"/>
        <v>#NAME?</v>
      </c>
      <c r="BW162" s="7" t="e">
        <f t="shared" ca="1" si="72"/>
        <v>#NAME?</v>
      </c>
      <c r="BX162" s="7">
        <f t="shared" ca="1" si="72"/>
        <v>64280.81</v>
      </c>
      <c r="BY162" s="7">
        <f t="shared" ca="1" si="72"/>
        <v>523542.71</v>
      </c>
      <c r="BZ162" s="7">
        <f t="shared" ca="1" si="72"/>
        <v>310569.59999999998</v>
      </c>
      <c r="CA162" s="7">
        <f t="shared" ca="1" si="72"/>
        <v>109115.36</v>
      </c>
      <c r="CB162" s="7" t="e">
        <f t="shared" ca="1" si="72"/>
        <v>#NAME?</v>
      </c>
      <c r="CC162" s="7">
        <f t="shared" ca="1" si="72"/>
        <v>249871.67</v>
      </c>
      <c r="CD162" s="7">
        <f t="shared" ca="1" si="72"/>
        <v>31582.47</v>
      </c>
      <c r="CE162" s="7">
        <f t="shared" ca="1" si="72"/>
        <v>162433.03</v>
      </c>
      <c r="CF162" s="7">
        <f t="shared" ca="1" si="72"/>
        <v>116030.97</v>
      </c>
      <c r="CG162" s="7">
        <f t="shared" ca="1" si="72"/>
        <v>176187.13</v>
      </c>
      <c r="CH162" s="7">
        <f t="shared" ca="1" si="72"/>
        <v>167247.29</v>
      </c>
      <c r="CI162" s="7" t="e">
        <f t="shared" ca="1" si="72"/>
        <v>#NAME?</v>
      </c>
      <c r="CJ162" s="7" t="e">
        <f t="shared" ca="1" si="72"/>
        <v>#NAME?</v>
      </c>
      <c r="CK162" s="7" t="e">
        <f t="shared" ca="1" si="72"/>
        <v>#NAME?</v>
      </c>
      <c r="CL162" s="7" t="e">
        <f t="shared" ca="1" si="72"/>
        <v>#NAME?</v>
      </c>
      <c r="CM162" s="7" t="e">
        <f t="shared" ca="1" si="72"/>
        <v>#NAME?</v>
      </c>
      <c r="CN162" s="7" t="e">
        <f t="shared" ca="1" si="72"/>
        <v>#NAME?</v>
      </c>
      <c r="CO162" s="7" t="e">
        <f t="shared" ca="1" si="72"/>
        <v>#NAME?</v>
      </c>
      <c r="CP162" s="7" t="e">
        <f t="shared" ca="1" si="72"/>
        <v>#NAME?</v>
      </c>
      <c r="CQ162" s="7" t="e">
        <f t="shared" ca="1" si="72"/>
        <v>#NAME?</v>
      </c>
      <c r="CR162" s="7">
        <f t="shared" ca="1" si="72"/>
        <v>147880.14000000001</v>
      </c>
      <c r="CS162" s="7">
        <f t="shared" ca="1" si="72"/>
        <v>174535.01</v>
      </c>
      <c r="CT162" s="7">
        <f t="shared" ca="1" si="72"/>
        <v>215783.38</v>
      </c>
      <c r="CU162" s="7" t="e">
        <f t="shared" ca="1" si="72"/>
        <v>#NAME?</v>
      </c>
      <c r="CV162" s="7">
        <f t="shared" ca="1" si="72"/>
        <v>23012.21</v>
      </c>
      <c r="CW162" s="7">
        <f t="shared" ca="1" si="72"/>
        <v>220414.02</v>
      </c>
      <c r="CX162" s="7" t="e">
        <f t="shared" ca="1" si="72"/>
        <v>#NAME?</v>
      </c>
      <c r="CY162" s="7">
        <f t="shared" ca="1" si="72"/>
        <v>35252.019999999997</v>
      </c>
      <c r="CZ162" s="7" t="e">
        <f t="shared" ca="1" si="72"/>
        <v>#NAME?</v>
      </c>
      <c r="DA162" s="7">
        <f t="shared" ca="1" si="72"/>
        <v>105232.55</v>
      </c>
      <c r="DB162" s="7">
        <f t="shared" ca="1" si="72"/>
        <v>157783.5</v>
      </c>
      <c r="DC162" s="7">
        <f t="shared" ca="1" si="72"/>
        <v>108596.12</v>
      </c>
      <c r="DD162" s="7">
        <f t="shared" ca="1" si="72"/>
        <v>243550.94</v>
      </c>
      <c r="DE162" s="7">
        <f t="shared" ca="1" si="72"/>
        <v>231242.2</v>
      </c>
      <c r="DF162" s="7" t="e">
        <f t="shared" ca="1" si="72"/>
        <v>#NAME?</v>
      </c>
      <c r="DG162" s="7">
        <f t="shared" ca="1" si="72"/>
        <v>98282.9</v>
      </c>
      <c r="DH162" s="7" t="e">
        <f t="shared" ca="1" si="72"/>
        <v>#NAME?</v>
      </c>
      <c r="DI162" s="7" t="e">
        <f t="shared" ca="1" si="72"/>
        <v>#NAME?</v>
      </c>
      <c r="DJ162" s="7" t="e">
        <f t="shared" ca="1" si="72"/>
        <v>#NAME?</v>
      </c>
      <c r="DK162" s="7" t="e">
        <f t="shared" ca="1" si="72"/>
        <v>#NAME?</v>
      </c>
      <c r="DL162" s="7" t="e">
        <f t="shared" ca="1" si="72"/>
        <v>#NAME?</v>
      </c>
      <c r="DM162" s="7">
        <f t="shared" ca="1" si="72"/>
        <v>283100.67</v>
      </c>
      <c r="DN162" s="7" t="e">
        <f t="shared" ca="1" si="72"/>
        <v>#NAME?</v>
      </c>
      <c r="DO162" s="7" t="e">
        <f t="shared" ca="1" si="72"/>
        <v>#NAME?</v>
      </c>
      <c r="DP162" s="7">
        <f t="shared" ca="1" si="72"/>
        <v>144688.45000000001</v>
      </c>
      <c r="DQ162" s="7" t="e">
        <f t="shared" ca="1" si="72"/>
        <v>#NAME?</v>
      </c>
      <c r="DR162" s="7" t="e">
        <f t="shared" ca="1" si="72"/>
        <v>#NAME?</v>
      </c>
      <c r="DS162" s="7" t="e">
        <f t="shared" ca="1" si="72"/>
        <v>#NAME?</v>
      </c>
      <c r="DT162" s="7">
        <f t="shared" ca="1" si="72"/>
        <v>337520.35</v>
      </c>
      <c r="DU162" s="7">
        <f t="shared" ca="1" si="72"/>
        <v>338226.79</v>
      </c>
      <c r="DV162" s="7">
        <f t="shared" ca="1" si="72"/>
        <v>190141.83</v>
      </c>
      <c r="DW162" s="7">
        <f t="shared" ca="1" si="72"/>
        <v>263269.31</v>
      </c>
      <c r="DX162" s="7">
        <f t="shared" ca="1" si="72"/>
        <v>144404.78</v>
      </c>
      <c r="DY162" s="7">
        <f t="shared" ca="1" si="72"/>
        <v>138466.88</v>
      </c>
      <c r="DZ162" s="7" t="e">
        <f t="shared" ca="1" si="72"/>
        <v>#NAME?</v>
      </c>
      <c r="EA162" s="7" t="e">
        <f t="shared" ca="1" si="72"/>
        <v>#NAME?</v>
      </c>
      <c r="EB162" s="7" t="e">
        <f t="shared" ca="1" si="72"/>
        <v>#NAME?</v>
      </c>
      <c r="EC162" s="7">
        <f t="shared" ca="1" si="72"/>
        <v>163611.96</v>
      </c>
      <c r="ED162" s="7" t="e">
        <f t="shared" ca="1" si="72"/>
        <v>#NAME?</v>
      </c>
      <c r="EE162" s="7">
        <f t="shared" ca="1" si="72"/>
        <v>272483.38</v>
      </c>
      <c r="EF162" s="7" t="e">
        <f t="shared" ca="1" si="72"/>
        <v>#NAME?</v>
      </c>
      <c r="EG162" s="7">
        <f t="shared" ca="1" si="72"/>
        <v>283858.28999999998</v>
      </c>
      <c r="EH162" s="7">
        <f t="shared" ca="1" si="72"/>
        <v>238737.9</v>
      </c>
      <c r="EI162" s="7" t="e">
        <f t="shared" ca="1" si="72"/>
        <v>#NAME?</v>
      </c>
      <c r="EJ162" s="7" t="e">
        <f t="shared" ca="1" si="72"/>
        <v>#NAME?</v>
      </c>
      <c r="EK162" s="7" t="e">
        <f t="shared" ca="1" si="72"/>
        <v>#NAME?</v>
      </c>
      <c r="EL162" s="7" t="e">
        <f t="shared" ca="1" si="72"/>
        <v>#NAME?</v>
      </c>
      <c r="EM162" s="7">
        <f t="shared" ca="1" si="72"/>
        <v>328773.40999999997</v>
      </c>
      <c r="EN162" s="7" t="e">
        <f t="shared" ca="1" si="72"/>
        <v>#NAME?</v>
      </c>
      <c r="EO162" s="7">
        <f t="shared" ca="1" si="72"/>
        <v>235559.47</v>
      </c>
      <c r="EP162" s="7">
        <f t="shared" ca="1" si="72"/>
        <v>191275.04</v>
      </c>
      <c r="EQ162" s="7" t="e">
        <f t="shared" ca="1" si="72"/>
        <v>#NAME?</v>
      </c>
      <c r="ER162" s="7">
        <f t="shared" ca="1" si="72"/>
        <v>163791.82999999999</v>
      </c>
      <c r="ES162" s="7">
        <f t="shared" ca="1" si="72"/>
        <v>272622.65999999997</v>
      </c>
      <c r="ET162" s="7">
        <f t="shared" ca="1" si="72"/>
        <v>361568.7</v>
      </c>
      <c r="EU162" s="7" t="e">
        <f t="shared" ca="1" si="72"/>
        <v>#NAME?</v>
      </c>
      <c r="EV162" s="7">
        <f t="shared" ca="1" si="72"/>
        <v>111130.23</v>
      </c>
      <c r="EW162" s="7" t="e">
        <f t="shared" ca="1" si="72"/>
        <v>#NAME?</v>
      </c>
      <c r="EX162" s="7">
        <f t="shared" ca="1" si="72"/>
        <v>220502.13</v>
      </c>
      <c r="EY162" s="7" t="e">
        <f t="shared" ca="1" si="72"/>
        <v>#NAME?</v>
      </c>
      <c r="EZ162" s="7">
        <f t="shared" ca="1" si="72"/>
        <v>165713.54999999999</v>
      </c>
      <c r="FA162" s="7" t="e">
        <f t="shared" ca="1" si="72"/>
        <v>#NAME?</v>
      </c>
      <c r="FB162" s="7">
        <f t="shared" ca="1" si="72"/>
        <v>381139.17</v>
      </c>
      <c r="FC162" s="7" t="e">
        <f t="shared" ca="1" si="72"/>
        <v>#NAME?</v>
      </c>
      <c r="FD162" s="7">
        <f t="shared" ca="1" si="72"/>
        <v>355086.12</v>
      </c>
      <c r="FE162" s="7">
        <f t="shared" ca="1" si="72"/>
        <v>124339.73</v>
      </c>
      <c r="FF162" s="7">
        <f t="shared" ca="1" si="72"/>
        <v>224347.86</v>
      </c>
      <c r="FG162" s="7">
        <f t="shared" ca="1" si="72"/>
        <v>130351.06</v>
      </c>
      <c r="FH162" s="7">
        <f t="shared" ca="1" si="72"/>
        <v>84412.67</v>
      </c>
      <c r="FI162" s="7" t="e">
        <f t="shared" ca="1" si="72"/>
        <v>#NAME?</v>
      </c>
      <c r="FJ162" s="7" t="e">
        <f t="shared" ca="1" si="72"/>
        <v>#NAME?</v>
      </c>
      <c r="FK162" s="7" t="e">
        <f t="shared" ca="1" si="72"/>
        <v>#NAME?</v>
      </c>
      <c r="FL162" s="7" t="e">
        <f t="shared" ca="1" si="72"/>
        <v>#NAME?</v>
      </c>
      <c r="FM162" s="7" t="e">
        <f t="shared" ca="1" si="72"/>
        <v>#NAME?</v>
      </c>
      <c r="FN162" s="7" t="e">
        <f t="shared" ca="1" si="72"/>
        <v>#NAME?</v>
      </c>
      <c r="FO162" s="7" t="e">
        <f t="shared" ca="1" si="72"/>
        <v>#NAME?</v>
      </c>
      <c r="FP162" s="7" t="e">
        <f t="shared" ca="1" si="72"/>
        <v>#NAME?</v>
      </c>
      <c r="FQ162" s="7" t="e">
        <f t="shared" ca="1" si="72"/>
        <v>#NAME?</v>
      </c>
      <c r="FR162" s="7">
        <f t="shared" ca="1" si="72"/>
        <v>100787.05</v>
      </c>
      <c r="FS162" s="7">
        <f t="shared" ca="1" si="72"/>
        <v>102273.7</v>
      </c>
      <c r="FT162" s="7" t="e">
        <f t="shared" ca="1" si="72"/>
        <v>#NAME?</v>
      </c>
      <c r="FU162" s="7" t="e">
        <f t="shared" ca="1" si="72"/>
        <v>#NAME?</v>
      </c>
      <c r="FV162" s="7" t="e">
        <f t="shared" ca="1" si="72"/>
        <v>#NAME?</v>
      </c>
      <c r="FW162" s="7">
        <f t="shared" ca="1" si="72"/>
        <v>192660.61</v>
      </c>
      <c r="FX162" s="7">
        <f t="shared" ca="1" si="72"/>
        <v>82771.59</v>
      </c>
      <c r="FY162" s="7"/>
      <c r="FZ162" s="7" t="e">
        <f ca="1">SUM(C162:FX162)</f>
        <v>#NAME?</v>
      </c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</row>
    <row r="163" spans="1:193" ht="15.5" x14ac:dyDescent="0.35">
      <c r="A163" s="7"/>
      <c r="B163" s="7" t="s">
        <v>898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49"/>
      <c r="EQ163" s="49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49"/>
      <c r="FF163" s="49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49"/>
      <c r="FU163" s="49"/>
      <c r="FV163" s="49"/>
      <c r="FW163" s="49"/>
      <c r="FX163" s="49"/>
      <c r="FY163" s="7"/>
      <c r="FZ163" s="49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</row>
    <row r="164" spans="1:193" ht="15.5" x14ac:dyDescent="0.35">
      <c r="A164" s="7"/>
      <c r="B164" s="7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49"/>
      <c r="EQ164" s="49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49"/>
      <c r="FF164" s="49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49"/>
      <c r="FU164" s="49"/>
      <c r="FV164" s="49"/>
      <c r="FW164" s="49"/>
      <c r="FX164" s="49"/>
      <c r="FY164" s="7"/>
      <c r="FZ164" s="49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</row>
    <row r="165" spans="1:193" ht="15.5" x14ac:dyDescent="0.35">
      <c r="A165" s="12"/>
      <c r="B165" s="5" t="s">
        <v>899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7"/>
      <c r="FZ165" s="49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</row>
    <row r="166" spans="1:193" ht="15.5" x14ac:dyDescent="0.35">
      <c r="A166" s="12" t="s">
        <v>6</v>
      </c>
      <c r="B166" s="7" t="s">
        <v>900</v>
      </c>
      <c r="C166" s="22">
        <f t="shared" ref="C166:FX166" si="73">C29</f>
        <v>1359</v>
      </c>
      <c r="D166" s="22">
        <f t="shared" si="73"/>
        <v>4465</v>
      </c>
      <c r="E166" s="22">
        <f t="shared" si="73"/>
        <v>1525</v>
      </c>
      <c r="F166" s="22">
        <f t="shared" si="73"/>
        <v>2508</v>
      </c>
      <c r="G166" s="22">
        <f t="shared" si="73"/>
        <v>207</v>
      </c>
      <c r="H166" s="22">
        <f t="shared" si="73"/>
        <v>69</v>
      </c>
      <c r="I166" s="22">
        <f t="shared" si="73"/>
        <v>1835</v>
      </c>
      <c r="J166" s="22">
        <f t="shared" si="73"/>
        <v>185</v>
      </c>
      <c r="K166" s="22">
        <f t="shared" si="73"/>
        <v>3</v>
      </c>
      <c r="L166" s="22">
        <f t="shared" si="73"/>
        <v>184</v>
      </c>
      <c r="M166" s="22">
        <f t="shared" si="73"/>
        <v>187</v>
      </c>
      <c r="N166" s="22">
        <f t="shared" si="73"/>
        <v>5452</v>
      </c>
      <c r="O166" s="22">
        <f t="shared" si="73"/>
        <v>401</v>
      </c>
      <c r="P166" s="22">
        <f t="shared" si="73"/>
        <v>31</v>
      </c>
      <c r="Q166" s="22">
        <f t="shared" si="73"/>
        <v>11916</v>
      </c>
      <c r="R166" s="22">
        <f t="shared" si="73"/>
        <v>108</v>
      </c>
      <c r="S166" s="22">
        <f t="shared" si="73"/>
        <v>50</v>
      </c>
      <c r="T166" s="22">
        <f t="shared" si="73"/>
        <v>0</v>
      </c>
      <c r="U166" s="22">
        <f t="shared" si="73"/>
        <v>0</v>
      </c>
      <c r="V166" s="22">
        <f t="shared" si="73"/>
        <v>0</v>
      </c>
      <c r="W166" s="22">
        <f t="shared" si="73"/>
        <v>0</v>
      </c>
      <c r="X166" s="22">
        <f t="shared" si="73"/>
        <v>0</v>
      </c>
      <c r="Y166" s="22">
        <f t="shared" si="73"/>
        <v>4</v>
      </c>
      <c r="Z166" s="22">
        <f t="shared" si="73"/>
        <v>4</v>
      </c>
      <c r="AA166" s="22">
        <f t="shared" si="73"/>
        <v>2041</v>
      </c>
      <c r="AB166" s="22">
        <f t="shared" si="73"/>
        <v>1565</v>
      </c>
      <c r="AC166" s="22">
        <f t="shared" si="73"/>
        <v>32</v>
      </c>
      <c r="AD166" s="22">
        <f t="shared" si="73"/>
        <v>35</v>
      </c>
      <c r="AE166" s="22">
        <f t="shared" si="73"/>
        <v>3</v>
      </c>
      <c r="AF166" s="22">
        <f t="shared" si="73"/>
        <v>6</v>
      </c>
      <c r="AG166" s="22">
        <f t="shared" si="73"/>
        <v>12</v>
      </c>
      <c r="AH166" s="22">
        <f t="shared" si="73"/>
        <v>0</v>
      </c>
      <c r="AI166" s="22">
        <f t="shared" si="73"/>
        <v>3</v>
      </c>
      <c r="AJ166" s="22">
        <f t="shared" si="73"/>
        <v>2</v>
      </c>
      <c r="AK166" s="22">
        <f t="shared" si="73"/>
        <v>1</v>
      </c>
      <c r="AL166" s="22">
        <f t="shared" si="73"/>
        <v>21</v>
      </c>
      <c r="AM166" s="22">
        <f t="shared" si="73"/>
        <v>1</v>
      </c>
      <c r="AN166" s="22">
        <f t="shared" si="73"/>
        <v>0</v>
      </c>
      <c r="AO166" s="22">
        <f t="shared" si="73"/>
        <v>117</v>
      </c>
      <c r="AP166" s="22">
        <f t="shared" si="73"/>
        <v>16832</v>
      </c>
      <c r="AQ166" s="22">
        <f t="shared" si="73"/>
        <v>0</v>
      </c>
      <c r="AR166" s="22">
        <f t="shared" si="73"/>
        <v>1715</v>
      </c>
      <c r="AS166" s="22">
        <f t="shared" si="73"/>
        <v>1141</v>
      </c>
      <c r="AT166" s="22">
        <f t="shared" si="73"/>
        <v>32</v>
      </c>
      <c r="AU166" s="22">
        <f t="shared" si="73"/>
        <v>4</v>
      </c>
      <c r="AV166" s="22">
        <f t="shared" si="73"/>
        <v>3</v>
      </c>
      <c r="AW166" s="22">
        <f t="shared" si="73"/>
        <v>1</v>
      </c>
      <c r="AX166" s="22">
        <f t="shared" si="73"/>
        <v>5</v>
      </c>
      <c r="AY166" s="22">
        <f t="shared" si="73"/>
        <v>5</v>
      </c>
      <c r="AZ166" s="22">
        <f t="shared" si="73"/>
        <v>1133</v>
      </c>
      <c r="BA166" s="22">
        <f t="shared" si="73"/>
        <v>201</v>
      </c>
      <c r="BB166" s="22">
        <f t="shared" si="73"/>
        <v>184</v>
      </c>
      <c r="BC166" s="22">
        <f t="shared" si="73"/>
        <v>1622</v>
      </c>
      <c r="BD166" s="22">
        <f t="shared" si="73"/>
        <v>53</v>
      </c>
      <c r="BE166" s="22">
        <f t="shared" si="73"/>
        <v>3</v>
      </c>
      <c r="BF166" s="22">
        <f t="shared" si="73"/>
        <v>448</v>
      </c>
      <c r="BG166" s="22">
        <f t="shared" si="73"/>
        <v>78</v>
      </c>
      <c r="BH166" s="22">
        <f t="shared" si="73"/>
        <v>6</v>
      </c>
      <c r="BI166" s="22">
        <f t="shared" si="73"/>
        <v>15</v>
      </c>
      <c r="BJ166" s="22">
        <f t="shared" si="73"/>
        <v>68</v>
      </c>
      <c r="BK166" s="22">
        <f t="shared" si="73"/>
        <v>681</v>
      </c>
      <c r="BL166" s="22">
        <f t="shared" si="73"/>
        <v>1</v>
      </c>
      <c r="BM166" s="22">
        <f t="shared" si="73"/>
        <v>11</v>
      </c>
      <c r="BN166" s="22">
        <f t="shared" si="73"/>
        <v>11</v>
      </c>
      <c r="BO166" s="22">
        <f t="shared" si="73"/>
        <v>9</v>
      </c>
      <c r="BP166" s="22">
        <f t="shared" si="73"/>
        <v>1</v>
      </c>
      <c r="BQ166" s="22">
        <f t="shared" si="73"/>
        <v>1133</v>
      </c>
      <c r="BR166" s="22">
        <f t="shared" si="73"/>
        <v>764</v>
      </c>
      <c r="BS166" s="22">
        <f t="shared" si="73"/>
        <v>207</v>
      </c>
      <c r="BT166" s="22">
        <f t="shared" si="73"/>
        <v>2</v>
      </c>
      <c r="BU166" s="22">
        <f t="shared" si="73"/>
        <v>42</v>
      </c>
      <c r="BV166" s="22">
        <f t="shared" si="73"/>
        <v>85</v>
      </c>
      <c r="BW166" s="22">
        <f t="shared" si="73"/>
        <v>214</v>
      </c>
      <c r="BX166" s="22">
        <f t="shared" si="73"/>
        <v>0</v>
      </c>
      <c r="BY166" s="22">
        <f t="shared" si="73"/>
        <v>0</v>
      </c>
      <c r="BZ166" s="22">
        <f t="shared" si="73"/>
        <v>0</v>
      </c>
      <c r="CA166" s="22">
        <f t="shared" si="73"/>
        <v>5</v>
      </c>
      <c r="CB166" s="22">
        <f t="shared" si="73"/>
        <v>2880</v>
      </c>
      <c r="CC166" s="22">
        <f t="shared" si="73"/>
        <v>0</v>
      </c>
      <c r="CD166" s="22">
        <f t="shared" si="73"/>
        <v>1</v>
      </c>
      <c r="CE166" s="22">
        <f t="shared" si="73"/>
        <v>0</v>
      </c>
      <c r="CF166" s="22">
        <f t="shared" si="73"/>
        <v>0</v>
      </c>
      <c r="CG166" s="22">
        <f t="shared" si="73"/>
        <v>11</v>
      </c>
      <c r="CH166" s="22">
        <f t="shared" si="73"/>
        <v>6</v>
      </c>
      <c r="CI166" s="22">
        <f t="shared" si="73"/>
        <v>63</v>
      </c>
      <c r="CJ166" s="22">
        <f t="shared" si="73"/>
        <v>158</v>
      </c>
      <c r="CK166" s="22">
        <f t="shared" si="73"/>
        <v>168</v>
      </c>
      <c r="CL166" s="22">
        <f t="shared" si="73"/>
        <v>22</v>
      </c>
      <c r="CM166" s="22">
        <f t="shared" si="73"/>
        <v>8</v>
      </c>
      <c r="CN166" s="22">
        <f t="shared" si="73"/>
        <v>1199</v>
      </c>
      <c r="CO166" s="22">
        <f t="shared" si="73"/>
        <v>377</v>
      </c>
      <c r="CP166" s="22">
        <f t="shared" si="73"/>
        <v>139</v>
      </c>
      <c r="CQ166" s="22">
        <f t="shared" si="73"/>
        <v>3</v>
      </c>
      <c r="CR166" s="22">
        <f t="shared" si="73"/>
        <v>0</v>
      </c>
      <c r="CS166" s="22">
        <f t="shared" si="73"/>
        <v>1</v>
      </c>
      <c r="CT166" s="22">
        <f t="shared" si="73"/>
        <v>1</v>
      </c>
      <c r="CU166" s="22">
        <f t="shared" si="73"/>
        <v>3</v>
      </c>
      <c r="CV166" s="22">
        <f t="shared" si="73"/>
        <v>0</v>
      </c>
      <c r="CW166" s="22">
        <f t="shared" si="73"/>
        <v>1</v>
      </c>
      <c r="CX166" s="22">
        <f t="shared" si="73"/>
        <v>12</v>
      </c>
      <c r="CY166" s="22">
        <f t="shared" si="73"/>
        <v>0</v>
      </c>
      <c r="CZ166" s="22">
        <f t="shared" si="73"/>
        <v>39</v>
      </c>
      <c r="DA166" s="22">
        <f t="shared" si="73"/>
        <v>0</v>
      </c>
      <c r="DB166" s="22">
        <f t="shared" si="73"/>
        <v>7</v>
      </c>
      <c r="DC166" s="22">
        <f t="shared" si="73"/>
        <v>0</v>
      </c>
      <c r="DD166" s="22">
        <f t="shared" si="73"/>
        <v>7</v>
      </c>
      <c r="DE166" s="22">
        <f t="shared" si="73"/>
        <v>1</v>
      </c>
      <c r="DF166" s="22">
        <f t="shared" si="73"/>
        <v>654</v>
      </c>
      <c r="DG166" s="22">
        <f t="shared" si="73"/>
        <v>0</v>
      </c>
      <c r="DH166" s="22">
        <f t="shared" si="73"/>
        <v>120</v>
      </c>
      <c r="DI166" s="22">
        <f t="shared" si="73"/>
        <v>62</v>
      </c>
      <c r="DJ166" s="22">
        <f t="shared" si="73"/>
        <v>9</v>
      </c>
      <c r="DK166" s="22">
        <f t="shared" si="73"/>
        <v>19</v>
      </c>
      <c r="DL166" s="22">
        <f t="shared" si="73"/>
        <v>415</v>
      </c>
      <c r="DM166" s="22">
        <f t="shared" si="73"/>
        <v>0</v>
      </c>
      <c r="DN166" s="22">
        <f t="shared" si="73"/>
        <v>66</v>
      </c>
      <c r="DO166" s="22">
        <f t="shared" si="73"/>
        <v>533</v>
      </c>
      <c r="DP166" s="22">
        <f t="shared" si="73"/>
        <v>0</v>
      </c>
      <c r="DQ166" s="22">
        <f t="shared" si="73"/>
        <v>51</v>
      </c>
      <c r="DR166" s="22">
        <f t="shared" si="73"/>
        <v>17</v>
      </c>
      <c r="DS166" s="22">
        <f t="shared" si="73"/>
        <v>32</v>
      </c>
      <c r="DT166" s="22">
        <f t="shared" si="73"/>
        <v>6</v>
      </c>
      <c r="DU166" s="22">
        <f t="shared" si="73"/>
        <v>3</v>
      </c>
      <c r="DV166" s="22">
        <f t="shared" si="73"/>
        <v>1</v>
      </c>
      <c r="DW166" s="22">
        <f t="shared" si="73"/>
        <v>1</v>
      </c>
      <c r="DX166" s="22">
        <f t="shared" si="73"/>
        <v>1</v>
      </c>
      <c r="DY166" s="22">
        <f t="shared" si="73"/>
        <v>4</v>
      </c>
      <c r="DZ166" s="22">
        <f t="shared" si="73"/>
        <v>0</v>
      </c>
      <c r="EA166" s="22">
        <f t="shared" si="73"/>
        <v>28</v>
      </c>
      <c r="EB166" s="22">
        <f t="shared" si="73"/>
        <v>62</v>
      </c>
      <c r="EC166" s="22">
        <f t="shared" si="73"/>
        <v>9</v>
      </c>
      <c r="ED166" s="22">
        <f t="shared" si="73"/>
        <v>66</v>
      </c>
      <c r="EE166" s="22">
        <f t="shared" si="73"/>
        <v>19</v>
      </c>
      <c r="EF166" s="22">
        <f t="shared" si="73"/>
        <v>71</v>
      </c>
      <c r="EG166" s="22">
        <f t="shared" si="73"/>
        <v>44</v>
      </c>
      <c r="EH166" s="22">
        <f t="shared" si="73"/>
        <v>14</v>
      </c>
      <c r="EI166" s="22">
        <f t="shared" si="73"/>
        <v>421</v>
      </c>
      <c r="EJ166" s="22">
        <f t="shared" si="73"/>
        <v>200</v>
      </c>
      <c r="EK166" s="22">
        <f t="shared" si="73"/>
        <v>17</v>
      </c>
      <c r="EL166" s="22">
        <f t="shared" si="73"/>
        <v>1</v>
      </c>
      <c r="EM166" s="22">
        <f t="shared" si="73"/>
        <v>6</v>
      </c>
      <c r="EN166" s="22">
        <f t="shared" si="73"/>
        <v>10</v>
      </c>
      <c r="EO166" s="22">
        <f t="shared" si="73"/>
        <v>5</v>
      </c>
      <c r="EP166" s="22">
        <f t="shared" si="73"/>
        <v>17</v>
      </c>
      <c r="EQ166" s="22">
        <f t="shared" si="73"/>
        <v>184</v>
      </c>
      <c r="ER166" s="22">
        <f t="shared" si="73"/>
        <v>14</v>
      </c>
      <c r="ES166" s="22">
        <f t="shared" si="73"/>
        <v>3</v>
      </c>
      <c r="ET166" s="22">
        <f t="shared" si="73"/>
        <v>5</v>
      </c>
      <c r="EU166" s="22">
        <f t="shared" si="73"/>
        <v>102</v>
      </c>
      <c r="EV166" s="22">
        <f t="shared" si="73"/>
        <v>6</v>
      </c>
      <c r="EW166" s="22">
        <f t="shared" si="73"/>
        <v>59</v>
      </c>
      <c r="EX166" s="22">
        <f t="shared" si="73"/>
        <v>8</v>
      </c>
      <c r="EY166" s="22">
        <f t="shared" si="73"/>
        <v>17</v>
      </c>
      <c r="EZ166" s="22">
        <f t="shared" si="73"/>
        <v>0</v>
      </c>
      <c r="FA166" s="22">
        <f t="shared" si="73"/>
        <v>611</v>
      </c>
      <c r="FB166" s="22">
        <f t="shared" si="73"/>
        <v>3</v>
      </c>
      <c r="FC166" s="22">
        <f t="shared" si="73"/>
        <v>32</v>
      </c>
      <c r="FD166" s="22">
        <f t="shared" si="73"/>
        <v>4</v>
      </c>
      <c r="FE166" s="22">
        <f t="shared" si="73"/>
        <v>13</v>
      </c>
      <c r="FF166" s="22">
        <f t="shared" si="73"/>
        <v>2</v>
      </c>
      <c r="FG166" s="22">
        <f t="shared" si="73"/>
        <v>3</v>
      </c>
      <c r="FH166" s="22">
        <f t="shared" si="73"/>
        <v>0</v>
      </c>
      <c r="FI166" s="22">
        <f t="shared" si="73"/>
        <v>182</v>
      </c>
      <c r="FJ166" s="22">
        <f t="shared" si="73"/>
        <v>72</v>
      </c>
      <c r="FK166" s="22">
        <f t="shared" si="73"/>
        <v>246</v>
      </c>
      <c r="FL166" s="22">
        <f t="shared" si="73"/>
        <v>195</v>
      </c>
      <c r="FM166" s="22">
        <f t="shared" si="73"/>
        <v>93</v>
      </c>
      <c r="FN166" s="22">
        <f t="shared" si="73"/>
        <v>3402</v>
      </c>
      <c r="FO166" s="22">
        <f t="shared" si="73"/>
        <v>55</v>
      </c>
      <c r="FP166" s="22">
        <f t="shared" si="73"/>
        <v>325</v>
      </c>
      <c r="FQ166" s="22">
        <f t="shared" si="73"/>
        <v>60</v>
      </c>
      <c r="FR166" s="22">
        <f t="shared" si="73"/>
        <v>1</v>
      </c>
      <c r="FS166" s="22">
        <f t="shared" si="73"/>
        <v>0</v>
      </c>
      <c r="FT166" s="22" t="e">
        <f t="shared" ca="1" si="73"/>
        <v>#NAME?</v>
      </c>
      <c r="FU166" s="22">
        <f t="shared" si="73"/>
        <v>137</v>
      </c>
      <c r="FV166" s="22">
        <f t="shared" si="73"/>
        <v>88</v>
      </c>
      <c r="FW166" s="22">
        <f t="shared" si="73"/>
        <v>5</v>
      </c>
      <c r="FX166" s="22">
        <f t="shared" si="73"/>
        <v>0</v>
      </c>
      <c r="FY166" s="7"/>
      <c r="FZ166" s="49" t="e">
        <f ca="1">SUM(C166:FY166)</f>
        <v>#NAME?</v>
      </c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</row>
    <row r="167" spans="1:193" ht="15.5" x14ac:dyDescent="0.35">
      <c r="A167" s="12" t="s">
        <v>603</v>
      </c>
      <c r="B167" s="7" t="s">
        <v>901</v>
      </c>
      <c r="C167" s="49">
        <f t="shared" ref="C167:FX167" ca="1" si="74">C124</f>
        <v>10738.609369934627</v>
      </c>
      <c r="D167" s="49">
        <f t="shared" ca="1" si="74"/>
        <v>10780.479009459999</v>
      </c>
      <c r="E167" s="49">
        <f t="shared" ca="1" si="74"/>
        <v>10643.85360178</v>
      </c>
      <c r="F167" s="49">
        <f t="shared" ca="1" si="74"/>
        <v>10689.81605182</v>
      </c>
      <c r="G167" s="49">
        <f t="shared" ca="1" si="74"/>
        <v>11113.78245269</v>
      </c>
      <c r="H167" s="49">
        <f t="shared" ca="1" si="74"/>
        <v>11422.10040904</v>
      </c>
      <c r="I167" s="49">
        <f t="shared" ca="1" si="74"/>
        <v>10661.398181820001</v>
      </c>
      <c r="J167" s="49">
        <f t="shared" ca="1" si="74"/>
        <v>10314.757123519999</v>
      </c>
      <c r="K167" s="49">
        <f t="shared" ca="1" si="74"/>
        <v>15512.023119580001</v>
      </c>
      <c r="L167" s="49">
        <f t="shared" ca="1" si="74"/>
        <v>11159.38840795</v>
      </c>
      <c r="M167" s="49">
        <f t="shared" ca="1" si="74"/>
        <v>11911.168863340001</v>
      </c>
      <c r="N167" s="49">
        <f t="shared" ca="1" si="74"/>
        <v>11104.467071319999</v>
      </c>
      <c r="O167" s="49">
        <f t="shared" ca="1" si="74"/>
        <v>10828.94833951</v>
      </c>
      <c r="P167" s="49">
        <f t="shared" ca="1" si="74"/>
        <v>15128.685684890001</v>
      </c>
      <c r="Q167" s="49">
        <f t="shared" ca="1" si="74"/>
        <v>10934.37333884</v>
      </c>
      <c r="R167" s="49">
        <f t="shared" ca="1" si="74"/>
        <v>10659.65831223</v>
      </c>
      <c r="S167" s="49">
        <f t="shared" ca="1" si="74"/>
        <v>10975.56024513</v>
      </c>
      <c r="T167" s="49">
        <f t="shared" ca="1" si="74"/>
        <v>18355.878521719998</v>
      </c>
      <c r="U167" s="49">
        <f t="shared" ca="1" si="74"/>
        <v>21881.90851397</v>
      </c>
      <c r="V167" s="49">
        <f t="shared" ca="1" si="74"/>
        <v>15024.600686629999</v>
      </c>
      <c r="W167" s="49">
        <f t="shared" ca="1" si="74"/>
        <v>21736.64996594</v>
      </c>
      <c r="X167" s="49">
        <f t="shared" ca="1" si="74"/>
        <v>22055.351485030002</v>
      </c>
      <c r="Y167" s="49">
        <f t="shared" ca="1" si="74"/>
        <v>10590.946651419999</v>
      </c>
      <c r="Z167" s="49">
        <f t="shared" ca="1" si="74"/>
        <v>15555.45957053</v>
      </c>
      <c r="AA167" s="49">
        <f t="shared" ca="1" si="74"/>
        <v>10853.37632338</v>
      </c>
      <c r="AB167" s="49">
        <f t="shared" ca="1" si="74"/>
        <v>11090.43803024</v>
      </c>
      <c r="AC167" s="49">
        <f t="shared" ca="1" si="74"/>
        <v>11444.004921559999</v>
      </c>
      <c r="AD167" s="49">
        <f t="shared" ca="1" si="74"/>
        <v>10837.41130458</v>
      </c>
      <c r="AE167" s="49">
        <f t="shared" ca="1" si="74"/>
        <v>20323.735904280002</v>
      </c>
      <c r="AF167" s="49">
        <f t="shared" ca="1" si="74"/>
        <v>18639.667538599999</v>
      </c>
      <c r="AG167" s="49">
        <f t="shared" ca="1" si="74"/>
        <v>12393.244597659999</v>
      </c>
      <c r="AH167" s="49">
        <f t="shared" ca="1" si="74"/>
        <v>10793.282859020001</v>
      </c>
      <c r="AI167" s="49">
        <f t="shared" ca="1" si="74"/>
        <v>12867.603865110001</v>
      </c>
      <c r="AJ167" s="49">
        <f t="shared" ca="1" si="74"/>
        <v>18059.57909376</v>
      </c>
      <c r="AK167" s="49">
        <f t="shared" ca="1" si="74"/>
        <v>18291.973206760002</v>
      </c>
      <c r="AL167" s="49">
        <f t="shared" ca="1" si="74"/>
        <v>14364.17662738</v>
      </c>
      <c r="AM167" s="49">
        <f t="shared" ca="1" si="74"/>
        <v>13456.508305519999</v>
      </c>
      <c r="AN167" s="49">
        <f t="shared" ca="1" si="74"/>
        <v>14634.177562819999</v>
      </c>
      <c r="AO167" s="49">
        <f t="shared" ca="1" si="74"/>
        <v>10495.23070873</v>
      </c>
      <c r="AP167" s="49">
        <f t="shared" ca="1" si="74"/>
        <v>10942.473040389999</v>
      </c>
      <c r="AQ167" s="49">
        <f t="shared" ca="1" si="74"/>
        <v>16219.525156309999</v>
      </c>
      <c r="AR167" s="49">
        <f t="shared" ca="1" si="74"/>
        <v>10942.473040389999</v>
      </c>
      <c r="AS167" s="49">
        <f t="shared" ca="1" si="74"/>
        <v>11481.99371289</v>
      </c>
      <c r="AT167" s="49">
        <f t="shared" ca="1" si="74"/>
        <v>11104.83353812</v>
      </c>
      <c r="AU167" s="49">
        <f t="shared" ca="1" si="74"/>
        <v>15987.176242940001</v>
      </c>
      <c r="AV167" s="49">
        <f t="shared" ca="1" si="74"/>
        <v>15158.5620239</v>
      </c>
      <c r="AW167" s="49">
        <f t="shared" ca="1" si="74"/>
        <v>16397.356424760001</v>
      </c>
      <c r="AX167" s="49">
        <f t="shared" ca="1" si="74"/>
        <v>22572.087759149999</v>
      </c>
      <c r="AY167" s="49">
        <f t="shared" ca="1" si="74"/>
        <v>13468.475264590001</v>
      </c>
      <c r="AZ167" s="49">
        <f t="shared" ca="1" si="74"/>
        <v>10612.85546221</v>
      </c>
      <c r="BA167" s="49">
        <f t="shared" ca="1" si="74"/>
        <v>10377.606119509999</v>
      </c>
      <c r="BB167" s="49">
        <f t="shared" ca="1" si="74"/>
        <v>10454.539859279999</v>
      </c>
      <c r="BC167" s="49">
        <f t="shared" ca="1" si="74"/>
        <v>10625.74875508</v>
      </c>
      <c r="BD167" s="49">
        <f t="shared" ca="1" si="74"/>
        <v>10658.347160290001</v>
      </c>
      <c r="BE167" s="49">
        <f t="shared" ca="1" si="74"/>
        <v>11380.527282270001</v>
      </c>
      <c r="BF167" s="49">
        <f t="shared" ca="1" si="74"/>
        <v>10708.072152610001</v>
      </c>
      <c r="BG167" s="49">
        <f t="shared" ca="1" si="74"/>
        <v>11573.26131351</v>
      </c>
      <c r="BH167" s="49">
        <f t="shared" ca="1" si="74"/>
        <v>12351.371819</v>
      </c>
      <c r="BI167" s="49">
        <f t="shared" ca="1" si="74"/>
        <v>16097.179919280001</v>
      </c>
      <c r="BJ167" s="49">
        <f t="shared" ca="1" si="74"/>
        <v>10768.002784099999</v>
      </c>
      <c r="BK167" s="49">
        <f t="shared" ca="1" si="74"/>
        <v>10650.883784719999</v>
      </c>
      <c r="BL167" s="49">
        <f t="shared" ca="1" si="74"/>
        <v>22565.369211050001</v>
      </c>
      <c r="BM167" s="49">
        <f t="shared" ca="1" si="74"/>
        <v>13901.148564499999</v>
      </c>
      <c r="BN167" s="49">
        <f t="shared" ca="1" si="74"/>
        <v>10270.43818291</v>
      </c>
      <c r="BO167" s="49">
        <f t="shared" ca="1" si="74"/>
        <v>10778.9162891</v>
      </c>
      <c r="BP167" s="49">
        <f t="shared" ca="1" si="74"/>
        <v>18962.956738360001</v>
      </c>
      <c r="BQ167" s="49">
        <f t="shared" ca="1" si="74"/>
        <v>11386.381434860001</v>
      </c>
      <c r="BR167" s="49">
        <f t="shared" ca="1" si="74"/>
        <v>10585.9467159</v>
      </c>
      <c r="BS167" s="49">
        <f t="shared" ca="1" si="74"/>
        <v>11449.62029024</v>
      </c>
      <c r="BT167" s="49">
        <f t="shared" ca="1" si="74"/>
        <v>14353.71077806</v>
      </c>
      <c r="BU167" s="49">
        <f t="shared" ca="1" si="74"/>
        <v>14007.53289848</v>
      </c>
      <c r="BV167" s="49">
        <f t="shared" ca="1" si="74"/>
        <v>11202.0885667</v>
      </c>
      <c r="BW167" s="49">
        <f t="shared" ca="1" si="74"/>
        <v>11035.662144800001</v>
      </c>
      <c r="BX167" s="49">
        <f t="shared" ca="1" si="74"/>
        <v>23807.7059935</v>
      </c>
      <c r="BY167" s="49">
        <f t="shared" ca="1" si="74"/>
        <v>12686.40864539</v>
      </c>
      <c r="BZ167" s="49">
        <f t="shared" ca="1" si="74"/>
        <v>15819.56011814</v>
      </c>
      <c r="CA167" s="49">
        <f t="shared" ca="1" si="74"/>
        <v>20028.51729539</v>
      </c>
      <c r="CB167" s="49">
        <f t="shared" ca="1" si="74"/>
        <v>10845.27662183</v>
      </c>
      <c r="CC167" s="49">
        <f t="shared" ca="1" si="74"/>
        <v>17123.881216850001</v>
      </c>
      <c r="CD167" s="49">
        <f t="shared" ca="1" si="74"/>
        <v>21572.722102520001</v>
      </c>
      <c r="CE167" s="49">
        <f t="shared" ca="1" si="74"/>
        <v>18341.580141840001</v>
      </c>
      <c r="CF167" s="49">
        <f t="shared" ca="1" si="74"/>
        <v>19338.494874970002</v>
      </c>
      <c r="CG167" s="49">
        <f t="shared" ca="1" si="74"/>
        <v>16915.047340820001</v>
      </c>
      <c r="CH167" s="49">
        <f t="shared" ca="1" si="74"/>
        <v>20495.991559990001</v>
      </c>
      <c r="CI167" s="49">
        <f t="shared" ca="1" si="74"/>
        <v>11027.596785510001</v>
      </c>
      <c r="CJ167" s="49">
        <f t="shared" ca="1" si="74"/>
        <v>11612.7315368</v>
      </c>
      <c r="CK167" s="49">
        <f t="shared" ca="1" si="74"/>
        <v>10961.511256289999</v>
      </c>
      <c r="CL167" s="49">
        <f t="shared" ca="1" si="74"/>
        <v>11582.71589997</v>
      </c>
      <c r="CM167" s="49">
        <f t="shared" ca="1" si="74"/>
        <v>12295.44129243</v>
      </c>
      <c r="CN167" s="49">
        <f t="shared" ca="1" si="74"/>
        <v>10456.49094761</v>
      </c>
      <c r="CO167" s="49">
        <f t="shared" ca="1" si="74"/>
        <v>10441.159689329999</v>
      </c>
      <c r="CP167" s="49">
        <f t="shared" ca="1" si="74"/>
        <v>11779.038239150001</v>
      </c>
      <c r="CQ167" s="49">
        <f t="shared" ca="1" si="74"/>
        <v>11588.107996819999</v>
      </c>
      <c r="CR167" s="49">
        <f t="shared" ca="1" si="74"/>
        <v>16812.203358639999</v>
      </c>
      <c r="CS167" s="49">
        <f t="shared" ca="1" si="74"/>
        <v>14617.67253657</v>
      </c>
      <c r="CT167" s="49">
        <f t="shared" ca="1" si="74"/>
        <v>19847.62466026</v>
      </c>
      <c r="CU167" s="49">
        <f t="shared" ca="1" si="74"/>
        <v>10887.60118027</v>
      </c>
      <c r="CV167" s="49">
        <f t="shared" ca="1" si="74"/>
        <v>21073.45032751</v>
      </c>
      <c r="CW167" s="49">
        <f t="shared" ca="1" si="74"/>
        <v>17459.91918257</v>
      </c>
      <c r="CX167" s="49">
        <f t="shared" ca="1" si="74"/>
        <v>12056.85861487</v>
      </c>
      <c r="CY167" s="49">
        <f t="shared" ca="1" si="74"/>
        <v>22255.060195040001</v>
      </c>
      <c r="CZ167" s="49">
        <f t="shared" ca="1" si="74"/>
        <v>10682.846703220001</v>
      </c>
      <c r="DA167" s="49">
        <f t="shared" ca="1" si="74"/>
        <v>17365.10770181</v>
      </c>
      <c r="DB167" s="49">
        <f t="shared" ca="1" si="74"/>
        <v>14449.038702989999</v>
      </c>
      <c r="DC167" s="49">
        <f t="shared" ca="1" si="74"/>
        <v>17884.736210269999</v>
      </c>
      <c r="DD167" s="49">
        <f t="shared" ca="1" si="74"/>
        <v>18484.437191249999</v>
      </c>
      <c r="DE167" s="49">
        <f t="shared" ca="1" si="74"/>
        <v>14880.45045436</v>
      </c>
      <c r="DF167" s="49">
        <f t="shared" ca="1" si="74"/>
        <v>10121.78800986</v>
      </c>
      <c r="DG167" s="49">
        <f t="shared" ca="1" si="74"/>
        <v>21782.55764331</v>
      </c>
      <c r="DH167" s="49">
        <f t="shared" ca="1" si="74"/>
        <v>10481.946712319999</v>
      </c>
      <c r="DI167" s="49">
        <f t="shared" ca="1" si="74"/>
        <v>10319.83318774</v>
      </c>
      <c r="DJ167" s="49">
        <f t="shared" ca="1" si="74"/>
        <v>11860.095092789999</v>
      </c>
      <c r="DK167" s="49">
        <f t="shared" ca="1" si="74"/>
        <v>12040.29964279</v>
      </c>
      <c r="DL167" s="49">
        <f t="shared" ca="1" si="74"/>
        <v>10737.990928630001</v>
      </c>
      <c r="DM167" s="49">
        <f t="shared" ca="1" si="74"/>
        <v>17207.67481027</v>
      </c>
      <c r="DN167" s="49">
        <f t="shared" ca="1" si="74"/>
        <v>11169.56877761</v>
      </c>
      <c r="DO167" s="49">
        <f t="shared" ca="1" si="74"/>
        <v>10574.28813685</v>
      </c>
      <c r="DP167" s="49">
        <f t="shared" ca="1" si="74"/>
        <v>18186.07966639</v>
      </c>
      <c r="DQ167" s="49">
        <f t="shared" ca="1" si="74"/>
        <v>11437.97369266</v>
      </c>
      <c r="DR167" s="49">
        <f t="shared" ca="1" si="74"/>
        <v>10800.31880784</v>
      </c>
      <c r="DS167" s="49">
        <f t="shared" ca="1" si="74"/>
        <v>11681.25381111</v>
      </c>
      <c r="DT167" s="49">
        <f t="shared" ca="1" si="74"/>
        <v>18480.089066150002</v>
      </c>
      <c r="DU167" s="49">
        <f t="shared" ca="1" si="74"/>
        <v>13596.51032644</v>
      </c>
      <c r="DV167" s="49">
        <f t="shared" ca="1" si="74"/>
        <v>17204.291485400001</v>
      </c>
      <c r="DW167" s="49">
        <f t="shared" ca="1" si="74"/>
        <v>14500.40260652</v>
      </c>
      <c r="DX167" s="49">
        <f t="shared" ca="1" si="74"/>
        <v>21223.512856869998</v>
      </c>
      <c r="DY167" s="49">
        <f t="shared" ca="1" si="74"/>
        <v>16206.32911432</v>
      </c>
      <c r="DZ167" s="49">
        <f t="shared" ca="1" si="74"/>
        <v>12427.067367539999</v>
      </c>
      <c r="EA167" s="49">
        <f t="shared" ca="1" si="74"/>
        <v>12529.25582581</v>
      </c>
      <c r="EB167" s="49">
        <f t="shared" ca="1" si="74"/>
        <v>11668.044721849999</v>
      </c>
      <c r="EC167" s="49">
        <f t="shared" ca="1" si="74"/>
        <v>14114.213119419999</v>
      </c>
      <c r="ED167" s="49">
        <f t="shared" ca="1" si="74"/>
        <v>14818.65013047</v>
      </c>
      <c r="EE167" s="49">
        <f t="shared" ca="1" si="74"/>
        <v>17163.226516030001</v>
      </c>
      <c r="EF167" s="49">
        <f t="shared" ca="1" si="74"/>
        <v>10682.311948570001</v>
      </c>
      <c r="EG167" s="49">
        <f t="shared" ca="1" si="74"/>
        <v>14665.13155769</v>
      </c>
      <c r="EH167" s="49">
        <f t="shared" ca="1" si="74"/>
        <v>15221.74832144</v>
      </c>
      <c r="EI167" s="49">
        <f t="shared" ca="1" si="74"/>
        <v>10368.59352343</v>
      </c>
      <c r="EJ167" s="49">
        <f t="shared" ca="1" si="74"/>
        <v>10268.051614890001</v>
      </c>
      <c r="EK167" s="49">
        <f t="shared" ca="1" si="74"/>
        <v>11495.19640968</v>
      </c>
      <c r="EL167" s="49">
        <f t="shared" ca="1" si="74"/>
        <v>11696.46315473</v>
      </c>
      <c r="EM167" s="49">
        <f t="shared" ca="1" si="74"/>
        <v>13140.42408106</v>
      </c>
      <c r="EN167" s="49">
        <f t="shared" ca="1" si="74"/>
        <v>10926.66002257</v>
      </c>
      <c r="EO167" s="49">
        <f t="shared" ca="1" si="74"/>
        <v>14204.02039064</v>
      </c>
      <c r="EP167" s="49">
        <f t="shared" ca="1" si="74"/>
        <v>13508.124605360001</v>
      </c>
      <c r="EQ167" s="49">
        <f t="shared" ca="1" si="74"/>
        <v>11261.09261858</v>
      </c>
      <c r="ER167" s="49">
        <f t="shared" ca="1" si="74"/>
        <v>15563.648275240001</v>
      </c>
      <c r="ES167" s="49">
        <f t="shared" ca="1" si="74"/>
        <v>18262.504002009999</v>
      </c>
      <c r="ET167" s="49">
        <f t="shared" ca="1" si="74"/>
        <v>19680.421551020001</v>
      </c>
      <c r="EU167" s="49">
        <f t="shared" ca="1" si="74"/>
        <v>11360.99933194</v>
      </c>
      <c r="EV167" s="49">
        <f t="shared" ca="1" si="74"/>
        <v>22979.783798799999</v>
      </c>
      <c r="EW167" s="49">
        <f t="shared" ca="1" si="74"/>
        <v>15163.95450084</v>
      </c>
      <c r="EX167" s="49">
        <f t="shared" ca="1" si="74"/>
        <v>19929.69347079</v>
      </c>
      <c r="EY167" s="49">
        <f t="shared" ca="1" si="74"/>
        <v>11423.637462950001</v>
      </c>
      <c r="EZ167" s="49">
        <f t="shared" ca="1" si="74"/>
        <v>19756.026827379999</v>
      </c>
      <c r="FA167" s="49">
        <f t="shared" ca="1" si="74"/>
        <v>11539.855551520001</v>
      </c>
      <c r="FB167" s="49">
        <f t="shared" ca="1" si="74"/>
        <v>14834.93582784</v>
      </c>
      <c r="FC167" s="49">
        <f t="shared" ca="1" si="74"/>
        <v>10946.40843189</v>
      </c>
      <c r="FD167" s="49">
        <f t="shared" ca="1" si="74"/>
        <v>12978.293809479999</v>
      </c>
      <c r="FE167" s="49">
        <f t="shared" ca="1" si="74"/>
        <v>21722.525203550002</v>
      </c>
      <c r="FF167" s="49">
        <f t="shared" ca="1" si="74"/>
        <v>18186.434948229999</v>
      </c>
      <c r="FG167" s="49">
        <f t="shared" ca="1" si="74"/>
        <v>20651.308264539999</v>
      </c>
      <c r="FH167" s="49">
        <f t="shared" ca="1" si="74"/>
        <v>21913.984779629998</v>
      </c>
      <c r="FI167" s="49">
        <f t="shared" ca="1" si="74"/>
        <v>10859.185803079999</v>
      </c>
      <c r="FJ167" s="49">
        <f t="shared" ca="1" si="74"/>
        <v>10620.66814123</v>
      </c>
      <c r="FK167" s="49">
        <f t="shared" ca="1" si="74"/>
        <v>10602.273550690001</v>
      </c>
      <c r="FL167" s="49">
        <f t="shared" ca="1" si="74"/>
        <v>10337.16578643</v>
      </c>
      <c r="FM167" s="49">
        <f t="shared" ca="1" si="74"/>
        <v>10378.68120434</v>
      </c>
      <c r="FN167" s="49">
        <f t="shared" ca="1" si="74"/>
        <v>10437.463361440001</v>
      </c>
      <c r="FO167" s="49">
        <f t="shared" ca="1" si="74"/>
        <v>11156.86310002</v>
      </c>
      <c r="FP167" s="49">
        <f t="shared" ca="1" si="74"/>
        <v>10776.042997050001</v>
      </c>
      <c r="FQ167" s="49">
        <f t="shared" ca="1" si="74"/>
        <v>11203.805790500001</v>
      </c>
      <c r="FR167" s="49">
        <f t="shared" ca="1" si="74"/>
        <v>19002.083399480001</v>
      </c>
      <c r="FS167" s="49">
        <f t="shared" ca="1" si="74"/>
        <v>18939.573778990001</v>
      </c>
      <c r="FT167" s="49" t="e">
        <f t="shared" ca="1" si="74"/>
        <v>#NAME?</v>
      </c>
      <c r="FU167" s="49">
        <f t="shared" ca="1" si="74"/>
        <v>11827.04351765</v>
      </c>
      <c r="FV167" s="49">
        <f t="shared" ca="1" si="74"/>
        <v>11610.821122789999</v>
      </c>
      <c r="FW167" s="49">
        <f t="shared" ca="1" si="74"/>
        <v>19651.225421070001</v>
      </c>
      <c r="FX167" s="49">
        <f t="shared" ca="1" si="74"/>
        <v>23541.407660289999</v>
      </c>
      <c r="FY167" s="7"/>
      <c r="FZ167" s="49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</row>
    <row r="168" spans="1:193" ht="15.5" x14ac:dyDescent="0.35">
      <c r="A168" s="12" t="s">
        <v>605</v>
      </c>
      <c r="B168" s="7" t="s">
        <v>902</v>
      </c>
      <c r="C168" s="49">
        <f t="shared" ref="C168:FX168" ca="1" si="75">C167*0.08</f>
        <v>859.08874959477021</v>
      </c>
      <c r="D168" s="49">
        <f t="shared" ca="1" si="75"/>
        <v>862.43832075679995</v>
      </c>
      <c r="E168" s="49">
        <f t="shared" ca="1" si="75"/>
        <v>851.50828814240003</v>
      </c>
      <c r="F168" s="49">
        <f t="shared" ca="1" si="75"/>
        <v>855.18528414560001</v>
      </c>
      <c r="G168" s="49">
        <f t="shared" ca="1" si="75"/>
        <v>889.10259621520004</v>
      </c>
      <c r="H168" s="49">
        <f t="shared" ca="1" si="75"/>
        <v>913.76803272320001</v>
      </c>
      <c r="I168" s="49">
        <f t="shared" ca="1" si="75"/>
        <v>852.91185454560014</v>
      </c>
      <c r="J168" s="49">
        <f t="shared" ca="1" si="75"/>
        <v>825.18056988159992</v>
      </c>
      <c r="K168" s="49">
        <f t="shared" ca="1" si="75"/>
        <v>1240.9618495664001</v>
      </c>
      <c r="L168" s="49">
        <f t="shared" ca="1" si="75"/>
        <v>892.751072636</v>
      </c>
      <c r="M168" s="49">
        <f t="shared" ca="1" si="75"/>
        <v>952.89350906720006</v>
      </c>
      <c r="N168" s="49">
        <f t="shared" ca="1" si="75"/>
        <v>888.35736570559993</v>
      </c>
      <c r="O168" s="49">
        <f t="shared" ca="1" si="75"/>
        <v>866.31586716079994</v>
      </c>
      <c r="P168" s="49">
        <f t="shared" ca="1" si="75"/>
        <v>1210.2948547912001</v>
      </c>
      <c r="Q168" s="49">
        <f t="shared" ca="1" si="75"/>
        <v>874.74986710719998</v>
      </c>
      <c r="R168" s="49">
        <f t="shared" ca="1" si="75"/>
        <v>852.77266497840003</v>
      </c>
      <c r="S168" s="49">
        <f t="shared" ca="1" si="75"/>
        <v>878.04481961040005</v>
      </c>
      <c r="T168" s="49">
        <f t="shared" ca="1" si="75"/>
        <v>1468.4702817375999</v>
      </c>
      <c r="U168" s="49">
        <f t="shared" ca="1" si="75"/>
        <v>1750.5526811176001</v>
      </c>
      <c r="V168" s="49">
        <f t="shared" ca="1" si="75"/>
        <v>1201.9680549304001</v>
      </c>
      <c r="W168" s="49">
        <f t="shared" ca="1" si="75"/>
        <v>1738.9319972752</v>
      </c>
      <c r="X168" s="49">
        <f t="shared" ca="1" si="75"/>
        <v>1764.4281188024001</v>
      </c>
      <c r="Y168" s="49">
        <f t="shared" ca="1" si="75"/>
        <v>847.27573211359993</v>
      </c>
      <c r="Z168" s="49">
        <f t="shared" ca="1" si="75"/>
        <v>1244.4367656423999</v>
      </c>
      <c r="AA168" s="49">
        <f t="shared" ca="1" si="75"/>
        <v>868.27010587040002</v>
      </c>
      <c r="AB168" s="49">
        <f t="shared" ca="1" si="75"/>
        <v>887.2350424192</v>
      </c>
      <c r="AC168" s="49">
        <f t="shared" ca="1" si="75"/>
        <v>915.52039372479999</v>
      </c>
      <c r="AD168" s="49">
        <f t="shared" ca="1" si="75"/>
        <v>866.99290436640001</v>
      </c>
      <c r="AE168" s="49">
        <f t="shared" ca="1" si="75"/>
        <v>1625.8988723424002</v>
      </c>
      <c r="AF168" s="49">
        <f t="shared" ca="1" si="75"/>
        <v>1491.173403088</v>
      </c>
      <c r="AG168" s="49">
        <f t="shared" ca="1" si="75"/>
        <v>991.45956781279995</v>
      </c>
      <c r="AH168" s="49">
        <f t="shared" ca="1" si="75"/>
        <v>863.46262872160003</v>
      </c>
      <c r="AI168" s="49">
        <f t="shared" ca="1" si="75"/>
        <v>1029.4083092088001</v>
      </c>
      <c r="AJ168" s="49">
        <f t="shared" ca="1" si="75"/>
        <v>1444.7663275007999</v>
      </c>
      <c r="AK168" s="49">
        <f t="shared" ca="1" si="75"/>
        <v>1463.3578565408002</v>
      </c>
      <c r="AL168" s="49">
        <f t="shared" ca="1" si="75"/>
        <v>1149.1341301904001</v>
      </c>
      <c r="AM168" s="49">
        <f t="shared" ca="1" si="75"/>
        <v>1076.5206644416</v>
      </c>
      <c r="AN168" s="49">
        <f t="shared" ca="1" si="75"/>
        <v>1170.7342050256</v>
      </c>
      <c r="AO168" s="49">
        <f t="shared" ca="1" si="75"/>
        <v>839.6184566984</v>
      </c>
      <c r="AP168" s="49">
        <f t="shared" ca="1" si="75"/>
        <v>875.3978432312</v>
      </c>
      <c r="AQ168" s="49">
        <f t="shared" ca="1" si="75"/>
        <v>1297.5620125047999</v>
      </c>
      <c r="AR168" s="49">
        <f t="shared" ca="1" si="75"/>
        <v>875.3978432312</v>
      </c>
      <c r="AS168" s="49">
        <f t="shared" ca="1" si="75"/>
        <v>918.55949703120007</v>
      </c>
      <c r="AT168" s="49">
        <f t="shared" ca="1" si="75"/>
        <v>888.38668304959992</v>
      </c>
      <c r="AU168" s="49">
        <f t="shared" ca="1" si="75"/>
        <v>1278.9740994352001</v>
      </c>
      <c r="AV168" s="49">
        <f t="shared" ca="1" si="75"/>
        <v>1212.6849619120001</v>
      </c>
      <c r="AW168" s="49">
        <f t="shared" ca="1" si="75"/>
        <v>1311.7885139808002</v>
      </c>
      <c r="AX168" s="49">
        <f t="shared" ca="1" si="75"/>
        <v>1805.767020732</v>
      </c>
      <c r="AY168" s="49">
        <f t="shared" ca="1" si="75"/>
        <v>1077.4780211672</v>
      </c>
      <c r="AZ168" s="49">
        <f t="shared" ca="1" si="75"/>
        <v>849.02843697679998</v>
      </c>
      <c r="BA168" s="49">
        <f t="shared" ca="1" si="75"/>
        <v>830.20848956079999</v>
      </c>
      <c r="BB168" s="49">
        <f t="shared" ca="1" si="75"/>
        <v>836.36318874239998</v>
      </c>
      <c r="BC168" s="49">
        <f t="shared" ca="1" si="75"/>
        <v>850.05990040639995</v>
      </c>
      <c r="BD168" s="49">
        <f t="shared" ca="1" si="75"/>
        <v>852.66777282320004</v>
      </c>
      <c r="BE168" s="49">
        <f t="shared" ca="1" si="75"/>
        <v>910.44218258160004</v>
      </c>
      <c r="BF168" s="49">
        <f t="shared" ca="1" si="75"/>
        <v>856.64577220880005</v>
      </c>
      <c r="BG168" s="49">
        <f t="shared" ca="1" si="75"/>
        <v>925.86090508079997</v>
      </c>
      <c r="BH168" s="49">
        <f t="shared" ca="1" si="75"/>
        <v>988.10974552000005</v>
      </c>
      <c r="BI168" s="49">
        <f t="shared" ca="1" si="75"/>
        <v>1287.7743935424</v>
      </c>
      <c r="BJ168" s="49">
        <f t="shared" ca="1" si="75"/>
        <v>861.44022272799998</v>
      </c>
      <c r="BK168" s="49">
        <f t="shared" ca="1" si="75"/>
        <v>852.07070277759999</v>
      </c>
      <c r="BL168" s="49">
        <f t="shared" ca="1" si="75"/>
        <v>1805.2295368840003</v>
      </c>
      <c r="BM168" s="49">
        <f t="shared" ca="1" si="75"/>
        <v>1112.0918851599999</v>
      </c>
      <c r="BN168" s="49">
        <f t="shared" ca="1" si="75"/>
        <v>821.63505463280001</v>
      </c>
      <c r="BO168" s="49">
        <f t="shared" ca="1" si="75"/>
        <v>862.31330312800003</v>
      </c>
      <c r="BP168" s="49">
        <f t="shared" ca="1" si="75"/>
        <v>1517.0365390688</v>
      </c>
      <c r="BQ168" s="49">
        <f t="shared" ca="1" si="75"/>
        <v>910.91051478880013</v>
      </c>
      <c r="BR168" s="49">
        <f t="shared" ca="1" si="75"/>
        <v>846.87573727200004</v>
      </c>
      <c r="BS168" s="49">
        <f t="shared" ca="1" si="75"/>
        <v>915.9696232192</v>
      </c>
      <c r="BT168" s="49">
        <f t="shared" ca="1" si="75"/>
        <v>1148.2968622448</v>
      </c>
      <c r="BU168" s="49">
        <f t="shared" ca="1" si="75"/>
        <v>1120.6026318784</v>
      </c>
      <c r="BV168" s="49">
        <f t="shared" ca="1" si="75"/>
        <v>896.16708533600001</v>
      </c>
      <c r="BW168" s="49">
        <f t="shared" ca="1" si="75"/>
        <v>882.8529715840001</v>
      </c>
      <c r="BX168" s="49">
        <f t="shared" ca="1" si="75"/>
        <v>1904.61647948</v>
      </c>
      <c r="BY168" s="49">
        <f t="shared" ca="1" si="75"/>
        <v>1014.9126916312</v>
      </c>
      <c r="BZ168" s="49">
        <f t="shared" ca="1" si="75"/>
        <v>1265.5648094512001</v>
      </c>
      <c r="CA168" s="49">
        <f t="shared" ca="1" si="75"/>
        <v>1602.2813836312</v>
      </c>
      <c r="CB168" s="49">
        <f t="shared" ca="1" si="75"/>
        <v>867.62212974639999</v>
      </c>
      <c r="CC168" s="49">
        <f t="shared" ca="1" si="75"/>
        <v>1369.910497348</v>
      </c>
      <c r="CD168" s="49">
        <f t="shared" ca="1" si="75"/>
        <v>1725.8177682016001</v>
      </c>
      <c r="CE168" s="49">
        <f t="shared" ca="1" si="75"/>
        <v>1467.3264113472001</v>
      </c>
      <c r="CF168" s="49">
        <f t="shared" ca="1" si="75"/>
        <v>1547.0795899976001</v>
      </c>
      <c r="CG168" s="49">
        <f t="shared" ca="1" si="75"/>
        <v>1353.2037872656001</v>
      </c>
      <c r="CH168" s="49">
        <f t="shared" ca="1" si="75"/>
        <v>1639.6793247992002</v>
      </c>
      <c r="CI168" s="49">
        <f t="shared" ca="1" si="75"/>
        <v>882.20774284080005</v>
      </c>
      <c r="CJ168" s="49">
        <f t="shared" ca="1" si="75"/>
        <v>929.01852294399998</v>
      </c>
      <c r="CK168" s="49">
        <f t="shared" ca="1" si="75"/>
        <v>876.92090050319996</v>
      </c>
      <c r="CL168" s="49">
        <f t="shared" ca="1" si="75"/>
        <v>926.61727199760003</v>
      </c>
      <c r="CM168" s="49">
        <f t="shared" ca="1" si="75"/>
        <v>983.63530339440001</v>
      </c>
      <c r="CN168" s="49">
        <f t="shared" ca="1" si="75"/>
        <v>836.51927580879999</v>
      </c>
      <c r="CO168" s="49">
        <f t="shared" ca="1" si="75"/>
        <v>835.2927751464</v>
      </c>
      <c r="CP168" s="49">
        <f t="shared" ca="1" si="75"/>
        <v>942.32305913200003</v>
      </c>
      <c r="CQ168" s="49">
        <f t="shared" ca="1" si="75"/>
        <v>927.04863974559998</v>
      </c>
      <c r="CR168" s="49">
        <f t="shared" ca="1" si="75"/>
        <v>1344.9762686911999</v>
      </c>
      <c r="CS168" s="49">
        <f t="shared" ca="1" si="75"/>
        <v>1169.4138029256001</v>
      </c>
      <c r="CT168" s="49">
        <f t="shared" ca="1" si="75"/>
        <v>1587.8099728208001</v>
      </c>
      <c r="CU168" s="49">
        <f t="shared" ca="1" si="75"/>
        <v>871.00809442159994</v>
      </c>
      <c r="CV168" s="49">
        <f t="shared" ca="1" si="75"/>
        <v>1685.8760262008</v>
      </c>
      <c r="CW168" s="49">
        <f t="shared" ca="1" si="75"/>
        <v>1396.7935346055999</v>
      </c>
      <c r="CX168" s="49">
        <f t="shared" ca="1" si="75"/>
        <v>964.54868918959994</v>
      </c>
      <c r="CY168" s="49">
        <f t="shared" ca="1" si="75"/>
        <v>1780.4048156032002</v>
      </c>
      <c r="CZ168" s="49">
        <f t="shared" ca="1" si="75"/>
        <v>854.62773625760008</v>
      </c>
      <c r="DA168" s="49">
        <f t="shared" ca="1" si="75"/>
        <v>1389.2086161448001</v>
      </c>
      <c r="DB168" s="49">
        <f t="shared" ca="1" si="75"/>
        <v>1155.9230962392</v>
      </c>
      <c r="DC168" s="49">
        <f t="shared" ca="1" si="75"/>
        <v>1430.7788968216</v>
      </c>
      <c r="DD168" s="49">
        <f t="shared" ca="1" si="75"/>
        <v>1478.7549753000001</v>
      </c>
      <c r="DE168" s="49">
        <f t="shared" ca="1" si="75"/>
        <v>1190.4360363487999</v>
      </c>
      <c r="DF168" s="49">
        <f t="shared" ca="1" si="75"/>
        <v>809.74304078880004</v>
      </c>
      <c r="DG168" s="49">
        <f t="shared" ca="1" si="75"/>
        <v>1742.6046114648</v>
      </c>
      <c r="DH168" s="49">
        <f t="shared" ca="1" si="75"/>
        <v>838.55573698559999</v>
      </c>
      <c r="DI168" s="49">
        <f t="shared" ca="1" si="75"/>
        <v>825.58665501919995</v>
      </c>
      <c r="DJ168" s="49">
        <f t="shared" ca="1" si="75"/>
        <v>948.80760742320001</v>
      </c>
      <c r="DK168" s="49">
        <f t="shared" ca="1" si="75"/>
        <v>963.22397142320006</v>
      </c>
      <c r="DL168" s="49">
        <f t="shared" ca="1" si="75"/>
        <v>859.03927429040004</v>
      </c>
      <c r="DM168" s="49">
        <f t="shared" ca="1" si="75"/>
        <v>1376.6139848216001</v>
      </c>
      <c r="DN168" s="49">
        <f t="shared" ca="1" si="75"/>
        <v>893.56550220880001</v>
      </c>
      <c r="DO168" s="49">
        <f t="shared" ca="1" si="75"/>
        <v>845.94305094800006</v>
      </c>
      <c r="DP168" s="49">
        <f t="shared" ca="1" si="75"/>
        <v>1454.8863733112</v>
      </c>
      <c r="DQ168" s="49">
        <f t="shared" ca="1" si="75"/>
        <v>915.03789541280003</v>
      </c>
      <c r="DR168" s="49">
        <f t="shared" ca="1" si="75"/>
        <v>864.02550462720001</v>
      </c>
      <c r="DS168" s="49">
        <f t="shared" ca="1" si="75"/>
        <v>934.50030488880009</v>
      </c>
      <c r="DT168" s="49">
        <f t="shared" ca="1" si="75"/>
        <v>1478.407125292</v>
      </c>
      <c r="DU168" s="49">
        <f t="shared" ca="1" si="75"/>
        <v>1087.7208261152</v>
      </c>
      <c r="DV168" s="49">
        <f t="shared" ca="1" si="75"/>
        <v>1376.343318832</v>
      </c>
      <c r="DW168" s="49">
        <f t="shared" ca="1" si="75"/>
        <v>1160.0322085216001</v>
      </c>
      <c r="DX168" s="49">
        <f t="shared" ca="1" si="75"/>
        <v>1697.8810285495999</v>
      </c>
      <c r="DY168" s="49">
        <f t="shared" ca="1" si="75"/>
        <v>1296.5063291456001</v>
      </c>
      <c r="DZ168" s="49">
        <f t="shared" ca="1" si="75"/>
        <v>994.16538940319992</v>
      </c>
      <c r="EA168" s="49">
        <f t="shared" ca="1" si="75"/>
        <v>1002.3404660648</v>
      </c>
      <c r="EB168" s="49">
        <f t="shared" ca="1" si="75"/>
        <v>933.44357774799994</v>
      </c>
      <c r="EC168" s="49">
        <f t="shared" ca="1" si="75"/>
        <v>1129.1370495536</v>
      </c>
      <c r="ED168" s="49">
        <f t="shared" ca="1" si="75"/>
        <v>1185.4920104375999</v>
      </c>
      <c r="EE168" s="49">
        <f t="shared" ca="1" si="75"/>
        <v>1373.0581212824002</v>
      </c>
      <c r="EF168" s="49">
        <f t="shared" ca="1" si="75"/>
        <v>854.58495588560004</v>
      </c>
      <c r="EG168" s="49">
        <f t="shared" ca="1" si="75"/>
        <v>1173.2105246152</v>
      </c>
      <c r="EH168" s="49">
        <f t="shared" ca="1" si="75"/>
        <v>1217.7398657152</v>
      </c>
      <c r="EI168" s="49">
        <f t="shared" ca="1" si="75"/>
        <v>829.48748187440003</v>
      </c>
      <c r="EJ168" s="49">
        <f t="shared" ca="1" si="75"/>
        <v>821.44412919120009</v>
      </c>
      <c r="EK168" s="49">
        <f t="shared" ca="1" si="75"/>
        <v>919.61571277439998</v>
      </c>
      <c r="EL168" s="49">
        <f t="shared" ca="1" si="75"/>
        <v>935.71705237840001</v>
      </c>
      <c r="EM168" s="49">
        <f t="shared" ca="1" si="75"/>
        <v>1051.2339264848001</v>
      </c>
      <c r="EN168" s="49">
        <f t="shared" ca="1" si="75"/>
        <v>874.13280180560002</v>
      </c>
      <c r="EO168" s="49">
        <f t="shared" ca="1" si="75"/>
        <v>1136.3216312512</v>
      </c>
      <c r="EP168" s="49">
        <f t="shared" ca="1" si="75"/>
        <v>1080.6499684288001</v>
      </c>
      <c r="EQ168" s="49">
        <f t="shared" ca="1" si="75"/>
        <v>900.88740948639997</v>
      </c>
      <c r="ER168" s="49">
        <f t="shared" ca="1" si="75"/>
        <v>1245.0918620192001</v>
      </c>
      <c r="ES168" s="49">
        <f t="shared" ca="1" si="75"/>
        <v>1461.0003201607999</v>
      </c>
      <c r="ET168" s="49">
        <f t="shared" ca="1" si="75"/>
        <v>1574.4337240816001</v>
      </c>
      <c r="EU168" s="49">
        <f t="shared" ca="1" si="75"/>
        <v>908.87994655520004</v>
      </c>
      <c r="EV168" s="49">
        <f t="shared" ca="1" si="75"/>
        <v>1838.382703904</v>
      </c>
      <c r="EW168" s="49">
        <f t="shared" ca="1" si="75"/>
        <v>1213.1163600672</v>
      </c>
      <c r="EX168" s="49">
        <f t="shared" ca="1" si="75"/>
        <v>1594.3754776631999</v>
      </c>
      <c r="EY168" s="49">
        <f t="shared" ca="1" si="75"/>
        <v>913.89099703600004</v>
      </c>
      <c r="EZ168" s="49">
        <f t="shared" ca="1" si="75"/>
        <v>1580.4821461904</v>
      </c>
      <c r="FA168" s="49">
        <f t="shared" ca="1" si="75"/>
        <v>923.18844412160001</v>
      </c>
      <c r="FB168" s="49">
        <f t="shared" ca="1" si="75"/>
        <v>1186.7948662271999</v>
      </c>
      <c r="FC168" s="49">
        <f t="shared" ca="1" si="75"/>
        <v>875.71267455120005</v>
      </c>
      <c r="FD168" s="49">
        <f t="shared" ca="1" si="75"/>
        <v>1038.2635047583999</v>
      </c>
      <c r="FE168" s="49">
        <f t="shared" ca="1" si="75"/>
        <v>1737.8020162840003</v>
      </c>
      <c r="FF168" s="49">
        <f t="shared" ca="1" si="75"/>
        <v>1454.9147958583999</v>
      </c>
      <c r="FG168" s="49">
        <f t="shared" ca="1" si="75"/>
        <v>1652.1046611632</v>
      </c>
      <c r="FH168" s="49">
        <f t="shared" ca="1" si="75"/>
        <v>1753.1187823703999</v>
      </c>
      <c r="FI168" s="49">
        <f t="shared" ca="1" si="75"/>
        <v>868.73486424639998</v>
      </c>
      <c r="FJ168" s="49">
        <f t="shared" ca="1" si="75"/>
        <v>849.6534512984</v>
      </c>
      <c r="FK168" s="49">
        <f t="shared" ca="1" si="75"/>
        <v>848.18188405520004</v>
      </c>
      <c r="FL168" s="49">
        <f t="shared" ca="1" si="75"/>
        <v>826.97326291440004</v>
      </c>
      <c r="FM168" s="49">
        <f t="shared" ca="1" si="75"/>
        <v>830.29449634720004</v>
      </c>
      <c r="FN168" s="49">
        <f t="shared" ca="1" si="75"/>
        <v>834.99706891520009</v>
      </c>
      <c r="FO168" s="49">
        <f t="shared" ca="1" si="75"/>
        <v>892.5490480016</v>
      </c>
      <c r="FP168" s="49">
        <f t="shared" ca="1" si="75"/>
        <v>862.0834397640001</v>
      </c>
      <c r="FQ168" s="49">
        <f t="shared" ca="1" si="75"/>
        <v>896.30446324000002</v>
      </c>
      <c r="FR168" s="49">
        <f t="shared" ca="1" si="75"/>
        <v>1520.1666719584002</v>
      </c>
      <c r="FS168" s="49">
        <f t="shared" ca="1" si="75"/>
        <v>1515.1659023192001</v>
      </c>
      <c r="FT168" s="49" t="e">
        <f t="shared" ca="1" si="75"/>
        <v>#NAME?</v>
      </c>
      <c r="FU168" s="49">
        <f t="shared" ca="1" si="75"/>
        <v>946.16348141200001</v>
      </c>
      <c r="FV168" s="49">
        <f t="shared" ca="1" si="75"/>
        <v>928.8656898232</v>
      </c>
      <c r="FW168" s="49">
        <f t="shared" ca="1" si="75"/>
        <v>1572.0980336856001</v>
      </c>
      <c r="FX168" s="49">
        <f t="shared" ca="1" si="75"/>
        <v>1883.3126128232</v>
      </c>
      <c r="FY168" s="7"/>
      <c r="FZ168" s="49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</row>
    <row r="169" spans="1:193" ht="15.5" x14ac:dyDescent="0.35">
      <c r="A169" s="12" t="s">
        <v>7</v>
      </c>
      <c r="B169" s="7" t="s">
        <v>903</v>
      </c>
      <c r="C169" s="49">
        <f t="shared" ref="C169:FX169" ca="1" si="76">ROUND(C166*C168,2)</f>
        <v>1167501.6100000001</v>
      </c>
      <c r="D169" s="49">
        <f t="shared" ca="1" si="76"/>
        <v>3850787.1</v>
      </c>
      <c r="E169" s="49">
        <f t="shared" ca="1" si="76"/>
        <v>1298550.1399999999</v>
      </c>
      <c r="F169" s="49">
        <f t="shared" ca="1" si="76"/>
        <v>2144804.69</v>
      </c>
      <c r="G169" s="49">
        <f t="shared" ca="1" si="76"/>
        <v>184044.24</v>
      </c>
      <c r="H169" s="49">
        <f t="shared" ca="1" si="76"/>
        <v>63049.99</v>
      </c>
      <c r="I169" s="49">
        <f t="shared" ca="1" si="76"/>
        <v>1565093.25</v>
      </c>
      <c r="J169" s="49">
        <f t="shared" ca="1" si="76"/>
        <v>152658.41</v>
      </c>
      <c r="K169" s="49">
        <f t="shared" ca="1" si="76"/>
        <v>3722.89</v>
      </c>
      <c r="L169" s="49">
        <f t="shared" ca="1" si="76"/>
        <v>164266.20000000001</v>
      </c>
      <c r="M169" s="49">
        <f t="shared" ca="1" si="76"/>
        <v>178191.09</v>
      </c>
      <c r="N169" s="49">
        <f t="shared" ca="1" si="76"/>
        <v>4843324.3600000003</v>
      </c>
      <c r="O169" s="49">
        <f t="shared" ca="1" si="76"/>
        <v>347392.66</v>
      </c>
      <c r="P169" s="49">
        <f t="shared" ca="1" si="76"/>
        <v>37519.14</v>
      </c>
      <c r="Q169" s="49">
        <f t="shared" ca="1" si="76"/>
        <v>10423519.42</v>
      </c>
      <c r="R169" s="49">
        <f t="shared" ca="1" si="76"/>
        <v>92099.45</v>
      </c>
      <c r="S169" s="49">
        <f t="shared" ca="1" si="76"/>
        <v>43902.239999999998</v>
      </c>
      <c r="T169" s="49">
        <f t="shared" ca="1" si="76"/>
        <v>0</v>
      </c>
      <c r="U169" s="49">
        <f t="shared" ca="1" si="76"/>
        <v>0</v>
      </c>
      <c r="V169" s="49">
        <f t="shared" ca="1" si="76"/>
        <v>0</v>
      </c>
      <c r="W169" s="49">
        <f t="shared" ca="1" si="76"/>
        <v>0</v>
      </c>
      <c r="X169" s="49">
        <f t="shared" ca="1" si="76"/>
        <v>0</v>
      </c>
      <c r="Y169" s="49">
        <f t="shared" ca="1" si="76"/>
        <v>3389.1</v>
      </c>
      <c r="Z169" s="49">
        <f t="shared" ca="1" si="76"/>
        <v>4977.75</v>
      </c>
      <c r="AA169" s="49">
        <f t="shared" ca="1" si="76"/>
        <v>1772139.29</v>
      </c>
      <c r="AB169" s="49">
        <f t="shared" ca="1" si="76"/>
        <v>1388522.84</v>
      </c>
      <c r="AC169" s="49">
        <f t="shared" ca="1" si="76"/>
        <v>29296.65</v>
      </c>
      <c r="AD169" s="49">
        <f t="shared" ca="1" si="76"/>
        <v>30344.75</v>
      </c>
      <c r="AE169" s="49">
        <f t="shared" ca="1" si="76"/>
        <v>4877.7</v>
      </c>
      <c r="AF169" s="49">
        <f t="shared" ca="1" si="76"/>
        <v>8947.0400000000009</v>
      </c>
      <c r="AG169" s="49">
        <f t="shared" ca="1" si="76"/>
        <v>11897.51</v>
      </c>
      <c r="AH169" s="49">
        <f t="shared" ca="1" si="76"/>
        <v>0</v>
      </c>
      <c r="AI169" s="49">
        <f t="shared" ca="1" si="76"/>
        <v>3088.22</v>
      </c>
      <c r="AJ169" s="49">
        <f t="shared" ca="1" si="76"/>
        <v>2889.53</v>
      </c>
      <c r="AK169" s="49">
        <f t="shared" ca="1" si="76"/>
        <v>1463.36</v>
      </c>
      <c r="AL169" s="49">
        <f t="shared" ca="1" si="76"/>
        <v>24131.82</v>
      </c>
      <c r="AM169" s="49">
        <f t="shared" ca="1" si="76"/>
        <v>1076.52</v>
      </c>
      <c r="AN169" s="49">
        <f t="shared" ca="1" si="76"/>
        <v>0</v>
      </c>
      <c r="AO169" s="49">
        <f t="shared" ca="1" si="76"/>
        <v>98235.36</v>
      </c>
      <c r="AP169" s="49">
        <f t="shared" ca="1" si="76"/>
        <v>14734696.5</v>
      </c>
      <c r="AQ169" s="49">
        <f t="shared" ca="1" si="76"/>
        <v>0</v>
      </c>
      <c r="AR169" s="49">
        <f t="shared" ca="1" si="76"/>
        <v>1501307.3</v>
      </c>
      <c r="AS169" s="49">
        <f t="shared" ca="1" si="76"/>
        <v>1048076.39</v>
      </c>
      <c r="AT169" s="49">
        <f t="shared" ca="1" si="76"/>
        <v>28428.37</v>
      </c>
      <c r="AU169" s="49">
        <f t="shared" ca="1" si="76"/>
        <v>5115.8999999999996</v>
      </c>
      <c r="AV169" s="49">
        <f t="shared" ca="1" si="76"/>
        <v>3638.05</v>
      </c>
      <c r="AW169" s="49">
        <f t="shared" ca="1" si="76"/>
        <v>1311.79</v>
      </c>
      <c r="AX169" s="49">
        <f t="shared" ca="1" si="76"/>
        <v>9028.84</v>
      </c>
      <c r="AY169" s="49">
        <f t="shared" ca="1" si="76"/>
        <v>5387.39</v>
      </c>
      <c r="AZ169" s="49">
        <f t="shared" ca="1" si="76"/>
        <v>961949.22</v>
      </c>
      <c r="BA169" s="49">
        <f t="shared" ca="1" si="76"/>
        <v>166871.91</v>
      </c>
      <c r="BB169" s="49">
        <f t="shared" ca="1" si="76"/>
        <v>153890.82999999999</v>
      </c>
      <c r="BC169" s="49">
        <f t="shared" ca="1" si="76"/>
        <v>1378797.16</v>
      </c>
      <c r="BD169" s="49">
        <f t="shared" ca="1" si="76"/>
        <v>45191.39</v>
      </c>
      <c r="BE169" s="49">
        <f t="shared" ca="1" si="76"/>
        <v>2731.33</v>
      </c>
      <c r="BF169" s="49">
        <f t="shared" ca="1" si="76"/>
        <v>383777.31</v>
      </c>
      <c r="BG169" s="49">
        <f t="shared" ca="1" si="76"/>
        <v>72217.149999999994</v>
      </c>
      <c r="BH169" s="49">
        <f t="shared" ca="1" si="76"/>
        <v>5928.66</v>
      </c>
      <c r="BI169" s="49">
        <f t="shared" ca="1" si="76"/>
        <v>19316.62</v>
      </c>
      <c r="BJ169" s="49">
        <f t="shared" ca="1" si="76"/>
        <v>58577.94</v>
      </c>
      <c r="BK169" s="49">
        <f t="shared" ca="1" si="76"/>
        <v>580260.15</v>
      </c>
      <c r="BL169" s="49">
        <f t="shared" ca="1" si="76"/>
        <v>1805.23</v>
      </c>
      <c r="BM169" s="49">
        <f t="shared" ca="1" si="76"/>
        <v>12233.01</v>
      </c>
      <c r="BN169" s="49">
        <f t="shared" ca="1" si="76"/>
        <v>9037.99</v>
      </c>
      <c r="BO169" s="49">
        <f t="shared" ca="1" si="76"/>
        <v>7760.82</v>
      </c>
      <c r="BP169" s="49">
        <f t="shared" ca="1" si="76"/>
        <v>1517.04</v>
      </c>
      <c r="BQ169" s="49">
        <f t="shared" ca="1" si="76"/>
        <v>1032061.61</v>
      </c>
      <c r="BR169" s="49">
        <f t="shared" ca="1" si="76"/>
        <v>647013.06000000006</v>
      </c>
      <c r="BS169" s="49">
        <f t="shared" ca="1" si="76"/>
        <v>189605.71</v>
      </c>
      <c r="BT169" s="49">
        <f t="shared" ca="1" si="76"/>
        <v>2296.59</v>
      </c>
      <c r="BU169" s="49">
        <f t="shared" ca="1" si="76"/>
        <v>47065.31</v>
      </c>
      <c r="BV169" s="49">
        <f t="shared" ca="1" si="76"/>
        <v>76174.2</v>
      </c>
      <c r="BW169" s="49">
        <f t="shared" ca="1" si="76"/>
        <v>188930.54</v>
      </c>
      <c r="BX169" s="49">
        <f t="shared" ca="1" si="76"/>
        <v>0</v>
      </c>
      <c r="BY169" s="49">
        <f t="shared" ca="1" si="76"/>
        <v>0</v>
      </c>
      <c r="BZ169" s="49">
        <f t="shared" ca="1" si="76"/>
        <v>0</v>
      </c>
      <c r="CA169" s="49">
        <f t="shared" ca="1" si="76"/>
        <v>8011.41</v>
      </c>
      <c r="CB169" s="49">
        <f t="shared" ca="1" si="76"/>
        <v>2498751.73</v>
      </c>
      <c r="CC169" s="49">
        <f t="shared" ca="1" si="76"/>
        <v>0</v>
      </c>
      <c r="CD169" s="49">
        <f t="shared" ca="1" si="76"/>
        <v>1725.82</v>
      </c>
      <c r="CE169" s="49">
        <f t="shared" ca="1" si="76"/>
        <v>0</v>
      </c>
      <c r="CF169" s="49">
        <f t="shared" ca="1" si="76"/>
        <v>0</v>
      </c>
      <c r="CG169" s="49">
        <f t="shared" ca="1" si="76"/>
        <v>14885.24</v>
      </c>
      <c r="CH169" s="49">
        <f t="shared" ca="1" si="76"/>
        <v>9838.08</v>
      </c>
      <c r="CI169" s="49">
        <f t="shared" ca="1" si="76"/>
        <v>55579.09</v>
      </c>
      <c r="CJ169" s="49">
        <f t="shared" ca="1" si="76"/>
        <v>146784.93</v>
      </c>
      <c r="CK169" s="49">
        <f t="shared" ca="1" si="76"/>
        <v>147322.71</v>
      </c>
      <c r="CL169" s="49">
        <f t="shared" ca="1" si="76"/>
        <v>20385.580000000002</v>
      </c>
      <c r="CM169" s="49">
        <f t="shared" ca="1" si="76"/>
        <v>7869.08</v>
      </c>
      <c r="CN169" s="49">
        <f t="shared" ca="1" si="76"/>
        <v>1002986.61</v>
      </c>
      <c r="CO169" s="49">
        <f t="shared" ca="1" si="76"/>
        <v>314905.38</v>
      </c>
      <c r="CP169" s="49">
        <f t="shared" ca="1" si="76"/>
        <v>130982.91</v>
      </c>
      <c r="CQ169" s="49">
        <f t="shared" ca="1" si="76"/>
        <v>2781.15</v>
      </c>
      <c r="CR169" s="49">
        <f t="shared" ca="1" si="76"/>
        <v>0</v>
      </c>
      <c r="CS169" s="49">
        <f t="shared" ca="1" si="76"/>
        <v>1169.4100000000001</v>
      </c>
      <c r="CT169" s="49">
        <f t="shared" ca="1" si="76"/>
        <v>1587.81</v>
      </c>
      <c r="CU169" s="49">
        <f t="shared" ca="1" si="76"/>
        <v>2613.02</v>
      </c>
      <c r="CV169" s="49">
        <f t="shared" ca="1" si="76"/>
        <v>0</v>
      </c>
      <c r="CW169" s="49">
        <f t="shared" ca="1" si="76"/>
        <v>1396.79</v>
      </c>
      <c r="CX169" s="49">
        <f t="shared" ca="1" si="76"/>
        <v>11574.58</v>
      </c>
      <c r="CY169" s="49">
        <f t="shared" ca="1" si="76"/>
        <v>0</v>
      </c>
      <c r="CZ169" s="49">
        <f t="shared" ca="1" si="76"/>
        <v>33330.480000000003</v>
      </c>
      <c r="DA169" s="49">
        <f t="shared" ca="1" si="76"/>
        <v>0</v>
      </c>
      <c r="DB169" s="49">
        <f t="shared" ca="1" si="76"/>
        <v>8091.46</v>
      </c>
      <c r="DC169" s="49">
        <f t="shared" ca="1" si="76"/>
        <v>0</v>
      </c>
      <c r="DD169" s="49">
        <f t="shared" ca="1" si="76"/>
        <v>10351.280000000001</v>
      </c>
      <c r="DE169" s="49">
        <f t="shared" ca="1" si="76"/>
        <v>1190.44</v>
      </c>
      <c r="DF169" s="49">
        <f t="shared" ca="1" si="76"/>
        <v>529571.94999999995</v>
      </c>
      <c r="DG169" s="49">
        <f t="shared" ca="1" si="76"/>
        <v>0</v>
      </c>
      <c r="DH169" s="49">
        <f t="shared" ca="1" si="76"/>
        <v>100626.69</v>
      </c>
      <c r="DI169" s="49">
        <f t="shared" ca="1" si="76"/>
        <v>51186.37</v>
      </c>
      <c r="DJ169" s="49">
        <f t="shared" ca="1" si="76"/>
        <v>8539.27</v>
      </c>
      <c r="DK169" s="49">
        <f t="shared" ca="1" si="76"/>
        <v>18301.259999999998</v>
      </c>
      <c r="DL169" s="49">
        <f t="shared" ca="1" si="76"/>
        <v>356501.3</v>
      </c>
      <c r="DM169" s="49">
        <f t="shared" ca="1" si="76"/>
        <v>0</v>
      </c>
      <c r="DN169" s="49">
        <f t="shared" ca="1" si="76"/>
        <v>58975.32</v>
      </c>
      <c r="DO169" s="49">
        <f t="shared" ca="1" si="76"/>
        <v>450887.65</v>
      </c>
      <c r="DP169" s="49">
        <f t="shared" ca="1" si="76"/>
        <v>0</v>
      </c>
      <c r="DQ169" s="49">
        <f t="shared" ca="1" si="76"/>
        <v>46666.93</v>
      </c>
      <c r="DR169" s="49">
        <f t="shared" ca="1" si="76"/>
        <v>14688.43</v>
      </c>
      <c r="DS169" s="49">
        <f t="shared" ca="1" si="76"/>
        <v>29904.01</v>
      </c>
      <c r="DT169" s="49">
        <f t="shared" ca="1" si="76"/>
        <v>8870.44</v>
      </c>
      <c r="DU169" s="49">
        <f t="shared" ca="1" si="76"/>
        <v>3263.16</v>
      </c>
      <c r="DV169" s="49">
        <f t="shared" ca="1" si="76"/>
        <v>1376.34</v>
      </c>
      <c r="DW169" s="49">
        <f t="shared" ca="1" si="76"/>
        <v>1160.03</v>
      </c>
      <c r="DX169" s="49">
        <f t="shared" ca="1" si="76"/>
        <v>1697.88</v>
      </c>
      <c r="DY169" s="49">
        <f t="shared" ca="1" si="76"/>
        <v>5186.03</v>
      </c>
      <c r="DZ169" s="49">
        <f t="shared" ca="1" si="76"/>
        <v>0</v>
      </c>
      <c r="EA169" s="49">
        <f t="shared" ca="1" si="76"/>
        <v>28065.53</v>
      </c>
      <c r="EB169" s="49">
        <f t="shared" ca="1" si="76"/>
        <v>57873.5</v>
      </c>
      <c r="EC169" s="49">
        <f t="shared" ca="1" si="76"/>
        <v>10162.23</v>
      </c>
      <c r="ED169" s="49">
        <f t="shared" ca="1" si="76"/>
        <v>78242.47</v>
      </c>
      <c r="EE169" s="49">
        <f t="shared" ca="1" si="76"/>
        <v>26088.1</v>
      </c>
      <c r="EF169" s="49">
        <f t="shared" ca="1" si="76"/>
        <v>60675.53</v>
      </c>
      <c r="EG169" s="49">
        <f t="shared" ca="1" si="76"/>
        <v>51621.26</v>
      </c>
      <c r="EH169" s="49">
        <f t="shared" ca="1" si="76"/>
        <v>17048.36</v>
      </c>
      <c r="EI169" s="49">
        <f t="shared" ca="1" si="76"/>
        <v>349214.23</v>
      </c>
      <c r="EJ169" s="49">
        <f t="shared" ca="1" si="76"/>
        <v>164288.82999999999</v>
      </c>
      <c r="EK169" s="49">
        <f t="shared" ca="1" si="76"/>
        <v>15633.47</v>
      </c>
      <c r="EL169" s="49">
        <f t="shared" ca="1" si="76"/>
        <v>935.72</v>
      </c>
      <c r="EM169" s="49">
        <f t="shared" ca="1" si="76"/>
        <v>6307.4</v>
      </c>
      <c r="EN169" s="49">
        <f t="shared" ca="1" si="76"/>
        <v>8741.33</v>
      </c>
      <c r="EO169" s="49">
        <f t="shared" ca="1" si="76"/>
        <v>5681.61</v>
      </c>
      <c r="EP169" s="49">
        <f t="shared" ca="1" si="76"/>
        <v>18371.05</v>
      </c>
      <c r="EQ169" s="49">
        <f t="shared" ca="1" si="76"/>
        <v>165763.28</v>
      </c>
      <c r="ER169" s="49">
        <f t="shared" ca="1" si="76"/>
        <v>17431.29</v>
      </c>
      <c r="ES169" s="49">
        <f t="shared" ca="1" si="76"/>
        <v>4383</v>
      </c>
      <c r="ET169" s="49">
        <f t="shared" ca="1" si="76"/>
        <v>7872.17</v>
      </c>
      <c r="EU169" s="49">
        <f t="shared" ca="1" si="76"/>
        <v>92705.75</v>
      </c>
      <c r="EV169" s="49">
        <f t="shared" ca="1" si="76"/>
        <v>11030.3</v>
      </c>
      <c r="EW169" s="49">
        <f t="shared" ca="1" si="76"/>
        <v>71573.87</v>
      </c>
      <c r="EX169" s="49">
        <f t="shared" ca="1" si="76"/>
        <v>12755</v>
      </c>
      <c r="EY169" s="49">
        <f t="shared" ca="1" si="76"/>
        <v>15536.15</v>
      </c>
      <c r="EZ169" s="49">
        <f t="shared" ca="1" si="76"/>
        <v>0</v>
      </c>
      <c r="FA169" s="49">
        <f t="shared" ca="1" si="76"/>
        <v>564068.14</v>
      </c>
      <c r="FB169" s="49">
        <f t="shared" ca="1" si="76"/>
        <v>3560.38</v>
      </c>
      <c r="FC169" s="49">
        <f t="shared" ca="1" si="76"/>
        <v>28022.81</v>
      </c>
      <c r="FD169" s="49">
        <f t="shared" ca="1" si="76"/>
        <v>4153.05</v>
      </c>
      <c r="FE169" s="49">
        <f t="shared" ca="1" si="76"/>
        <v>22591.43</v>
      </c>
      <c r="FF169" s="49">
        <f t="shared" ca="1" si="76"/>
        <v>2909.83</v>
      </c>
      <c r="FG169" s="49">
        <f t="shared" ca="1" si="76"/>
        <v>4956.3100000000004</v>
      </c>
      <c r="FH169" s="49">
        <f t="shared" ca="1" si="76"/>
        <v>0</v>
      </c>
      <c r="FI169" s="49">
        <f t="shared" ca="1" si="76"/>
        <v>158109.75</v>
      </c>
      <c r="FJ169" s="49">
        <f t="shared" ca="1" si="76"/>
        <v>61175.05</v>
      </c>
      <c r="FK169" s="49">
        <f t="shared" ca="1" si="76"/>
        <v>208652.74</v>
      </c>
      <c r="FL169" s="49">
        <f t="shared" ca="1" si="76"/>
        <v>161259.79</v>
      </c>
      <c r="FM169" s="49">
        <f t="shared" ca="1" si="76"/>
        <v>77217.39</v>
      </c>
      <c r="FN169" s="49">
        <f t="shared" ca="1" si="76"/>
        <v>2840660.03</v>
      </c>
      <c r="FO169" s="49">
        <f t="shared" ca="1" si="76"/>
        <v>49090.2</v>
      </c>
      <c r="FP169" s="49">
        <f t="shared" ca="1" si="76"/>
        <v>280177.12</v>
      </c>
      <c r="FQ169" s="49">
        <f t="shared" ca="1" si="76"/>
        <v>53778.27</v>
      </c>
      <c r="FR169" s="49">
        <f t="shared" ca="1" si="76"/>
        <v>1520.17</v>
      </c>
      <c r="FS169" s="49">
        <f t="shared" ca="1" si="76"/>
        <v>0</v>
      </c>
      <c r="FT169" s="49" t="e">
        <f t="shared" ca="1" si="76"/>
        <v>#NAME?</v>
      </c>
      <c r="FU169" s="49">
        <f t="shared" ca="1" si="76"/>
        <v>129624.4</v>
      </c>
      <c r="FV169" s="49">
        <f t="shared" ca="1" si="76"/>
        <v>81740.179999999993</v>
      </c>
      <c r="FW169" s="49">
        <f t="shared" ca="1" si="76"/>
        <v>7860.49</v>
      </c>
      <c r="FX169" s="49">
        <f t="shared" ca="1" si="76"/>
        <v>0</v>
      </c>
      <c r="FY169" s="7"/>
      <c r="FZ169" s="7" t="e">
        <f ca="1">SUM(C169:FX169)</f>
        <v>#NAME?</v>
      </c>
      <c r="GA169" s="62"/>
      <c r="GB169" s="7" t="e">
        <f ca="1">FZ169-GA169</f>
        <v>#NAME?</v>
      </c>
      <c r="GC169" s="7"/>
      <c r="GD169" s="7"/>
      <c r="GE169" s="7"/>
      <c r="GF169" s="7"/>
      <c r="GG169" s="7"/>
      <c r="GH169" s="7"/>
      <c r="GI169" s="7"/>
      <c r="GJ169" s="7"/>
      <c r="GK169" s="7"/>
    </row>
    <row r="170" spans="1:193" ht="15.5" x14ac:dyDescent="0.35">
      <c r="A170" s="7"/>
      <c r="B170" s="7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  <c r="EN170" s="49"/>
      <c r="EO170" s="49"/>
      <c r="EP170" s="49"/>
      <c r="EQ170" s="49"/>
      <c r="ER170" s="49"/>
      <c r="ES170" s="49"/>
      <c r="ET170" s="49"/>
      <c r="EU170" s="49"/>
      <c r="EV170" s="49"/>
      <c r="EW170" s="49"/>
      <c r="EX170" s="49"/>
      <c r="EY170" s="49"/>
      <c r="EZ170" s="49"/>
      <c r="FA170" s="49"/>
      <c r="FB170" s="49"/>
      <c r="FC170" s="49"/>
      <c r="FD170" s="49"/>
      <c r="FE170" s="49"/>
      <c r="FF170" s="49"/>
      <c r="FG170" s="49"/>
      <c r="FH170" s="49"/>
      <c r="FI170" s="49"/>
      <c r="FJ170" s="49"/>
      <c r="FK170" s="49"/>
      <c r="FL170" s="49"/>
      <c r="FM170" s="49"/>
      <c r="FN170" s="49"/>
      <c r="FO170" s="49"/>
      <c r="FP170" s="49"/>
      <c r="FQ170" s="49"/>
      <c r="FR170" s="49"/>
      <c r="FS170" s="49"/>
      <c r="FT170" s="49"/>
      <c r="FU170" s="49"/>
      <c r="FV170" s="49"/>
      <c r="FW170" s="49"/>
      <c r="FX170" s="49"/>
      <c r="FY170" s="7"/>
      <c r="FZ170" s="49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</row>
    <row r="171" spans="1:193" ht="15.5" x14ac:dyDescent="0.35">
      <c r="A171" s="12"/>
      <c r="B171" s="5" t="s">
        <v>904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104"/>
      <c r="FZ171" s="23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</row>
    <row r="172" spans="1:193" ht="15.5" x14ac:dyDescent="0.35">
      <c r="A172" s="12" t="s">
        <v>905</v>
      </c>
      <c r="B172" s="7" t="s">
        <v>906</v>
      </c>
      <c r="C172" s="25">
        <f t="shared" ref="C172:FX172" si="77">C12+C33</f>
        <v>152</v>
      </c>
      <c r="D172" s="25">
        <f t="shared" si="77"/>
        <v>499</v>
      </c>
      <c r="E172" s="25">
        <f t="shared" si="77"/>
        <v>0</v>
      </c>
      <c r="F172" s="25">
        <f t="shared" si="77"/>
        <v>2031</v>
      </c>
      <c r="G172" s="25">
        <f t="shared" si="77"/>
        <v>0</v>
      </c>
      <c r="H172" s="25">
        <f t="shared" si="77"/>
        <v>0</v>
      </c>
      <c r="I172" s="25">
        <f t="shared" si="77"/>
        <v>0</v>
      </c>
      <c r="J172" s="25">
        <f t="shared" si="77"/>
        <v>0</v>
      </c>
      <c r="K172" s="25">
        <f t="shared" si="77"/>
        <v>0</v>
      </c>
      <c r="L172" s="25">
        <f t="shared" si="77"/>
        <v>0</v>
      </c>
      <c r="M172" s="25">
        <f t="shared" si="77"/>
        <v>0</v>
      </c>
      <c r="N172" s="25">
        <f t="shared" si="77"/>
        <v>0</v>
      </c>
      <c r="O172" s="25">
        <f t="shared" si="77"/>
        <v>0</v>
      </c>
      <c r="P172" s="25">
        <f t="shared" si="77"/>
        <v>0</v>
      </c>
      <c r="Q172" s="25">
        <f t="shared" si="77"/>
        <v>0</v>
      </c>
      <c r="R172" s="25">
        <f t="shared" si="77"/>
        <v>6618</v>
      </c>
      <c r="S172" s="25">
        <f t="shared" si="77"/>
        <v>14</v>
      </c>
      <c r="T172" s="25">
        <f t="shared" si="77"/>
        <v>0</v>
      </c>
      <c r="U172" s="25">
        <f t="shared" si="77"/>
        <v>0</v>
      </c>
      <c r="V172" s="25">
        <f t="shared" si="77"/>
        <v>0</v>
      </c>
      <c r="W172" s="25">
        <f t="shared" si="77"/>
        <v>0</v>
      </c>
      <c r="X172" s="25">
        <f t="shared" si="77"/>
        <v>0</v>
      </c>
      <c r="Y172" s="25">
        <f t="shared" si="77"/>
        <v>473.5</v>
      </c>
      <c r="Z172" s="25">
        <f t="shared" si="77"/>
        <v>0</v>
      </c>
      <c r="AA172" s="25">
        <f t="shared" si="77"/>
        <v>336.5</v>
      </c>
      <c r="AB172" s="25">
        <f t="shared" si="77"/>
        <v>224</v>
      </c>
      <c r="AC172" s="25">
        <f t="shared" si="77"/>
        <v>0</v>
      </c>
      <c r="AD172" s="25">
        <f t="shared" si="77"/>
        <v>0</v>
      </c>
      <c r="AE172" s="25">
        <f t="shared" si="77"/>
        <v>0</v>
      </c>
      <c r="AF172" s="25">
        <f t="shared" si="77"/>
        <v>0</v>
      </c>
      <c r="AG172" s="25">
        <f t="shared" si="77"/>
        <v>0</v>
      </c>
      <c r="AH172" s="25">
        <f t="shared" si="77"/>
        <v>0</v>
      </c>
      <c r="AI172" s="25">
        <f t="shared" si="77"/>
        <v>0</v>
      </c>
      <c r="AJ172" s="25">
        <f t="shared" si="77"/>
        <v>0</v>
      </c>
      <c r="AK172" s="25">
        <f t="shared" si="77"/>
        <v>0</v>
      </c>
      <c r="AL172" s="25">
        <f t="shared" si="77"/>
        <v>0</v>
      </c>
      <c r="AM172" s="25">
        <f t="shared" si="77"/>
        <v>0</v>
      </c>
      <c r="AN172" s="25">
        <f t="shared" si="77"/>
        <v>0</v>
      </c>
      <c r="AO172" s="25">
        <f t="shared" si="77"/>
        <v>370.5</v>
      </c>
      <c r="AP172" s="25">
        <f t="shared" si="77"/>
        <v>595.5</v>
      </c>
      <c r="AQ172" s="25">
        <f t="shared" si="77"/>
        <v>0</v>
      </c>
      <c r="AR172" s="25">
        <f t="shared" si="77"/>
        <v>1303</v>
      </c>
      <c r="AS172" s="25">
        <f t="shared" si="77"/>
        <v>0</v>
      </c>
      <c r="AT172" s="25">
        <f t="shared" si="77"/>
        <v>0</v>
      </c>
      <c r="AU172" s="25">
        <f t="shared" si="77"/>
        <v>0</v>
      </c>
      <c r="AV172" s="25">
        <f t="shared" si="77"/>
        <v>0</v>
      </c>
      <c r="AW172" s="25">
        <f t="shared" si="77"/>
        <v>0</v>
      </c>
      <c r="AX172" s="25">
        <f t="shared" si="77"/>
        <v>0</v>
      </c>
      <c r="AY172" s="25">
        <f t="shared" si="77"/>
        <v>0</v>
      </c>
      <c r="AZ172" s="25">
        <f t="shared" si="77"/>
        <v>98</v>
      </c>
      <c r="BA172" s="25">
        <f t="shared" si="77"/>
        <v>240</v>
      </c>
      <c r="BB172" s="25">
        <f t="shared" si="77"/>
        <v>0</v>
      </c>
      <c r="BC172" s="25">
        <f t="shared" si="77"/>
        <v>475</v>
      </c>
      <c r="BD172" s="25">
        <f t="shared" si="77"/>
        <v>0</v>
      </c>
      <c r="BE172" s="25">
        <f t="shared" si="77"/>
        <v>0</v>
      </c>
      <c r="BF172" s="25">
        <f t="shared" si="77"/>
        <v>1194.5</v>
      </c>
      <c r="BG172" s="25">
        <f t="shared" si="77"/>
        <v>0</v>
      </c>
      <c r="BH172" s="25">
        <f t="shared" si="77"/>
        <v>28</v>
      </c>
      <c r="BI172" s="25">
        <f t="shared" si="77"/>
        <v>0</v>
      </c>
      <c r="BJ172" s="25">
        <f t="shared" si="77"/>
        <v>0</v>
      </c>
      <c r="BK172" s="25">
        <f t="shared" si="77"/>
        <v>13175.5</v>
      </c>
      <c r="BL172" s="25">
        <f t="shared" si="77"/>
        <v>0</v>
      </c>
      <c r="BM172" s="25">
        <f t="shared" si="77"/>
        <v>0</v>
      </c>
      <c r="BN172" s="25">
        <f t="shared" si="77"/>
        <v>0</v>
      </c>
      <c r="BO172" s="25">
        <f t="shared" si="77"/>
        <v>0</v>
      </c>
      <c r="BP172" s="25">
        <f t="shared" si="77"/>
        <v>0</v>
      </c>
      <c r="BQ172" s="25">
        <f t="shared" si="77"/>
        <v>0</v>
      </c>
      <c r="BR172" s="25">
        <f t="shared" si="77"/>
        <v>0</v>
      </c>
      <c r="BS172" s="25">
        <f t="shared" si="77"/>
        <v>0</v>
      </c>
      <c r="BT172" s="25">
        <f t="shared" si="77"/>
        <v>0</v>
      </c>
      <c r="BU172" s="25">
        <f t="shared" si="77"/>
        <v>0</v>
      </c>
      <c r="BV172" s="25">
        <f t="shared" si="77"/>
        <v>0</v>
      </c>
      <c r="BW172" s="25">
        <f t="shared" si="77"/>
        <v>0</v>
      </c>
      <c r="BX172" s="25">
        <f t="shared" si="77"/>
        <v>0</v>
      </c>
      <c r="BY172" s="25">
        <f t="shared" si="77"/>
        <v>0</v>
      </c>
      <c r="BZ172" s="25">
        <f t="shared" si="77"/>
        <v>0</v>
      </c>
      <c r="CA172" s="25">
        <f t="shared" si="77"/>
        <v>0</v>
      </c>
      <c r="CB172" s="25">
        <f t="shared" si="77"/>
        <v>815.5</v>
      </c>
      <c r="CC172" s="25">
        <f t="shared" si="77"/>
        <v>0</v>
      </c>
      <c r="CD172" s="25">
        <f t="shared" si="77"/>
        <v>0</v>
      </c>
      <c r="CE172" s="25">
        <f t="shared" si="77"/>
        <v>0</v>
      </c>
      <c r="CF172" s="25">
        <f t="shared" si="77"/>
        <v>0</v>
      </c>
      <c r="CG172" s="25">
        <f t="shared" si="77"/>
        <v>0</v>
      </c>
      <c r="CH172" s="25">
        <f t="shared" si="77"/>
        <v>0</v>
      </c>
      <c r="CI172" s="25">
        <f t="shared" si="77"/>
        <v>0</v>
      </c>
      <c r="CJ172" s="25">
        <f t="shared" si="77"/>
        <v>0</v>
      </c>
      <c r="CK172" s="25">
        <f t="shared" si="77"/>
        <v>23.5</v>
      </c>
      <c r="CL172" s="25">
        <f t="shared" si="77"/>
        <v>5.5</v>
      </c>
      <c r="CM172" s="25">
        <f t="shared" si="77"/>
        <v>2</v>
      </c>
      <c r="CN172" s="25">
        <f t="shared" si="77"/>
        <v>662</v>
      </c>
      <c r="CO172" s="25">
        <f t="shared" si="77"/>
        <v>0</v>
      </c>
      <c r="CP172" s="25">
        <f t="shared" si="77"/>
        <v>0</v>
      </c>
      <c r="CQ172" s="25">
        <f t="shared" si="77"/>
        <v>0</v>
      </c>
      <c r="CR172" s="25">
        <f t="shared" si="77"/>
        <v>0</v>
      </c>
      <c r="CS172" s="25">
        <f t="shared" si="77"/>
        <v>0</v>
      </c>
      <c r="CT172" s="25">
        <f t="shared" si="77"/>
        <v>0</v>
      </c>
      <c r="CU172" s="25">
        <f t="shared" si="77"/>
        <v>396</v>
      </c>
      <c r="CV172" s="25">
        <f t="shared" si="77"/>
        <v>0</v>
      </c>
      <c r="CW172" s="25">
        <f t="shared" si="77"/>
        <v>0</v>
      </c>
      <c r="CX172" s="25">
        <f t="shared" si="77"/>
        <v>0</v>
      </c>
      <c r="CY172" s="25">
        <f t="shared" si="77"/>
        <v>0</v>
      </c>
      <c r="CZ172" s="25">
        <f t="shared" si="77"/>
        <v>0</v>
      </c>
      <c r="DA172" s="25">
        <f t="shared" si="77"/>
        <v>0</v>
      </c>
      <c r="DB172" s="25">
        <f t="shared" si="77"/>
        <v>0</v>
      </c>
      <c r="DC172" s="25">
        <f t="shared" si="77"/>
        <v>0</v>
      </c>
      <c r="DD172" s="25">
        <f t="shared" si="77"/>
        <v>0</v>
      </c>
      <c r="DE172" s="25">
        <f t="shared" si="77"/>
        <v>0</v>
      </c>
      <c r="DF172" s="25">
        <f t="shared" si="77"/>
        <v>0</v>
      </c>
      <c r="DG172" s="25">
        <f t="shared" si="77"/>
        <v>0</v>
      </c>
      <c r="DH172" s="25">
        <f t="shared" si="77"/>
        <v>0</v>
      </c>
      <c r="DI172" s="25">
        <f t="shared" si="77"/>
        <v>4</v>
      </c>
      <c r="DJ172" s="25">
        <f t="shared" si="77"/>
        <v>1</v>
      </c>
      <c r="DK172" s="25">
        <f t="shared" si="77"/>
        <v>1</v>
      </c>
      <c r="DL172" s="25">
        <f t="shared" si="77"/>
        <v>0</v>
      </c>
      <c r="DM172" s="25">
        <f t="shared" si="77"/>
        <v>0</v>
      </c>
      <c r="DN172" s="25">
        <f t="shared" si="77"/>
        <v>0</v>
      </c>
      <c r="DO172" s="25">
        <f t="shared" si="77"/>
        <v>0</v>
      </c>
      <c r="DP172" s="25">
        <f t="shared" si="77"/>
        <v>0</v>
      </c>
      <c r="DQ172" s="25">
        <f t="shared" si="77"/>
        <v>0</v>
      </c>
      <c r="DR172" s="25">
        <f t="shared" si="77"/>
        <v>0</v>
      </c>
      <c r="DS172" s="25">
        <f t="shared" si="77"/>
        <v>0</v>
      </c>
      <c r="DT172" s="25">
        <f t="shared" si="77"/>
        <v>0</v>
      </c>
      <c r="DU172" s="25">
        <f t="shared" si="77"/>
        <v>0</v>
      </c>
      <c r="DV172" s="25">
        <f t="shared" si="77"/>
        <v>0</v>
      </c>
      <c r="DW172" s="25">
        <f t="shared" si="77"/>
        <v>0</v>
      </c>
      <c r="DX172" s="25">
        <f t="shared" si="77"/>
        <v>0</v>
      </c>
      <c r="DY172" s="25">
        <f t="shared" si="77"/>
        <v>0</v>
      </c>
      <c r="DZ172" s="25">
        <f t="shared" si="77"/>
        <v>0</v>
      </c>
      <c r="EA172" s="25">
        <f t="shared" si="77"/>
        <v>0</v>
      </c>
      <c r="EB172" s="25">
        <f t="shared" si="77"/>
        <v>0</v>
      </c>
      <c r="EC172" s="25">
        <f t="shared" si="77"/>
        <v>0</v>
      </c>
      <c r="ED172" s="25">
        <f t="shared" si="77"/>
        <v>0</v>
      </c>
      <c r="EE172" s="25">
        <f t="shared" si="77"/>
        <v>0</v>
      </c>
      <c r="EF172" s="25">
        <f t="shared" si="77"/>
        <v>0</v>
      </c>
      <c r="EG172" s="25">
        <f t="shared" si="77"/>
        <v>0</v>
      </c>
      <c r="EH172" s="25">
        <f t="shared" si="77"/>
        <v>0</v>
      </c>
      <c r="EI172" s="25">
        <f t="shared" si="77"/>
        <v>0</v>
      </c>
      <c r="EJ172" s="25">
        <f t="shared" si="77"/>
        <v>207.5</v>
      </c>
      <c r="EK172" s="25">
        <f t="shared" si="77"/>
        <v>0</v>
      </c>
      <c r="EL172" s="25">
        <f t="shared" si="77"/>
        <v>0</v>
      </c>
      <c r="EM172" s="25">
        <f t="shared" si="77"/>
        <v>0</v>
      </c>
      <c r="EN172" s="25">
        <f t="shared" si="77"/>
        <v>43</v>
      </c>
      <c r="EO172" s="25">
        <f t="shared" si="77"/>
        <v>0</v>
      </c>
      <c r="EP172" s="25">
        <f t="shared" si="77"/>
        <v>0</v>
      </c>
      <c r="EQ172" s="25">
        <f t="shared" si="77"/>
        <v>0</v>
      </c>
      <c r="ER172" s="25">
        <f t="shared" si="77"/>
        <v>0</v>
      </c>
      <c r="ES172" s="25">
        <f t="shared" si="77"/>
        <v>0</v>
      </c>
      <c r="ET172" s="25">
        <f t="shared" si="77"/>
        <v>0</v>
      </c>
      <c r="EU172" s="25">
        <f t="shared" si="77"/>
        <v>0</v>
      </c>
      <c r="EV172" s="25">
        <f t="shared" si="77"/>
        <v>0</v>
      </c>
      <c r="EW172" s="25">
        <f t="shared" si="77"/>
        <v>0</v>
      </c>
      <c r="EX172" s="25">
        <f t="shared" si="77"/>
        <v>0</v>
      </c>
      <c r="EY172" s="25">
        <f t="shared" si="77"/>
        <v>450</v>
      </c>
      <c r="EZ172" s="25">
        <f t="shared" si="77"/>
        <v>0</v>
      </c>
      <c r="FA172" s="25">
        <f t="shared" si="77"/>
        <v>0</v>
      </c>
      <c r="FB172" s="25">
        <f t="shared" si="77"/>
        <v>0</v>
      </c>
      <c r="FC172" s="25">
        <f t="shared" si="77"/>
        <v>0</v>
      </c>
      <c r="FD172" s="25">
        <f t="shared" si="77"/>
        <v>0</v>
      </c>
      <c r="FE172" s="25">
        <f t="shared" si="77"/>
        <v>0</v>
      </c>
      <c r="FF172" s="25">
        <f t="shared" si="77"/>
        <v>0</v>
      </c>
      <c r="FG172" s="25">
        <f t="shared" si="77"/>
        <v>0</v>
      </c>
      <c r="FH172" s="25">
        <f t="shared" si="77"/>
        <v>0</v>
      </c>
      <c r="FI172" s="25">
        <f t="shared" si="77"/>
        <v>0</v>
      </c>
      <c r="FJ172" s="25">
        <f t="shared" si="77"/>
        <v>0</v>
      </c>
      <c r="FK172" s="25">
        <f t="shared" si="77"/>
        <v>0</v>
      </c>
      <c r="FL172" s="25">
        <f t="shared" si="77"/>
        <v>0</v>
      </c>
      <c r="FM172" s="25">
        <f t="shared" si="77"/>
        <v>0</v>
      </c>
      <c r="FN172" s="25">
        <f t="shared" si="77"/>
        <v>254.5</v>
      </c>
      <c r="FO172" s="25">
        <f t="shared" si="77"/>
        <v>0</v>
      </c>
      <c r="FP172" s="25">
        <f t="shared" si="77"/>
        <v>0</v>
      </c>
      <c r="FQ172" s="25">
        <f t="shared" si="77"/>
        <v>0</v>
      </c>
      <c r="FR172" s="25">
        <f t="shared" si="77"/>
        <v>0</v>
      </c>
      <c r="FS172" s="25">
        <f t="shared" si="77"/>
        <v>0</v>
      </c>
      <c r="FT172" s="25" t="e">
        <f t="shared" ca="1" si="77"/>
        <v>#NAME?</v>
      </c>
      <c r="FU172" s="25">
        <f t="shared" si="77"/>
        <v>0</v>
      </c>
      <c r="FV172" s="25">
        <f t="shared" si="77"/>
        <v>0</v>
      </c>
      <c r="FW172" s="25">
        <f t="shared" si="77"/>
        <v>0</v>
      </c>
      <c r="FX172" s="25">
        <f t="shared" si="77"/>
        <v>0</v>
      </c>
      <c r="FY172" s="47"/>
      <c r="FZ172" s="7" t="e">
        <f ca="1">SUM(C172:FX172)</f>
        <v>#NAME?</v>
      </c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</row>
    <row r="173" spans="1:193" ht="15.5" x14ac:dyDescent="0.35">
      <c r="A173" s="12" t="s">
        <v>907</v>
      </c>
      <c r="B173" s="7" t="s">
        <v>908</v>
      </c>
      <c r="C173" s="7">
        <f t="shared" ref="C173:FX173" si="78">C41</f>
        <v>10480</v>
      </c>
      <c r="D173" s="7">
        <f t="shared" si="78"/>
        <v>10480</v>
      </c>
      <c r="E173" s="7">
        <f t="shared" si="78"/>
        <v>10480</v>
      </c>
      <c r="F173" s="7">
        <f t="shared" si="78"/>
        <v>10480</v>
      </c>
      <c r="G173" s="7">
        <f t="shared" si="78"/>
        <v>10480</v>
      </c>
      <c r="H173" s="7">
        <f t="shared" si="78"/>
        <v>10480</v>
      </c>
      <c r="I173" s="7">
        <f t="shared" si="78"/>
        <v>10480</v>
      </c>
      <c r="J173" s="7">
        <f t="shared" si="78"/>
        <v>10480</v>
      </c>
      <c r="K173" s="7">
        <f t="shared" si="78"/>
        <v>10480</v>
      </c>
      <c r="L173" s="7">
        <f t="shared" si="78"/>
        <v>10480</v>
      </c>
      <c r="M173" s="7">
        <f t="shared" si="78"/>
        <v>10480</v>
      </c>
      <c r="N173" s="7">
        <f t="shared" si="78"/>
        <v>10480</v>
      </c>
      <c r="O173" s="7">
        <f t="shared" si="78"/>
        <v>10480</v>
      </c>
      <c r="P173" s="7">
        <f t="shared" si="78"/>
        <v>10480</v>
      </c>
      <c r="Q173" s="7">
        <f t="shared" si="78"/>
        <v>10480</v>
      </c>
      <c r="R173" s="7">
        <f t="shared" si="78"/>
        <v>10480</v>
      </c>
      <c r="S173" s="7">
        <f t="shared" si="78"/>
        <v>10480</v>
      </c>
      <c r="T173" s="7">
        <f t="shared" si="78"/>
        <v>10480</v>
      </c>
      <c r="U173" s="7">
        <f t="shared" si="78"/>
        <v>10480</v>
      </c>
      <c r="V173" s="7">
        <f t="shared" si="78"/>
        <v>10480</v>
      </c>
      <c r="W173" s="7">
        <f t="shared" si="78"/>
        <v>10480</v>
      </c>
      <c r="X173" s="7">
        <f t="shared" si="78"/>
        <v>10480</v>
      </c>
      <c r="Y173" s="7">
        <f t="shared" si="78"/>
        <v>10480</v>
      </c>
      <c r="Z173" s="7">
        <f t="shared" si="78"/>
        <v>10480</v>
      </c>
      <c r="AA173" s="7">
        <f t="shared" si="78"/>
        <v>10480</v>
      </c>
      <c r="AB173" s="7">
        <f t="shared" si="78"/>
        <v>10480</v>
      </c>
      <c r="AC173" s="7">
        <f t="shared" si="78"/>
        <v>10480</v>
      </c>
      <c r="AD173" s="7">
        <f t="shared" si="78"/>
        <v>10480</v>
      </c>
      <c r="AE173" s="7">
        <f t="shared" si="78"/>
        <v>10480</v>
      </c>
      <c r="AF173" s="7">
        <f t="shared" si="78"/>
        <v>10480</v>
      </c>
      <c r="AG173" s="7">
        <f t="shared" si="78"/>
        <v>10480</v>
      </c>
      <c r="AH173" s="7">
        <f t="shared" si="78"/>
        <v>10480</v>
      </c>
      <c r="AI173" s="7">
        <f t="shared" si="78"/>
        <v>10480</v>
      </c>
      <c r="AJ173" s="7">
        <f t="shared" si="78"/>
        <v>10480</v>
      </c>
      <c r="AK173" s="7">
        <f t="shared" si="78"/>
        <v>10480</v>
      </c>
      <c r="AL173" s="7">
        <f t="shared" si="78"/>
        <v>10480</v>
      </c>
      <c r="AM173" s="7">
        <f t="shared" si="78"/>
        <v>10480</v>
      </c>
      <c r="AN173" s="7">
        <f t="shared" si="78"/>
        <v>10480</v>
      </c>
      <c r="AO173" s="7">
        <f t="shared" si="78"/>
        <v>10480</v>
      </c>
      <c r="AP173" s="7">
        <f t="shared" si="78"/>
        <v>10480</v>
      </c>
      <c r="AQ173" s="7">
        <f t="shared" si="78"/>
        <v>10480</v>
      </c>
      <c r="AR173" s="7">
        <f t="shared" si="78"/>
        <v>10480</v>
      </c>
      <c r="AS173" s="7">
        <f t="shared" si="78"/>
        <v>10480</v>
      </c>
      <c r="AT173" s="7">
        <f t="shared" si="78"/>
        <v>10480</v>
      </c>
      <c r="AU173" s="7">
        <f t="shared" si="78"/>
        <v>10480</v>
      </c>
      <c r="AV173" s="7">
        <f t="shared" si="78"/>
        <v>10480</v>
      </c>
      <c r="AW173" s="7">
        <f t="shared" si="78"/>
        <v>10480</v>
      </c>
      <c r="AX173" s="7">
        <f t="shared" si="78"/>
        <v>10480</v>
      </c>
      <c r="AY173" s="7">
        <f t="shared" si="78"/>
        <v>10480</v>
      </c>
      <c r="AZ173" s="7">
        <f t="shared" si="78"/>
        <v>10480</v>
      </c>
      <c r="BA173" s="7">
        <f t="shared" si="78"/>
        <v>10480</v>
      </c>
      <c r="BB173" s="7">
        <f t="shared" si="78"/>
        <v>10480</v>
      </c>
      <c r="BC173" s="7">
        <f t="shared" si="78"/>
        <v>10480</v>
      </c>
      <c r="BD173" s="7">
        <f t="shared" si="78"/>
        <v>10480</v>
      </c>
      <c r="BE173" s="7">
        <f t="shared" si="78"/>
        <v>10480</v>
      </c>
      <c r="BF173" s="7">
        <f t="shared" si="78"/>
        <v>10480</v>
      </c>
      <c r="BG173" s="7">
        <f t="shared" si="78"/>
        <v>10480</v>
      </c>
      <c r="BH173" s="7">
        <f t="shared" si="78"/>
        <v>10480</v>
      </c>
      <c r="BI173" s="7">
        <f t="shared" si="78"/>
        <v>10480</v>
      </c>
      <c r="BJ173" s="7">
        <f t="shared" si="78"/>
        <v>10480</v>
      </c>
      <c r="BK173" s="7">
        <f t="shared" si="78"/>
        <v>10480</v>
      </c>
      <c r="BL173" s="7">
        <f t="shared" si="78"/>
        <v>10480</v>
      </c>
      <c r="BM173" s="7">
        <f t="shared" si="78"/>
        <v>10480</v>
      </c>
      <c r="BN173" s="7">
        <f t="shared" si="78"/>
        <v>10480</v>
      </c>
      <c r="BO173" s="7">
        <f t="shared" si="78"/>
        <v>10480</v>
      </c>
      <c r="BP173" s="7">
        <f t="shared" si="78"/>
        <v>10480</v>
      </c>
      <c r="BQ173" s="7">
        <f t="shared" si="78"/>
        <v>10480</v>
      </c>
      <c r="BR173" s="7">
        <f t="shared" si="78"/>
        <v>10480</v>
      </c>
      <c r="BS173" s="7">
        <f t="shared" si="78"/>
        <v>10480</v>
      </c>
      <c r="BT173" s="7">
        <f t="shared" si="78"/>
        <v>10480</v>
      </c>
      <c r="BU173" s="7">
        <f t="shared" si="78"/>
        <v>10480</v>
      </c>
      <c r="BV173" s="7">
        <f t="shared" si="78"/>
        <v>10480</v>
      </c>
      <c r="BW173" s="7">
        <f t="shared" si="78"/>
        <v>10480</v>
      </c>
      <c r="BX173" s="7">
        <f t="shared" si="78"/>
        <v>10480</v>
      </c>
      <c r="BY173" s="7">
        <f t="shared" si="78"/>
        <v>10480</v>
      </c>
      <c r="BZ173" s="7">
        <f t="shared" si="78"/>
        <v>10480</v>
      </c>
      <c r="CA173" s="7">
        <f t="shared" si="78"/>
        <v>10480</v>
      </c>
      <c r="CB173" s="7">
        <f t="shared" si="78"/>
        <v>10480</v>
      </c>
      <c r="CC173" s="7">
        <f t="shared" si="78"/>
        <v>10480</v>
      </c>
      <c r="CD173" s="7">
        <f t="shared" si="78"/>
        <v>10480</v>
      </c>
      <c r="CE173" s="7">
        <f t="shared" si="78"/>
        <v>10480</v>
      </c>
      <c r="CF173" s="7">
        <f t="shared" si="78"/>
        <v>10480</v>
      </c>
      <c r="CG173" s="7">
        <f t="shared" si="78"/>
        <v>10480</v>
      </c>
      <c r="CH173" s="7">
        <f t="shared" si="78"/>
        <v>10480</v>
      </c>
      <c r="CI173" s="7">
        <f t="shared" si="78"/>
        <v>10480</v>
      </c>
      <c r="CJ173" s="7">
        <f t="shared" si="78"/>
        <v>10480</v>
      </c>
      <c r="CK173" s="7">
        <f t="shared" si="78"/>
        <v>10480</v>
      </c>
      <c r="CL173" s="7">
        <f t="shared" si="78"/>
        <v>10480</v>
      </c>
      <c r="CM173" s="7">
        <f t="shared" si="78"/>
        <v>10480</v>
      </c>
      <c r="CN173" s="7">
        <f t="shared" si="78"/>
        <v>10480</v>
      </c>
      <c r="CO173" s="7">
        <f t="shared" si="78"/>
        <v>10480</v>
      </c>
      <c r="CP173" s="7">
        <f t="shared" si="78"/>
        <v>10480</v>
      </c>
      <c r="CQ173" s="7">
        <f t="shared" si="78"/>
        <v>10480</v>
      </c>
      <c r="CR173" s="7">
        <f t="shared" si="78"/>
        <v>10480</v>
      </c>
      <c r="CS173" s="7">
        <f t="shared" si="78"/>
        <v>10480</v>
      </c>
      <c r="CT173" s="7">
        <f t="shared" si="78"/>
        <v>10480</v>
      </c>
      <c r="CU173" s="7">
        <f t="shared" si="78"/>
        <v>10480</v>
      </c>
      <c r="CV173" s="7">
        <f t="shared" si="78"/>
        <v>10480</v>
      </c>
      <c r="CW173" s="7">
        <f t="shared" si="78"/>
        <v>10480</v>
      </c>
      <c r="CX173" s="7">
        <f t="shared" si="78"/>
        <v>10480</v>
      </c>
      <c r="CY173" s="7">
        <f t="shared" si="78"/>
        <v>10480</v>
      </c>
      <c r="CZ173" s="7">
        <f t="shared" si="78"/>
        <v>10480</v>
      </c>
      <c r="DA173" s="7">
        <f t="shared" si="78"/>
        <v>10480</v>
      </c>
      <c r="DB173" s="7">
        <f t="shared" si="78"/>
        <v>10480</v>
      </c>
      <c r="DC173" s="7">
        <f t="shared" si="78"/>
        <v>10480</v>
      </c>
      <c r="DD173" s="7">
        <f t="shared" si="78"/>
        <v>10480</v>
      </c>
      <c r="DE173" s="7">
        <f t="shared" si="78"/>
        <v>10480</v>
      </c>
      <c r="DF173" s="7">
        <f t="shared" si="78"/>
        <v>10480</v>
      </c>
      <c r="DG173" s="7">
        <f t="shared" si="78"/>
        <v>10480</v>
      </c>
      <c r="DH173" s="7">
        <f t="shared" si="78"/>
        <v>10480</v>
      </c>
      <c r="DI173" s="7">
        <f t="shared" si="78"/>
        <v>10480</v>
      </c>
      <c r="DJ173" s="7">
        <f t="shared" si="78"/>
        <v>10480</v>
      </c>
      <c r="DK173" s="7">
        <f t="shared" si="78"/>
        <v>10480</v>
      </c>
      <c r="DL173" s="7">
        <f t="shared" si="78"/>
        <v>10480</v>
      </c>
      <c r="DM173" s="7">
        <f t="shared" si="78"/>
        <v>10480</v>
      </c>
      <c r="DN173" s="7">
        <f t="shared" si="78"/>
        <v>10480</v>
      </c>
      <c r="DO173" s="7">
        <f t="shared" si="78"/>
        <v>10480</v>
      </c>
      <c r="DP173" s="7">
        <f t="shared" si="78"/>
        <v>10480</v>
      </c>
      <c r="DQ173" s="7">
        <f t="shared" si="78"/>
        <v>10480</v>
      </c>
      <c r="DR173" s="7">
        <f t="shared" si="78"/>
        <v>10480</v>
      </c>
      <c r="DS173" s="7">
        <f t="shared" si="78"/>
        <v>10480</v>
      </c>
      <c r="DT173" s="7">
        <f t="shared" si="78"/>
        <v>10480</v>
      </c>
      <c r="DU173" s="7">
        <f t="shared" si="78"/>
        <v>10480</v>
      </c>
      <c r="DV173" s="7">
        <f t="shared" si="78"/>
        <v>10480</v>
      </c>
      <c r="DW173" s="7">
        <f t="shared" si="78"/>
        <v>10480</v>
      </c>
      <c r="DX173" s="7">
        <f t="shared" si="78"/>
        <v>10480</v>
      </c>
      <c r="DY173" s="7">
        <f t="shared" si="78"/>
        <v>10480</v>
      </c>
      <c r="DZ173" s="7">
        <f t="shared" si="78"/>
        <v>10480</v>
      </c>
      <c r="EA173" s="7">
        <f t="shared" si="78"/>
        <v>10480</v>
      </c>
      <c r="EB173" s="7">
        <f t="shared" si="78"/>
        <v>10480</v>
      </c>
      <c r="EC173" s="7">
        <f t="shared" si="78"/>
        <v>10480</v>
      </c>
      <c r="ED173" s="7">
        <f t="shared" si="78"/>
        <v>10480</v>
      </c>
      <c r="EE173" s="7">
        <f t="shared" si="78"/>
        <v>10480</v>
      </c>
      <c r="EF173" s="7">
        <f t="shared" si="78"/>
        <v>10480</v>
      </c>
      <c r="EG173" s="7">
        <f t="shared" si="78"/>
        <v>10480</v>
      </c>
      <c r="EH173" s="7">
        <f t="shared" si="78"/>
        <v>10480</v>
      </c>
      <c r="EI173" s="7">
        <f t="shared" si="78"/>
        <v>10480</v>
      </c>
      <c r="EJ173" s="7">
        <f t="shared" si="78"/>
        <v>10480</v>
      </c>
      <c r="EK173" s="7">
        <f t="shared" si="78"/>
        <v>10480</v>
      </c>
      <c r="EL173" s="7">
        <f t="shared" si="78"/>
        <v>10480</v>
      </c>
      <c r="EM173" s="7">
        <f t="shared" si="78"/>
        <v>10480</v>
      </c>
      <c r="EN173" s="7">
        <f t="shared" si="78"/>
        <v>10480</v>
      </c>
      <c r="EO173" s="7">
        <f t="shared" si="78"/>
        <v>10480</v>
      </c>
      <c r="EP173" s="7">
        <f t="shared" si="78"/>
        <v>10480</v>
      </c>
      <c r="EQ173" s="7">
        <f t="shared" si="78"/>
        <v>10480</v>
      </c>
      <c r="ER173" s="7">
        <f t="shared" si="78"/>
        <v>10480</v>
      </c>
      <c r="ES173" s="7">
        <f t="shared" si="78"/>
        <v>10480</v>
      </c>
      <c r="ET173" s="7">
        <f t="shared" si="78"/>
        <v>10480</v>
      </c>
      <c r="EU173" s="7">
        <f t="shared" si="78"/>
        <v>10480</v>
      </c>
      <c r="EV173" s="7">
        <f t="shared" si="78"/>
        <v>10480</v>
      </c>
      <c r="EW173" s="7">
        <f t="shared" si="78"/>
        <v>10480</v>
      </c>
      <c r="EX173" s="7">
        <f t="shared" si="78"/>
        <v>10480</v>
      </c>
      <c r="EY173" s="7">
        <f t="shared" si="78"/>
        <v>10480</v>
      </c>
      <c r="EZ173" s="7">
        <f t="shared" si="78"/>
        <v>10480</v>
      </c>
      <c r="FA173" s="7">
        <f t="shared" si="78"/>
        <v>10480</v>
      </c>
      <c r="FB173" s="7">
        <f t="shared" si="78"/>
        <v>10480</v>
      </c>
      <c r="FC173" s="7">
        <f t="shared" si="78"/>
        <v>10480</v>
      </c>
      <c r="FD173" s="7">
        <f t="shared" si="78"/>
        <v>10480</v>
      </c>
      <c r="FE173" s="7">
        <f t="shared" si="78"/>
        <v>10480</v>
      </c>
      <c r="FF173" s="7">
        <f t="shared" si="78"/>
        <v>10480</v>
      </c>
      <c r="FG173" s="7">
        <f t="shared" si="78"/>
        <v>10480</v>
      </c>
      <c r="FH173" s="7">
        <f t="shared" si="78"/>
        <v>10480</v>
      </c>
      <c r="FI173" s="7">
        <f t="shared" si="78"/>
        <v>10480</v>
      </c>
      <c r="FJ173" s="7">
        <f t="shared" si="78"/>
        <v>10480</v>
      </c>
      <c r="FK173" s="7">
        <f t="shared" si="78"/>
        <v>10480</v>
      </c>
      <c r="FL173" s="7">
        <f t="shared" si="78"/>
        <v>10480</v>
      </c>
      <c r="FM173" s="7">
        <f t="shared" si="78"/>
        <v>10480</v>
      </c>
      <c r="FN173" s="7">
        <f t="shared" si="78"/>
        <v>10480</v>
      </c>
      <c r="FO173" s="7">
        <f t="shared" si="78"/>
        <v>10480</v>
      </c>
      <c r="FP173" s="7">
        <f t="shared" si="78"/>
        <v>10480</v>
      </c>
      <c r="FQ173" s="7">
        <f t="shared" si="78"/>
        <v>10480</v>
      </c>
      <c r="FR173" s="7">
        <f t="shared" si="78"/>
        <v>10480</v>
      </c>
      <c r="FS173" s="7">
        <f t="shared" si="78"/>
        <v>10480</v>
      </c>
      <c r="FT173" s="7">
        <f t="shared" si="78"/>
        <v>10480</v>
      </c>
      <c r="FU173" s="7">
        <f t="shared" si="78"/>
        <v>10480</v>
      </c>
      <c r="FV173" s="7">
        <f t="shared" si="78"/>
        <v>10480</v>
      </c>
      <c r="FW173" s="7">
        <f t="shared" si="78"/>
        <v>10480</v>
      </c>
      <c r="FX173" s="7">
        <f t="shared" si="78"/>
        <v>10480</v>
      </c>
      <c r="FY173" s="7"/>
      <c r="FZ173" s="7">
        <f>AVERAGE(C173:FX173)</f>
        <v>10480</v>
      </c>
      <c r="GA173" s="7"/>
      <c r="GB173" s="23"/>
      <c r="GC173" s="23"/>
      <c r="GD173" s="23"/>
      <c r="GE173" s="7"/>
      <c r="GF173" s="7"/>
      <c r="GG173" s="7"/>
      <c r="GH173" s="7"/>
      <c r="GI173" s="7"/>
      <c r="GJ173" s="7"/>
      <c r="GK173" s="7"/>
    </row>
    <row r="174" spans="1:193" ht="15.5" x14ac:dyDescent="0.35">
      <c r="A174" s="12" t="s">
        <v>909</v>
      </c>
      <c r="B174" s="7" t="s">
        <v>910</v>
      </c>
      <c r="C174" s="7">
        <f t="shared" ref="C174:FX174" si="79">ROUND(C173*C172,2)</f>
        <v>1592960</v>
      </c>
      <c r="D174" s="7">
        <f t="shared" si="79"/>
        <v>5229520</v>
      </c>
      <c r="E174" s="7">
        <f t="shared" si="79"/>
        <v>0</v>
      </c>
      <c r="F174" s="7">
        <f t="shared" si="79"/>
        <v>21284880</v>
      </c>
      <c r="G174" s="7">
        <f t="shared" si="79"/>
        <v>0</v>
      </c>
      <c r="H174" s="7">
        <f t="shared" si="79"/>
        <v>0</v>
      </c>
      <c r="I174" s="7">
        <f t="shared" si="79"/>
        <v>0</v>
      </c>
      <c r="J174" s="7">
        <f t="shared" si="79"/>
        <v>0</v>
      </c>
      <c r="K174" s="7">
        <f t="shared" si="79"/>
        <v>0</v>
      </c>
      <c r="L174" s="7">
        <f t="shared" si="79"/>
        <v>0</v>
      </c>
      <c r="M174" s="7">
        <f t="shared" si="79"/>
        <v>0</v>
      </c>
      <c r="N174" s="7">
        <f t="shared" si="79"/>
        <v>0</v>
      </c>
      <c r="O174" s="7">
        <f t="shared" si="79"/>
        <v>0</v>
      </c>
      <c r="P174" s="7">
        <f t="shared" si="79"/>
        <v>0</v>
      </c>
      <c r="Q174" s="7">
        <f t="shared" si="79"/>
        <v>0</v>
      </c>
      <c r="R174" s="7">
        <f t="shared" si="79"/>
        <v>69356640</v>
      </c>
      <c r="S174" s="7">
        <f t="shared" si="79"/>
        <v>146720</v>
      </c>
      <c r="T174" s="7">
        <f t="shared" si="79"/>
        <v>0</v>
      </c>
      <c r="U174" s="7">
        <f t="shared" si="79"/>
        <v>0</v>
      </c>
      <c r="V174" s="7">
        <f t="shared" si="79"/>
        <v>0</v>
      </c>
      <c r="W174" s="7">
        <f t="shared" si="79"/>
        <v>0</v>
      </c>
      <c r="X174" s="7">
        <f t="shared" si="79"/>
        <v>0</v>
      </c>
      <c r="Y174" s="7">
        <f t="shared" si="79"/>
        <v>4962280</v>
      </c>
      <c r="Z174" s="7">
        <f t="shared" si="79"/>
        <v>0</v>
      </c>
      <c r="AA174" s="7">
        <f t="shared" si="79"/>
        <v>3526520</v>
      </c>
      <c r="AB174" s="7">
        <f t="shared" si="79"/>
        <v>2347520</v>
      </c>
      <c r="AC174" s="7">
        <f t="shared" si="79"/>
        <v>0</v>
      </c>
      <c r="AD174" s="7">
        <f t="shared" si="79"/>
        <v>0</v>
      </c>
      <c r="AE174" s="7">
        <f t="shared" si="79"/>
        <v>0</v>
      </c>
      <c r="AF174" s="7">
        <f t="shared" si="79"/>
        <v>0</v>
      </c>
      <c r="AG174" s="7">
        <f t="shared" si="79"/>
        <v>0</v>
      </c>
      <c r="AH174" s="7">
        <f t="shared" si="79"/>
        <v>0</v>
      </c>
      <c r="AI174" s="7">
        <f t="shared" si="79"/>
        <v>0</v>
      </c>
      <c r="AJ174" s="7">
        <f t="shared" si="79"/>
        <v>0</v>
      </c>
      <c r="AK174" s="7">
        <f t="shared" si="79"/>
        <v>0</v>
      </c>
      <c r="AL174" s="7">
        <f t="shared" si="79"/>
        <v>0</v>
      </c>
      <c r="AM174" s="7">
        <f t="shared" si="79"/>
        <v>0</v>
      </c>
      <c r="AN174" s="7">
        <f t="shared" si="79"/>
        <v>0</v>
      </c>
      <c r="AO174" s="7">
        <f t="shared" si="79"/>
        <v>3882840</v>
      </c>
      <c r="AP174" s="7">
        <f t="shared" si="79"/>
        <v>6240840</v>
      </c>
      <c r="AQ174" s="7">
        <f t="shared" si="79"/>
        <v>0</v>
      </c>
      <c r="AR174" s="7">
        <f t="shared" si="79"/>
        <v>13655440</v>
      </c>
      <c r="AS174" s="7">
        <f t="shared" si="79"/>
        <v>0</v>
      </c>
      <c r="AT174" s="7">
        <f t="shared" si="79"/>
        <v>0</v>
      </c>
      <c r="AU174" s="7">
        <f t="shared" si="79"/>
        <v>0</v>
      </c>
      <c r="AV174" s="7">
        <f t="shared" si="79"/>
        <v>0</v>
      </c>
      <c r="AW174" s="7">
        <f t="shared" si="79"/>
        <v>0</v>
      </c>
      <c r="AX174" s="7">
        <f t="shared" si="79"/>
        <v>0</v>
      </c>
      <c r="AY174" s="7">
        <f t="shared" si="79"/>
        <v>0</v>
      </c>
      <c r="AZ174" s="7">
        <f t="shared" si="79"/>
        <v>1027040</v>
      </c>
      <c r="BA174" s="7">
        <f t="shared" si="79"/>
        <v>2515200</v>
      </c>
      <c r="BB174" s="7">
        <f t="shared" si="79"/>
        <v>0</v>
      </c>
      <c r="BC174" s="7">
        <f t="shared" si="79"/>
        <v>4978000</v>
      </c>
      <c r="BD174" s="7">
        <f t="shared" si="79"/>
        <v>0</v>
      </c>
      <c r="BE174" s="7">
        <f t="shared" si="79"/>
        <v>0</v>
      </c>
      <c r="BF174" s="7">
        <f t="shared" si="79"/>
        <v>12518360</v>
      </c>
      <c r="BG174" s="7">
        <f t="shared" si="79"/>
        <v>0</v>
      </c>
      <c r="BH174" s="7">
        <f t="shared" si="79"/>
        <v>293440</v>
      </c>
      <c r="BI174" s="7">
        <f t="shared" si="79"/>
        <v>0</v>
      </c>
      <c r="BJ174" s="7">
        <f t="shared" si="79"/>
        <v>0</v>
      </c>
      <c r="BK174" s="7">
        <f t="shared" si="79"/>
        <v>138079240</v>
      </c>
      <c r="BL174" s="7">
        <f t="shared" si="79"/>
        <v>0</v>
      </c>
      <c r="BM174" s="7">
        <f t="shared" si="79"/>
        <v>0</v>
      </c>
      <c r="BN174" s="7">
        <f t="shared" si="79"/>
        <v>0</v>
      </c>
      <c r="BO174" s="7">
        <f t="shared" si="79"/>
        <v>0</v>
      </c>
      <c r="BP174" s="7">
        <f t="shared" si="79"/>
        <v>0</v>
      </c>
      <c r="BQ174" s="7">
        <f t="shared" si="79"/>
        <v>0</v>
      </c>
      <c r="BR174" s="7">
        <f t="shared" si="79"/>
        <v>0</v>
      </c>
      <c r="BS174" s="7">
        <f t="shared" si="79"/>
        <v>0</v>
      </c>
      <c r="BT174" s="7">
        <f t="shared" si="79"/>
        <v>0</v>
      </c>
      <c r="BU174" s="7">
        <f t="shared" si="79"/>
        <v>0</v>
      </c>
      <c r="BV174" s="7">
        <f t="shared" si="79"/>
        <v>0</v>
      </c>
      <c r="BW174" s="7">
        <f t="shared" si="79"/>
        <v>0</v>
      </c>
      <c r="BX174" s="7">
        <f t="shared" si="79"/>
        <v>0</v>
      </c>
      <c r="BY174" s="7">
        <f t="shared" si="79"/>
        <v>0</v>
      </c>
      <c r="BZ174" s="7">
        <f t="shared" si="79"/>
        <v>0</v>
      </c>
      <c r="CA174" s="7">
        <f t="shared" si="79"/>
        <v>0</v>
      </c>
      <c r="CB174" s="7">
        <f t="shared" si="79"/>
        <v>8546440</v>
      </c>
      <c r="CC174" s="7">
        <f t="shared" si="79"/>
        <v>0</v>
      </c>
      <c r="CD174" s="7">
        <f t="shared" si="79"/>
        <v>0</v>
      </c>
      <c r="CE174" s="7">
        <f t="shared" si="79"/>
        <v>0</v>
      </c>
      <c r="CF174" s="7">
        <f t="shared" si="79"/>
        <v>0</v>
      </c>
      <c r="CG174" s="7">
        <f t="shared" si="79"/>
        <v>0</v>
      </c>
      <c r="CH174" s="7">
        <f t="shared" si="79"/>
        <v>0</v>
      </c>
      <c r="CI174" s="7">
        <f t="shared" si="79"/>
        <v>0</v>
      </c>
      <c r="CJ174" s="7">
        <f t="shared" si="79"/>
        <v>0</v>
      </c>
      <c r="CK174" s="7">
        <f t="shared" si="79"/>
        <v>246280</v>
      </c>
      <c r="CL174" s="7">
        <f t="shared" si="79"/>
        <v>57640</v>
      </c>
      <c r="CM174" s="7">
        <f t="shared" si="79"/>
        <v>20960</v>
      </c>
      <c r="CN174" s="7">
        <f t="shared" si="79"/>
        <v>6937760</v>
      </c>
      <c r="CO174" s="7">
        <f t="shared" si="79"/>
        <v>0</v>
      </c>
      <c r="CP174" s="7">
        <f t="shared" si="79"/>
        <v>0</v>
      </c>
      <c r="CQ174" s="7">
        <f t="shared" si="79"/>
        <v>0</v>
      </c>
      <c r="CR174" s="7">
        <f t="shared" si="79"/>
        <v>0</v>
      </c>
      <c r="CS174" s="7">
        <f t="shared" si="79"/>
        <v>0</v>
      </c>
      <c r="CT174" s="7">
        <f t="shared" si="79"/>
        <v>0</v>
      </c>
      <c r="CU174" s="7">
        <f t="shared" si="79"/>
        <v>4150080</v>
      </c>
      <c r="CV174" s="7">
        <f t="shared" si="79"/>
        <v>0</v>
      </c>
      <c r="CW174" s="7">
        <f t="shared" si="79"/>
        <v>0</v>
      </c>
      <c r="CX174" s="7">
        <f t="shared" si="79"/>
        <v>0</v>
      </c>
      <c r="CY174" s="7">
        <f t="shared" si="79"/>
        <v>0</v>
      </c>
      <c r="CZ174" s="7">
        <f t="shared" si="79"/>
        <v>0</v>
      </c>
      <c r="DA174" s="7">
        <f t="shared" si="79"/>
        <v>0</v>
      </c>
      <c r="DB174" s="7">
        <f t="shared" si="79"/>
        <v>0</v>
      </c>
      <c r="DC174" s="7">
        <f t="shared" si="79"/>
        <v>0</v>
      </c>
      <c r="DD174" s="7">
        <f t="shared" si="79"/>
        <v>0</v>
      </c>
      <c r="DE174" s="7">
        <f t="shared" si="79"/>
        <v>0</v>
      </c>
      <c r="DF174" s="7">
        <f t="shared" si="79"/>
        <v>0</v>
      </c>
      <c r="DG174" s="7">
        <f t="shared" si="79"/>
        <v>0</v>
      </c>
      <c r="DH174" s="7">
        <f t="shared" si="79"/>
        <v>0</v>
      </c>
      <c r="DI174" s="7">
        <f t="shared" si="79"/>
        <v>41920</v>
      </c>
      <c r="DJ174" s="7">
        <f t="shared" si="79"/>
        <v>10480</v>
      </c>
      <c r="DK174" s="7">
        <f t="shared" si="79"/>
        <v>10480</v>
      </c>
      <c r="DL174" s="7">
        <f t="shared" si="79"/>
        <v>0</v>
      </c>
      <c r="DM174" s="7">
        <f t="shared" si="79"/>
        <v>0</v>
      </c>
      <c r="DN174" s="7">
        <f t="shared" si="79"/>
        <v>0</v>
      </c>
      <c r="DO174" s="7">
        <f t="shared" si="79"/>
        <v>0</v>
      </c>
      <c r="DP174" s="7">
        <f t="shared" si="79"/>
        <v>0</v>
      </c>
      <c r="DQ174" s="7">
        <f t="shared" si="79"/>
        <v>0</v>
      </c>
      <c r="DR174" s="7">
        <f t="shared" si="79"/>
        <v>0</v>
      </c>
      <c r="DS174" s="7">
        <f t="shared" si="79"/>
        <v>0</v>
      </c>
      <c r="DT174" s="7">
        <f t="shared" si="79"/>
        <v>0</v>
      </c>
      <c r="DU174" s="7">
        <f t="shared" si="79"/>
        <v>0</v>
      </c>
      <c r="DV174" s="7">
        <f t="shared" si="79"/>
        <v>0</v>
      </c>
      <c r="DW174" s="7">
        <f t="shared" si="79"/>
        <v>0</v>
      </c>
      <c r="DX174" s="7">
        <f t="shared" si="79"/>
        <v>0</v>
      </c>
      <c r="DY174" s="7">
        <f t="shared" si="79"/>
        <v>0</v>
      </c>
      <c r="DZ174" s="7">
        <f t="shared" si="79"/>
        <v>0</v>
      </c>
      <c r="EA174" s="7">
        <f t="shared" si="79"/>
        <v>0</v>
      </c>
      <c r="EB174" s="7">
        <f t="shared" si="79"/>
        <v>0</v>
      </c>
      <c r="EC174" s="7">
        <f t="shared" si="79"/>
        <v>0</v>
      </c>
      <c r="ED174" s="7">
        <f t="shared" si="79"/>
        <v>0</v>
      </c>
      <c r="EE174" s="7">
        <f t="shared" si="79"/>
        <v>0</v>
      </c>
      <c r="EF174" s="7">
        <f t="shared" si="79"/>
        <v>0</v>
      </c>
      <c r="EG174" s="7">
        <f t="shared" si="79"/>
        <v>0</v>
      </c>
      <c r="EH174" s="7">
        <f t="shared" si="79"/>
        <v>0</v>
      </c>
      <c r="EI174" s="7">
        <f t="shared" si="79"/>
        <v>0</v>
      </c>
      <c r="EJ174" s="7">
        <f t="shared" si="79"/>
        <v>2174600</v>
      </c>
      <c r="EK174" s="7">
        <f t="shared" si="79"/>
        <v>0</v>
      </c>
      <c r="EL174" s="7">
        <f t="shared" si="79"/>
        <v>0</v>
      </c>
      <c r="EM174" s="7">
        <f t="shared" si="79"/>
        <v>0</v>
      </c>
      <c r="EN174" s="7">
        <f t="shared" si="79"/>
        <v>450640</v>
      </c>
      <c r="EO174" s="7">
        <f t="shared" si="79"/>
        <v>0</v>
      </c>
      <c r="EP174" s="7">
        <f t="shared" si="79"/>
        <v>0</v>
      </c>
      <c r="EQ174" s="7">
        <f t="shared" si="79"/>
        <v>0</v>
      </c>
      <c r="ER174" s="7">
        <f t="shared" si="79"/>
        <v>0</v>
      </c>
      <c r="ES174" s="7">
        <f t="shared" si="79"/>
        <v>0</v>
      </c>
      <c r="ET174" s="7">
        <f t="shared" si="79"/>
        <v>0</v>
      </c>
      <c r="EU174" s="7">
        <f t="shared" si="79"/>
        <v>0</v>
      </c>
      <c r="EV174" s="7">
        <f t="shared" si="79"/>
        <v>0</v>
      </c>
      <c r="EW174" s="7">
        <f t="shared" si="79"/>
        <v>0</v>
      </c>
      <c r="EX174" s="7">
        <f t="shared" si="79"/>
        <v>0</v>
      </c>
      <c r="EY174" s="7">
        <f t="shared" si="79"/>
        <v>4716000</v>
      </c>
      <c r="EZ174" s="7">
        <f t="shared" si="79"/>
        <v>0</v>
      </c>
      <c r="FA174" s="7">
        <f t="shared" si="79"/>
        <v>0</v>
      </c>
      <c r="FB174" s="7">
        <f t="shared" si="79"/>
        <v>0</v>
      </c>
      <c r="FC174" s="7">
        <f t="shared" si="79"/>
        <v>0</v>
      </c>
      <c r="FD174" s="7">
        <f t="shared" si="79"/>
        <v>0</v>
      </c>
      <c r="FE174" s="7">
        <f t="shared" si="79"/>
        <v>0</v>
      </c>
      <c r="FF174" s="7">
        <f t="shared" si="79"/>
        <v>0</v>
      </c>
      <c r="FG174" s="7">
        <f t="shared" si="79"/>
        <v>0</v>
      </c>
      <c r="FH174" s="7">
        <f t="shared" si="79"/>
        <v>0</v>
      </c>
      <c r="FI174" s="7">
        <f t="shared" si="79"/>
        <v>0</v>
      </c>
      <c r="FJ174" s="7">
        <f t="shared" si="79"/>
        <v>0</v>
      </c>
      <c r="FK174" s="7">
        <f t="shared" si="79"/>
        <v>0</v>
      </c>
      <c r="FL174" s="7">
        <f t="shared" si="79"/>
        <v>0</v>
      </c>
      <c r="FM174" s="7">
        <f t="shared" si="79"/>
        <v>0</v>
      </c>
      <c r="FN174" s="7">
        <f t="shared" si="79"/>
        <v>2667160</v>
      </c>
      <c r="FO174" s="7">
        <f t="shared" si="79"/>
        <v>0</v>
      </c>
      <c r="FP174" s="7">
        <f t="shared" si="79"/>
        <v>0</v>
      </c>
      <c r="FQ174" s="7">
        <f t="shared" si="79"/>
        <v>0</v>
      </c>
      <c r="FR174" s="7">
        <f t="shared" si="79"/>
        <v>0</v>
      </c>
      <c r="FS174" s="7">
        <f t="shared" si="79"/>
        <v>0</v>
      </c>
      <c r="FT174" s="7" t="e">
        <f t="shared" ca="1" si="79"/>
        <v>#NAME?</v>
      </c>
      <c r="FU174" s="7">
        <f t="shared" si="79"/>
        <v>0</v>
      </c>
      <c r="FV174" s="7">
        <f t="shared" si="79"/>
        <v>0</v>
      </c>
      <c r="FW174" s="7">
        <f t="shared" si="79"/>
        <v>0</v>
      </c>
      <c r="FX174" s="7">
        <f t="shared" si="79"/>
        <v>0</v>
      </c>
      <c r="FY174" s="25"/>
      <c r="FZ174" s="7" t="e">
        <f ca="1">SUM(C174:FX174)</f>
        <v>#NAME?</v>
      </c>
      <c r="GA174" s="7"/>
      <c r="GB174" s="47"/>
      <c r="GC174" s="47"/>
      <c r="GD174" s="47"/>
      <c r="GE174" s="7"/>
      <c r="GF174" s="7"/>
      <c r="GG174" s="7"/>
      <c r="GH174" s="7"/>
      <c r="GI174" s="7"/>
      <c r="GJ174" s="7"/>
      <c r="GK174" s="7"/>
    </row>
    <row r="175" spans="1:193" ht="15.5" x14ac:dyDescent="0.35">
      <c r="A175" s="12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</row>
    <row r="176" spans="1:193" ht="15.5" x14ac:dyDescent="0.35">
      <c r="A176" s="12" t="s">
        <v>911</v>
      </c>
      <c r="B176" s="7" t="s">
        <v>912</v>
      </c>
      <c r="C176" s="7">
        <f t="shared" ref="C176:FX176" si="80">C13+C14+C34</f>
        <v>0</v>
      </c>
      <c r="D176" s="7">
        <f t="shared" si="80"/>
        <v>39.5</v>
      </c>
      <c r="E176" s="7">
        <f t="shared" si="80"/>
        <v>0</v>
      </c>
      <c r="F176" s="7">
        <f t="shared" si="80"/>
        <v>3</v>
      </c>
      <c r="G176" s="7">
        <f t="shared" si="80"/>
        <v>0</v>
      </c>
      <c r="H176" s="7">
        <f t="shared" si="80"/>
        <v>0</v>
      </c>
      <c r="I176" s="7">
        <f t="shared" si="80"/>
        <v>6</v>
      </c>
      <c r="J176" s="7">
        <f t="shared" si="80"/>
        <v>0</v>
      </c>
      <c r="K176" s="7">
        <f t="shared" si="80"/>
        <v>0</v>
      </c>
      <c r="L176" s="7">
        <f t="shared" si="80"/>
        <v>0</v>
      </c>
      <c r="M176" s="7">
        <f t="shared" si="80"/>
        <v>0</v>
      </c>
      <c r="N176" s="7">
        <f t="shared" si="80"/>
        <v>35.5</v>
      </c>
      <c r="O176" s="7">
        <f t="shared" si="80"/>
        <v>8</v>
      </c>
      <c r="P176" s="7">
        <f t="shared" si="80"/>
        <v>0</v>
      </c>
      <c r="Q176" s="7">
        <f t="shared" si="80"/>
        <v>9.5</v>
      </c>
      <c r="R176" s="7">
        <f t="shared" si="80"/>
        <v>0</v>
      </c>
      <c r="S176" s="7">
        <f t="shared" si="80"/>
        <v>0</v>
      </c>
      <c r="T176" s="7">
        <f t="shared" si="80"/>
        <v>0</v>
      </c>
      <c r="U176" s="7">
        <f t="shared" si="80"/>
        <v>0</v>
      </c>
      <c r="V176" s="7">
        <f t="shared" si="80"/>
        <v>0</v>
      </c>
      <c r="W176" s="7">
        <f t="shared" si="80"/>
        <v>0</v>
      </c>
      <c r="X176" s="7">
        <f t="shared" si="80"/>
        <v>0</v>
      </c>
      <c r="Y176" s="7">
        <f t="shared" si="80"/>
        <v>0</v>
      </c>
      <c r="Z176" s="7">
        <f t="shared" si="80"/>
        <v>0</v>
      </c>
      <c r="AA176" s="7">
        <f t="shared" si="80"/>
        <v>48.5</v>
      </c>
      <c r="AB176" s="7">
        <f t="shared" si="80"/>
        <v>2</v>
      </c>
      <c r="AC176" s="7">
        <f t="shared" si="80"/>
        <v>0</v>
      </c>
      <c r="AD176" s="7">
        <f t="shared" si="80"/>
        <v>0</v>
      </c>
      <c r="AE176" s="7">
        <f t="shared" si="80"/>
        <v>0</v>
      </c>
      <c r="AF176" s="7">
        <f t="shared" si="80"/>
        <v>0</v>
      </c>
      <c r="AG176" s="7">
        <f t="shared" si="80"/>
        <v>0</v>
      </c>
      <c r="AH176" s="7">
        <f t="shared" si="80"/>
        <v>0</v>
      </c>
      <c r="AI176" s="7">
        <f t="shared" si="80"/>
        <v>0</v>
      </c>
      <c r="AJ176" s="7">
        <f t="shared" si="80"/>
        <v>0</v>
      </c>
      <c r="AK176" s="7">
        <f t="shared" si="80"/>
        <v>0</v>
      </c>
      <c r="AL176" s="7">
        <f t="shared" si="80"/>
        <v>0</v>
      </c>
      <c r="AM176" s="7">
        <f t="shared" si="80"/>
        <v>0</v>
      </c>
      <c r="AN176" s="7">
        <f t="shared" si="80"/>
        <v>0</v>
      </c>
      <c r="AO176" s="7">
        <f t="shared" si="80"/>
        <v>0</v>
      </c>
      <c r="AP176" s="7">
        <f t="shared" si="80"/>
        <v>14.5</v>
      </c>
      <c r="AQ176" s="7">
        <f t="shared" si="80"/>
        <v>0.5</v>
      </c>
      <c r="AR176" s="7">
        <f t="shared" si="80"/>
        <v>10</v>
      </c>
      <c r="AS176" s="7">
        <f t="shared" si="80"/>
        <v>1</v>
      </c>
      <c r="AT176" s="7">
        <f t="shared" si="80"/>
        <v>1</v>
      </c>
      <c r="AU176" s="7">
        <f t="shared" si="80"/>
        <v>0</v>
      </c>
      <c r="AV176" s="7">
        <f t="shared" si="80"/>
        <v>0</v>
      </c>
      <c r="AW176" s="7">
        <f t="shared" si="80"/>
        <v>0</v>
      </c>
      <c r="AX176" s="7">
        <f t="shared" si="80"/>
        <v>0</v>
      </c>
      <c r="AY176" s="7">
        <f t="shared" si="80"/>
        <v>0</v>
      </c>
      <c r="AZ176" s="7">
        <f t="shared" si="80"/>
        <v>0</v>
      </c>
      <c r="BA176" s="7">
        <f t="shared" si="80"/>
        <v>0</v>
      </c>
      <c r="BB176" s="7">
        <f t="shared" si="80"/>
        <v>1</v>
      </c>
      <c r="BC176" s="7">
        <f t="shared" si="80"/>
        <v>21.5</v>
      </c>
      <c r="BD176" s="7">
        <f t="shared" si="80"/>
        <v>0</v>
      </c>
      <c r="BE176" s="7">
        <f t="shared" si="80"/>
        <v>0</v>
      </c>
      <c r="BF176" s="7">
        <f t="shared" si="80"/>
        <v>2</v>
      </c>
      <c r="BG176" s="7">
        <f t="shared" si="80"/>
        <v>0</v>
      </c>
      <c r="BH176" s="7">
        <f t="shared" si="80"/>
        <v>0</v>
      </c>
      <c r="BI176" s="7">
        <f t="shared" si="80"/>
        <v>0</v>
      </c>
      <c r="BJ176" s="7">
        <f t="shared" si="80"/>
        <v>2</v>
      </c>
      <c r="BK176" s="7">
        <f t="shared" si="80"/>
        <v>26</v>
      </c>
      <c r="BL176" s="7">
        <f t="shared" si="80"/>
        <v>2</v>
      </c>
      <c r="BM176" s="7">
        <f t="shared" si="80"/>
        <v>0</v>
      </c>
      <c r="BN176" s="7">
        <f t="shared" si="80"/>
        <v>15</v>
      </c>
      <c r="BO176" s="7">
        <f t="shared" si="80"/>
        <v>0</v>
      </c>
      <c r="BP176" s="7">
        <f t="shared" si="80"/>
        <v>0</v>
      </c>
      <c r="BQ176" s="7">
        <f t="shared" si="80"/>
        <v>1</v>
      </c>
      <c r="BR176" s="7">
        <f t="shared" si="80"/>
        <v>0</v>
      </c>
      <c r="BS176" s="7">
        <f t="shared" si="80"/>
        <v>0</v>
      </c>
      <c r="BT176" s="7">
        <f t="shared" si="80"/>
        <v>0</v>
      </c>
      <c r="BU176" s="7">
        <f t="shared" si="80"/>
        <v>0</v>
      </c>
      <c r="BV176" s="7">
        <f t="shared" si="80"/>
        <v>0</v>
      </c>
      <c r="BW176" s="7">
        <f t="shared" si="80"/>
        <v>0</v>
      </c>
      <c r="BX176" s="7">
        <f t="shared" si="80"/>
        <v>0</v>
      </c>
      <c r="BY176" s="7">
        <f t="shared" si="80"/>
        <v>3</v>
      </c>
      <c r="BZ176" s="7">
        <f t="shared" si="80"/>
        <v>0</v>
      </c>
      <c r="CA176" s="7">
        <f t="shared" si="80"/>
        <v>0</v>
      </c>
      <c r="CB176" s="7">
        <f t="shared" si="80"/>
        <v>18.5</v>
      </c>
      <c r="CC176" s="7">
        <f t="shared" si="80"/>
        <v>0</v>
      </c>
      <c r="CD176" s="7">
        <f t="shared" si="80"/>
        <v>0</v>
      </c>
      <c r="CE176" s="7">
        <f t="shared" si="80"/>
        <v>0</v>
      </c>
      <c r="CF176" s="7">
        <f t="shared" si="80"/>
        <v>0</v>
      </c>
      <c r="CG176" s="7">
        <f t="shared" si="80"/>
        <v>0</v>
      </c>
      <c r="CH176" s="7">
        <f t="shared" si="80"/>
        <v>0</v>
      </c>
      <c r="CI176" s="7">
        <f t="shared" si="80"/>
        <v>0</v>
      </c>
      <c r="CJ176" s="7">
        <f t="shared" si="80"/>
        <v>1</v>
      </c>
      <c r="CK176" s="7">
        <f t="shared" si="80"/>
        <v>0</v>
      </c>
      <c r="CL176" s="7">
        <f t="shared" si="80"/>
        <v>0</v>
      </c>
      <c r="CM176" s="7">
        <f t="shared" si="80"/>
        <v>0</v>
      </c>
      <c r="CN176" s="7">
        <f t="shared" si="80"/>
        <v>30.5</v>
      </c>
      <c r="CO176" s="7">
        <f t="shared" si="80"/>
        <v>3</v>
      </c>
      <c r="CP176" s="7">
        <f t="shared" si="80"/>
        <v>2</v>
      </c>
      <c r="CQ176" s="7">
        <f t="shared" si="80"/>
        <v>0</v>
      </c>
      <c r="CR176" s="7">
        <f t="shared" si="80"/>
        <v>0</v>
      </c>
      <c r="CS176" s="7">
        <f t="shared" si="80"/>
        <v>0</v>
      </c>
      <c r="CT176" s="7">
        <f t="shared" si="80"/>
        <v>0</v>
      </c>
      <c r="CU176" s="7">
        <f t="shared" si="80"/>
        <v>0</v>
      </c>
      <c r="CV176" s="7">
        <f t="shared" si="80"/>
        <v>0</v>
      </c>
      <c r="CW176" s="7">
        <f t="shared" si="80"/>
        <v>0</v>
      </c>
      <c r="CX176" s="7">
        <f t="shared" si="80"/>
        <v>0</v>
      </c>
      <c r="CY176" s="7">
        <f t="shared" si="80"/>
        <v>0</v>
      </c>
      <c r="CZ176" s="7">
        <f t="shared" si="80"/>
        <v>0</v>
      </c>
      <c r="DA176" s="7">
        <f t="shared" si="80"/>
        <v>0</v>
      </c>
      <c r="DB176" s="7">
        <f t="shared" si="80"/>
        <v>0</v>
      </c>
      <c r="DC176" s="7">
        <f t="shared" si="80"/>
        <v>0</v>
      </c>
      <c r="DD176" s="7">
        <f t="shared" si="80"/>
        <v>0</v>
      </c>
      <c r="DE176" s="7">
        <f t="shared" si="80"/>
        <v>0</v>
      </c>
      <c r="DF176" s="7">
        <f t="shared" si="80"/>
        <v>30</v>
      </c>
      <c r="DG176" s="7">
        <f t="shared" si="80"/>
        <v>0</v>
      </c>
      <c r="DH176" s="7">
        <f t="shared" si="80"/>
        <v>0</v>
      </c>
      <c r="DI176" s="7">
        <f t="shared" si="80"/>
        <v>0</v>
      </c>
      <c r="DJ176" s="7">
        <f t="shared" si="80"/>
        <v>0</v>
      </c>
      <c r="DK176" s="7">
        <f t="shared" si="80"/>
        <v>0</v>
      </c>
      <c r="DL176" s="7">
        <f t="shared" si="80"/>
        <v>0</v>
      </c>
      <c r="DM176" s="7">
        <f t="shared" si="80"/>
        <v>0</v>
      </c>
      <c r="DN176" s="7">
        <f t="shared" si="80"/>
        <v>0.5</v>
      </c>
      <c r="DO176" s="7">
        <f t="shared" si="80"/>
        <v>1</v>
      </c>
      <c r="DP176" s="7">
        <f t="shared" si="80"/>
        <v>0</v>
      </c>
      <c r="DQ176" s="7">
        <f t="shared" si="80"/>
        <v>0</v>
      </c>
      <c r="DR176" s="7">
        <f t="shared" si="80"/>
        <v>0</v>
      </c>
      <c r="DS176" s="7">
        <f t="shared" si="80"/>
        <v>0</v>
      </c>
      <c r="DT176" s="7">
        <f t="shared" si="80"/>
        <v>0</v>
      </c>
      <c r="DU176" s="7">
        <f t="shared" si="80"/>
        <v>0</v>
      </c>
      <c r="DV176" s="7">
        <f t="shared" si="80"/>
        <v>0</v>
      </c>
      <c r="DW176" s="7">
        <f t="shared" si="80"/>
        <v>0</v>
      </c>
      <c r="DX176" s="7">
        <f t="shared" si="80"/>
        <v>0</v>
      </c>
      <c r="DY176" s="7">
        <f t="shared" si="80"/>
        <v>0</v>
      </c>
      <c r="DZ176" s="7">
        <f t="shared" si="80"/>
        <v>0</v>
      </c>
      <c r="EA176" s="7">
        <f t="shared" si="80"/>
        <v>0</v>
      </c>
      <c r="EB176" s="7">
        <f t="shared" si="80"/>
        <v>0</v>
      </c>
      <c r="EC176" s="7">
        <f t="shared" si="80"/>
        <v>0</v>
      </c>
      <c r="ED176" s="7">
        <f t="shared" si="80"/>
        <v>0</v>
      </c>
      <c r="EE176" s="7">
        <f t="shared" si="80"/>
        <v>0</v>
      </c>
      <c r="EF176" s="7">
        <f t="shared" si="80"/>
        <v>0</v>
      </c>
      <c r="EG176" s="7">
        <f t="shared" si="80"/>
        <v>0</v>
      </c>
      <c r="EH176" s="7">
        <f t="shared" si="80"/>
        <v>0</v>
      </c>
      <c r="EI176" s="7">
        <f t="shared" si="80"/>
        <v>1</v>
      </c>
      <c r="EJ176" s="7">
        <f t="shared" si="80"/>
        <v>3</v>
      </c>
      <c r="EK176" s="7">
        <f t="shared" si="80"/>
        <v>0</v>
      </c>
      <c r="EL176" s="7">
        <f t="shared" si="80"/>
        <v>0</v>
      </c>
      <c r="EM176" s="7">
        <f t="shared" si="80"/>
        <v>0</v>
      </c>
      <c r="EN176" s="7">
        <f t="shared" si="80"/>
        <v>0</v>
      </c>
      <c r="EO176" s="7">
        <f t="shared" si="80"/>
        <v>0</v>
      </c>
      <c r="EP176" s="7">
        <f t="shared" si="80"/>
        <v>0</v>
      </c>
      <c r="EQ176" s="7">
        <f t="shared" si="80"/>
        <v>0</v>
      </c>
      <c r="ER176" s="7">
        <f t="shared" si="80"/>
        <v>0</v>
      </c>
      <c r="ES176" s="7">
        <f t="shared" si="80"/>
        <v>0</v>
      </c>
      <c r="ET176" s="7">
        <f t="shared" si="80"/>
        <v>0</v>
      </c>
      <c r="EU176" s="7">
        <f t="shared" si="80"/>
        <v>0</v>
      </c>
      <c r="EV176" s="7">
        <f t="shared" si="80"/>
        <v>0</v>
      </c>
      <c r="EW176" s="7">
        <f t="shared" si="80"/>
        <v>0</v>
      </c>
      <c r="EX176" s="7">
        <f t="shared" si="80"/>
        <v>0</v>
      </c>
      <c r="EY176" s="7">
        <f t="shared" si="80"/>
        <v>0</v>
      </c>
      <c r="EZ176" s="7">
        <f t="shared" si="80"/>
        <v>0</v>
      </c>
      <c r="FA176" s="7">
        <f t="shared" si="80"/>
        <v>0</v>
      </c>
      <c r="FB176" s="7">
        <f t="shared" si="80"/>
        <v>0</v>
      </c>
      <c r="FC176" s="7">
        <f t="shared" si="80"/>
        <v>0</v>
      </c>
      <c r="FD176" s="7">
        <f t="shared" si="80"/>
        <v>0</v>
      </c>
      <c r="FE176" s="7">
        <f t="shared" si="80"/>
        <v>0</v>
      </c>
      <c r="FF176" s="7">
        <f t="shared" si="80"/>
        <v>0</v>
      </c>
      <c r="FG176" s="7">
        <f t="shared" si="80"/>
        <v>0</v>
      </c>
      <c r="FH176" s="7">
        <f t="shared" si="80"/>
        <v>0</v>
      </c>
      <c r="FI176" s="7">
        <f t="shared" si="80"/>
        <v>0</v>
      </c>
      <c r="FJ176" s="7">
        <f t="shared" si="80"/>
        <v>0</v>
      </c>
      <c r="FK176" s="7">
        <f t="shared" si="80"/>
        <v>0</v>
      </c>
      <c r="FL176" s="7">
        <f t="shared" si="80"/>
        <v>0</v>
      </c>
      <c r="FM176" s="7">
        <f t="shared" si="80"/>
        <v>0</v>
      </c>
      <c r="FN176" s="7">
        <f t="shared" si="80"/>
        <v>13</v>
      </c>
      <c r="FO176" s="7">
        <f t="shared" si="80"/>
        <v>2</v>
      </c>
      <c r="FP176" s="7">
        <f t="shared" si="80"/>
        <v>0</v>
      </c>
      <c r="FQ176" s="7">
        <f t="shared" si="80"/>
        <v>0</v>
      </c>
      <c r="FR176" s="7">
        <f t="shared" si="80"/>
        <v>0</v>
      </c>
      <c r="FS176" s="7">
        <f t="shared" si="80"/>
        <v>0</v>
      </c>
      <c r="FT176" s="7" t="e">
        <f t="shared" ca="1" si="80"/>
        <v>#NAME?</v>
      </c>
      <c r="FU176" s="7">
        <f t="shared" si="80"/>
        <v>0</v>
      </c>
      <c r="FV176" s="7">
        <f t="shared" si="80"/>
        <v>0</v>
      </c>
      <c r="FW176" s="7">
        <f t="shared" si="80"/>
        <v>0</v>
      </c>
      <c r="FX176" s="7">
        <f t="shared" si="80"/>
        <v>0</v>
      </c>
      <c r="FY176" s="7"/>
      <c r="FZ176" s="7" t="e">
        <f t="shared" ref="FZ176:FZ177" ca="1" si="81">SUM(C176:FX176)</f>
        <v>#NAME?</v>
      </c>
      <c r="GA176" s="45"/>
      <c r="GB176" s="7"/>
      <c r="GC176" s="7"/>
      <c r="GD176" s="7"/>
      <c r="GE176" s="7"/>
      <c r="GF176" s="7"/>
      <c r="GG176" s="7"/>
      <c r="GH176" s="7"/>
      <c r="GI176" s="7"/>
      <c r="GJ176" s="7"/>
      <c r="GK176" s="7"/>
    </row>
    <row r="177" spans="1:207" ht="15.5" x14ac:dyDescent="0.35">
      <c r="A177" s="12" t="s">
        <v>913</v>
      </c>
      <c r="B177" s="7" t="s">
        <v>914</v>
      </c>
      <c r="C177" s="7">
        <f t="shared" ref="C177:FX177" si="82">C176*C173</f>
        <v>0</v>
      </c>
      <c r="D177" s="7">
        <f t="shared" si="82"/>
        <v>413960</v>
      </c>
      <c r="E177" s="7">
        <f t="shared" si="82"/>
        <v>0</v>
      </c>
      <c r="F177" s="7">
        <f t="shared" si="82"/>
        <v>31440</v>
      </c>
      <c r="G177" s="7">
        <f t="shared" si="82"/>
        <v>0</v>
      </c>
      <c r="H177" s="7">
        <f t="shared" si="82"/>
        <v>0</v>
      </c>
      <c r="I177" s="7">
        <f t="shared" si="82"/>
        <v>62880</v>
      </c>
      <c r="J177" s="7">
        <f t="shared" si="82"/>
        <v>0</v>
      </c>
      <c r="K177" s="7">
        <f t="shared" si="82"/>
        <v>0</v>
      </c>
      <c r="L177" s="7">
        <f t="shared" si="82"/>
        <v>0</v>
      </c>
      <c r="M177" s="7">
        <f t="shared" si="82"/>
        <v>0</v>
      </c>
      <c r="N177" s="7">
        <f t="shared" si="82"/>
        <v>372040</v>
      </c>
      <c r="O177" s="7">
        <f t="shared" si="82"/>
        <v>83840</v>
      </c>
      <c r="P177" s="7">
        <f t="shared" si="82"/>
        <v>0</v>
      </c>
      <c r="Q177" s="7">
        <f t="shared" si="82"/>
        <v>99560</v>
      </c>
      <c r="R177" s="7">
        <f t="shared" si="82"/>
        <v>0</v>
      </c>
      <c r="S177" s="7">
        <f t="shared" si="82"/>
        <v>0</v>
      </c>
      <c r="T177" s="7">
        <f t="shared" si="82"/>
        <v>0</v>
      </c>
      <c r="U177" s="7">
        <f t="shared" si="82"/>
        <v>0</v>
      </c>
      <c r="V177" s="7">
        <f t="shared" si="82"/>
        <v>0</v>
      </c>
      <c r="W177" s="7">
        <f t="shared" si="82"/>
        <v>0</v>
      </c>
      <c r="X177" s="7">
        <f t="shared" si="82"/>
        <v>0</v>
      </c>
      <c r="Y177" s="7">
        <f t="shared" si="82"/>
        <v>0</v>
      </c>
      <c r="Z177" s="7">
        <f t="shared" si="82"/>
        <v>0</v>
      </c>
      <c r="AA177" s="7">
        <f t="shared" si="82"/>
        <v>508280</v>
      </c>
      <c r="AB177" s="7">
        <f t="shared" si="82"/>
        <v>20960</v>
      </c>
      <c r="AC177" s="7">
        <f t="shared" si="82"/>
        <v>0</v>
      </c>
      <c r="AD177" s="7">
        <f t="shared" si="82"/>
        <v>0</v>
      </c>
      <c r="AE177" s="7">
        <f t="shared" si="82"/>
        <v>0</v>
      </c>
      <c r="AF177" s="7">
        <f t="shared" si="82"/>
        <v>0</v>
      </c>
      <c r="AG177" s="7">
        <f t="shared" si="82"/>
        <v>0</v>
      </c>
      <c r="AH177" s="7">
        <f t="shared" si="82"/>
        <v>0</v>
      </c>
      <c r="AI177" s="7">
        <f t="shared" si="82"/>
        <v>0</v>
      </c>
      <c r="AJ177" s="7">
        <f t="shared" si="82"/>
        <v>0</v>
      </c>
      <c r="AK177" s="7">
        <f t="shared" si="82"/>
        <v>0</v>
      </c>
      <c r="AL177" s="7">
        <f t="shared" si="82"/>
        <v>0</v>
      </c>
      <c r="AM177" s="7">
        <f t="shared" si="82"/>
        <v>0</v>
      </c>
      <c r="AN177" s="7">
        <f t="shared" si="82"/>
        <v>0</v>
      </c>
      <c r="AO177" s="7">
        <f t="shared" si="82"/>
        <v>0</v>
      </c>
      <c r="AP177" s="7">
        <f t="shared" si="82"/>
        <v>151960</v>
      </c>
      <c r="AQ177" s="7">
        <f t="shared" si="82"/>
        <v>5240</v>
      </c>
      <c r="AR177" s="7">
        <f t="shared" si="82"/>
        <v>104800</v>
      </c>
      <c r="AS177" s="7">
        <f t="shared" si="82"/>
        <v>10480</v>
      </c>
      <c r="AT177" s="7">
        <f t="shared" si="82"/>
        <v>10480</v>
      </c>
      <c r="AU177" s="7">
        <f t="shared" si="82"/>
        <v>0</v>
      </c>
      <c r="AV177" s="7">
        <f t="shared" si="82"/>
        <v>0</v>
      </c>
      <c r="AW177" s="7">
        <f t="shared" si="82"/>
        <v>0</v>
      </c>
      <c r="AX177" s="7">
        <f t="shared" si="82"/>
        <v>0</v>
      </c>
      <c r="AY177" s="7">
        <f t="shared" si="82"/>
        <v>0</v>
      </c>
      <c r="AZ177" s="7">
        <f t="shared" si="82"/>
        <v>0</v>
      </c>
      <c r="BA177" s="7">
        <f t="shared" si="82"/>
        <v>0</v>
      </c>
      <c r="BB177" s="7">
        <f t="shared" si="82"/>
        <v>10480</v>
      </c>
      <c r="BC177" s="7">
        <f t="shared" si="82"/>
        <v>225320</v>
      </c>
      <c r="BD177" s="7">
        <f t="shared" si="82"/>
        <v>0</v>
      </c>
      <c r="BE177" s="7">
        <f t="shared" si="82"/>
        <v>0</v>
      </c>
      <c r="BF177" s="7">
        <f t="shared" si="82"/>
        <v>20960</v>
      </c>
      <c r="BG177" s="7">
        <f t="shared" si="82"/>
        <v>0</v>
      </c>
      <c r="BH177" s="7">
        <f t="shared" si="82"/>
        <v>0</v>
      </c>
      <c r="BI177" s="7">
        <f t="shared" si="82"/>
        <v>0</v>
      </c>
      <c r="BJ177" s="7">
        <f t="shared" si="82"/>
        <v>20960</v>
      </c>
      <c r="BK177" s="7">
        <f t="shared" si="82"/>
        <v>272480</v>
      </c>
      <c r="BL177" s="7">
        <f t="shared" si="82"/>
        <v>20960</v>
      </c>
      <c r="BM177" s="7">
        <f t="shared" si="82"/>
        <v>0</v>
      </c>
      <c r="BN177" s="7">
        <f t="shared" si="82"/>
        <v>157200</v>
      </c>
      <c r="BO177" s="7">
        <f t="shared" si="82"/>
        <v>0</v>
      </c>
      <c r="BP177" s="7">
        <f t="shared" si="82"/>
        <v>0</v>
      </c>
      <c r="BQ177" s="7">
        <f t="shared" si="82"/>
        <v>10480</v>
      </c>
      <c r="BR177" s="7">
        <f t="shared" si="82"/>
        <v>0</v>
      </c>
      <c r="BS177" s="7">
        <f t="shared" si="82"/>
        <v>0</v>
      </c>
      <c r="BT177" s="7">
        <f t="shared" si="82"/>
        <v>0</v>
      </c>
      <c r="BU177" s="7">
        <f t="shared" si="82"/>
        <v>0</v>
      </c>
      <c r="BV177" s="7">
        <f t="shared" si="82"/>
        <v>0</v>
      </c>
      <c r="BW177" s="7">
        <f t="shared" si="82"/>
        <v>0</v>
      </c>
      <c r="BX177" s="7">
        <f t="shared" si="82"/>
        <v>0</v>
      </c>
      <c r="BY177" s="7">
        <f t="shared" si="82"/>
        <v>31440</v>
      </c>
      <c r="BZ177" s="7">
        <f t="shared" si="82"/>
        <v>0</v>
      </c>
      <c r="CA177" s="7">
        <f t="shared" si="82"/>
        <v>0</v>
      </c>
      <c r="CB177" s="7">
        <f t="shared" si="82"/>
        <v>193880</v>
      </c>
      <c r="CC177" s="7">
        <f t="shared" si="82"/>
        <v>0</v>
      </c>
      <c r="CD177" s="7">
        <f t="shared" si="82"/>
        <v>0</v>
      </c>
      <c r="CE177" s="7">
        <f t="shared" si="82"/>
        <v>0</v>
      </c>
      <c r="CF177" s="7">
        <f t="shared" si="82"/>
        <v>0</v>
      </c>
      <c r="CG177" s="7">
        <f t="shared" si="82"/>
        <v>0</v>
      </c>
      <c r="CH177" s="7">
        <f t="shared" si="82"/>
        <v>0</v>
      </c>
      <c r="CI177" s="7">
        <f t="shared" si="82"/>
        <v>0</v>
      </c>
      <c r="CJ177" s="7">
        <f t="shared" si="82"/>
        <v>10480</v>
      </c>
      <c r="CK177" s="7">
        <f t="shared" si="82"/>
        <v>0</v>
      </c>
      <c r="CL177" s="7">
        <f t="shared" si="82"/>
        <v>0</v>
      </c>
      <c r="CM177" s="7">
        <f t="shared" si="82"/>
        <v>0</v>
      </c>
      <c r="CN177" s="7">
        <f t="shared" si="82"/>
        <v>319640</v>
      </c>
      <c r="CO177" s="7">
        <f t="shared" si="82"/>
        <v>31440</v>
      </c>
      <c r="CP177" s="7">
        <f t="shared" si="82"/>
        <v>20960</v>
      </c>
      <c r="CQ177" s="7">
        <f t="shared" si="82"/>
        <v>0</v>
      </c>
      <c r="CR177" s="7">
        <f t="shared" si="82"/>
        <v>0</v>
      </c>
      <c r="CS177" s="7">
        <f t="shared" si="82"/>
        <v>0</v>
      </c>
      <c r="CT177" s="7">
        <f t="shared" si="82"/>
        <v>0</v>
      </c>
      <c r="CU177" s="7">
        <f t="shared" si="82"/>
        <v>0</v>
      </c>
      <c r="CV177" s="7">
        <f t="shared" si="82"/>
        <v>0</v>
      </c>
      <c r="CW177" s="7">
        <f t="shared" si="82"/>
        <v>0</v>
      </c>
      <c r="CX177" s="7">
        <f t="shared" si="82"/>
        <v>0</v>
      </c>
      <c r="CY177" s="7">
        <f t="shared" si="82"/>
        <v>0</v>
      </c>
      <c r="CZ177" s="7">
        <f t="shared" si="82"/>
        <v>0</v>
      </c>
      <c r="DA177" s="7">
        <f t="shared" si="82"/>
        <v>0</v>
      </c>
      <c r="DB177" s="7">
        <f t="shared" si="82"/>
        <v>0</v>
      </c>
      <c r="DC177" s="7">
        <f t="shared" si="82"/>
        <v>0</v>
      </c>
      <c r="DD177" s="7">
        <f t="shared" si="82"/>
        <v>0</v>
      </c>
      <c r="DE177" s="7">
        <f t="shared" si="82"/>
        <v>0</v>
      </c>
      <c r="DF177" s="7">
        <f t="shared" si="82"/>
        <v>314400</v>
      </c>
      <c r="DG177" s="7">
        <f t="shared" si="82"/>
        <v>0</v>
      </c>
      <c r="DH177" s="7">
        <f t="shared" si="82"/>
        <v>0</v>
      </c>
      <c r="DI177" s="7">
        <f t="shared" si="82"/>
        <v>0</v>
      </c>
      <c r="DJ177" s="7">
        <f t="shared" si="82"/>
        <v>0</v>
      </c>
      <c r="DK177" s="7">
        <f t="shared" si="82"/>
        <v>0</v>
      </c>
      <c r="DL177" s="7">
        <f t="shared" si="82"/>
        <v>0</v>
      </c>
      <c r="DM177" s="7">
        <f t="shared" si="82"/>
        <v>0</v>
      </c>
      <c r="DN177" s="7">
        <f t="shared" si="82"/>
        <v>5240</v>
      </c>
      <c r="DO177" s="7">
        <f t="shared" si="82"/>
        <v>10480</v>
      </c>
      <c r="DP177" s="7">
        <f t="shared" si="82"/>
        <v>0</v>
      </c>
      <c r="DQ177" s="7">
        <f t="shared" si="82"/>
        <v>0</v>
      </c>
      <c r="DR177" s="7">
        <f t="shared" si="82"/>
        <v>0</v>
      </c>
      <c r="DS177" s="7">
        <f t="shared" si="82"/>
        <v>0</v>
      </c>
      <c r="DT177" s="7">
        <f t="shared" si="82"/>
        <v>0</v>
      </c>
      <c r="DU177" s="7">
        <f t="shared" si="82"/>
        <v>0</v>
      </c>
      <c r="DV177" s="7">
        <f t="shared" si="82"/>
        <v>0</v>
      </c>
      <c r="DW177" s="7">
        <f t="shared" si="82"/>
        <v>0</v>
      </c>
      <c r="DX177" s="7">
        <f t="shared" si="82"/>
        <v>0</v>
      </c>
      <c r="DY177" s="7">
        <f t="shared" si="82"/>
        <v>0</v>
      </c>
      <c r="DZ177" s="7">
        <f t="shared" si="82"/>
        <v>0</v>
      </c>
      <c r="EA177" s="7">
        <f t="shared" si="82"/>
        <v>0</v>
      </c>
      <c r="EB177" s="7">
        <f t="shared" si="82"/>
        <v>0</v>
      </c>
      <c r="EC177" s="7">
        <f t="shared" si="82"/>
        <v>0</v>
      </c>
      <c r="ED177" s="7">
        <f t="shared" si="82"/>
        <v>0</v>
      </c>
      <c r="EE177" s="7">
        <f t="shared" si="82"/>
        <v>0</v>
      </c>
      <c r="EF177" s="7">
        <f t="shared" si="82"/>
        <v>0</v>
      </c>
      <c r="EG177" s="7">
        <f t="shared" si="82"/>
        <v>0</v>
      </c>
      <c r="EH177" s="7">
        <f t="shared" si="82"/>
        <v>0</v>
      </c>
      <c r="EI177" s="7">
        <f t="shared" si="82"/>
        <v>10480</v>
      </c>
      <c r="EJ177" s="7">
        <f t="shared" si="82"/>
        <v>31440</v>
      </c>
      <c r="EK177" s="7">
        <f t="shared" si="82"/>
        <v>0</v>
      </c>
      <c r="EL177" s="7">
        <f t="shared" si="82"/>
        <v>0</v>
      </c>
      <c r="EM177" s="7">
        <f t="shared" si="82"/>
        <v>0</v>
      </c>
      <c r="EN177" s="7">
        <f t="shared" si="82"/>
        <v>0</v>
      </c>
      <c r="EO177" s="7">
        <f t="shared" si="82"/>
        <v>0</v>
      </c>
      <c r="EP177" s="7">
        <f t="shared" si="82"/>
        <v>0</v>
      </c>
      <c r="EQ177" s="7">
        <f t="shared" si="82"/>
        <v>0</v>
      </c>
      <c r="ER177" s="7">
        <f t="shared" si="82"/>
        <v>0</v>
      </c>
      <c r="ES177" s="7">
        <f t="shared" si="82"/>
        <v>0</v>
      </c>
      <c r="ET177" s="7">
        <f t="shared" si="82"/>
        <v>0</v>
      </c>
      <c r="EU177" s="7">
        <f t="shared" si="82"/>
        <v>0</v>
      </c>
      <c r="EV177" s="7">
        <f t="shared" si="82"/>
        <v>0</v>
      </c>
      <c r="EW177" s="7">
        <f t="shared" si="82"/>
        <v>0</v>
      </c>
      <c r="EX177" s="7">
        <f t="shared" si="82"/>
        <v>0</v>
      </c>
      <c r="EY177" s="7">
        <f t="shared" si="82"/>
        <v>0</v>
      </c>
      <c r="EZ177" s="7">
        <f t="shared" si="82"/>
        <v>0</v>
      </c>
      <c r="FA177" s="7">
        <f t="shared" si="82"/>
        <v>0</v>
      </c>
      <c r="FB177" s="7">
        <f t="shared" si="82"/>
        <v>0</v>
      </c>
      <c r="FC177" s="7">
        <f t="shared" si="82"/>
        <v>0</v>
      </c>
      <c r="FD177" s="7">
        <f t="shared" si="82"/>
        <v>0</v>
      </c>
      <c r="FE177" s="7">
        <f t="shared" si="82"/>
        <v>0</v>
      </c>
      <c r="FF177" s="7">
        <f t="shared" si="82"/>
        <v>0</v>
      </c>
      <c r="FG177" s="7">
        <f t="shared" si="82"/>
        <v>0</v>
      </c>
      <c r="FH177" s="7">
        <f t="shared" si="82"/>
        <v>0</v>
      </c>
      <c r="FI177" s="7">
        <f t="shared" si="82"/>
        <v>0</v>
      </c>
      <c r="FJ177" s="7">
        <f t="shared" si="82"/>
        <v>0</v>
      </c>
      <c r="FK177" s="7">
        <f t="shared" si="82"/>
        <v>0</v>
      </c>
      <c r="FL177" s="7">
        <f t="shared" si="82"/>
        <v>0</v>
      </c>
      <c r="FM177" s="7">
        <f t="shared" si="82"/>
        <v>0</v>
      </c>
      <c r="FN177" s="7">
        <f t="shared" si="82"/>
        <v>136240</v>
      </c>
      <c r="FO177" s="7">
        <f t="shared" si="82"/>
        <v>20960</v>
      </c>
      <c r="FP177" s="7">
        <f t="shared" si="82"/>
        <v>0</v>
      </c>
      <c r="FQ177" s="7">
        <f t="shared" si="82"/>
        <v>0</v>
      </c>
      <c r="FR177" s="7">
        <f t="shared" si="82"/>
        <v>0</v>
      </c>
      <c r="FS177" s="7">
        <f t="shared" si="82"/>
        <v>0</v>
      </c>
      <c r="FT177" s="7" t="e">
        <f t="shared" ca="1" si="82"/>
        <v>#NAME?</v>
      </c>
      <c r="FU177" s="7">
        <f t="shared" si="82"/>
        <v>0</v>
      </c>
      <c r="FV177" s="7">
        <f t="shared" si="82"/>
        <v>0</v>
      </c>
      <c r="FW177" s="7">
        <f t="shared" si="82"/>
        <v>0</v>
      </c>
      <c r="FX177" s="7">
        <f t="shared" si="82"/>
        <v>0</v>
      </c>
      <c r="FY177" s="7"/>
      <c r="FZ177" s="7" t="e">
        <f t="shared" ca="1" si="81"/>
        <v>#NAME?</v>
      </c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</row>
    <row r="178" spans="1:207" ht="15.5" x14ac:dyDescent="0.35">
      <c r="A178" s="12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45"/>
      <c r="GB178" s="7"/>
      <c r="GC178" s="7"/>
      <c r="GD178" s="7"/>
      <c r="GE178" s="7"/>
      <c r="GF178" s="7"/>
      <c r="GG178" s="7"/>
      <c r="GH178" s="7"/>
      <c r="GI178" s="7"/>
      <c r="GJ178" s="7"/>
      <c r="GK178" s="7"/>
    </row>
    <row r="179" spans="1:207" ht="15.5" x14ac:dyDescent="0.35">
      <c r="A179" s="12" t="s">
        <v>915</v>
      </c>
      <c r="B179" s="7" t="s">
        <v>916</v>
      </c>
      <c r="C179" s="25">
        <f t="shared" ref="C179:FX179" si="83">C15+C35</f>
        <v>4</v>
      </c>
      <c r="D179" s="25">
        <f t="shared" si="83"/>
        <v>81</v>
      </c>
      <c r="E179" s="25">
        <f t="shared" si="83"/>
        <v>11</v>
      </c>
      <c r="F179" s="25">
        <f t="shared" si="83"/>
        <v>11</v>
      </c>
      <c r="G179" s="25">
        <f t="shared" si="83"/>
        <v>1</v>
      </c>
      <c r="H179" s="25">
        <f t="shared" si="83"/>
        <v>1</v>
      </c>
      <c r="I179" s="25">
        <f t="shared" si="83"/>
        <v>9</v>
      </c>
      <c r="J179" s="25">
        <f t="shared" si="83"/>
        <v>0</v>
      </c>
      <c r="K179" s="25">
        <f t="shared" si="83"/>
        <v>0</v>
      </c>
      <c r="L179" s="25">
        <f t="shared" si="83"/>
        <v>23</v>
      </c>
      <c r="M179" s="25">
        <f t="shared" si="83"/>
        <v>14</v>
      </c>
      <c r="N179" s="25">
        <f t="shared" si="83"/>
        <v>159.5</v>
      </c>
      <c r="O179" s="25">
        <f t="shared" si="83"/>
        <v>98</v>
      </c>
      <c r="P179" s="25">
        <f t="shared" si="83"/>
        <v>0</v>
      </c>
      <c r="Q179" s="25">
        <f t="shared" si="83"/>
        <v>209</v>
      </c>
      <c r="R179" s="25">
        <f t="shared" si="83"/>
        <v>1</v>
      </c>
      <c r="S179" s="25">
        <f t="shared" si="83"/>
        <v>0</v>
      </c>
      <c r="T179" s="25">
        <f t="shared" si="83"/>
        <v>0</v>
      </c>
      <c r="U179" s="25">
        <f t="shared" si="83"/>
        <v>0</v>
      </c>
      <c r="V179" s="25">
        <f t="shared" si="83"/>
        <v>0</v>
      </c>
      <c r="W179" s="25">
        <f t="shared" si="83"/>
        <v>1</v>
      </c>
      <c r="X179" s="25">
        <f t="shared" si="83"/>
        <v>0</v>
      </c>
      <c r="Y179" s="25">
        <f t="shared" si="83"/>
        <v>0</v>
      </c>
      <c r="Z179" s="25">
        <f t="shared" si="83"/>
        <v>0</v>
      </c>
      <c r="AA179" s="25">
        <f t="shared" si="83"/>
        <v>37</v>
      </c>
      <c r="AB179" s="25">
        <f t="shared" si="83"/>
        <v>46.5</v>
      </c>
      <c r="AC179" s="25">
        <f t="shared" si="83"/>
        <v>0</v>
      </c>
      <c r="AD179" s="25">
        <f t="shared" si="83"/>
        <v>6.5</v>
      </c>
      <c r="AE179" s="25">
        <f t="shared" si="83"/>
        <v>0</v>
      </c>
      <c r="AF179" s="25">
        <f t="shared" si="83"/>
        <v>0</v>
      </c>
      <c r="AG179" s="25">
        <f t="shared" si="83"/>
        <v>0</v>
      </c>
      <c r="AH179" s="25">
        <f t="shared" si="83"/>
        <v>0</v>
      </c>
      <c r="AI179" s="25">
        <f t="shared" si="83"/>
        <v>0</v>
      </c>
      <c r="AJ179" s="25">
        <f t="shared" si="83"/>
        <v>0</v>
      </c>
      <c r="AK179" s="25">
        <f t="shared" si="83"/>
        <v>0</v>
      </c>
      <c r="AL179" s="25">
        <f t="shared" si="83"/>
        <v>0</v>
      </c>
      <c r="AM179" s="25">
        <f t="shared" si="83"/>
        <v>0</v>
      </c>
      <c r="AN179" s="25">
        <f t="shared" si="83"/>
        <v>1</v>
      </c>
      <c r="AO179" s="25">
        <f t="shared" si="83"/>
        <v>0</v>
      </c>
      <c r="AP179" s="25">
        <f t="shared" si="83"/>
        <v>191</v>
      </c>
      <c r="AQ179" s="25">
        <f t="shared" si="83"/>
        <v>0</v>
      </c>
      <c r="AR179" s="25">
        <f t="shared" si="83"/>
        <v>155</v>
      </c>
      <c r="AS179" s="25">
        <f t="shared" si="83"/>
        <v>16</v>
      </c>
      <c r="AT179" s="25">
        <f t="shared" si="83"/>
        <v>3</v>
      </c>
      <c r="AU179" s="25">
        <f t="shared" si="83"/>
        <v>0</v>
      </c>
      <c r="AV179" s="25">
        <f t="shared" si="83"/>
        <v>0</v>
      </c>
      <c r="AW179" s="25">
        <f t="shared" si="83"/>
        <v>2</v>
      </c>
      <c r="AX179" s="25">
        <f t="shared" si="83"/>
        <v>0</v>
      </c>
      <c r="AY179" s="25">
        <f t="shared" si="83"/>
        <v>0</v>
      </c>
      <c r="AZ179" s="25">
        <f t="shared" si="83"/>
        <v>1</v>
      </c>
      <c r="BA179" s="25">
        <f t="shared" si="83"/>
        <v>0.5</v>
      </c>
      <c r="BB179" s="25">
        <f t="shared" si="83"/>
        <v>9</v>
      </c>
      <c r="BC179" s="25">
        <f t="shared" si="83"/>
        <v>30</v>
      </c>
      <c r="BD179" s="25">
        <f t="shared" si="83"/>
        <v>4</v>
      </c>
      <c r="BE179" s="25">
        <f t="shared" si="83"/>
        <v>0</v>
      </c>
      <c r="BF179" s="25">
        <f t="shared" si="83"/>
        <v>31.5</v>
      </c>
      <c r="BG179" s="25">
        <f t="shared" si="83"/>
        <v>0</v>
      </c>
      <c r="BH179" s="25">
        <f t="shared" si="83"/>
        <v>12</v>
      </c>
      <c r="BI179" s="25">
        <f t="shared" si="83"/>
        <v>0</v>
      </c>
      <c r="BJ179" s="25">
        <f t="shared" si="83"/>
        <v>15.5</v>
      </c>
      <c r="BK179" s="25">
        <f t="shared" si="83"/>
        <v>83</v>
      </c>
      <c r="BL179" s="25">
        <f t="shared" si="83"/>
        <v>2.5</v>
      </c>
      <c r="BM179" s="25">
        <f t="shared" si="83"/>
        <v>18.5</v>
      </c>
      <c r="BN179" s="25">
        <f t="shared" si="83"/>
        <v>33.5</v>
      </c>
      <c r="BO179" s="25">
        <f t="shared" si="83"/>
        <v>3</v>
      </c>
      <c r="BP179" s="25">
        <f t="shared" si="83"/>
        <v>0</v>
      </c>
      <c r="BQ179" s="25">
        <f t="shared" si="83"/>
        <v>2</v>
      </c>
      <c r="BR179" s="25">
        <f t="shared" si="83"/>
        <v>0</v>
      </c>
      <c r="BS179" s="25">
        <f t="shared" si="83"/>
        <v>0</v>
      </c>
      <c r="BT179" s="25">
        <f t="shared" si="83"/>
        <v>0</v>
      </c>
      <c r="BU179" s="25">
        <f t="shared" si="83"/>
        <v>0</v>
      </c>
      <c r="BV179" s="25">
        <f t="shared" si="83"/>
        <v>0</v>
      </c>
      <c r="BW179" s="25">
        <f t="shared" si="83"/>
        <v>0</v>
      </c>
      <c r="BX179" s="25">
        <f t="shared" si="83"/>
        <v>0</v>
      </c>
      <c r="BY179" s="25">
        <f t="shared" si="83"/>
        <v>0</v>
      </c>
      <c r="BZ179" s="25">
        <f t="shared" si="83"/>
        <v>0</v>
      </c>
      <c r="CA179" s="25">
        <f t="shared" si="83"/>
        <v>0</v>
      </c>
      <c r="CB179" s="25">
        <f t="shared" si="83"/>
        <v>235</v>
      </c>
      <c r="CC179" s="25">
        <f t="shared" si="83"/>
        <v>0</v>
      </c>
      <c r="CD179" s="25">
        <f t="shared" si="83"/>
        <v>0</v>
      </c>
      <c r="CE179" s="25">
        <f t="shared" si="83"/>
        <v>0</v>
      </c>
      <c r="CF179" s="25">
        <f t="shared" si="83"/>
        <v>0</v>
      </c>
      <c r="CG179" s="25">
        <f t="shared" si="83"/>
        <v>0</v>
      </c>
      <c r="CH179" s="25">
        <f t="shared" si="83"/>
        <v>0</v>
      </c>
      <c r="CI179" s="25">
        <f t="shared" si="83"/>
        <v>0</v>
      </c>
      <c r="CJ179" s="25">
        <f t="shared" si="83"/>
        <v>0</v>
      </c>
      <c r="CK179" s="25">
        <f t="shared" si="83"/>
        <v>0</v>
      </c>
      <c r="CL179" s="25">
        <f t="shared" si="83"/>
        <v>4</v>
      </c>
      <c r="CM179" s="25">
        <f t="shared" si="83"/>
        <v>0</v>
      </c>
      <c r="CN179" s="25">
        <f t="shared" si="83"/>
        <v>232</v>
      </c>
      <c r="CO179" s="25">
        <f t="shared" si="83"/>
        <v>69.5</v>
      </c>
      <c r="CP179" s="25">
        <f t="shared" si="83"/>
        <v>3</v>
      </c>
      <c r="CQ179" s="25">
        <f t="shared" si="83"/>
        <v>0</v>
      </c>
      <c r="CR179" s="25">
        <f t="shared" si="83"/>
        <v>0</v>
      </c>
      <c r="CS179" s="25">
        <f t="shared" si="83"/>
        <v>0</v>
      </c>
      <c r="CT179" s="25">
        <f t="shared" si="83"/>
        <v>0</v>
      </c>
      <c r="CU179" s="25">
        <f t="shared" si="83"/>
        <v>2</v>
      </c>
      <c r="CV179" s="25">
        <f t="shared" si="83"/>
        <v>0</v>
      </c>
      <c r="CW179" s="25">
        <f t="shared" si="83"/>
        <v>0</v>
      </c>
      <c r="CX179" s="25">
        <f t="shared" si="83"/>
        <v>0</v>
      </c>
      <c r="CY179" s="25">
        <f t="shared" si="83"/>
        <v>0</v>
      </c>
      <c r="CZ179" s="25">
        <f t="shared" si="83"/>
        <v>0</v>
      </c>
      <c r="DA179" s="25">
        <f t="shared" si="83"/>
        <v>0</v>
      </c>
      <c r="DB179" s="25">
        <f t="shared" si="83"/>
        <v>0</v>
      </c>
      <c r="DC179" s="25">
        <f t="shared" si="83"/>
        <v>0</v>
      </c>
      <c r="DD179" s="25">
        <f t="shared" si="83"/>
        <v>0</v>
      </c>
      <c r="DE179" s="25">
        <f t="shared" si="83"/>
        <v>0</v>
      </c>
      <c r="DF179" s="25">
        <f t="shared" si="83"/>
        <v>18.5</v>
      </c>
      <c r="DG179" s="25">
        <f t="shared" si="83"/>
        <v>0</v>
      </c>
      <c r="DH179" s="25">
        <f t="shared" si="83"/>
        <v>0</v>
      </c>
      <c r="DI179" s="25">
        <f t="shared" si="83"/>
        <v>0</v>
      </c>
      <c r="DJ179" s="25">
        <f t="shared" si="83"/>
        <v>0</v>
      </c>
      <c r="DK179" s="25">
        <f t="shared" si="83"/>
        <v>0</v>
      </c>
      <c r="DL179" s="25">
        <f t="shared" si="83"/>
        <v>0</v>
      </c>
      <c r="DM179" s="25">
        <f t="shared" si="83"/>
        <v>0</v>
      </c>
      <c r="DN179" s="25">
        <f t="shared" si="83"/>
        <v>1</v>
      </c>
      <c r="DO179" s="25">
        <f t="shared" si="83"/>
        <v>0</v>
      </c>
      <c r="DP179" s="25">
        <f t="shared" si="83"/>
        <v>0</v>
      </c>
      <c r="DQ179" s="25">
        <f t="shared" si="83"/>
        <v>1</v>
      </c>
      <c r="DR179" s="25">
        <f t="shared" si="83"/>
        <v>0</v>
      </c>
      <c r="DS179" s="25">
        <f t="shared" si="83"/>
        <v>0</v>
      </c>
      <c r="DT179" s="25">
        <f t="shared" si="83"/>
        <v>0</v>
      </c>
      <c r="DU179" s="25">
        <f t="shared" si="83"/>
        <v>0</v>
      </c>
      <c r="DV179" s="25">
        <f t="shared" si="83"/>
        <v>0</v>
      </c>
      <c r="DW179" s="25">
        <f t="shared" si="83"/>
        <v>0</v>
      </c>
      <c r="DX179" s="25">
        <f t="shared" si="83"/>
        <v>0</v>
      </c>
      <c r="DY179" s="25">
        <f t="shared" si="83"/>
        <v>0</v>
      </c>
      <c r="DZ179" s="25">
        <f t="shared" si="83"/>
        <v>1</v>
      </c>
      <c r="EA179" s="25">
        <f t="shared" si="83"/>
        <v>0</v>
      </c>
      <c r="EB179" s="25">
        <f t="shared" si="83"/>
        <v>0</v>
      </c>
      <c r="EC179" s="25">
        <f t="shared" si="83"/>
        <v>0</v>
      </c>
      <c r="ED179" s="25">
        <f t="shared" si="83"/>
        <v>0</v>
      </c>
      <c r="EE179" s="25">
        <f t="shared" si="83"/>
        <v>0</v>
      </c>
      <c r="EF179" s="25">
        <f t="shared" si="83"/>
        <v>2</v>
      </c>
      <c r="EG179" s="25">
        <f t="shared" si="83"/>
        <v>0</v>
      </c>
      <c r="EH179" s="25">
        <f t="shared" si="83"/>
        <v>0</v>
      </c>
      <c r="EI179" s="25">
        <f t="shared" si="83"/>
        <v>24.5</v>
      </c>
      <c r="EJ179" s="25">
        <f t="shared" si="83"/>
        <v>26</v>
      </c>
      <c r="EK179" s="25">
        <f t="shared" si="83"/>
        <v>0</v>
      </c>
      <c r="EL179" s="25">
        <f t="shared" si="83"/>
        <v>0</v>
      </c>
      <c r="EM179" s="25">
        <f t="shared" si="83"/>
        <v>0</v>
      </c>
      <c r="EN179" s="25">
        <f t="shared" si="83"/>
        <v>0</v>
      </c>
      <c r="EO179" s="25">
        <f t="shared" si="83"/>
        <v>0</v>
      </c>
      <c r="EP179" s="25">
        <f t="shared" si="83"/>
        <v>0</v>
      </c>
      <c r="EQ179" s="25">
        <f t="shared" si="83"/>
        <v>2</v>
      </c>
      <c r="ER179" s="25">
        <f t="shared" si="83"/>
        <v>2</v>
      </c>
      <c r="ES179" s="25">
        <f t="shared" si="83"/>
        <v>0</v>
      </c>
      <c r="ET179" s="25">
        <f t="shared" si="83"/>
        <v>0</v>
      </c>
      <c r="EU179" s="25">
        <f t="shared" si="83"/>
        <v>0</v>
      </c>
      <c r="EV179" s="25">
        <f t="shared" si="83"/>
        <v>0</v>
      </c>
      <c r="EW179" s="25">
        <f t="shared" si="83"/>
        <v>0</v>
      </c>
      <c r="EX179" s="25">
        <f t="shared" si="83"/>
        <v>0</v>
      </c>
      <c r="EY179" s="25">
        <f t="shared" si="83"/>
        <v>0</v>
      </c>
      <c r="EZ179" s="25">
        <f t="shared" si="83"/>
        <v>0</v>
      </c>
      <c r="FA179" s="25">
        <f t="shared" si="83"/>
        <v>12</v>
      </c>
      <c r="FB179" s="25">
        <f t="shared" si="83"/>
        <v>0</v>
      </c>
      <c r="FC179" s="25">
        <f t="shared" si="83"/>
        <v>4</v>
      </c>
      <c r="FD179" s="25">
        <f t="shared" si="83"/>
        <v>0</v>
      </c>
      <c r="FE179" s="25">
        <f t="shared" si="83"/>
        <v>0</v>
      </c>
      <c r="FF179" s="25">
        <f t="shared" si="83"/>
        <v>0</v>
      </c>
      <c r="FG179" s="25">
        <f t="shared" si="83"/>
        <v>0</v>
      </c>
      <c r="FH179" s="25">
        <f t="shared" si="83"/>
        <v>0</v>
      </c>
      <c r="FI179" s="25">
        <f t="shared" si="83"/>
        <v>0</v>
      </c>
      <c r="FJ179" s="25">
        <f t="shared" si="83"/>
        <v>0</v>
      </c>
      <c r="FK179" s="25">
        <f t="shared" si="83"/>
        <v>0</v>
      </c>
      <c r="FL179" s="25">
        <f t="shared" si="83"/>
        <v>0</v>
      </c>
      <c r="FM179" s="25">
        <f t="shared" si="83"/>
        <v>0</v>
      </c>
      <c r="FN179" s="25">
        <f t="shared" si="83"/>
        <v>15.5</v>
      </c>
      <c r="FO179" s="25">
        <f t="shared" si="83"/>
        <v>0</v>
      </c>
      <c r="FP179" s="25">
        <f t="shared" si="83"/>
        <v>0</v>
      </c>
      <c r="FQ179" s="25">
        <f t="shared" si="83"/>
        <v>0</v>
      </c>
      <c r="FR179" s="25">
        <f t="shared" si="83"/>
        <v>0</v>
      </c>
      <c r="FS179" s="25">
        <f t="shared" si="83"/>
        <v>0</v>
      </c>
      <c r="FT179" s="25" t="e">
        <f t="shared" ca="1" si="83"/>
        <v>#NAME?</v>
      </c>
      <c r="FU179" s="25">
        <f t="shared" si="83"/>
        <v>0</v>
      </c>
      <c r="FV179" s="25">
        <f t="shared" si="83"/>
        <v>1</v>
      </c>
      <c r="FW179" s="25">
        <f t="shared" si="83"/>
        <v>2</v>
      </c>
      <c r="FX179" s="25">
        <f t="shared" si="83"/>
        <v>0</v>
      </c>
      <c r="FY179" s="7"/>
      <c r="FZ179" s="7" t="e">
        <f t="shared" ref="FZ179:FZ180" ca="1" si="84">SUM(C179:FX179)</f>
        <v>#NAME?</v>
      </c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</row>
    <row r="180" spans="1:207" ht="15.5" x14ac:dyDescent="0.35">
      <c r="A180" s="12" t="s">
        <v>917</v>
      </c>
      <c r="B180" s="7" t="s">
        <v>1158</v>
      </c>
      <c r="C180" s="7">
        <f t="shared" ref="C180:FX180" si="85">C179*9588</f>
        <v>38352</v>
      </c>
      <c r="D180" s="7">
        <f t="shared" si="85"/>
        <v>776628</v>
      </c>
      <c r="E180" s="7">
        <f t="shared" si="85"/>
        <v>105468</v>
      </c>
      <c r="F180" s="7">
        <f t="shared" si="85"/>
        <v>105468</v>
      </c>
      <c r="G180" s="7">
        <f t="shared" si="85"/>
        <v>9588</v>
      </c>
      <c r="H180" s="7">
        <f t="shared" si="85"/>
        <v>9588</v>
      </c>
      <c r="I180" s="7">
        <f t="shared" si="85"/>
        <v>86292</v>
      </c>
      <c r="J180" s="7">
        <f t="shared" si="85"/>
        <v>0</v>
      </c>
      <c r="K180" s="7">
        <f t="shared" si="85"/>
        <v>0</v>
      </c>
      <c r="L180" s="7">
        <f t="shared" si="85"/>
        <v>220524</v>
      </c>
      <c r="M180" s="7">
        <f t="shared" si="85"/>
        <v>134232</v>
      </c>
      <c r="N180" s="7">
        <f t="shared" si="85"/>
        <v>1529286</v>
      </c>
      <c r="O180" s="7">
        <f t="shared" si="85"/>
        <v>939624</v>
      </c>
      <c r="P180" s="7">
        <f t="shared" si="85"/>
        <v>0</v>
      </c>
      <c r="Q180" s="7">
        <f t="shared" si="85"/>
        <v>2003892</v>
      </c>
      <c r="R180" s="7">
        <f t="shared" si="85"/>
        <v>9588</v>
      </c>
      <c r="S180" s="7">
        <f t="shared" si="85"/>
        <v>0</v>
      </c>
      <c r="T180" s="7">
        <f t="shared" si="85"/>
        <v>0</v>
      </c>
      <c r="U180" s="7">
        <f t="shared" si="85"/>
        <v>0</v>
      </c>
      <c r="V180" s="7">
        <f t="shared" si="85"/>
        <v>0</v>
      </c>
      <c r="W180" s="7">
        <f t="shared" si="85"/>
        <v>9588</v>
      </c>
      <c r="X180" s="7">
        <f t="shared" si="85"/>
        <v>0</v>
      </c>
      <c r="Y180" s="7">
        <f t="shared" si="85"/>
        <v>0</v>
      </c>
      <c r="Z180" s="7">
        <f t="shared" si="85"/>
        <v>0</v>
      </c>
      <c r="AA180" s="7">
        <f t="shared" si="85"/>
        <v>354756</v>
      </c>
      <c r="AB180" s="7">
        <f t="shared" si="85"/>
        <v>445842</v>
      </c>
      <c r="AC180" s="7">
        <f t="shared" si="85"/>
        <v>0</v>
      </c>
      <c r="AD180" s="7">
        <f t="shared" si="85"/>
        <v>62322</v>
      </c>
      <c r="AE180" s="7">
        <f t="shared" si="85"/>
        <v>0</v>
      </c>
      <c r="AF180" s="7">
        <f t="shared" si="85"/>
        <v>0</v>
      </c>
      <c r="AG180" s="7">
        <f t="shared" si="85"/>
        <v>0</v>
      </c>
      <c r="AH180" s="7">
        <f t="shared" si="85"/>
        <v>0</v>
      </c>
      <c r="AI180" s="7">
        <f t="shared" si="85"/>
        <v>0</v>
      </c>
      <c r="AJ180" s="7">
        <f t="shared" si="85"/>
        <v>0</v>
      </c>
      <c r="AK180" s="7">
        <f t="shared" si="85"/>
        <v>0</v>
      </c>
      <c r="AL180" s="7">
        <f t="shared" si="85"/>
        <v>0</v>
      </c>
      <c r="AM180" s="7">
        <f t="shared" si="85"/>
        <v>0</v>
      </c>
      <c r="AN180" s="7">
        <f t="shared" si="85"/>
        <v>9588</v>
      </c>
      <c r="AO180" s="7">
        <f t="shared" si="85"/>
        <v>0</v>
      </c>
      <c r="AP180" s="7">
        <f t="shared" si="85"/>
        <v>1831308</v>
      </c>
      <c r="AQ180" s="7">
        <f t="shared" si="85"/>
        <v>0</v>
      </c>
      <c r="AR180" s="7">
        <f t="shared" si="85"/>
        <v>1486140</v>
      </c>
      <c r="AS180" s="7">
        <f t="shared" si="85"/>
        <v>153408</v>
      </c>
      <c r="AT180" s="7">
        <f t="shared" si="85"/>
        <v>28764</v>
      </c>
      <c r="AU180" s="7">
        <f t="shared" si="85"/>
        <v>0</v>
      </c>
      <c r="AV180" s="7">
        <f t="shared" si="85"/>
        <v>0</v>
      </c>
      <c r="AW180" s="7">
        <f t="shared" si="85"/>
        <v>19176</v>
      </c>
      <c r="AX180" s="7">
        <f t="shared" si="85"/>
        <v>0</v>
      </c>
      <c r="AY180" s="7">
        <f t="shared" si="85"/>
        <v>0</v>
      </c>
      <c r="AZ180" s="7">
        <f t="shared" si="85"/>
        <v>9588</v>
      </c>
      <c r="BA180" s="7">
        <f t="shared" si="85"/>
        <v>4794</v>
      </c>
      <c r="BB180" s="7">
        <f t="shared" si="85"/>
        <v>86292</v>
      </c>
      <c r="BC180" s="7">
        <f t="shared" si="85"/>
        <v>287640</v>
      </c>
      <c r="BD180" s="7">
        <f t="shared" si="85"/>
        <v>38352</v>
      </c>
      <c r="BE180" s="7">
        <f t="shared" si="85"/>
        <v>0</v>
      </c>
      <c r="BF180" s="7">
        <f t="shared" si="85"/>
        <v>302022</v>
      </c>
      <c r="BG180" s="7">
        <f t="shared" si="85"/>
        <v>0</v>
      </c>
      <c r="BH180" s="7">
        <f t="shared" si="85"/>
        <v>115056</v>
      </c>
      <c r="BI180" s="7">
        <f t="shared" si="85"/>
        <v>0</v>
      </c>
      <c r="BJ180" s="7">
        <f t="shared" si="85"/>
        <v>148614</v>
      </c>
      <c r="BK180" s="7">
        <f t="shared" si="85"/>
        <v>795804</v>
      </c>
      <c r="BL180" s="7">
        <f t="shared" si="85"/>
        <v>23970</v>
      </c>
      <c r="BM180" s="7">
        <f t="shared" si="85"/>
        <v>177378</v>
      </c>
      <c r="BN180" s="7">
        <f t="shared" si="85"/>
        <v>321198</v>
      </c>
      <c r="BO180" s="7">
        <f t="shared" si="85"/>
        <v>28764</v>
      </c>
      <c r="BP180" s="7">
        <f t="shared" si="85"/>
        <v>0</v>
      </c>
      <c r="BQ180" s="7">
        <f t="shared" si="85"/>
        <v>19176</v>
      </c>
      <c r="BR180" s="7">
        <f t="shared" si="85"/>
        <v>0</v>
      </c>
      <c r="BS180" s="7">
        <f t="shared" si="85"/>
        <v>0</v>
      </c>
      <c r="BT180" s="7">
        <f t="shared" si="85"/>
        <v>0</v>
      </c>
      <c r="BU180" s="7">
        <f t="shared" si="85"/>
        <v>0</v>
      </c>
      <c r="BV180" s="7">
        <f t="shared" si="85"/>
        <v>0</v>
      </c>
      <c r="BW180" s="7">
        <f t="shared" si="85"/>
        <v>0</v>
      </c>
      <c r="BX180" s="7">
        <f t="shared" si="85"/>
        <v>0</v>
      </c>
      <c r="BY180" s="7">
        <f t="shared" si="85"/>
        <v>0</v>
      </c>
      <c r="BZ180" s="7">
        <f t="shared" si="85"/>
        <v>0</v>
      </c>
      <c r="CA180" s="7">
        <f t="shared" si="85"/>
        <v>0</v>
      </c>
      <c r="CB180" s="7">
        <f t="shared" si="85"/>
        <v>2253180</v>
      </c>
      <c r="CC180" s="7">
        <f t="shared" si="85"/>
        <v>0</v>
      </c>
      <c r="CD180" s="7">
        <f t="shared" si="85"/>
        <v>0</v>
      </c>
      <c r="CE180" s="7">
        <f t="shared" si="85"/>
        <v>0</v>
      </c>
      <c r="CF180" s="7">
        <f t="shared" si="85"/>
        <v>0</v>
      </c>
      <c r="CG180" s="7">
        <f t="shared" si="85"/>
        <v>0</v>
      </c>
      <c r="CH180" s="7">
        <f t="shared" si="85"/>
        <v>0</v>
      </c>
      <c r="CI180" s="7">
        <f t="shared" si="85"/>
        <v>0</v>
      </c>
      <c r="CJ180" s="7">
        <f t="shared" si="85"/>
        <v>0</v>
      </c>
      <c r="CK180" s="7">
        <f t="shared" si="85"/>
        <v>0</v>
      </c>
      <c r="CL180" s="7">
        <f t="shared" si="85"/>
        <v>38352</v>
      </c>
      <c r="CM180" s="7">
        <f t="shared" si="85"/>
        <v>0</v>
      </c>
      <c r="CN180" s="7">
        <f t="shared" si="85"/>
        <v>2224416</v>
      </c>
      <c r="CO180" s="7">
        <f t="shared" si="85"/>
        <v>666366</v>
      </c>
      <c r="CP180" s="7">
        <f t="shared" si="85"/>
        <v>28764</v>
      </c>
      <c r="CQ180" s="7">
        <f t="shared" si="85"/>
        <v>0</v>
      </c>
      <c r="CR180" s="7">
        <f t="shared" si="85"/>
        <v>0</v>
      </c>
      <c r="CS180" s="7">
        <f t="shared" si="85"/>
        <v>0</v>
      </c>
      <c r="CT180" s="7">
        <f t="shared" si="85"/>
        <v>0</v>
      </c>
      <c r="CU180" s="7">
        <f t="shared" si="85"/>
        <v>19176</v>
      </c>
      <c r="CV180" s="7">
        <f t="shared" si="85"/>
        <v>0</v>
      </c>
      <c r="CW180" s="7">
        <f t="shared" si="85"/>
        <v>0</v>
      </c>
      <c r="CX180" s="7">
        <f t="shared" si="85"/>
        <v>0</v>
      </c>
      <c r="CY180" s="7">
        <f t="shared" si="85"/>
        <v>0</v>
      </c>
      <c r="CZ180" s="7">
        <f t="shared" si="85"/>
        <v>0</v>
      </c>
      <c r="DA180" s="7">
        <f t="shared" si="85"/>
        <v>0</v>
      </c>
      <c r="DB180" s="7">
        <f t="shared" si="85"/>
        <v>0</v>
      </c>
      <c r="DC180" s="7">
        <f t="shared" si="85"/>
        <v>0</v>
      </c>
      <c r="DD180" s="7">
        <f t="shared" si="85"/>
        <v>0</v>
      </c>
      <c r="DE180" s="7">
        <f t="shared" si="85"/>
        <v>0</v>
      </c>
      <c r="DF180" s="7">
        <f t="shared" si="85"/>
        <v>177378</v>
      </c>
      <c r="DG180" s="7">
        <f t="shared" si="85"/>
        <v>0</v>
      </c>
      <c r="DH180" s="7">
        <f t="shared" si="85"/>
        <v>0</v>
      </c>
      <c r="DI180" s="7">
        <f t="shared" si="85"/>
        <v>0</v>
      </c>
      <c r="DJ180" s="7">
        <f t="shared" si="85"/>
        <v>0</v>
      </c>
      <c r="DK180" s="7">
        <f t="shared" si="85"/>
        <v>0</v>
      </c>
      <c r="DL180" s="7">
        <f t="shared" si="85"/>
        <v>0</v>
      </c>
      <c r="DM180" s="7">
        <f t="shared" si="85"/>
        <v>0</v>
      </c>
      <c r="DN180" s="7">
        <f t="shared" si="85"/>
        <v>9588</v>
      </c>
      <c r="DO180" s="7">
        <f t="shared" si="85"/>
        <v>0</v>
      </c>
      <c r="DP180" s="7">
        <f t="shared" si="85"/>
        <v>0</v>
      </c>
      <c r="DQ180" s="7">
        <f t="shared" si="85"/>
        <v>9588</v>
      </c>
      <c r="DR180" s="7">
        <f t="shared" si="85"/>
        <v>0</v>
      </c>
      <c r="DS180" s="7">
        <f t="shared" si="85"/>
        <v>0</v>
      </c>
      <c r="DT180" s="7">
        <f t="shared" si="85"/>
        <v>0</v>
      </c>
      <c r="DU180" s="7">
        <f t="shared" si="85"/>
        <v>0</v>
      </c>
      <c r="DV180" s="7">
        <f t="shared" si="85"/>
        <v>0</v>
      </c>
      <c r="DW180" s="7">
        <f t="shared" si="85"/>
        <v>0</v>
      </c>
      <c r="DX180" s="7">
        <f t="shared" si="85"/>
        <v>0</v>
      </c>
      <c r="DY180" s="7">
        <f t="shared" si="85"/>
        <v>0</v>
      </c>
      <c r="DZ180" s="7">
        <f t="shared" si="85"/>
        <v>9588</v>
      </c>
      <c r="EA180" s="7">
        <f t="shared" si="85"/>
        <v>0</v>
      </c>
      <c r="EB180" s="7">
        <f t="shared" si="85"/>
        <v>0</v>
      </c>
      <c r="EC180" s="7">
        <f t="shared" si="85"/>
        <v>0</v>
      </c>
      <c r="ED180" s="7">
        <f t="shared" si="85"/>
        <v>0</v>
      </c>
      <c r="EE180" s="7">
        <f t="shared" si="85"/>
        <v>0</v>
      </c>
      <c r="EF180" s="7">
        <f t="shared" si="85"/>
        <v>19176</v>
      </c>
      <c r="EG180" s="7">
        <f t="shared" si="85"/>
        <v>0</v>
      </c>
      <c r="EH180" s="7">
        <f t="shared" si="85"/>
        <v>0</v>
      </c>
      <c r="EI180" s="7">
        <f t="shared" si="85"/>
        <v>234906</v>
      </c>
      <c r="EJ180" s="7">
        <f t="shared" si="85"/>
        <v>249288</v>
      </c>
      <c r="EK180" s="7">
        <f t="shared" si="85"/>
        <v>0</v>
      </c>
      <c r="EL180" s="7">
        <f t="shared" si="85"/>
        <v>0</v>
      </c>
      <c r="EM180" s="7">
        <f t="shared" si="85"/>
        <v>0</v>
      </c>
      <c r="EN180" s="7">
        <f t="shared" si="85"/>
        <v>0</v>
      </c>
      <c r="EO180" s="7">
        <f t="shared" si="85"/>
        <v>0</v>
      </c>
      <c r="EP180" s="7">
        <f t="shared" si="85"/>
        <v>0</v>
      </c>
      <c r="EQ180" s="7">
        <f t="shared" si="85"/>
        <v>19176</v>
      </c>
      <c r="ER180" s="7">
        <f t="shared" si="85"/>
        <v>19176</v>
      </c>
      <c r="ES180" s="7">
        <f t="shared" si="85"/>
        <v>0</v>
      </c>
      <c r="ET180" s="7">
        <f t="shared" si="85"/>
        <v>0</v>
      </c>
      <c r="EU180" s="7">
        <f t="shared" si="85"/>
        <v>0</v>
      </c>
      <c r="EV180" s="7">
        <f t="shared" si="85"/>
        <v>0</v>
      </c>
      <c r="EW180" s="7">
        <f t="shared" si="85"/>
        <v>0</v>
      </c>
      <c r="EX180" s="7">
        <f t="shared" si="85"/>
        <v>0</v>
      </c>
      <c r="EY180" s="7">
        <f t="shared" si="85"/>
        <v>0</v>
      </c>
      <c r="EZ180" s="7">
        <f t="shared" si="85"/>
        <v>0</v>
      </c>
      <c r="FA180" s="7">
        <f t="shared" si="85"/>
        <v>115056</v>
      </c>
      <c r="FB180" s="7">
        <f t="shared" si="85"/>
        <v>0</v>
      </c>
      <c r="FC180" s="7">
        <f t="shared" si="85"/>
        <v>38352</v>
      </c>
      <c r="FD180" s="7">
        <f t="shared" si="85"/>
        <v>0</v>
      </c>
      <c r="FE180" s="7">
        <f t="shared" si="85"/>
        <v>0</v>
      </c>
      <c r="FF180" s="7">
        <f t="shared" si="85"/>
        <v>0</v>
      </c>
      <c r="FG180" s="7">
        <f t="shared" si="85"/>
        <v>0</v>
      </c>
      <c r="FH180" s="7">
        <f t="shared" si="85"/>
        <v>0</v>
      </c>
      <c r="FI180" s="7">
        <f t="shared" si="85"/>
        <v>0</v>
      </c>
      <c r="FJ180" s="7">
        <f t="shared" si="85"/>
        <v>0</v>
      </c>
      <c r="FK180" s="7">
        <f t="shared" si="85"/>
        <v>0</v>
      </c>
      <c r="FL180" s="7">
        <f t="shared" si="85"/>
        <v>0</v>
      </c>
      <c r="FM180" s="7">
        <f t="shared" si="85"/>
        <v>0</v>
      </c>
      <c r="FN180" s="7">
        <f t="shared" si="85"/>
        <v>148614</v>
      </c>
      <c r="FO180" s="7">
        <f t="shared" si="85"/>
        <v>0</v>
      </c>
      <c r="FP180" s="7">
        <f t="shared" si="85"/>
        <v>0</v>
      </c>
      <c r="FQ180" s="7">
        <f t="shared" si="85"/>
        <v>0</v>
      </c>
      <c r="FR180" s="7">
        <f t="shared" si="85"/>
        <v>0</v>
      </c>
      <c r="FS180" s="7">
        <f t="shared" si="85"/>
        <v>0</v>
      </c>
      <c r="FT180" s="7" t="e">
        <f t="shared" ca="1" si="85"/>
        <v>#NAME?</v>
      </c>
      <c r="FU180" s="7">
        <f t="shared" si="85"/>
        <v>0</v>
      </c>
      <c r="FV180" s="7">
        <f t="shared" si="85"/>
        <v>9588</v>
      </c>
      <c r="FW180" s="7">
        <f t="shared" si="85"/>
        <v>19176</v>
      </c>
      <c r="FX180" s="7">
        <f t="shared" si="85"/>
        <v>0</v>
      </c>
      <c r="FY180" s="7"/>
      <c r="FZ180" s="7" t="e">
        <f t="shared" ca="1" si="84"/>
        <v>#NAME?</v>
      </c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</row>
    <row r="181" spans="1:207" ht="15.5" x14ac:dyDescent="0.35">
      <c r="A181" s="12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45"/>
      <c r="GB181" s="7"/>
      <c r="GC181" s="7"/>
      <c r="GD181" s="7"/>
      <c r="GE181" s="7"/>
      <c r="GF181" s="7"/>
      <c r="GG181" s="7"/>
      <c r="GH181" s="7"/>
      <c r="GI181" s="7"/>
      <c r="GJ181" s="7"/>
      <c r="GK181" s="7"/>
    </row>
    <row r="182" spans="1:207" ht="15.5" x14ac:dyDescent="0.35">
      <c r="A182" s="12" t="s">
        <v>919</v>
      </c>
      <c r="B182" s="7" t="s">
        <v>920</v>
      </c>
      <c r="C182" s="7">
        <f t="shared" ref="C182:FX182" si="86">C174+C177+C180</f>
        <v>1631312</v>
      </c>
      <c r="D182" s="7">
        <f t="shared" si="86"/>
        <v>6420108</v>
      </c>
      <c r="E182" s="7">
        <f t="shared" si="86"/>
        <v>105468</v>
      </c>
      <c r="F182" s="7">
        <f t="shared" si="86"/>
        <v>21421788</v>
      </c>
      <c r="G182" s="7">
        <f t="shared" si="86"/>
        <v>9588</v>
      </c>
      <c r="H182" s="7">
        <f t="shared" si="86"/>
        <v>9588</v>
      </c>
      <c r="I182" s="7">
        <f t="shared" si="86"/>
        <v>149172</v>
      </c>
      <c r="J182" s="7">
        <f t="shared" si="86"/>
        <v>0</v>
      </c>
      <c r="K182" s="7">
        <f t="shared" si="86"/>
        <v>0</v>
      </c>
      <c r="L182" s="7">
        <f t="shared" si="86"/>
        <v>220524</v>
      </c>
      <c r="M182" s="7">
        <f t="shared" si="86"/>
        <v>134232</v>
      </c>
      <c r="N182" s="7">
        <f t="shared" si="86"/>
        <v>1901326</v>
      </c>
      <c r="O182" s="7">
        <f t="shared" si="86"/>
        <v>1023464</v>
      </c>
      <c r="P182" s="7">
        <f t="shared" si="86"/>
        <v>0</v>
      </c>
      <c r="Q182" s="7">
        <f t="shared" si="86"/>
        <v>2103452</v>
      </c>
      <c r="R182" s="7">
        <f t="shared" si="86"/>
        <v>69366228</v>
      </c>
      <c r="S182" s="7">
        <f t="shared" si="86"/>
        <v>146720</v>
      </c>
      <c r="T182" s="7">
        <f t="shared" si="86"/>
        <v>0</v>
      </c>
      <c r="U182" s="7">
        <f t="shared" si="86"/>
        <v>0</v>
      </c>
      <c r="V182" s="7">
        <f t="shared" si="86"/>
        <v>0</v>
      </c>
      <c r="W182" s="7">
        <f t="shared" si="86"/>
        <v>9588</v>
      </c>
      <c r="X182" s="7">
        <f t="shared" si="86"/>
        <v>0</v>
      </c>
      <c r="Y182" s="7">
        <f t="shared" si="86"/>
        <v>4962280</v>
      </c>
      <c r="Z182" s="7">
        <f t="shared" si="86"/>
        <v>0</v>
      </c>
      <c r="AA182" s="7">
        <f t="shared" si="86"/>
        <v>4389556</v>
      </c>
      <c r="AB182" s="7">
        <f t="shared" si="86"/>
        <v>2814322</v>
      </c>
      <c r="AC182" s="7">
        <f t="shared" si="86"/>
        <v>0</v>
      </c>
      <c r="AD182" s="7">
        <f t="shared" si="86"/>
        <v>62322</v>
      </c>
      <c r="AE182" s="7">
        <f t="shared" si="86"/>
        <v>0</v>
      </c>
      <c r="AF182" s="7">
        <f t="shared" si="86"/>
        <v>0</v>
      </c>
      <c r="AG182" s="7">
        <f t="shared" si="86"/>
        <v>0</v>
      </c>
      <c r="AH182" s="7">
        <f t="shared" si="86"/>
        <v>0</v>
      </c>
      <c r="AI182" s="7">
        <f t="shared" si="86"/>
        <v>0</v>
      </c>
      <c r="AJ182" s="7">
        <f t="shared" si="86"/>
        <v>0</v>
      </c>
      <c r="AK182" s="7">
        <f t="shared" si="86"/>
        <v>0</v>
      </c>
      <c r="AL182" s="7">
        <f t="shared" si="86"/>
        <v>0</v>
      </c>
      <c r="AM182" s="7">
        <f t="shared" si="86"/>
        <v>0</v>
      </c>
      <c r="AN182" s="7">
        <f t="shared" si="86"/>
        <v>9588</v>
      </c>
      <c r="AO182" s="7">
        <f t="shared" si="86"/>
        <v>3882840</v>
      </c>
      <c r="AP182" s="7">
        <f t="shared" si="86"/>
        <v>8224108</v>
      </c>
      <c r="AQ182" s="7">
        <f t="shared" si="86"/>
        <v>5240</v>
      </c>
      <c r="AR182" s="7">
        <f t="shared" si="86"/>
        <v>15246380</v>
      </c>
      <c r="AS182" s="7">
        <f t="shared" si="86"/>
        <v>163888</v>
      </c>
      <c r="AT182" s="7">
        <f t="shared" si="86"/>
        <v>39244</v>
      </c>
      <c r="AU182" s="7">
        <f t="shared" si="86"/>
        <v>0</v>
      </c>
      <c r="AV182" s="7">
        <f t="shared" si="86"/>
        <v>0</v>
      </c>
      <c r="AW182" s="7">
        <f t="shared" si="86"/>
        <v>19176</v>
      </c>
      <c r="AX182" s="7">
        <f t="shared" si="86"/>
        <v>0</v>
      </c>
      <c r="AY182" s="7">
        <f t="shared" si="86"/>
        <v>0</v>
      </c>
      <c r="AZ182" s="7">
        <f t="shared" si="86"/>
        <v>1036628</v>
      </c>
      <c r="BA182" s="7">
        <f t="shared" si="86"/>
        <v>2519994</v>
      </c>
      <c r="BB182" s="7">
        <f t="shared" si="86"/>
        <v>96772</v>
      </c>
      <c r="BC182" s="7">
        <f t="shared" si="86"/>
        <v>5490960</v>
      </c>
      <c r="BD182" s="7">
        <f t="shared" si="86"/>
        <v>38352</v>
      </c>
      <c r="BE182" s="7">
        <f t="shared" si="86"/>
        <v>0</v>
      </c>
      <c r="BF182" s="7">
        <f t="shared" si="86"/>
        <v>12841342</v>
      </c>
      <c r="BG182" s="7">
        <f t="shared" si="86"/>
        <v>0</v>
      </c>
      <c r="BH182" s="7">
        <f t="shared" si="86"/>
        <v>408496</v>
      </c>
      <c r="BI182" s="7">
        <f t="shared" si="86"/>
        <v>0</v>
      </c>
      <c r="BJ182" s="7">
        <f t="shared" si="86"/>
        <v>169574</v>
      </c>
      <c r="BK182" s="7">
        <f t="shared" si="86"/>
        <v>139147524</v>
      </c>
      <c r="BL182" s="7">
        <f t="shared" si="86"/>
        <v>44930</v>
      </c>
      <c r="BM182" s="7">
        <f t="shared" si="86"/>
        <v>177378</v>
      </c>
      <c r="BN182" s="7">
        <f t="shared" si="86"/>
        <v>478398</v>
      </c>
      <c r="BO182" s="7">
        <f t="shared" si="86"/>
        <v>28764</v>
      </c>
      <c r="BP182" s="7">
        <f t="shared" si="86"/>
        <v>0</v>
      </c>
      <c r="BQ182" s="7">
        <f t="shared" si="86"/>
        <v>29656</v>
      </c>
      <c r="BR182" s="7">
        <f t="shared" si="86"/>
        <v>0</v>
      </c>
      <c r="BS182" s="7">
        <f t="shared" si="86"/>
        <v>0</v>
      </c>
      <c r="BT182" s="7">
        <f t="shared" si="86"/>
        <v>0</v>
      </c>
      <c r="BU182" s="7">
        <f t="shared" si="86"/>
        <v>0</v>
      </c>
      <c r="BV182" s="7">
        <f t="shared" si="86"/>
        <v>0</v>
      </c>
      <c r="BW182" s="7">
        <f t="shared" si="86"/>
        <v>0</v>
      </c>
      <c r="BX182" s="7">
        <f t="shared" si="86"/>
        <v>0</v>
      </c>
      <c r="BY182" s="7">
        <f t="shared" si="86"/>
        <v>31440</v>
      </c>
      <c r="BZ182" s="7">
        <f t="shared" si="86"/>
        <v>0</v>
      </c>
      <c r="CA182" s="7">
        <f t="shared" si="86"/>
        <v>0</v>
      </c>
      <c r="CB182" s="7">
        <f t="shared" si="86"/>
        <v>10993500</v>
      </c>
      <c r="CC182" s="7">
        <f t="shared" si="86"/>
        <v>0</v>
      </c>
      <c r="CD182" s="7">
        <f t="shared" si="86"/>
        <v>0</v>
      </c>
      <c r="CE182" s="7">
        <f t="shared" si="86"/>
        <v>0</v>
      </c>
      <c r="CF182" s="7">
        <f t="shared" si="86"/>
        <v>0</v>
      </c>
      <c r="CG182" s="7">
        <f t="shared" si="86"/>
        <v>0</v>
      </c>
      <c r="CH182" s="7">
        <f t="shared" si="86"/>
        <v>0</v>
      </c>
      <c r="CI182" s="7">
        <f t="shared" si="86"/>
        <v>0</v>
      </c>
      <c r="CJ182" s="7">
        <f t="shared" si="86"/>
        <v>10480</v>
      </c>
      <c r="CK182" s="7">
        <f t="shared" si="86"/>
        <v>246280</v>
      </c>
      <c r="CL182" s="7">
        <f t="shared" si="86"/>
        <v>95992</v>
      </c>
      <c r="CM182" s="7">
        <f t="shared" si="86"/>
        <v>20960</v>
      </c>
      <c r="CN182" s="7">
        <f t="shared" si="86"/>
        <v>9481816</v>
      </c>
      <c r="CO182" s="7">
        <f t="shared" si="86"/>
        <v>697806</v>
      </c>
      <c r="CP182" s="7">
        <f t="shared" si="86"/>
        <v>49724</v>
      </c>
      <c r="CQ182" s="7">
        <f t="shared" si="86"/>
        <v>0</v>
      </c>
      <c r="CR182" s="7">
        <f t="shared" si="86"/>
        <v>0</v>
      </c>
      <c r="CS182" s="7">
        <f t="shared" si="86"/>
        <v>0</v>
      </c>
      <c r="CT182" s="7">
        <f t="shared" si="86"/>
        <v>0</v>
      </c>
      <c r="CU182" s="7">
        <f t="shared" si="86"/>
        <v>4169256</v>
      </c>
      <c r="CV182" s="7">
        <f t="shared" si="86"/>
        <v>0</v>
      </c>
      <c r="CW182" s="7">
        <f t="shared" si="86"/>
        <v>0</v>
      </c>
      <c r="CX182" s="7">
        <f t="shared" si="86"/>
        <v>0</v>
      </c>
      <c r="CY182" s="7">
        <f t="shared" si="86"/>
        <v>0</v>
      </c>
      <c r="CZ182" s="7">
        <f t="shared" si="86"/>
        <v>0</v>
      </c>
      <c r="DA182" s="7">
        <f t="shared" si="86"/>
        <v>0</v>
      </c>
      <c r="DB182" s="7">
        <f t="shared" si="86"/>
        <v>0</v>
      </c>
      <c r="DC182" s="7">
        <f t="shared" si="86"/>
        <v>0</v>
      </c>
      <c r="DD182" s="7">
        <f t="shared" si="86"/>
        <v>0</v>
      </c>
      <c r="DE182" s="7">
        <f t="shared" si="86"/>
        <v>0</v>
      </c>
      <c r="DF182" s="7">
        <f t="shared" si="86"/>
        <v>491778</v>
      </c>
      <c r="DG182" s="7">
        <f t="shared" si="86"/>
        <v>0</v>
      </c>
      <c r="DH182" s="7">
        <f t="shared" si="86"/>
        <v>0</v>
      </c>
      <c r="DI182" s="7">
        <f t="shared" si="86"/>
        <v>41920</v>
      </c>
      <c r="DJ182" s="7">
        <f t="shared" si="86"/>
        <v>10480</v>
      </c>
      <c r="DK182" s="7">
        <f t="shared" si="86"/>
        <v>10480</v>
      </c>
      <c r="DL182" s="7">
        <f t="shared" si="86"/>
        <v>0</v>
      </c>
      <c r="DM182" s="7">
        <f t="shared" si="86"/>
        <v>0</v>
      </c>
      <c r="DN182" s="7">
        <f t="shared" si="86"/>
        <v>14828</v>
      </c>
      <c r="DO182" s="7">
        <f t="shared" si="86"/>
        <v>10480</v>
      </c>
      <c r="DP182" s="7">
        <f t="shared" si="86"/>
        <v>0</v>
      </c>
      <c r="DQ182" s="7">
        <f t="shared" si="86"/>
        <v>9588</v>
      </c>
      <c r="DR182" s="7">
        <f t="shared" si="86"/>
        <v>0</v>
      </c>
      <c r="DS182" s="7">
        <f t="shared" si="86"/>
        <v>0</v>
      </c>
      <c r="DT182" s="7">
        <f t="shared" si="86"/>
        <v>0</v>
      </c>
      <c r="DU182" s="7">
        <f t="shared" si="86"/>
        <v>0</v>
      </c>
      <c r="DV182" s="7">
        <f t="shared" si="86"/>
        <v>0</v>
      </c>
      <c r="DW182" s="7">
        <f t="shared" si="86"/>
        <v>0</v>
      </c>
      <c r="DX182" s="7">
        <f t="shared" si="86"/>
        <v>0</v>
      </c>
      <c r="DY182" s="7">
        <f t="shared" si="86"/>
        <v>0</v>
      </c>
      <c r="DZ182" s="7">
        <f t="shared" si="86"/>
        <v>9588</v>
      </c>
      <c r="EA182" s="7">
        <f t="shared" si="86"/>
        <v>0</v>
      </c>
      <c r="EB182" s="7">
        <f t="shared" si="86"/>
        <v>0</v>
      </c>
      <c r="EC182" s="7">
        <f t="shared" si="86"/>
        <v>0</v>
      </c>
      <c r="ED182" s="7">
        <f t="shared" si="86"/>
        <v>0</v>
      </c>
      <c r="EE182" s="7">
        <f t="shared" si="86"/>
        <v>0</v>
      </c>
      <c r="EF182" s="7">
        <f t="shared" si="86"/>
        <v>19176</v>
      </c>
      <c r="EG182" s="7">
        <f t="shared" si="86"/>
        <v>0</v>
      </c>
      <c r="EH182" s="7">
        <f t="shared" si="86"/>
        <v>0</v>
      </c>
      <c r="EI182" s="7">
        <f t="shared" si="86"/>
        <v>245386</v>
      </c>
      <c r="EJ182" s="7">
        <f t="shared" si="86"/>
        <v>2455328</v>
      </c>
      <c r="EK182" s="7">
        <f t="shared" si="86"/>
        <v>0</v>
      </c>
      <c r="EL182" s="7">
        <f t="shared" si="86"/>
        <v>0</v>
      </c>
      <c r="EM182" s="7">
        <f t="shared" si="86"/>
        <v>0</v>
      </c>
      <c r="EN182" s="7">
        <f t="shared" si="86"/>
        <v>450640</v>
      </c>
      <c r="EO182" s="7">
        <f t="shared" si="86"/>
        <v>0</v>
      </c>
      <c r="EP182" s="7">
        <f t="shared" si="86"/>
        <v>0</v>
      </c>
      <c r="EQ182" s="7">
        <f t="shared" si="86"/>
        <v>19176</v>
      </c>
      <c r="ER182" s="7">
        <f t="shared" si="86"/>
        <v>19176</v>
      </c>
      <c r="ES182" s="7">
        <f t="shared" si="86"/>
        <v>0</v>
      </c>
      <c r="ET182" s="7">
        <f t="shared" si="86"/>
        <v>0</v>
      </c>
      <c r="EU182" s="7">
        <f t="shared" si="86"/>
        <v>0</v>
      </c>
      <c r="EV182" s="7">
        <f t="shared" si="86"/>
        <v>0</v>
      </c>
      <c r="EW182" s="7">
        <f t="shared" si="86"/>
        <v>0</v>
      </c>
      <c r="EX182" s="7">
        <f t="shared" si="86"/>
        <v>0</v>
      </c>
      <c r="EY182" s="7">
        <f t="shared" si="86"/>
        <v>4716000</v>
      </c>
      <c r="EZ182" s="7">
        <f t="shared" si="86"/>
        <v>0</v>
      </c>
      <c r="FA182" s="7">
        <f t="shared" si="86"/>
        <v>115056</v>
      </c>
      <c r="FB182" s="7">
        <f t="shared" si="86"/>
        <v>0</v>
      </c>
      <c r="FC182" s="7">
        <f t="shared" si="86"/>
        <v>38352</v>
      </c>
      <c r="FD182" s="7">
        <f t="shared" si="86"/>
        <v>0</v>
      </c>
      <c r="FE182" s="7">
        <f t="shared" si="86"/>
        <v>0</v>
      </c>
      <c r="FF182" s="7">
        <f t="shared" si="86"/>
        <v>0</v>
      </c>
      <c r="FG182" s="7">
        <f t="shared" si="86"/>
        <v>0</v>
      </c>
      <c r="FH182" s="7">
        <f t="shared" si="86"/>
        <v>0</v>
      </c>
      <c r="FI182" s="7">
        <f t="shared" si="86"/>
        <v>0</v>
      </c>
      <c r="FJ182" s="7">
        <f t="shared" si="86"/>
        <v>0</v>
      </c>
      <c r="FK182" s="7">
        <f t="shared" si="86"/>
        <v>0</v>
      </c>
      <c r="FL182" s="7">
        <f t="shared" si="86"/>
        <v>0</v>
      </c>
      <c r="FM182" s="7">
        <f t="shared" si="86"/>
        <v>0</v>
      </c>
      <c r="FN182" s="7">
        <f t="shared" si="86"/>
        <v>2952014</v>
      </c>
      <c r="FO182" s="7">
        <f t="shared" si="86"/>
        <v>20960</v>
      </c>
      <c r="FP182" s="7">
        <f t="shared" si="86"/>
        <v>0</v>
      </c>
      <c r="FQ182" s="7">
        <f t="shared" si="86"/>
        <v>0</v>
      </c>
      <c r="FR182" s="7">
        <f t="shared" si="86"/>
        <v>0</v>
      </c>
      <c r="FS182" s="7">
        <f t="shared" si="86"/>
        <v>0</v>
      </c>
      <c r="FT182" s="7" t="e">
        <f t="shared" ca="1" si="86"/>
        <v>#NAME?</v>
      </c>
      <c r="FU182" s="7">
        <f t="shared" si="86"/>
        <v>0</v>
      </c>
      <c r="FV182" s="7">
        <f t="shared" si="86"/>
        <v>9588</v>
      </c>
      <c r="FW182" s="7">
        <f t="shared" si="86"/>
        <v>19176</v>
      </c>
      <c r="FX182" s="7">
        <f t="shared" si="86"/>
        <v>0</v>
      </c>
      <c r="FY182" s="7"/>
      <c r="FZ182" s="7" t="e">
        <f ca="1">SUM(C182:FX182)</f>
        <v>#NAME?</v>
      </c>
      <c r="GA182" s="62"/>
      <c r="GB182" s="7" t="e">
        <f ca="1">FZ182-GA182</f>
        <v>#NAME?</v>
      </c>
      <c r="GC182" s="7"/>
      <c r="GD182" s="7"/>
      <c r="GE182" s="7"/>
      <c r="GF182" s="7"/>
      <c r="GG182" s="7"/>
      <c r="GH182" s="7"/>
      <c r="GI182" s="7"/>
      <c r="GJ182" s="7"/>
      <c r="GK182" s="7"/>
    </row>
    <row r="183" spans="1:207" ht="15.5" x14ac:dyDescent="0.35">
      <c r="A183" s="12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</row>
    <row r="184" spans="1:207" ht="15.5" x14ac:dyDescent="0.35">
      <c r="A184" s="12" t="s">
        <v>921</v>
      </c>
      <c r="B184" s="7" t="s">
        <v>922</v>
      </c>
      <c r="C184" s="7">
        <f t="shared" ref="C184:FX184" si="87">C103</f>
        <v>6540.5</v>
      </c>
      <c r="D184" s="7">
        <f t="shared" si="87"/>
        <v>38720.400000000001</v>
      </c>
      <c r="E184" s="7">
        <f t="shared" si="87"/>
        <v>5749</v>
      </c>
      <c r="F184" s="7">
        <f t="shared" si="87"/>
        <v>24441.599999999999</v>
      </c>
      <c r="G184" s="7">
        <f t="shared" si="87"/>
        <v>1845</v>
      </c>
      <c r="H184" s="7">
        <f t="shared" si="87"/>
        <v>1096.7</v>
      </c>
      <c r="I184" s="7">
        <f t="shared" si="87"/>
        <v>8070</v>
      </c>
      <c r="J184" s="7">
        <f t="shared" si="87"/>
        <v>2066.8000000000002</v>
      </c>
      <c r="K184" s="7">
        <f t="shared" si="87"/>
        <v>251.7</v>
      </c>
      <c r="L184" s="7">
        <f t="shared" si="87"/>
        <v>2156.1</v>
      </c>
      <c r="M184" s="7">
        <f t="shared" si="87"/>
        <v>950.7</v>
      </c>
      <c r="N184" s="7">
        <f t="shared" si="87"/>
        <v>50642.1</v>
      </c>
      <c r="O184" s="7">
        <f t="shared" si="87"/>
        <v>12912.4</v>
      </c>
      <c r="P184" s="7">
        <f t="shared" si="87"/>
        <v>315.3</v>
      </c>
      <c r="Q184" s="7">
        <f t="shared" si="87"/>
        <v>39533.800000000003</v>
      </c>
      <c r="R184" s="7">
        <f t="shared" si="87"/>
        <v>7100.8</v>
      </c>
      <c r="S184" s="7">
        <f t="shared" si="87"/>
        <v>1605.4</v>
      </c>
      <c r="T184" s="7">
        <f t="shared" si="87"/>
        <v>161.1</v>
      </c>
      <c r="U184" s="7">
        <f t="shared" si="87"/>
        <v>55.5</v>
      </c>
      <c r="V184" s="7">
        <f t="shared" si="87"/>
        <v>256.39999999999998</v>
      </c>
      <c r="W184" s="7">
        <f t="shared" si="87"/>
        <v>59.7</v>
      </c>
      <c r="X184" s="7">
        <f t="shared" si="87"/>
        <v>50</v>
      </c>
      <c r="Y184" s="7">
        <f t="shared" si="87"/>
        <v>897.3</v>
      </c>
      <c r="Z184" s="7">
        <f t="shared" si="87"/>
        <v>231.1</v>
      </c>
      <c r="AA184" s="7">
        <f t="shared" si="87"/>
        <v>30969.9</v>
      </c>
      <c r="AB184" s="7">
        <f t="shared" si="87"/>
        <v>27219.200000000001</v>
      </c>
      <c r="AC184" s="7">
        <f t="shared" si="87"/>
        <v>906.3</v>
      </c>
      <c r="AD184" s="7">
        <f t="shared" si="87"/>
        <v>1441.6</v>
      </c>
      <c r="AE184" s="7">
        <f t="shared" si="87"/>
        <v>97</v>
      </c>
      <c r="AF184" s="7">
        <f t="shared" si="87"/>
        <v>167.5</v>
      </c>
      <c r="AG184" s="7">
        <f t="shared" si="87"/>
        <v>601.1</v>
      </c>
      <c r="AH184" s="7">
        <f t="shared" si="87"/>
        <v>957.7</v>
      </c>
      <c r="AI184" s="7">
        <f t="shared" si="87"/>
        <v>383</v>
      </c>
      <c r="AJ184" s="7">
        <f t="shared" si="87"/>
        <v>181.5</v>
      </c>
      <c r="AK184" s="7">
        <f t="shared" si="87"/>
        <v>165.7</v>
      </c>
      <c r="AL184" s="7">
        <f t="shared" si="87"/>
        <v>288.5</v>
      </c>
      <c r="AM184" s="7">
        <f t="shared" si="87"/>
        <v>352.6</v>
      </c>
      <c r="AN184" s="7">
        <f t="shared" si="87"/>
        <v>300.5</v>
      </c>
      <c r="AO184" s="7">
        <f t="shared" si="87"/>
        <v>4406.5</v>
      </c>
      <c r="AP184" s="7">
        <f t="shared" si="87"/>
        <v>84753.600000000006</v>
      </c>
      <c r="AQ184" s="7">
        <f t="shared" si="87"/>
        <v>251</v>
      </c>
      <c r="AR184" s="7">
        <f t="shared" si="87"/>
        <v>62161.1</v>
      </c>
      <c r="AS184" s="7">
        <f t="shared" si="87"/>
        <v>6500</v>
      </c>
      <c r="AT184" s="7">
        <f t="shared" si="87"/>
        <v>2363.1999999999998</v>
      </c>
      <c r="AU184" s="7">
        <f t="shared" si="87"/>
        <v>271</v>
      </c>
      <c r="AV184" s="7">
        <f t="shared" si="87"/>
        <v>305.39999999999998</v>
      </c>
      <c r="AW184" s="7">
        <f t="shared" si="87"/>
        <v>257</v>
      </c>
      <c r="AX184" s="7">
        <f t="shared" si="87"/>
        <v>81</v>
      </c>
      <c r="AY184" s="7">
        <f t="shared" si="87"/>
        <v>406.8</v>
      </c>
      <c r="AZ184" s="7">
        <f t="shared" si="87"/>
        <v>12222.4</v>
      </c>
      <c r="BA184" s="7">
        <f t="shared" si="87"/>
        <v>9136.2999999999993</v>
      </c>
      <c r="BB184" s="7">
        <f t="shared" si="87"/>
        <v>7564.3</v>
      </c>
      <c r="BC184" s="7">
        <f t="shared" si="87"/>
        <v>24699.9</v>
      </c>
      <c r="BD184" s="7">
        <f t="shared" si="87"/>
        <v>3637.5</v>
      </c>
      <c r="BE184" s="7">
        <f t="shared" si="87"/>
        <v>1198.7</v>
      </c>
      <c r="BF184" s="7">
        <f t="shared" si="87"/>
        <v>25614.3</v>
      </c>
      <c r="BG184" s="7">
        <f t="shared" si="87"/>
        <v>920.6</v>
      </c>
      <c r="BH184" s="7">
        <f t="shared" si="87"/>
        <v>583.5</v>
      </c>
      <c r="BI184" s="7">
        <f t="shared" si="87"/>
        <v>257.39999999999998</v>
      </c>
      <c r="BJ184" s="7">
        <f t="shared" si="87"/>
        <v>6314.9</v>
      </c>
      <c r="BK184" s="7">
        <f t="shared" si="87"/>
        <v>35146.699999999997</v>
      </c>
      <c r="BL184" s="7">
        <f t="shared" si="87"/>
        <v>77.3</v>
      </c>
      <c r="BM184" s="7">
        <f t="shared" si="87"/>
        <v>359.3</v>
      </c>
      <c r="BN184" s="7">
        <f t="shared" si="87"/>
        <v>3145.6</v>
      </c>
      <c r="BO184" s="7">
        <f t="shared" si="87"/>
        <v>1257.3</v>
      </c>
      <c r="BP184" s="7">
        <f t="shared" si="87"/>
        <v>160.4</v>
      </c>
      <c r="BQ184" s="7">
        <f t="shared" si="87"/>
        <v>5887.2</v>
      </c>
      <c r="BR184" s="7">
        <f t="shared" si="87"/>
        <v>4488.3999999999996</v>
      </c>
      <c r="BS184" s="7">
        <f t="shared" si="87"/>
        <v>1158.0999999999999</v>
      </c>
      <c r="BT184" s="7">
        <f t="shared" si="87"/>
        <v>372.5</v>
      </c>
      <c r="BU184" s="7">
        <f t="shared" si="87"/>
        <v>393.7</v>
      </c>
      <c r="BV184" s="7">
        <f t="shared" si="87"/>
        <v>1245.3</v>
      </c>
      <c r="BW184" s="7">
        <f t="shared" si="87"/>
        <v>2017.5</v>
      </c>
      <c r="BX184" s="7">
        <f t="shared" si="87"/>
        <v>66.5</v>
      </c>
      <c r="BY184" s="7">
        <f t="shared" si="87"/>
        <v>430.7</v>
      </c>
      <c r="BZ184" s="7">
        <f t="shared" si="87"/>
        <v>228</v>
      </c>
      <c r="CA184" s="7">
        <f t="shared" si="87"/>
        <v>146.19999999999999</v>
      </c>
      <c r="CB184" s="7">
        <f t="shared" si="87"/>
        <v>73642.899999999994</v>
      </c>
      <c r="CC184" s="7">
        <f t="shared" si="87"/>
        <v>189.3</v>
      </c>
      <c r="CD184" s="7">
        <f t="shared" si="87"/>
        <v>50</v>
      </c>
      <c r="CE184" s="7">
        <f t="shared" si="87"/>
        <v>158.30000000000001</v>
      </c>
      <c r="CF184" s="7">
        <f t="shared" si="87"/>
        <v>112.5</v>
      </c>
      <c r="CG184" s="7">
        <f t="shared" si="87"/>
        <v>199.9</v>
      </c>
      <c r="CH184" s="7">
        <f t="shared" si="87"/>
        <v>96.5</v>
      </c>
      <c r="CI184" s="7">
        <f t="shared" si="87"/>
        <v>687.9</v>
      </c>
      <c r="CJ184" s="7">
        <f t="shared" si="87"/>
        <v>872.3</v>
      </c>
      <c r="CK184" s="7">
        <f t="shared" si="87"/>
        <v>4911.5</v>
      </c>
      <c r="CL184" s="7">
        <f t="shared" si="87"/>
        <v>1237.9000000000001</v>
      </c>
      <c r="CM184" s="7">
        <f t="shared" si="87"/>
        <v>687.4</v>
      </c>
      <c r="CN184" s="7">
        <f t="shared" si="87"/>
        <v>31536.3</v>
      </c>
      <c r="CO184" s="7">
        <f t="shared" si="87"/>
        <v>14394.7</v>
      </c>
      <c r="CP184" s="7">
        <f t="shared" si="87"/>
        <v>934.4</v>
      </c>
      <c r="CQ184" s="7">
        <f t="shared" si="87"/>
        <v>770.1</v>
      </c>
      <c r="CR184" s="7">
        <f t="shared" si="87"/>
        <v>215.8</v>
      </c>
      <c r="CS184" s="7">
        <f t="shared" si="87"/>
        <v>285.5</v>
      </c>
      <c r="CT184" s="7">
        <f t="shared" si="87"/>
        <v>113.5</v>
      </c>
      <c r="CU184" s="7">
        <f t="shared" si="87"/>
        <v>469.8</v>
      </c>
      <c r="CV184" s="7">
        <f t="shared" si="87"/>
        <v>50</v>
      </c>
      <c r="CW184" s="7">
        <f t="shared" si="87"/>
        <v>198.7</v>
      </c>
      <c r="CX184" s="7">
        <f t="shared" si="87"/>
        <v>461.4</v>
      </c>
      <c r="CY184" s="7">
        <f t="shared" si="87"/>
        <v>50</v>
      </c>
      <c r="CZ184" s="7">
        <f t="shared" si="87"/>
        <v>1806.8</v>
      </c>
      <c r="DA184" s="7">
        <f t="shared" si="87"/>
        <v>203.5</v>
      </c>
      <c r="DB184" s="7">
        <f t="shared" si="87"/>
        <v>315.8</v>
      </c>
      <c r="DC184" s="7">
        <f t="shared" si="87"/>
        <v>193</v>
      </c>
      <c r="DD184" s="7">
        <f t="shared" si="87"/>
        <v>174.5</v>
      </c>
      <c r="DE184" s="7">
        <f t="shared" si="87"/>
        <v>285.3</v>
      </c>
      <c r="DF184" s="7">
        <f t="shared" si="87"/>
        <v>20834.599999999999</v>
      </c>
      <c r="DG184" s="7">
        <f t="shared" si="87"/>
        <v>93.5</v>
      </c>
      <c r="DH184" s="7">
        <f t="shared" si="87"/>
        <v>1805.4</v>
      </c>
      <c r="DI184" s="7">
        <f t="shared" si="87"/>
        <v>2452.3000000000002</v>
      </c>
      <c r="DJ184" s="7">
        <f t="shared" si="87"/>
        <v>624</v>
      </c>
      <c r="DK184" s="7">
        <f t="shared" si="87"/>
        <v>478.7</v>
      </c>
      <c r="DL184" s="7">
        <f t="shared" si="87"/>
        <v>5694</v>
      </c>
      <c r="DM184" s="7">
        <f t="shared" si="87"/>
        <v>235</v>
      </c>
      <c r="DN184" s="7">
        <f t="shared" si="87"/>
        <v>1296</v>
      </c>
      <c r="DO184" s="7">
        <f t="shared" si="87"/>
        <v>3290</v>
      </c>
      <c r="DP184" s="7">
        <f t="shared" si="87"/>
        <v>200</v>
      </c>
      <c r="DQ184" s="7">
        <f t="shared" si="87"/>
        <v>888</v>
      </c>
      <c r="DR184" s="7">
        <f t="shared" si="87"/>
        <v>1315.2</v>
      </c>
      <c r="DS184" s="7">
        <f t="shared" si="87"/>
        <v>599.9</v>
      </c>
      <c r="DT184" s="7">
        <f t="shared" si="87"/>
        <v>176.5</v>
      </c>
      <c r="DU184" s="7">
        <f t="shared" si="87"/>
        <v>351.4</v>
      </c>
      <c r="DV184" s="7">
        <f t="shared" si="87"/>
        <v>208</v>
      </c>
      <c r="DW184" s="7">
        <f t="shared" si="87"/>
        <v>300.2</v>
      </c>
      <c r="DX184" s="7">
        <f t="shared" si="87"/>
        <v>168</v>
      </c>
      <c r="DY184" s="7">
        <f t="shared" si="87"/>
        <v>296.60000000000002</v>
      </c>
      <c r="DZ184" s="7">
        <f t="shared" si="87"/>
        <v>681.8</v>
      </c>
      <c r="EA184" s="7">
        <f t="shared" si="87"/>
        <v>530.6</v>
      </c>
      <c r="EB184" s="7">
        <f t="shared" si="87"/>
        <v>534.4</v>
      </c>
      <c r="EC184" s="7">
        <f t="shared" si="87"/>
        <v>285.10000000000002</v>
      </c>
      <c r="ED184" s="7">
        <f t="shared" si="87"/>
        <v>1561.8</v>
      </c>
      <c r="EE184" s="7">
        <f t="shared" si="87"/>
        <v>191.6</v>
      </c>
      <c r="EF184" s="7">
        <f t="shared" si="87"/>
        <v>1355.2</v>
      </c>
      <c r="EG184" s="7">
        <f t="shared" si="87"/>
        <v>253.5</v>
      </c>
      <c r="EH184" s="7">
        <f t="shared" si="87"/>
        <v>247.4</v>
      </c>
      <c r="EI184" s="7">
        <f t="shared" si="87"/>
        <v>13890.3</v>
      </c>
      <c r="EJ184" s="7">
        <f t="shared" si="87"/>
        <v>10185.299999999999</v>
      </c>
      <c r="EK184" s="7">
        <f t="shared" si="87"/>
        <v>668.7</v>
      </c>
      <c r="EL184" s="7">
        <f t="shared" si="87"/>
        <v>459.4</v>
      </c>
      <c r="EM184" s="7">
        <f t="shared" si="87"/>
        <v>378.1</v>
      </c>
      <c r="EN184" s="7">
        <f t="shared" si="87"/>
        <v>939.9</v>
      </c>
      <c r="EO184" s="7">
        <f t="shared" si="87"/>
        <v>305.39999999999998</v>
      </c>
      <c r="EP184" s="7">
        <f t="shared" si="87"/>
        <v>428.5</v>
      </c>
      <c r="EQ184" s="7">
        <f t="shared" si="87"/>
        <v>2616.4</v>
      </c>
      <c r="ER184" s="7">
        <f t="shared" si="87"/>
        <v>309.60000000000002</v>
      </c>
      <c r="ES184" s="7">
        <f t="shared" si="87"/>
        <v>163</v>
      </c>
      <c r="ET184" s="7">
        <f t="shared" si="87"/>
        <v>197.5</v>
      </c>
      <c r="EU184" s="7">
        <f t="shared" si="87"/>
        <v>575.29999999999995</v>
      </c>
      <c r="EV184" s="7">
        <f t="shared" si="87"/>
        <v>72.599999999999994</v>
      </c>
      <c r="EW184" s="7">
        <f t="shared" si="87"/>
        <v>819.4</v>
      </c>
      <c r="EX184" s="7">
        <f t="shared" si="87"/>
        <v>173.5</v>
      </c>
      <c r="EY184" s="7">
        <f t="shared" si="87"/>
        <v>656.5</v>
      </c>
      <c r="EZ184" s="7">
        <f t="shared" si="87"/>
        <v>129.30000000000001</v>
      </c>
      <c r="FA184" s="7">
        <f t="shared" si="87"/>
        <v>3397.2</v>
      </c>
      <c r="FB184" s="7">
        <f t="shared" si="87"/>
        <v>288.10000000000002</v>
      </c>
      <c r="FC184" s="7">
        <f t="shared" si="87"/>
        <v>1826.2</v>
      </c>
      <c r="FD184" s="7">
        <f t="shared" si="87"/>
        <v>402</v>
      </c>
      <c r="FE184" s="7">
        <f t="shared" si="87"/>
        <v>79</v>
      </c>
      <c r="FF184" s="7">
        <f t="shared" si="87"/>
        <v>185</v>
      </c>
      <c r="FG184" s="7">
        <f t="shared" si="87"/>
        <v>120.8</v>
      </c>
      <c r="FH184" s="7">
        <f t="shared" si="87"/>
        <v>70</v>
      </c>
      <c r="FI184" s="7">
        <f t="shared" si="87"/>
        <v>1702.5</v>
      </c>
      <c r="FJ184" s="7">
        <f t="shared" si="87"/>
        <v>2016.5</v>
      </c>
      <c r="FK184" s="7">
        <f t="shared" si="87"/>
        <v>2529.1</v>
      </c>
      <c r="FL184" s="7">
        <f t="shared" si="87"/>
        <v>8538.5</v>
      </c>
      <c r="FM184" s="7">
        <f t="shared" si="87"/>
        <v>3981.5</v>
      </c>
      <c r="FN184" s="7">
        <f t="shared" si="87"/>
        <v>22705.3</v>
      </c>
      <c r="FO184" s="7">
        <f t="shared" si="87"/>
        <v>1119.2</v>
      </c>
      <c r="FP184" s="7">
        <f t="shared" si="87"/>
        <v>2341.5</v>
      </c>
      <c r="FQ184" s="7">
        <f t="shared" si="87"/>
        <v>984.9</v>
      </c>
      <c r="FR184" s="7">
        <f t="shared" si="87"/>
        <v>168.1</v>
      </c>
      <c r="FS184" s="7">
        <f t="shared" si="87"/>
        <v>168.3</v>
      </c>
      <c r="FT184" s="7" t="e">
        <f t="shared" ca="1" si="87"/>
        <v>#NAME?</v>
      </c>
      <c r="FU184" s="7">
        <f t="shared" si="87"/>
        <v>791.1</v>
      </c>
      <c r="FV184" s="7">
        <f t="shared" si="87"/>
        <v>693.7</v>
      </c>
      <c r="FW184" s="7">
        <f t="shared" si="87"/>
        <v>149.5</v>
      </c>
      <c r="FX184" s="7">
        <f t="shared" si="87"/>
        <v>64.5</v>
      </c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</row>
    <row r="185" spans="1:207" ht="15.5" x14ac:dyDescent="0.35">
      <c r="A185" s="107" t="s">
        <v>923</v>
      </c>
      <c r="B185" s="7" t="s">
        <v>924</v>
      </c>
      <c r="C185" s="49" t="s">
        <v>925</v>
      </c>
      <c r="D185" s="49" t="s">
        <v>925</v>
      </c>
      <c r="E185" s="49" t="s">
        <v>925</v>
      </c>
      <c r="F185" s="49" t="s">
        <v>925</v>
      </c>
      <c r="G185" s="49" t="s">
        <v>741</v>
      </c>
      <c r="H185" s="49" t="s">
        <v>741</v>
      </c>
      <c r="I185" s="49" t="s">
        <v>925</v>
      </c>
      <c r="J185" s="49" t="s">
        <v>741</v>
      </c>
      <c r="K185" s="49" t="s">
        <v>737</v>
      </c>
      <c r="L185" s="49" t="s">
        <v>925</v>
      </c>
      <c r="M185" s="49" t="s">
        <v>925</v>
      </c>
      <c r="N185" s="49" t="s">
        <v>925</v>
      </c>
      <c r="O185" s="49" t="s">
        <v>925</v>
      </c>
      <c r="P185" s="49" t="s">
        <v>737</v>
      </c>
      <c r="Q185" s="49" t="s">
        <v>925</v>
      </c>
      <c r="R185" s="49" t="s">
        <v>741</v>
      </c>
      <c r="S185" s="49" t="s">
        <v>741</v>
      </c>
      <c r="T185" s="49" t="s">
        <v>737</v>
      </c>
      <c r="U185" s="49" t="s">
        <v>737</v>
      </c>
      <c r="V185" s="49" t="s">
        <v>737</v>
      </c>
      <c r="W185" s="49" t="s">
        <v>737</v>
      </c>
      <c r="X185" s="49" t="s">
        <v>737</v>
      </c>
      <c r="Y185" s="49" t="s">
        <v>737</v>
      </c>
      <c r="Z185" s="49" t="s">
        <v>737</v>
      </c>
      <c r="AA185" s="49" t="s">
        <v>925</v>
      </c>
      <c r="AB185" s="49" t="s">
        <v>925</v>
      </c>
      <c r="AC185" s="49" t="s">
        <v>737</v>
      </c>
      <c r="AD185" s="49" t="s">
        <v>741</v>
      </c>
      <c r="AE185" s="49" t="s">
        <v>737</v>
      </c>
      <c r="AF185" s="49" t="s">
        <v>737</v>
      </c>
      <c r="AG185" s="49" t="s">
        <v>737</v>
      </c>
      <c r="AH185" s="49" t="s">
        <v>737</v>
      </c>
      <c r="AI185" s="49" t="s">
        <v>737</v>
      </c>
      <c r="AJ185" s="49" t="s">
        <v>737</v>
      </c>
      <c r="AK185" s="49" t="s">
        <v>737</v>
      </c>
      <c r="AL185" s="49" t="s">
        <v>737</v>
      </c>
      <c r="AM185" s="49" t="s">
        <v>737</v>
      </c>
      <c r="AN185" s="49" t="s">
        <v>737</v>
      </c>
      <c r="AO185" s="49" t="s">
        <v>741</v>
      </c>
      <c r="AP185" s="49" t="s">
        <v>925</v>
      </c>
      <c r="AQ185" s="49" t="s">
        <v>737</v>
      </c>
      <c r="AR185" s="49" t="s">
        <v>925</v>
      </c>
      <c r="AS185" s="49" t="s">
        <v>741</v>
      </c>
      <c r="AT185" s="49" t="s">
        <v>741</v>
      </c>
      <c r="AU185" s="49" t="s">
        <v>737</v>
      </c>
      <c r="AV185" s="49" t="s">
        <v>737</v>
      </c>
      <c r="AW185" s="49" t="s">
        <v>737</v>
      </c>
      <c r="AX185" s="49" t="s">
        <v>737</v>
      </c>
      <c r="AY185" s="49" t="s">
        <v>737</v>
      </c>
      <c r="AZ185" s="49" t="s">
        <v>925</v>
      </c>
      <c r="BA185" s="49" t="s">
        <v>925</v>
      </c>
      <c r="BB185" s="49" t="s">
        <v>925</v>
      </c>
      <c r="BC185" s="49" t="s">
        <v>925</v>
      </c>
      <c r="BD185" s="49" t="s">
        <v>925</v>
      </c>
      <c r="BE185" s="49" t="s">
        <v>925</v>
      </c>
      <c r="BF185" s="49" t="s">
        <v>925</v>
      </c>
      <c r="BG185" s="49" t="s">
        <v>737</v>
      </c>
      <c r="BH185" s="49" t="s">
        <v>737</v>
      </c>
      <c r="BI185" s="49" t="s">
        <v>737</v>
      </c>
      <c r="BJ185" s="49" t="s">
        <v>925</v>
      </c>
      <c r="BK185" s="49" t="s">
        <v>925</v>
      </c>
      <c r="BL185" s="49" t="s">
        <v>737</v>
      </c>
      <c r="BM185" s="49" t="s">
        <v>737</v>
      </c>
      <c r="BN185" s="49" t="s">
        <v>741</v>
      </c>
      <c r="BO185" s="49" t="s">
        <v>741</v>
      </c>
      <c r="BP185" s="49" t="s">
        <v>737</v>
      </c>
      <c r="BQ185" s="49" t="s">
        <v>741</v>
      </c>
      <c r="BR185" s="49" t="s">
        <v>741</v>
      </c>
      <c r="BS185" s="49" t="s">
        <v>741</v>
      </c>
      <c r="BT185" s="49" t="s">
        <v>737</v>
      </c>
      <c r="BU185" s="49" t="s">
        <v>737</v>
      </c>
      <c r="BV185" s="49" t="s">
        <v>741</v>
      </c>
      <c r="BW185" s="49" t="s">
        <v>741</v>
      </c>
      <c r="BX185" s="49" t="s">
        <v>737</v>
      </c>
      <c r="BY185" s="49" t="s">
        <v>737</v>
      </c>
      <c r="BZ185" s="49" t="s">
        <v>737</v>
      </c>
      <c r="CA185" s="49" t="s">
        <v>737</v>
      </c>
      <c r="CB185" s="49" t="s">
        <v>925</v>
      </c>
      <c r="CC185" s="49" t="s">
        <v>737</v>
      </c>
      <c r="CD185" s="49" t="s">
        <v>737</v>
      </c>
      <c r="CE185" s="49" t="s">
        <v>737</v>
      </c>
      <c r="CF185" s="49" t="s">
        <v>737</v>
      </c>
      <c r="CG185" s="49" t="s">
        <v>737</v>
      </c>
      <c r="CH185" s="49" t="s">
        <v>737</v>
      </c>
      <c r="CI185" s="49" t="s">
        <v>737</v>
      </c>
      <c r="CJ185" s="49" t="s">
        <v>737</v>
      </c>
      <c r="CK185" s="49" t="s">
        <v>741</v>
      </c>
      <c r="CL185" s="49" t="s">
        <v>741</v>
      </c>
      <c r="CM185" s="49" t="s">
        <v>737</v>
      </c>
      <c r="CN185" s="49" t="s">
        <v>925</v>
      </c>
      <c r="CO185" s="49" t="s">
        <v>925</v>
      </c>
      <c r="CP185" s="49" t="s">
        <v>741</v>
      </c>
      <c r="CQ185" s="49" t="s">
        <v>737</v>
      </c>
      <c r="CR185" s="49" t="s">
        <v>737</v>
      </c>
      <c r="CS185" s="49" t="s">
        <v>737</v>
      </c>
      <c r="CT185" s="49" t="s">
        <v>737</v>
      </c>
      <c r="CU185" s="49" t="s">
        <v>737</v>
      </c>
      <c r="CV185" s="49" t="s">
        <v>737</v>
      </c>
      <c r="CW185" s="49" t="s">
        <v>737</v>
      </c>
      <c r="CX185" s="49" t="s">
        <v>737</v>
      </c>
      <c r="CY185" s="49" t="s">
        <v>737</v>
      </c>
      <c r="CZ185" s="49" t="s">
        <v>741</v>
      </c>
      <c r="DA185" s="49" t="s">
        <v>737</v>
      </c>
      <c r="DB185" s="49" t="s">
        <v>737</v>
      </c>
      <c r="DC185" s="49" t="s">
        <v>737</v>
      </c>
      <c r="DD185" s="49" t="s">
        <v>737</v>
      </c>
      <c r="DE185" s="49" t="s">
        <v>737</v>
      </c>
      <c r="DF185" s="49" t="s">
        <v>925</v>
      </c>
      <c r="DG185" s="49" t="s">
        <v>737</v>
      </c>
      <c r="DH185" s="49" t="s">
        <v>741</v>
      </c>
      <c r="DI185" s="49" t="s">
        <v>741</v>
      </c>
      <c r="DJ185" s="49" t="s">
        <v>737</v>
      </c>
      <c r="DK185" s="49" t="s">
        <v>737</v>
      </c>
      <c r="DL185" s="49" t="s">
        <v>741</v>
      </c>
      <c r="DM185" s="49" t="s">
        <v>737</v>
      </c>
      <c r="DN185" s="49" t="s">
        <v>741</v>
      </c>
      <c r="DO185" s="49" t="s">
        <v>741</v>
      </c>
      <c r="DP185" s="49" t="s">
        <v>737</v>
      </c>
      <c r="DQ185" s="49" t="s">
        <v>737</v>
      </c>
      <c r="DR185" s="49" t="s">
        <v>741</v>
      </c>
      <c r="DS185" s="49" t="s">
        <v>737</v>
      </c>
      <c r="DT185" s="49" t="s">
        <v>737</v>
      </c>
      <c r="DU185" s="49" t="s">
        <v>737</v>
      </c>
      <c r="DV185" s="49" t="s">
        <v>737</v>
      </c>
      <c r="DW185" s="49" t="s">
        <v>737</v>
      </c>
      <c r="DX185" s="49" t="s">
        <v>737</v>
      </c>
      <c r="DY185" s="49" t="s">
        <v>737</v>
      </c>
      <c r="DZ185" s="49" t="s">
        <v>737</v>
      </c>
      <c r="EA185" s="49" t="s">
        <v>737</v>
      </c>
      <c r="EB185" s="49" t="s">
        <v>737</v>
      </c>
      <c r="EC185" s="49" t="s">
        <v>737</v>
      </c>
      <c r="ED185" s="49" t="s">
        <v>741</v>
      </c>
      <c r="EE185" s="49" t="s">
        <v>737</v>
      </c>
      <c r="EF185" s="49" t="s">
        <v>741</v>
      </c>
      <c r="EG185" s="49" t="s">
        <v>737</v>
      </c>
      <c r="EH185" s="49" t="s">
        <v>737</v>
      </c>
      <c r="EI185" s="49" t="s">
        <v>925</v>
      </c>
      <c r="EJ185" s="49" t="s">
        <v>925</v>
      </c>
      <c r="EK185" s="49" t="s">
        <v>737</v>
      </c>
      <c r="EL185" s="49" t="s">
        <v>737</v>
      </c>
      <c r="EM185" s="49" t="s">
        <v>737</v>
      </c>
      <c r="EN185" s="49" t="s">
        <v>737</v>
      </c>
      <c r="EO185" s="49" t="s">
        <v>737</v>
      </c>
      <c r="EP185" s="49" t="s">
        <v>737</v>
      </c>
      <c r="EQ185" s="49" t="s">
        <v>741</v>
      </c>
      <c r="ER185" s="49" t="s">
        <v>737</v>
      </c>
      <c r="ES185" s="49" t="s">
        <v>737</v>
      </c>
      <c r="ET185" s="49" t="s">
        <v>737</v>
      </c>
      <c r="EU185" s="49" t="s">
        <v>737</v>
      </c>
      <c r="EV185" s="49" t="s">
        <v>737</v>
      </c>
      <c r="EW185" s="49" t="s">
        <v>737</v>
      </c>
      <c r="EX185" s="49" t="s">
        <v>737</v>
      </c>
      <c r="EY185" s="49" t="s">
        <v>737</v>
      </c>
      <c r="EZ185" s="49" t="s">
        <v>737</v>
      </c>
      <c r="FA185" s="49" t="s">
        <v>741</v>
      </c>
      <c r="FB185" s="49" t="s">
        <v>737</v>
      </c>
      <c r="FC185" s="49" t="s">
        <v>741</v>
      </c>
      <c r="FD185" s="49" t="s">
        <v>737</v>
      </c>
      <c r="FE185" s="49" t="s">
        <v>737</v>
      </c>
      <c r="FF185" s="49" t="s">
        <v>737</v>
      </c>
      <c r="FG185" s="49" t="s">
        <v>737</v>
      </c>
      <c r="FH185" s="49" t="s">
        <v>737</v>
      </c>
      <c r="FI185" s="49" t="s">
        <v>741</v>
      </c>
      <c r="FJ185" s="49" t="s">
        <v>741</v>
      </c>
      <c r="FK185" s="49" t="s">
        <v>741</v>
      </c>
      <c r="FL185" s="49" t="s">
        <v>925</v>
      </c>
      <c r="FM185" s="49" t="s">
        <v>741</v>
      </c>
      <c r="FN185" s="49" t="s">
        <v>925</v>
      </c>
      <c r="FO185" s="49" t="s">
        <v>741</v>
      </c>
      <c r="FP185" s="49" t="s">
        <v>741</v>
      </c>
      <c r="FQ185" s="49" t="s">
        <v>737</v>
      </c>
      <c r="FR185" s="49" t="s">
        <v>737</v>
      </c>
      <c r="FS185" s="49" t="s">
        <v>737</v>
      </c>
      <c r="FT185" s="49" t="s">
        <v>737</v>
      </c>
      <c r="FU185" s="49" t="s">
        <v>737</v>
      </c>
      <c r="FV185" s="49" t="s">
        <v>737</v>
      </c>
      <c r="FW185" s="49" t="s">
        <v>737</v>
      </c>
      <c r="FX185" s="49" t="s">
        <v>737</v>
      </c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</row>
    <row r="186" spans="1:207" ht="15.5" x14ac:dyDescent="0.35">
      <c r="A186" s="12" t="s">
        <v>926</v>
      </c>
      <c r="B186" s="7" t="s">
        <v>927</v>
      </c>
      <c r="C186" s="7">
        <f t="shared" ref="C186:FX186" si="88">IF(AND(OR(C185="Rural",C185="Small Rural"),C184&lt;6500),1,0)</f>
        <v>0</v>
      </c>
      <c r="D186" s="7">
        <f t="shared" si="88"/>
        <v>0</v>
      </c>
      <c r="E186" s="7">
        <f t="shared" si="88"/>
        <v>0</v>
      </c>
      <c r="F186" s="7">
        <f t="shared" si="88"/>
        <v>0</v>
      </c>
      <c r="G186" s="7">
        <f t="shared" si="88"/>
        <v>1</v>
      </c>
      <c r="H186" s="7">
        <f t="shared" si="88"/>
        <v>1</v>
      </c>
      <c r="I186" s="7">
        <f t="shared" si="88"/>
        <v>0</v>
      </c>
      <c r="J186" s="7">
        <f t="shared" si="88"/>
        <v>1</v>
      </c>
      <c r="K186" s="7">
        <f t="shared" si="88"/>
        <v>1</v>
      </c>
      <c r="L186" s="7">
        <f t="shared" si="88"/>
        <v>0</v>
      </c>
      <c r="M186" s="7">
        <f t="shared" si="88"/>
        <v>0</v>
      </c>
      <c r="N186" s="7">
        <f t="shared" si="88"/>
        <v>0</v>
      </c>
      <c r="O186" s="7">
        <f t="shared" si="88"/>
        <v>0</v>
      </c>
      <c r="P186" s="7">
        <f t="shared" si="88"/>
        <v>1</v>
      </c>
      <c r="Q186" s="7">
        <f t="shared" si="88"/>
        <v>0</v>
      </c>
      <c r="R186" s="7">
        <f t="shared" si="88"/>
        <v>0</v>
      </c>
      <c r="S186" s="7">
        <f t="shared" si="88"/>
        <v>1</v>
      </c>
      <c r="T186" s="7">
        <f t="shared" si="88"/>
        <v>1</v>
      </c>
      <c r="U186" s="7">
        <f t="shared" si="88"/>
        <v>1</v>
      </c>
      <c r="V186" s="7">
        <f t="shared" si="88"/>
        <v>1</v>
      </c>
      <c r="W186" s="7">
        <f t="shared" si="88"/>
        <v>1</v>
      </c>
      <c r="X186" s="7">
        <f t="shared" si="88"/>
        <v>1</v>
      </c>
      <c r="Y186" s="7">
        <f t="shared" si="88"/>
        <v>1</v>
      </c>
      <c r="Z186" s="7">
        <f t="shared" si="88"/>
        <v>1</v>
      </c>
      <c r="AA186" s="7">
        <f t="shared" si="88"/>
        <v>0</v>
      </c>
      <c r="AB186" s="7">
        <f t="shared" si="88"/>
        <v>0</v>
      </c>
      <c r="AC186" s="7">
        <f t="shared" si="88"/>
        <v>1</v>
      </c>
      <c r="AD186" s="7">
        <f t="shared" si="88"/>
        <v>1</v>
      </c>
      <c r="AE186" s="7">
        <f t="shared" si="88"/>
        <v>1</v>
      </c>
      <c r="AF186" s="7">
        <f t="shared" si="88"/>
        <v>1</v>
      </c>
      <c r="AG186" s="7">
        <f t="shared" si="88"/>
        <v>1</v>
      </c>
      <c r="AH186" s="7">
        <f t="shared" si="88"/>
        <v>1</v>
      </c>
      <c r="AI186" s="7">
        <f t="shared" si="88"/>
        <v>1</v>
      </c>
      <c r="AJ186" s="7">
        <f t="shared" si="88"/>
        <v>1</v>
      </c>
      <c r="AK186" s="7">
        <f t="shared" si="88"/>
        <v>1</v>
      </c>
      <c r="AL186" s="7">
        <f t="shared" si="88"/>
        <v>1</v>
      </c>
      <c r="AM186" s="7">
        <f t="shared" si="88"/>
        <v>1</v>
      </c>
      <c r="AN186" s="7">
        <f t="shared" si="88"/>
        <v>1</v>
      </c>
      <c r="AO186" s="7">
        <f t="shared" si="88"/>
        <v>1</v>
      </c>
      <c r="AP186" s="7">
        <f t="shared" si="88"/>
        <v>0</v>
      </c>
      <c r="AQ186" s="7">
        <f t="shared" si="88"/>
        <v>1</v>
      </c>
      <c r="AR186" s="7">
        <f t="shared" si="88"/>
        <v>0</v>
      </c>
      <c r="AS186" s="7">
        <f t="shared" si="88"/>
        <v>0</v>
      </c>
      <c r="AT186" s="7">
        <f t="shared" si="88"/>
        <v>1</v>
      </c>
      <c r="AU186" s="7">
        <f t="shared" si="88"/>
        <v>1</v>
      </c>
      <c r="AV186" s="7">
        <f t="shared" si="88"/>
        <v>1</v>
      </c>
      <c r="AW186" s="7">
        <f t="shared" si="88"/>
        <v>1</v>
      </c>
      <c r="AX186" s="7">
        <f t="shared" si="88"/>
        <v>1</v>
      </c>
      <c r="AY186" s="7">
        <f t="shared" si="88"/>
        <v>1</v>
      </c>
      <c r="AZ186" s="7">
        <f t="shared" si="88"/>
        <v>0</v>
      </c>
      <c r="BA186" s="7">
        <f t="shared" si="88"/>
        <v>0</v>
      </c>
      <c r="BB186" s="7">
        <f t="shared" si="88"/>
        <v>0</v>
      </c>
      <c r="BC186" s="7">
        <f t="shared" si="88"/>
        <v>0</v>
      </c>
      <c r="BD186" s="7">
        <f t="shared" si="88"/>
        <v>0</v>
      </c>
      <c r="BE186" s="7">
        <f t="shared" si="88"/>
        <v>0</v>
      </c>
      <c r="BF186" s="7">
        <f t="shared" si="88"/>
        <v>0</v>
      </c>
      <c r="BG186" s="7">
        <f t="shared" si="88"/>
        <v>1</v>
      </c>
      <c r="BH186" s="7">
        <f t="shared" si="88"/>
        <v>1</v>
      </c>
      <c r="BI186" s="7">
        <f t="shared" si="88"/>
        <v>1</v>
      </c>
      <c r="BJ186" s="7">
        <f t="shared" si="88"/>
        <v>0</v>
      </c>
      <c r="BK186" s="7">
        <f t="shared" si="88"/>
        <v>0</v>
      </c>
      <c r="BL186" s="7">
        <f t="shared" si="88"/>
        <v>1</v>
      </c>
      <c r="BM186" s="7">
        <f t="shared" si="88"/>
        <v>1</v>
      </c>
      <c r="BN186" s="7">
        <f t="shared" si="88"/>
        <v>1</v>
      </c>
      <c r="BO186" s="7">
        <f t="shared" si="88"/>
        <v>1</v>
      </c>
      <c r="BP186" s="7">
        <f t="shared" si="88"/>
        <v>1</v>
      </c>
      <c r="BQ186" s="7">
        <f t="shared" si="88"/>
        <v>1</v>
      </c>
      <c r="BR186" s="7">
        <f t="shared" si="88"/>
        <v>1</v>
      </c>
      <c r="BS186" s="7">
        <f t="shared" si="88"/>
        <v>1</v>
      </c>
      <c r="BT186" s="7">
        <f t="shared" si="88"/>
        <v>1</v>
      </c>
      <c r="BU186" s="7">
        <f t="shared" si="88"/>
        <v>1</v>
      </c>
      <c r="BV186" s="7">
        <f t="shared" si="88"/>
        <v>1</v>
      </c>
      <c r="BW186" s="7">
        <f t="shared" si="88"/>
        <v>1</v>
      </c>
      <c r="BX186" s="7">
        <f t="shared" si="88"/>
        <v>1</v>
      </c>
      <c r="BY186" s="7">
        <f t="shared" si="88"/>
        <v>1</v>
      </c>
      <c r="BZ186" s="7">
        <f t="shared" si="88"/>
        <v>1</v>
      </c>
      <c r="CA186" s="7">
        <f t="shared" si="88"/>
        <v>1</v>
      </c>
      <c r="CB186" s="7">
        <f t="shared" si="88"/>
        <v>0</v>
      </c>
      <c r="CC186" s="7">
        <f t="shared" si="88"/>
        <v>1</v>
      </c>
      <c r="CD186" s="7">
        <f t="shared" si="88"/>
        <v>1</v>
      </c>
      <c r="CE186" s="7">
        <f t="shared" si="88"/>
        <v>1</v>
      </c>
      <c r="CF186" s="7">
        <f t="shared" si="88"/>
        <v>1</v>
      </c>
      <c r="CG186" s="7">
        <f t="shared" si="88"/>
        <v>1</v>
      </c>
      <c r="CH186" s="7">
        <f t="shared" si="88"/>
        <v>1</v>
      </c>
      <c r="CI186" s="7">
        <f t="shared" si="88"/>
        <v>1</v>
      </c>
      <c r="CJ186" s="7">
        <f t="shared" si="88"/>
        <v>1</v>
      </c>
      <c r="CK186" s="7">
        <f t="shared" si="88"/>
        <v>1</v>
      </c>
      <c r="CL186" s="7">
        <f t="shared" si="88"/>
        <v>1</v>
      </c>
      <c r="CM186" s="7">
        <f t="shared" si="88"/>
        <v>1</v>
      </c>
      <c r="CN186" s="7">
        <f t="shared" si="88"/>
        <v>0</v>
      </c>
      <c r="CO186" s="7">
        <f t="shared" si="88"/>
        <v>0</v>
      </c>
      <c r="CP186" s="7">
        <f t="shared" si="88"/>
        <v>1</v>
      </c>
      <c r="CQ186" s="7">
        <f t="shared" si="88"/>
        <v>1</v>
      </c>
      <c r="CR186" s="7">
        <f t="shared" si="88"/>
        <v>1</v>
      </c>
      <c r="CS186" s="7">
        <f t="shared" si="88"/>
        <v>1</v>
      </c>
      <c r="CT186" s="7">
        <f t="shared" si="88"/>
        <v>1</v>
      </c>
      <c r="CU186" s="7">
        <f t="shared" si="88"/>
        <v>1</v>
      </c>
      <c r="CV186" s="7">
        <f t="shared" si="88"/>
        <v>1</v>
      </c>
      <c r="CW186" s="7">
        <f t="shared" si="88"/>
        <v>1</v>
      </c>
      <c r="CX186" s="7">
        <f t="shared" si="88"/>
        <v>1</v>
      </c>
      <c r="CY186" s="7">
        <f t="shared" si="88"/>
        <v>1</v>
      </c>
      <c r="CZ186" s="7">
        <f t="shared" si="88"/>
        <v>1</v>
      </c>
      <c r="DA186" s="7">
        <f t="shared" si="88"/>
        <v>1</v>
      </c>
      <c r="DB186" s="7">
        <f t="shared" si="88"/>
        <v>1</v>
      </c>
      <c r="DC186" s="7">
        <f t="shared" si="88"/>
        <v>1</v>
      </c>
      <c r="DD186" s="7">
        <f t="shared" si="88"/>
        <v>1</v>
      </c>
      <c r="DE186" s="7">
        <f t="shared" si="88"/>
        <v>1</v>
      </c>
      <c r="DF186" s="7">
        <f t="shared" si="88"/>
        <v>0</v>
      </c>
      <c r="DG186" s="7">
        <f t="shared" si="88"/>
        <v>1</v>
      </c>
      <c r="DH186" s="7">
        <f t="shared" si="88"/>
        <v>1</v>
      </c>
      <c r="DI186" s="7">
        <f t="shared" si="88"/>
        <v>1</v>
      </c>
      <c r="DJ186" s="7">
        <f t="shared" si="88"/>
        <v>1</v>
      </c>
      <c r="DK186" s="7">
        <f t="shared" si="88"/>
        <v>1</v>
      </c>
      <c r="DL186" s="7">
        <f t="shared" si="88"/>
        <v>1</v>
      </c>
      <c r="DM186" s="7">
        <f t="shared" si="88"/>
        <v>1</v>
      </c>
      <c r="DN186" s="7">
        <f t="shared" si="88"/>
        <v>1</v>
      </c>
      <c r="DO186" s="7">
        <f t="shared" si="88"/>
        <v>1</v>
      </c>
      <c r="DP186" s="7">
        <f t="shared" si="88"/>
        <v>1</v>
      </c>
      <c r="DQ186" s="7">
        <f t="shared" si="88"/>
        <v>1</v>
      </c>
      <c r="DR186" s="7">
        <f t="shared" si="88"/>
        <v>1</v>
      </c>
      <c r="DS186" s="7">
        <f t="shared" si="88"/>
        <v>1</v>
      </c>
      <c r="DT186" s="7">
        <f t="shared" si="88"/>
        <v>1</v>
      </c>
      <c r="DU186" s="7">
        <f t="shared" si="88"/>
        <v>1</v>
      </c>
      <c r="DV186" s="7">
        <f t="shared" si="88"/>
        <v>1</v>
      </c>
      <c r="DW186" s="7">
        <f t="shared" si="88"/>
        <v>1</v>
      </c>
      <c r="DX186" s="7">
        <f t="shared" si="88"/>
        <v>1</v>
      </c>
      <c r="DY186" s="7">
        <f t="shared" si="88"/>
        <v>1</v>
      </c>
      <c r="DZ186" s="7">
        <f t="shared" si="88"/>
        <v>1</v>
      </c>
      <c r="EA186" s="7">
        <f t="shared" si="88"/>
        <v>1</v>
      </c>
      <c r="EB186" s="7">
        <f t="shared" si="88"/>
        <v>1</v>
      </c>
      <c r="EC186" s="7">
        <f t="shared" si="88"/>
        <v>1</v>
      </c>
      <c r="ED186" s="7">
        <f t="shared" si="88"/>
        <v>1</v>
      </c>
      <c r="EE186" s="7">
        <f t="shared" si="88"/>
        <v>1</v>
      </c>
      <c r="EF186" s="7">
        <f t="shared" si="88"/>
        <v>1</v>
      </c>
      <c r="EG186" s="7">
        <f t="shared" si="88"/>
        <v>1</v>
      </c>
      <c r="EH186" s="7">
        <f t="shared" si="88"/>
        <v>1</v>
      </c>
      <c r="EI186" s="7">
        <f t="shared" si="88"/>
        <v>0</v>
      </c>
      <c r="EJ186" s="7">
        <f t="shared" si="88"/>
        <v>0</v>
      </c>
      <c r="EK186" s="7">
        <f t="shared" si="88"/>
        <v>1</v>
      </c>
      <c r="EL186" s="7">
        <f t="shared" si="88"/>
        <v>1</v>
      </c>
      <c r="EM186" s="7">
        <f t="shared" si="88"/>
        <v>1</v>
      </c>
      <c r="EN186" s="7">
        <f t="shared" si="88"/>
        <v>1</v>
      </c>
      <c r="EO186" s="7">
        <f t="shared" si="88"/>
        <v>1</v>
      </c>
      <c r="EP186" s="7">
        <f t="shared" si="88"/>
        <v>1</v>
      </c>
      <c r="EQ186" s="7">
        <f t="shared" si="88"/>
        <v>1</v>
      </c>
      <c r="ER186" s="7">
        <f t="shared" si="88"/>
        <v>1</v>
      </c>
      <c r="ES186" s="7">
        <f t="shared" si="88"/>
        <v>1</v>
      </c>
      <c r="ET186" s="7">
        <f t="shared" si="88"/>
        <v>1</v>
      </c>
      <c r="EU186" s="7">
        <f t="shared" si="88"/>
        <v>1</v>
      </c>
      <c r="EV186" s="7">
        <f t="shared" si="88"/>
        <v>1</v>
      </c>
      <c r="EW186" s="7">
        <f t="shared" si="88"/>
        <v>1</v>
      </c>
      <c r="EX186" s="7">
        <f t="shared" si="88"/>
        <v>1</v>
      </c>
      <c r="EY186" s="7">
        <f t="shared" si="88"/>
        <v>1</v>
      </c>
      <c r="EZ186" s="7">
        <f t="shared" si="88"/>
        <v>1</v>
      </c>
      <c r="FA186" s="7">
        <f t="shared" si="88"/>
        <v>1</v>
      </c>
      <c r="FB186" s="7">
        <f t="shared" si="88"/>
        <v>1</v>
      </c>
      <c r="FC186" s="7">
        <f t="shared" si="88"/>
        <v>1</v>
      </c>
      <c r="FD186" s="7">
        <f t="shared" si="88"/>
        <v>1</v>
      </c>
      <c r="FE186" s="7">
        <f t="shared" si="88"/>
        <v>1</v>
      </c>
      <c r="FF186" s="7">
        <f t="shared" si="88"/>
        <v>1</v>
      </c>
      <c r="FG186" s="7">
        <f t="shared" si="88"/>
        <v>1</v>
      </c>
      <c r="FH186" s="7">
        <f t="shared" si="88"/>
        <v>1</v>
      </c>
      <c r="FI186" s="7">
        <f t="shared" si="88"/>
        <v>1</v>
      </c>
      <c r="FJ186" s="7">
        <f t="shared" si="88"/>
        <v>1</v>
      </c>
      <c r="FK186" s="7">
        <f t="shared" si="88"/>
        <v>1</v>
      </c>
      <c r="FL186" s="7">
        <f t="shared" si="88"/>
        <v>0</v>
      </c>
      <c r="FM186" s="7">
        <f t="shared" si="88"/>
        <v>1</v>
      </c>
      <c r="FN186" s="7">
        <f t="shared" si="88"/>
        <v>0</v>
      </c>
      <c r="FO186" s="7">
        <f t="shared" si="88"/>
        <v>1</v>
      </c>
      <c r="FP186" s="7">
        <f t="shared" si="88"/>
        <v>1</v>
      </c>
      <c r="FQ186" s="7">
        <f t="shared" si="88"/>
        <v>1</v>
      </c>
      <c r="FR186" s="7">
        <f t="shared" si="88"/>
        <v>1</v>
      </c>
      <c r="FS186" s="7">
        <f t="shared" si="88"/>
        <v>1</v>
      </c>
      <c r="FT186" s="7" t="e">
        <f t="shared" ca="1" si="88"/>
        <v>#NAME?</v>
      </c>
      <c r="FU186" s="7">
        <f t="shared" si="88"/>
        <v>1</v>
      </c>
      <c r="FV186" s="7">
        <f t="shared" si="88"/>
        <v>1</v>
      </c>
      <c r="FW186" s="7">
        <f t="shared" si="88"/>
        <v>1</v>
      </c>
      <c r="FX186" s="7">
        <f t="shared" si="88"/>
        <v>1</v>
      </c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</row>
    <row r="187" spans="1:207" ht="15.5" x14ac:dyDescent="0.35">
      <c r="A187" s="12" t="s">
        <v>928</v>
      </c>
      <c r="B187" s="7" t="s">
        <v>929</v>
      </c>
      <c r="C187" s="7">
        <f t="shared" ref="C187:FX187" si="89">ROUND(IF(AND(C186=1,C184&lt;1000),C184*$D$1,IF(AND(C186=1,C184&lt;6500),C184*$D$2,0)),2)</f>
        <v>0</v>
      </c>
      <c r="D187" s="7">
        <f t="shared" si="89"/>
        <v>0</v>
      </c>
      <c r="E187" s="7">
        <f t="shared" si="89"/>
        <v>0</v>
      </c>
      <c r="F187" s="7">
        <f t="shared" si="89"/>
        <v>0</v>
      </c>
      <c r="G187" s="7">
        <f t="shared" si="89"/>
        <v>335587.05</v>
      </c>
      <c r="H187" s="7">
        <f t="shared" si="89"/>
        <v>199478.76</v>
      </c>
      <c r="I187" s="7">
        <f t="shared" si="89"/>
        <v>0</v>
      </c>
      <c r="J187" s="7">
        <f t="shared" si="89"/>
        <v>375930.25</v>
      </c>
      <c r="K187" s="7">
        <f t="shared" si="89"/>
        <v>121213.69</v>
      </c>
      <c r="L187" s="7">
        <f t="shared" si="89"/>
        <v>0</v>
      </c>
      <c r="M187" s="7">
        <f t="shared" si="89"/>
        <v>0</v>
      </c>
      <c r="N187" s="7">
        <f t="shared" si="89"/>
        <v>0</v>
      </c>
      <c r="O187" s="7">
        <f t="shared" si="89"/>
        <v>0</v>
      </c>
      <c r="P187" s="7">
        <f t="shared" si="89"/>
        <v>151842.17000000001</v>
      </c>
      <c r="Q187" s="7">
        <f t="shared" si="89"/>
        <v>0</v>
      </c>
      <c r="R187" s="7">
        <f t="shared" si="89"/>
        <v>0</v>
      </c>
      <c r="S187" s="7">
        <f t="shared" si="89"/>
        <v>292006.21000000002</v>
      </c>
      <c r="T187" s="7">
        <f t="shared" si="89"/>
        <v>77582.539999999994</v>
      </c>
      <c r="U187" s="7">
        <f t="shared" si="89"/>
        <v>26727.69</v>
      </c>
      <c r="V187" s="7">
        <f t="shared" si="89"/>
        <v>123477.11</v>
      </c>
      <c r="W187" s="7">
        <f t="shared" si="89"/>
        <v>28750.33</v>
      </c>
      <c r="X187" s="7">
        <f t="shared" si="89"/>
        <v>24079</v>
      </c>
      <c r="Y187" s="7">
        <f t="shared" si="89"/>
        <v>432121.73</v>
      </c>
      <c r="Z187" s="7">
        <f t="shared" si="89"/>
        <v>111293.14</v>
      </c>
      <c r="AA187" s="7">
        <f t="shared" si="89"/>
        <v>0</v>
      </c>
      <c r="AB187" s="7">
        <f t="shared" si="89"/>
        <v>0</v>
      </c>
      <c r="AC187" s="7">
        <f t="shared" si="89"/>
        <v>436455.95</v>
      </c>
      <c r="AD187" s="7">
        <f t="shared" si="89"/>
        <v>262212.62</v>
      </c>
      <c r="AE187" s="7">
        <f t="shared" si="89"/>
        <v>46713.26</v>
      </c>
      <c r="AF187" s="7">
        <f t="shared" si="89"/>
        <v>80664.649999999994</v>
      </c>
      <c r="AG187" s="7">
        <f t="shared" si="89"/>
        <v>289477.74</v>
      </c>
      <c r="AH187" s="7">
        <f t="shared" si="89"/>
        <v>461209.17</v>
      </c>
      <c r="AI187" s="7">
        <f t="shared" si="89"/>
        <v>184445.14</v>
      </c>
      <c r="AJ187" s="7">
        <f t="shared" si="89"/>
        <v>87406.77</v>
      </c>
      <c r="AK187" s="7">
        <f t="shared" si="89"/>
        <v>79797.81</v>
      </c>
      <c r="AL187" s="7">
        <f t="shared" si="89"/>
        <v>138935.82999999999</v>
      </c>
      <c r="AM187" s="7">
        <f t="shared" si="89"/>
        <v>169805.11</v>
      </c>
      <c r="AN187" s="7">
        <f t="shared" si="89"/>
        <v>144714.79</v>
      </c>
      <c r="AO187" s="7">
        <f t="shared" si="89"/>
        <v>801498.29</v>
      </c>
      <c r="AP187" s="7">
        <f t="shared" si="89"/>
        <v>0</v>
      </c>
      <c r="AQ187" s="7">
        <f t="shared" si="89"/>
        <v>120876.58</v>
      </c>
      <c r="AR187" s="7">
        <f t="shared" si="89"/>
        <v>0</v>
      </c>
      <c r="AS187" s="7">
        <f t="shared" si="89"/>
        <v>0</v>
      </c>
      <c r="AT187" s="7">
        <f t="shared" si="89"/>
        <v>429842.45</v>
      </c>
      <c r="AU187" s="7">
        <f t="shared" si="89"/>
        <v>130508.18</v>
      </c>
      <c r="AV187" s="7">
        <f t="shared" si="89"/>
        <v>147074.53</v>
      </c>
      <c r="AW187" s="7">
        <f t="shared" si="89"/>
        <v>123766.06</v>
      </c>
      <c r="AX187" s="7">
        <f t="shared" si="89"/>
        <v>39007.980000000003</v>
      </c>
      <c r="AY187" s="7">
        <f t="shared" si="89"/>
        <v>195906.74</v>
      </c>
      <c r="AZ187" s="7">
        <f t="shared" si="89"/>
        <v>0</v>
      </c>
      <c r="BA187" s="7">
        <f t="shared" si="89"/>
        <v>0</v>
      </c>
      <c r="BB187" s="7">
        <f t="shared" si="89"/>
        <v>0</v>
      </c>
      <c r="BC187" s="7">
        <f t="shared" si="89"/>
        <v>0</v>
      </c>
      <c r="BD187" s="7">
        <f t="shared" si="89"/>
        <v>0</v>
      </c>
      <c r="BE187" s="7">
        <f t="shared" si="89"/>
        <v>0</v>
      </c>
      <c r="BF187" s="7">
        <f t="shared" si="89"/>
        <v>0</v>
      </c>
      <c r="BG187" s="7">
        <f t="shared" si="89"/>
        <v>443342.55</v>
      </c>
      <c r="BH187" s="7">
        <f t="shared" si="89"/>
        <v>281001.93</v>
      </c>
      <c r="BI187" s="7">
        <f t="shared" si="89"/>
        <v>123958.69</v>
      </c>
      <c r="BJ187" s="7">
        <f t="shared" si="89"/>
        <v>0</v>
      </c>
      <c r="BK187" s="7">
        <f t="shared" si="89"/>
        <v>0</v>
      </c>
      <c r="BL187" s="7">
        <f t="shared" si="89"/>
        <v>37226.129999999997</v>
      </c>
      <c r="BM187" s="7">
        <f t="shared" si="89"/>
        <v>173031.69</v>
      </c>
      <c r="BN187" s="7">
        <f t="shared" si="89"/>
        <v>572153.18000000005</v>
      </c>
      <c r="BO187" s="7">
        <f t="shared" si="89"/>
        <v>228690.3</v>
      </c>
      <c r="BP187" s="7">
        <f t="shared" si="89"/>
        <v>77245.429999999993</v>
      </c>
      <c r="BQ187" s="7">
        <f t="shared" si="89"/>
        <v>1070822.81</v>
      </c>
      <c r="BR187" s="7">
        <f t="shared" si="89"/>
        <v>816395.08</v>
      </c>
      <c r="BS187" s="7">
        <f t="shared" si="89"/>
        <v>210646.81</v>
      </c>
      <c r="BT187" s="7">
        <f t="shared" si="89"/>
        <v>179388.55</v>
      </c>
      <c r="BU187" s="7">
        <f t="shared" si="89"/>
        <v>189598.05</v>
      </c>
      <c r="BV187" s="7">
        <f t="shared" si="89"/>
        <v>226507.62</v>
      </c>
      <c r="BW187" s="7">
        <f t="shared" si="89"/>
        <v>366963.08</v>
      </c>
      <c r="BX187" s="7">
        <f t="shared" si="89"/>
        <v>32025.07</v>
      </c>
      <c r="BY187" s="7">
        <f t="shared" si="89"/>
        <v>207416.51</v>
      </c>
      <c r="BZ187" s="7">
        <f t="shared" si="89"/>
        <v>109800.24</v>
      </c>
      <c r="CA187" s="7">
        <f t="shared" si="89"/>
        <v>70407</v>
      </c>
      <c r="CB187" s="7">
        <f t="shared" si="89"/>
        <v>0</v>
      </c>
      <c r="CC187" s="7">
        <f t="shared" si="89"/>
        <v>91163.09</v>
      </c>
      <c r="CD187" s="7">
        <f t="shared" si="89"/>
        <v>24079</v>
      </c>
      <c r="CE187" s="7">
        <f t="shared" si="89"/>
        <v>76234.11</v>
      </c>
      <c r="CF187" s="7">
        <f t="shared" si="89"/>
        <v>54177.75</v>
      </c>
      <c r="CG187" s="7">
        <f t="shared" si="89"/>
        <v>96267.839999999997</v>
      </c>
      <c r="CH187" s="7">
        <f t="shared" si="89"/>
        <v>46472.47</v>
      </c>
      <c r="CI187" s="7">
        <f t="shared" si="89"/>
        <v>331278.88</v>
      </c>
      <c r="CJ187" s="7">
        <f t="shared" si="89"/>
        <v>420082.23</v>
      </c>
      <c r="CK187" s="7">
        <f t="shared" si="89"/>
        <v>893352.74</v>
      </c>
      <c r="CL187" s="7">
        <f t="shared" si="89"/>
        <v>225161.63</v>
      </c>
      <c r="CM187" s="7">
        <f t="shared" si="89"/>
        <v>331038.09000000003</v>
      </c>
      <c r="CN187" s="7">
        <f t="shared" si="89"/>
        <v>0</v>
      </c>
      <c r="CO187" s="7">
        <f t="shared" si="89"/>
        <v>0</v>
      </c>
      <c r="CP187" s="7">
        <f t="shared" si="89"/>
        <v>449988.35</v>
      </c>
      <c r="CQ187" s="7">
        <f t="shared" si="89"/>
        <v>370864.76</v>
      </c>
      <c r="CR187" s="7">
        <f t="shared" si="89"/>
        <v>103924.96</v>
      </c>
      <c r="CS187" s="7">
        <f t="shared" si="89"/>
        <v>137491.09</v>
      </c>
      <c r="CT187" s="7">
        <f t="shared" si="89"/>
        <v>54659.33</v>
      </c>
      <c r="CU187" s="7">
        <f t="shared" si="89"/>
        <v>226246.28</v>
      </c>
      <c r="CV187" s="7">
        <f t="shared" si="89"/>
        <v>24079</v>
      </c>
      <c r="CW187" s="7">
        <f t="shared" si="89"/>
        <v>95689.95</v>
      </c>
      <c r="CX187" s="7">
        <f t="shared" si="89"/>
        <v>222201.01</v>
      </c>
      <c r="CY187" s="7">
        <f t="shared" si="89"/>
        <v>24079</v>
      </c>
      <c r="CZ187" s="7">
        <f t="shared" si="89"/>
        <v>328638.84999999998</v>
      </c>
      <c r="DA187" s="7">
        <f t="shared" si="89"/>
        <v>98001.53</v>
      </c>
      <c r="DB187" s="7">
        <f t="shared" si="89"/>
        <v>152082.96</v>
      </c>
      <c r="DC187" s="7">
        <f t="shared" si="89"/>
        <v>92944.94</v>
      </c>
      <c r="DD187" s="7">
        <f t="shared" si="89"/>
        <v>84035.71</v>
      </c>
      <c r="DE187" s="7">
        <f t="shared" si="89"/>
        <v>137394.76999999999</v>
      </c>
      <c r="DF187" s="7">
        <f t="shared" si="89"/>
        <v>0</v>
      </c>
      <c r="DG187" s="7">
        <f t="shared" si="89"/>
        <v>45027.73</v>
      </c>
      <c r="DH187" s="7">
        <f t="shared" si="89"/>
        <v>328384.21000000002</v>
      </c>
      <c r="DI187" s="7">
        <f t="shared" si="89"/>
        <v>446048.85</v>
      </c>
      <c r="DJ187" s="7">
        <f t="shared" si="89"/>
        <v>300505.92</v>
      </c>
      <c r="DK187" s="7">
        <f t="shared" si="89"/>
        <v>230532.35</v>
      </c>
      <c r="DL187" s="7">
        <f t="shared" si="89"/>
        <v>1035681.66</v>
      </c>
      <c r="DM187" s="7">
        <f t="shared" si="89"/>
        <v>113171.3</v>
      </c>
      <c r="DN187" s="7">
        <f t="shared" si="89"/>
        <v>235729.44</v>
      </c>
      <c r="DO187" s="7">
        <f t="shared" si="89"/>
        <v>598418.1</v>
      </c>
      <c r="DP187" s="7">
        <f t="shared" si="89"/>
        <v>96316</v>
      </c>
      <c r="DQ187" s="7">
        <f t="shared" si="89"/>
        <v>427643.04</v>
      </c>
      <c r="DR187" s="7">
        <f t="shared" si="89"/>
        <v>239221.73</v>
      </c>
      <c r="DS187" s="7">
        <f t="shared" si="89"/>
        <v>288899.84000000003</v>
      </c>
      <c r="DT187" s="7">
        <f t="shared" si="89"/>
        <v>84998.87</v>
      </c>
      <c r="DU187" s="7">
        <f t="shared" si="89"/>
        <v>169227.21</v>
      </c>
      <c r="DV187" s="7">
        <f t="shared" si="89"/>
        <v>100168.64</v>
      </c>
      <c r="DW187" s="7">
        <f t="shared" si="89"/>
        <v>144570.32</v>
      </c>
      <c r="DX187" s="7">
        <f t="shared" si="89"/>
        <v>80905.440000000002</v>
      </c>
      <c r="DY187" s="7">
        <f t="shared" si="89"/>
        <v>142836.63</v>
      </c>
      <c r="DZ187" s="7">
        <f t="shared" si="89"/>
        <v>328341.24</v>
      </c>
      <c r="EA187" s="7">
        <f t="shared" si="89"/>
        <v>255526.35</v>
      </c>
      <c r="EB187" s="7">
        <f t="shared" si="89"/>
        <v>257356.35</v>
      </c>
      <c r="EC187" s="7">
        <f t="shared" si="89"/>
        <v>137298.46</v>
      </c>
      <c r="ED187" s="7">
        <f t="shared" si="89"/>
        <v>284075.8</v>
      </c>
      <c r="EE187" s="7">
        <f t="shared" si="89"/>
        <v>92270.73</v>
      </c>
      <c r="EF187" s="7">
        <f t="shared" si="89"/>
        <v>246497.33</v>
      </c>
      <c r="EG187" s="7">
        <f t="shared" si="89"/>
        <v>122080.53</v>
      </c>
      <c r="EH187" s="7">
        <f t="shared" si="89"/>
        <v>119142.89</v>
      </c>
      <c r="EI187" s="7">
        <f t="shared" si="89"/>
        <v>0</v>
      </c>
      <c r="EJ187" s="7">
        <f t="shared" si="89"/>
        <v>0</v>
      </c>
      <c r="EK187" s="7">
        <f t="shared" si="89"/>
        <v>322032.55</v>
      </c>
      <c r="EL187" s="7">
        <f t="shared" si="89"/>
        <v>221237.85</v>
      </c>
      <c r="EM187" s="7">
        <f t="shared" si="89"/>
        <v>182085.4</v>
      </c>
      <c r="EN187" s="7">
        <f t="shared" si="89"/>
        <v>452637.04</v>
      </c>
      <c r="EO187" s="7">
        <f t="shared" si="89"/>
        <v>147074.53</v>
      </c>
      <c r="EP187" s="7">
        <f t="shared" si="89"/>
        <v>206357.03</v>
      </c>
      <c r="EQ187" s="7">
        <f t="shared" si="89"/>
        <v>475897</v>
      </c>
      <c r="ER187" s="7">
        <f t="shared" si="89"/>
        <v>149097.17000000001</v>
      </c>
      <c r="ES187" s="7">
        <f t="shared" si="89"/>
        <v>78497.539999999994</v>
      </c>
      <c r="ET187" s="7">
        <f t="shared" si="89"/>
        <v>95112.05</v>
      </c>
      <c r="EU187" s="7">
        <f t="shared" si="89"/>
        <v>277052.96999999997</v>
      </c>
      <c r="EV187" s="7">
        <f t="shared" si="89"/>
        <v>34962.71</v>
      </c>
      <c r="EW187" s="7">
        <f t="shared" si="89"/>
        <v>394606.65</v>
      </c>
      <c r="EX187" s="7">
        <f t="shared" si="89"/>
        <v>83554.13</v>
      </c>
      <c r="EY187" s="7">
        <f t="shared" si="89"/>
        <v>316157.27</v>
      </c>
      <c r="EZ187" s="7">
        <f t="shared" si="89"/>
        <v>62268.29</v>
      </c>
      <c r="FA187" s="7">
        <f t="shared" si="89"/>
        <v>617916.71</v>
      </c>
      <c r="FB187" s="7">
        <f t="shared" si="89"/>
        <v>138743.20000000001</v>
      </c>
      <c r="FC187" s="7">
        <f t="shared" si="89"/>
        <v>332167.52</v>
      </c>
      <c r="FD187" s="7">
        <f t="shared" si="89"/>
        <v>193595.16</v>
      </c>
      <c r="FE187" s="7">
        <f t="shared" si="89"/>
        <v>38044.82</v>
      </c>
      <c r="FF187" s="7">
        <f t="shared" si="89"/>
        <v>89092.3</v>
      </c>
      <c r="FG187" s="7">
        <f t="shared" si="89"/>
        <v>58174.86</v>
      </c>
      <c r="FH187" s="7">
        <f t="shared" si="89"/>
        <v>33710.6</v>
      </c>
      <c r="FI187" s="7">
        <f t="shared" si="89"/>
        <v>309667.73</v>
      </c>
      <c r="FJ187" s="7">
        <f t="shared" si="89"/>
        <v>366781.19</v>
      </c>
      <c r="FK187" s="7">
        <f t="shared" si="89"/>
        <v>460018</v>
      </c>
      <c r="FL187" s="7">
        <f t="shared" si="89"/>
        <v>0</v>
      </c>
      <c r="FM187" s="7">
        <f t="shared" si="89"/>
        <v>724195.04</v>
      </c>
      <c r="FN187" s="7">
        <f t="shared" si="89"/>
        <v>0</v>
      </c>
      <c r="FO187" s="7">
        <f t="shared" si="89"/>
        <v>203571.29</v>
      </c>
      <c r="FP187" s="7">
        <f t="shared" si="89"/>
        <v>425895.44</v>
      </c>
      <c r="FQ187" s="7">
        <f t="shared" si="89"/>
        <v>474308.14</v>
      </c>
      <c r="FR187" s="7">
        <f t="shared" si="89"/>
        <v>80953.600000000006</v>
      </c>
      <c r="FS187" s="7">
        <f t="shared" si="89"/>
        <v>81049.91</v>
      </c>
      <c r="FT187" s="7" t="e">
        <f t="shared" ca="1" si="89"/>
        <v>#NAME?</v>
      </c>
      <c r="FU187" s="7">
        <f t="shared" si="89"/>
        <v>380977.94</v>
      </c>
      <c r="FV187" s="7">
        <f t="shared" si="89"/>
        <v>334072.05</v>
      </c>
      <c r="FW187" s="7">
        <f t="shared" si="89"/>
        <v>71996.210000000006</v>
      </c>
      <c r="FX187" s="7">
        <f t="shared" si="89"/>
        <v>31061.91</v>
      </c>
      <c r="FY187" s="7"/>
      <c r="FZ187" s="7"/>
      <c r="GA187" s="62"/>
      <c r="GB187" s="7"/>
      <c r="GC187" s="7"/>
      <c r="GD187" s="7"/>
      <c r="GE187" s="7"/>
      <c r="GF187" s="7"/>
      <c r="GG187" s="7"/>
      <c r="GH187" s="7"/>
      <c r="GI187" s="7"/>
      <c r="GJ187" s="7"/>
      <c r="GK187" s="7"/>
    </row>
    <row r="188" spans="1:207" ht="15.5" x14ac:dyDescent="0.35">
      <c r="A188" s="12" t="s">
        <v>930</v>
      </c>
      <c r="B188" s="7" t="s">
        <v>931</v>
      </c>
      <c r="C188" s="7">
        <f t="shared" ref="C188:FX188" si="90">IF(C184&gt;=6500,0,IF(C185="Urban",0,MAX(C187,100000)))</f>
        <v>0</v>
      </c>
      <c r="D188" s="7">
        <f t="shared" si="90"/>
        <v>0</v>
      </c>
      <c r="E188" s="7">
        <f t="shared" si="90"/>
        <v>0</v>
      </c>
      <c r="F188" s="7">
        <f t="shared" si="90"/>
        <v>0</v>
      </c>
      <c r="G188" s="7">
        <f t="shared" si="90"/>
        <v>335587.05</v>
      </c>
      <c r="H188" s="7">
        <f t="shared" si="90"/>
        <v>199478.76</v>
      </c>
      <c r="I188" s="7">
        <f t="shared" si="90"/>
        <v>0</v>
      </c>
      <c r="J188" s="7">
        <f t="shared" si="90"/>
        <v>375930.25</v>
      </c>
      <c r="K188" s="7">
        <f t="shared" si="90"/>
        <v>121213.69</v>
      </c>
      <c r="L188" s="7">
        <f t="shared" si="90"/>
        <v>0</v>
      </c>
      <c r="M188" s="7">
        <f t="shared" si="90"/>
        <v>0</v>
      </c>
      <c r="N188" s="7">
        <f t="shared" si="90"/>
        <v>0</v>
      </c>
      <c r="O188" s="7">
        <f t="shared" si="90"/>
        <v>0</v>
      </c>
      <c r="P188" s="7">
        <f t="shared" si="90"/>
        <v>151842.17000000001</v>
      </c>
      <c r="Q188" s="7">
        <f t="shared" si="90"/>
        <v>0</v>
      </c>
      <c r="R188" s="7">
        <f t="shared" si="90"/>
        <v>0</v>
      </c>
      <c r="S188" s="7">
        <f t="shared" si="90"/>
        <v>292006.21000000002</v>
      </c>
      <c r="T188" s="7">
        <f t="shared" si="90"/>
        <v>100000</v>
      </c>
      <c r="U188" s="7">
        <f t="shared" si="90"/>
        <v>100000</v>
      </c>
      <c r="V188" s="7">
        <f t="shared" si="90"/>
        <v>123477.11</v>
      </c>
      <c r="W188" s="7">
        <f t="shared" si="90"/>
        <v>100000</v>
      </c>
      <c r="X188" s="7">
        <f t="shared" si="90"/>
        <v>100000</v>
      </c>
      <c r="Y188" s="7">
        <f t="shared" si="90"/>
        <v>432121.73</v>
      </c>
      <c r="Z188" s="7">
        <f t="shared" si="90"/>
        <v>111293.14</v>
      </c>
      <c r="AA188" s="7">
        <f t="shared" si="90"/>
        <v>0</v>
      </c>
      <c r="AB188" s="7">
        <f t="shared" si="90"/>
        <v>0</v>
      </c>
      <c r="AC188" s="7">
        <f t="shared" si="90"/>
        <v>436455.95</v>
      </c>
      <c r="AD188" s="7">
        <f t="shared" si="90"/>
        <v>262212.62</v>
      </c>
      <c r="AE188" s="7">
        <f t="shared" si="90"/>
        <v>100000</v>
      </c>
      <c r="AF188" s="7">
        <f t="shared" si="90"/>
        <v>100000</v>
      </c>
      <c r="AG188" s="7">
        <f t="shared" si="90"/>
        <v>289477.74</v>
      </c>
      <c r="AH188" s="7">
        <f t="shared" si="90"/>
        <v>461209.17</v>
      </c>
      <c r="AI188" s="7">
        <f t="shared" si="90"/>
        <v>184445.14</v>
      </c>
      <c r="AJ188" s="7">
        <f t="shared" si="90"/>
        <v>100000</v>
      </c>
      <c r="AK188" s="7">
        <f t="shared" si="90"/>
        <v>100000</v>
      </c>
      <c r="AL188" s="7">
        <f t="shared" si="90"/>
        <v>138935.82999999999</v>
      </c>
      <c r="AM188" s="7">
        <f t="shared" si="90"/>
        <v>169805.11</v>
      </c>
      <c r="AN188" s="7">
        <f t="shared" si="90"/>
        <v>144714.79</v>
      </c>
      <c r="AO188" s="7">
        <f t="shared" si="90"/>
        <v>801498.29</v>
      </c>
      <c r="AP188" s="7">
        <f t="shared" si="90"/>
        <v>0</v>
      </c>
      <c r="AQ188" s="7">
        <f t="shared" si="90"/>
        <v>120876.58</v>
      </c>
      <c r="AR188" s="7">
        <f t="shared" si="90"/>
        <v>0</v>
      </c>
      <c r="AS188" s="7">
        <f t="shared" si="90"/>
        <v>0</v>
      </c>
      <c r="AT188" s="7">
        <f t="shared" si="90"/>
        <v>429842.45</v>
      </c>
      <c r="AU188" s="7">
        <f t="shared" si="90"/>
        <v>130508.18</v>
      </c>
      <c r="AV188" s="7">
        <f t="shared" si="90"/>
        <v>147074.53</v>
      </c>
      <c r="AW188" s="7">
        <f t="shared" si="90"/>
        <v>123766.06</v>
      </c>
      <c r="AX188" s="7">
        <f t="shared" si="90"/>
        <v>100000</v>
      </c>
      <c r="AY188" s="7">
        <f t="shared" si="90"/>
        <v>195906.74</v>
      </c>
      <c r="AZ188" s="7">
        <f t="shared" si="90"/>
        <v>0</v>
      </c>
      <c r="BA188" s="7">
        <f t="shared" si="90"/>
        <v>0</v>
      </c>
      <c r="BB188" s="7">
        <f t="shared" si="90"/>
        <v>0</v>
      </c>
      <c r="BC188" s="7">
        <f t="shared" si="90"/>
        <v>0</v>
      </c>
      <c r="BD188" s="7">
        <f t="shared" si="90"/>
        <v>0</v>
      </c>
      <c r="BE188" s="7">
        <f t="shared" si="90"/>
        <v>0</v>
      </c>
      <c r="BF188" s="7">
        <f t="shared" si="90"/>
        <v>0</v>
      </c>
      <c r="BG188" s="7">
        <f t="shared" si="90"/>
        <v>443342.55</v>
      </c>
      <c r="BH188" s="7">
        <f t="shared" si="90"/>
        <v>281001.93</v>
      </c>
      <c r="BI188" s="7">
        <f t="shared" si="90"/>
        <v>123958.69</v>
      </c>
      <c r="BJ188" s="7">
        <f t="shared" si="90"/>
        <v>0</v>
      </c>
      <c r="BK188" s="7">
        <f t="shared" si="90"/>
        <v>0</v>
      </c>
      <c r="BL188" s="7">
        <f t="shared" si="90"/>
        <v>100000</v>
      </c>
      <c r="BM188" s="7">
        <f t="shared" si="90"/>
        <v>173031.69</v>
      </c>
      <c r="BN188" s="7">
        <f t="shared" si="90"/>
        <v>572153.18000000005</v>
      </c>
      <c r="BO188" s="7">
        <f t="shared" si="90"/>
        <v>228690.3</v>
      </c>
      <c r="BP188" s="7">
        <f t="shared" si="90"/>
        <v>100000</v>
      </c>
      <c r="BQ188" s="7">
        <f t="shared" si="90"/>
        <v>1070822.81</v>
      </c>
      <c r="BR188" s="7">
        <f t="shared" si="90"/>
        <v>816395.08</v>
      </c>
      <c r="BS188" s="7">
        <f t="shared" si="90"/>
        <v>210646.81</v>
      </c>
      <c r="BT188" s="7">
        <f t="shared" si="90"/>
        <v>179388.55</v>
      </c>
      <c r="BU188" s="7">
        <f t="shared" si="90"/>
        <v>189598.05</v>
      </c>
      <c r="BV188" s="7">
        <f t="shared" si="90"/>
        <v>226507.62</v>
      </c>
      <c r="BW188" s="7">
        <f t="shared" si="90"/>
        <v>366963.08</v>
      </c>
      <c r="BX188" s="7">
        <f t="shared" si="90"/>
        <v>100000</v>
      </c>
      <c r="BY188" s="7">
        <f t="shared" si="90"/>
        <v>207416.51</v>
      </c>
      <c r="BZ188" s="7">
        <f t="shared" si="90"/>
        <v>109800.24</v>
      </c>
      <c r="CA188" s="7">
        <f t="shared" si="90"/>
        <v>100000</v>
      </c>
      <c r="CB188" s="7">
        <f t="shared" si="90"/>
        <v>0</v>
      </c>
      <c r="CC188" s="7">
        <f t="shared" si="90"/>
        <v>100000</v>
      </c>
      <c r="CD188" s="7">
        <f t="shared" si="90"/>
        <v>100000</v>
      </c>
      <c r="CE188" s="7">
        <f t="shared" si="90"/>
        <v>100000</v>
      </c>
      <c r="CF188" s="7">
        <f t="shared" si="90"/>
        <v>100000</v>
      </c>
      <c r="CG188" s="7">
        <f t="shared" si="90"/>
        <v>100000</v>
      </c>
      <c r="CH188" s="7">
        <f t="shared" si="90"/>
        <v>100000</v>
      </c>
      <c r="CI188" s="7">
        <f t="shared" si="90"/>
        <v>331278.88</v>
      </c>
      <c r="CJ188" s="7">
        <f t="shared" si="90"/>
        <v>420082.23</v>
      </c>
      <c r="CK188" s="7">
        <f t="shared" si="90"/>
        <v>893352.74</v>
      </c>
      <c r="CL188" s="7">
        <f t="shared" si="90"/>
        <v>225161.63</v>
      </c>
      <c r="CM188" s="7">
        <f t="shared" si="90"/>
        <v>331038.09000000003</v>
      </c>
      <c r="CN188" s="7">
        <f t="shared" si="90"/>
        <v>0</v>
      </c>
      <c r="CO188" s="7">
        <f t="shared" si="90"/>
        <v>0</v>
      </c>
      <c r="CP188" s="7">
        <f t="shared" si="90"/>
        <v>449988.35</v>
      </c>
      <c r="CQ188" s="7">
        <f t="shared" si="90"/>
        <v>370864.76</v>
      </c>
      <c r="CR188" s="7">
        <f t="shared" si="90"/>
        <v>103924.96</v>
      </c>
      <c r="CS188" s="7">
        <f t="shared" si="90"/>
        <v>137491.09</v>
      </c>
      <c r="CT188" s="7">
        <f t="shared" si="90"/>
        <v>100000</v>
      </c>
      <c r="CU188" s="7">
        <f t="shared" si="90"/>
        <v>226246.28</v>
      </c>
      <c r="CV188" s="7">
        <f t="shared" si="90"/>
        <v>100000</v>
      </c>
      <c r="CW188" s="7">
        <f t="shared" si="90"/>
        <v>100000</v>
      </c>
      <c r="CX188" s="7">
        <f t="shared" si="90"/>
        <v>222201.01</v>
      </c>
      <c r="CY188" s="7">
        <f t="shared" si="90"/>
        <v>100000</v>
      </c>
      <c r="CZ188" s="7">
        <f t="shared" si="90"/>
        <v>328638.84999999998</v>
      </c>
      <c r="DA188" s="7">
        <f t="shared" si="90"/>
        <v>100000</v>
      </c>
      <c r="DB188" s="7">
        <f t="shared" si="90"/>
        <v>152082.96</v>
      </c>
      <c r="DC188" s="7">
        <f t="shared" si="90"/>
        <v>100000</v>
      </c>
      <c r="DD188" s="7">
        <f t="shared" si="90"/>
        <v>100000</v>
      </c>
      <c r="DE188" s="7">
        <f t="shared" si="90"/>
        <v>137394.76999999999</v>
      </c>
      <c r="DF188" s="7">
        <f t="shared" si="90"/>
        <v>0</v>
      </c>
      <c r="DG188" s="7">
        <f t="shared" si="90"/>
        <v>100000</v>
      </c>
      <c r="DH188" s="7">
        <f t="shared" si="90"/>
        <v>328384.21000000002</v>
      </c>
      <c r="DI188" s="7">
        <f t="shared" si="90"/>
        <v>446048.85</v>
      </c>
      <c r="DJ188" s="7">
        <f t="shared" si="90"/>
        <v>300505.92</v>
      </c>
      <c r="DK188" s="7">
        <f t="shared" si="90"/>
        <v>230532.35</v>
      </c>
      <c r="DL188" s="7">
        <f t="shared" si="90"/>
        <v>1035681.66</v>
      </c>
      <c r="DM188" s="7">
        <f t="shared" si="90"/>
        <v>113171.3</v>
      </c>
      <c r="DN188" s="7">
        <f t="shared" si="90"/>
        <v>235729.44</v>
      </c>
      <c r="DO188" s="7">
        <f t="shared" si="90"/>
        <v>598418.1</v>
      </c>
      <c r="DP188" s="7">
        <f t="shared" si="90"/>
        <v>100000</v>
      </c>
      <c r="DQ188" s="7">
        <f t="shared" si="90"/>
        <v>427643.04</v>
      </c>
      <c r="DR188" s="7">
        <f t="shared" si="90"/>
        <v>239221.73</v>
      </c>
      <c r="DS188" s="7">
        <f t="shared" si="90"/>
        <v>288899.84000000003</v>
      </c>
      <c r="DT188" s="7">
        <f t="shared" si="90"/>
        <v>100000</v>
      </c>
      <c r="DU188" s="7">
        <f t="shared" si="90"/>
        <v>169227.21</v>
      </c>
      <c r="DV188" s="7">
        <f t="shared" si="90"/>
        <v>100168.64</v>
      </c>
      <c r="DW188" s="7">
        <f t="shared" si="90"/>
        <v>144570.32</v>
      </c>
      <c r="DX188" s="7">
        <f t="shared" si="90"/>
        <v>100000</v>
      </c>
      <c r="DY188" s="7">
        <f t="shared" si="90"/>
        <v>142836.63</v>
      </c>
      <c r="DZ188" s="7">
        <f t="shared" si="90"/>
        <v>328341.24</v>
      </c>
      <c r="EA188" s="7">
        <f t="shared" si="90"/>
        <v>255526.35</v>
      </c>
      <c r="EB188" s="7">
        <f t="shared" si="90"/>
        <v>257356.35</v>
      </c>
      <c r="EC188" s="7">
        <f t="shared" si="90"/>
        <v>137298.46</v>
      </c>
      <c r="ED188" s="7">
        <f t="shared" si="90"/>
        <v>284075.8</v>
      </c>
      <c r="EE188" s="7">
        <f t="shared" si="90"/>
        <v>100000</v>
      </c>
      <c r="EF188" s="7">
        <f t="shared" si="90"/>
        <v>246497.33</v>
      </c>
      <c r="EG188" s="7">
        <f t="shared" si="90"/>
        <v>122080.53</v>
      </c>
      <c r="EH188" s="7">
        <f t="shared" si="90"/>
        <v>119142.89</v>
      </c>
      <c r="EI188" s="7">
        <f t="shared" si="90"/>
        <v>0</v>
      </c>
      <c r="EJ188" s="7">
        <f t="shared" si="90"/>
        <v>0</v>
      </c>
      <c r="EK188" s="7">
        <f t="shared" si="90"/>
        <v>322032.55</v>
      </c>
      <c r="EL188" s="7">
        <f t="shared" si="90"/>
        <v>221237.85</v>
      </c>
      <c r="EM188" s="7">
        <f t="shared" si="90"/>
        <v>182085.4</v>
      </c>
      <c r="EN188" s="7">
        <f t="shared" si="90"/>
        <v>452637.04</v>
      </c>
      <c r="EO188" s="7">
        <f t="shared" si="90"/>
        <v>147074.53</v>
      </c>
      <c r="EP188" s="7">
        <f t="shared" si="90"/>
        <v>206357.03</v>
      </c>
      <c r="EQ188" s="7">
        <f t="shared" si="90"/>
        <v>475897</v>
      </c>
      <c r="ER188" s="7">
        <f t="shared" si="90"/>
        <v>149097.17000000001</v>
      </c>
      <c r="ES188" s="7">
        <f t="shared" si="90"/>
        <v>100000</v>
      </c>
      <c r="ET188" s="7">
        <f t="shared" si="90"/>
        <v>100000</v>
      </c>
      <c r="EU188" s="7">
        <f t="shared" si="90"/>
        <v>277052.96999999997</v>
      </c>
      <c r="EV188" s="7">
        <f t="shared" si="90"/>
        <v>100000</v>
      </c>
      <c r="EW188" s="7">
        <f t="shared" si="90"/>
        <v>394606.65</v>
      </c>
      <c r="EX188" s="7">
        <f t="shared" si="90"/>
        <v>100000</v>
      </c>
      <c r="EY188" s="7">
        <f t="shared" si="90"/>
        <v>316157.27</v>
      </c>
      <c r="EZ188" s="7">
        <f t="shared" si="90"/>
        <v>100000</v>
      </c>
      <c r="FA188" s="7">
        <f t="shared" si="90"/>
        <v>617916.71</v>
      </c>
      <c r="FB188" s="7">
        <f t="shared" si="90"/>
        <v>138743.20000000001</v>
      </c>
      <c r="FC188" s="7">
        <f t="shared" si="90"/>
        <v>332167.52</v>
      </c>
      <c r="FD188" s="7">
        <f t="shared" si="90"/>
        <v>193595.16</v>
      </c>
      <c r="FE188" s="7">
        <f t="shared" si="90"/>
        <v>100000</v>
      </c>
      <c r="FF188" s="7">
        <f t="shared" si="90"/>
        <v>100000</v>
      </c>
      <c r="FG188" s="7">
        <f t="shared" si="90"/>
        <v>100000</v>
      </c>
      <c r="FH188" s="7">
        <f t="shared" si="90"/>
        <v>100000</v>
      </c>
      <c r="FI188" s="7">
        <f t="shared" si="90"/>
        <v>309667.73</v>
      </c>
      <c r="FJ188" s="7">
        <f t="shared" si="90"/>
        <v>366781.19</v>
      </c>
      <c r="FK188" s="7">
        <f t="shared" si="90"/>
        <v>460018</v>
      </c>
      <c r="FL188" s="7">
        <f t="shared" si="90"/>
        <v>0</v>
      </c>
      <c r="FM188" s="7">
        <f t="shared" si="90"/>
        <v>724195.04</v>
      </c>
      <c r="FN188" s="7">
        <f t="shared" si="90"/>
        <v>0</v>
      </c>
      <c r="FO188" s="7">
        <f t="shared" si="90"/>
        <v>203571.29</v>
      </c>
      <c r="FP188" s="7">
        <f t="shared" si="90"/>
        <v>425895.44</v>
      </c>
      <c r="FQ188" s="7">
        <f t="shared" si="90"/>
        <v>474308.14</v>
      </c>
      <c r="FR188" s="7">
        <f t="shared" si="90"/>
        <v>100000</v>
      </c>
      <c r="FS188" s="7">
        <f t="shared" si="90"/>
        <v>100000</v>
      </c>
      <c r="FT188" s="7" t="e">
        <f t="shared" ca="1" si="90"/>
        <v>#NAME?</v>
      </c>
      <c r="FU188" s="7">
        <f t="shared" si="90"/>
        <v>380977.94</v>
      </c>
      <c r="FV188" s="7">
        <f t="shared" si="90"/>
        <v>334072.05</v>
      </c>
      <c r="FW188" s="7">
        <f t="shared" si="90"/>
        <v>100000</v>
      </c>
      <c r="FX188" s="7">
        <f t="shared" si="90"/>
        <v>100000</v>
      </c>
      <c r="FY188" s="7"/>
      <c r="FZ188" s="7" t="e">
        <f ca="1">SUM(C188:FX188)</f>
        <v>#NAME?</v>
      </c>
      <c r="GA188" s="62"/>
      <c r="GB188" s="7" t="e">
        <f ca="1">FZ188-GA188</f>
        <v>#NAME?</v>
      </c>
      <c r="GC188" s="7"/>
      <c r="GD188" s="7"/>
      <c r="GE188" s="7"/>
      <c r="GF188" s="7"/>
      <c r="GG188" s="7"/>
      <c r="GH188" s="7"/>
      <c r="GI188" s="7"/>
      <c r="GJ188" s="7"/>
      <c r="GK188" s="7"/>
    </row>
    <row r="189" spans="1:207" ht="15.5" x14ac:dyDescent="0.35">
      <c r="A189" s="12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45"/>
      <c r="GB189" s="7"/>
      <c r="GC189" s="7"/>
      <c r="GD189" s="7"/>
      <c r="GE189" s="7"/>
      <c r="GF189" s="7"/>
      <c r="GG189" s="7"/>
      <c r="GH189" s="7"/>
      <c r="GI189" s="7"/>
      <c r="GJ189" s="7"/>
      <c r="GK189" s="7"/>
    </row>
    <row r="190" spans="1:207" ht="15.5" x14ac:dyDescent="0.35">
      <c r="A190" s="12" t="s">
        <v>684</v>
      </c>
      <c r="B190" s="5" t="s">
        <v>932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</row>
    <row r="191" spans="1:207" ht="15.5" x14ac:dyDescent="0.35">
      <c r="A191" s="12" t="s">
        <v>933</v>
      </c>
      <c r="B191" s="7" t="s">
        <v>934</v>
      </c>
      <c r="C191" s="7">
        <f t="shared" ref="C191:FX191" si="91">IF(C103&lt;=459,1,0)</f>
        <v>0</v>
      </c>
      <c r="D191" s="7">
        <f t="shared" si="91"/>
        <v>0</v>
      </c>
      <c r="E191" s="7">
        <f t="shared" si="91"/>
        <v>0</v>
      </c>
      <c r="F191" s="7">
        <f t="shared" si="91"/>
        <v>0</v>
      </c>
      <c r="G191" s="7">
        <f t="shared" si="91"/>
        <v>0</v>
      </c>
      <c r="H191" s="7">
        <f t="shared" si="91"/>
        <v>0</v>
      </c>
      <c r="I191" s="7">
        <f t="shared" si="91"/>
        <v>0</v>
      </c>
      <c r="J191" s="7">
        <f t="shared" si="91"/>
        <v>0</v>
      </c>
      <c r="K191" s="7">
        <f t="shared" si="91"/>
        <v>1</v>
      </c>
      <c r="L191" s="7">
        <f t="shared" si="91"/>
        <v>0</v>
      </c>
      <c r="M191" s="7">
        <f t="shared" si="91"/>
        <v>0</v>
      </c>
      <c r="N191" s="7">
        <f t="shared" si="91"/>
        <v>0</v>
      </c>
      <c r="O191" s="7">
        <f t="shared" si="91"/>
        <v>0</v>
      </c>
      <c r="P191" s="7">
        <f t="shared" si="91"/>
        <v>1</v>
      </c>
      <c r="Q191" s="7">
        <f t="shared" si="91"/>
        <v>0</v>
      </c>
      <c r="R191" s="7">
        <f t="shared" si="91"/>
        <v>0</v>
      </c>
      <c r="S191" s="7">
        <f t="shared" si="91"/>
        <v>0</v>
      </c>
      <c r="T191" s="7">
        <f t="shared" si="91"/>
        <v>1</v>
      </c>
      <c r="U191" s="7">
        <f t="shared" si="91"/>
        <v>1</v>
      </c>
      <c r="V191" s="7">
        <f t="shared" si="91"/>
        <v>1</v>
      </c>
      <c r="W191" s="7">
        <f t="shared" si="91"/>
        <v>1</v>
      </c>
      <c r="X191" s="7">
        <f t="shared" si="91"/>
        <v>1</v>
      </c>
      <c r="Y191" s="7">
        <f t="shared" si="91"/>
        <v>0</v>
      </c>
      <c r="Z191" s="7">
        <f t="shared" si="91"/>
        <v>1</v>
      </c>
      <c r="AA191" s="7">
        <f t="shared" si="91"/>
        <v>0</v>
      </c>
      <c r="AB191" s="7">
        <f t="shared" si="91"/>
        <v>0</v>
      </c>
      <c r="AC191" s="7">
        <f t="shared" si="91"/>
        <v>0</v>
      </c>
      <c r="AD191" s="7">
        <f t="shared" si="91"/>
        <v>0</v>
      </c>
      <c r="AE191" s="7">
        <f t="shared" si="91"/>
        <v>1</v>
      </c>
      <c r="AF191" s="7">
        <f t="shared" si="91"/>
        <v>1</v>
      </c>
      <c r="AG191" s="7">
        <f t="shared" si="91"/>
        <v>0</v>
      </c>
      <c r="AH191" s="7">
        <f t="shared" si="91"/>
        <v>0</v>
      </c>
      <c r="AI191" s="7">
        <f t="shared" si="91"/>
        <v>1</v>
      </c>
      <c r="AJ191" s="7">
        <f t="shared" si="91"/>
        <v>1</v>
      </c>
      <c r="AK191" s="7">
        <f t="shared" si="91"/>
        <v>1</v>
      </c>
      <c r="AL191" s="7">
        <f t="shared" si="91"/>
        <v>1</v>
      </c>
      <c r="AM191" s="7">
        <f t="shared" si="91"/>
        <v>1</v>
      </c>
      <c r="AN191" s="7">
        <f t="shared" si="91"/>
        <v>1</v>
      </c>
      <c r="AO191" s="7">
        <f t="shared" si="91"/>
        <v>0</v>
      </c>
      <c r="AP191" s="7">
        <f t="shared" si="91"/>
        <v>0</v>
      </c>
      <c r="AQ191" s="7">
        <f t="shared" si="91"/>
        <v>1</v>
      </c>
      <c r="AR191" s="7">
        <f t="shared" si="91"/>
        <v>0</v>
      </c>
      <c r="AS191" s="7">
        <f t="shared" si="91"/>
        <v>0</v>
      </c>
      <c r="AT191" s="7">
        <f t="shared" si="91"/>
        <v>0</v>
      </c>
      <c r="AU191" s="7">
        <f t="shared" si="91"/>
        <v>1</v>
      </c>
      <c r="AV191" s="7">
        <f t="shared" si="91"/>
        <v>1</v>
      </c>
      <c r="AW191" s="7">
        <f t="shared" si="91"/>
        <v>1</v>
      </c>
      <c r="AX191" s="7">
        <f t="shared" si="91"/>
        <v>1</v>
      </c>
      <c r="AY191" s="7">
        <f t="shared" si="91"/>
        <v>1</v>
      </c>
      <c r="AZ191" s="7">
        <f t="shared" si="91"/>
        <v>0</v>
      </c>
      <c r="BA191" s="7">
        <f t="shared" si="91"/>
        <v>0</v>
      </c>
      <c r="BB191" s="7">
        <f t="shared" si="91"/>
        <v>0</v>
      </c>
      <c r="BC191" s="7">
        <f t="shared" si="91"/>
        <v>0</v>
      </c>
      <c r="BD191" s="7">
        <f t="shared" si="91"/>
        <v>0</v>
      </c>
      <c r="BE191" s="7">
        <f t="shared" si="91"/>
        <v>0</v>
      </c>
      <c r="BF191" s="7">
        <f t="shared" si="91"/>
        <v>0</v>
      </c>
      <c r="BG191" s="7">
        <f t="shared" si="91"/>
        <v>0</v>
      </c>
      <c r="BH191" s="7">
        <f t="shared" si="91"/>
        <v>0</v>
      </c>
      <c r="BI191" s="7">
        <f t="shared" si="91"/>
        <v>1</v>
      </c>
      <c r="BJ191" s="7">
        <f t="shared" si="91"/>
        <v>0</v>
      </c>
      <c r="BK191" s="7">
        <f t="shared" si="91"/>
        <v>0</v>
      </c>
      <c r="BL191" s="7">
        <f t="shared" si="91"/>
        <v>1</v>
      </c>
      <c r="BM191" s="7">
        <f t="shared" si="91"/>
        <v>1</v>
      </c>
      <c r="BN191" s="7">
        <f t="shared" si="91"/>
        <v>0</v>
      </c>
      <c r="BO191" s="7">
        <f t="shared" si="91"/>
        <v>0</v>
      </c>
      <c r="BP191" s="7">
        <f t="shared" si="91"/>
        <v>1</v>
      </c>
      <c r="BQ191" s="7">
        <f t="shared" si="91"/>
        <v>0</v>
      </c>
      <c r="BR191" s="7">
        <f t="shared" si="91"/>
        <v>0</v>
      </c>
      <c r="BS191" s="7">
        <f t="shared" si="91"/>
        <v>0</v>
      </c>
      <c r="BT191" s="7">
        <f t="shared" si="91"/>
        <v>1</v>
      </c>
      <c r="BU191" s="7">
        <f t="shared" si="91"/>
        <v>1</v>
      </c>
      <c r="BV191" s="7">
        <f t="shared" si="91"/>
        <v>0</v>
      </c>
      <c r="BW191" s="7">
        <f t="shared" si="91"/>
        <v>0</v>
      </c>
      <c r="BX191" s="7">
        <f t="shared" si="91"/>
        <v>1</v>
      </c>
      <c r="BY191" s="7">
        <f t="shared" si="91"/>
        <v>1</v>
      </c>
      <c r="BZ191" s="7">
        <f t="shared" si="91"/>
        <v>1</v>
      </c>
      <c r="CA191" s="7">
        <f t="shared" si="91"/>
        <v>1</v>
      </c>
      <c r="CB191" s="7">
        <f t="shared" si="91"/>
        <v>0</v>
      </c>
      <c r="CC191" s="7">
        <f t="shared" si="91"/>
        <v>1</v>
      </c>
      <c r="CD191" s="7">
        <f t="shared" si="91"/>
        <v>1</v>
      </c>
      <c r="CE191" s="7">
        <f t="shared" si="91"/>
        <v>1</v>
      </c>
      <c r="CF191" s="7">
        <f t="shared" si="91"/>
        <v>1</v>
      </c>
      <c r="CG191" s="7">
        <f t="shared" si="91"/>
        <v>1</v>
      </c>
      <c r="CH191" s="7">
        <f t="shared" si="91"/>
        <v>1</v>
      </c>
      <c r="CI191" s="7">
        <f t="shared" si="91"/>
        <v>0</v>
      </c>
      <c r="CJ191" s="7">
        <f t="shared" si="91"/>
        <v>0</v>
      </c>
      <c r="CK191" s="7">
        <f t="shared" si="91"/>
        <v>0</v>
      </c>
      <c r="CL191" s="7">
        <f t="shared" si="91"/>
        <v>0</v>
      </c>
      <c r="CM191" s="7">
        <f t="shared" si="91"/>
        <v>0</v>
      </c>
      <c r="CN191" s="7">
        <f t="shared" si="91"/>
        <v>0</v>
      </c>
      <c r="CO191" s="7">
        <f t="shared" si="91"/>
        <v>0</v>
      </c>
      <c r="CP191" s="7">
        <f t="shared" si="91"/>
        <v>0</v>
      </c>
      <c r="CQ191" s="7">
        <f t="shared" si="91"/>
        <v>0</v>
      </c>
      <c r="CR191" s="7">
        <f t="shared" si="91"/>
        <v>1</v>
      </c>
      <c r="CS191" s="7">
        <f t="shared" si="91"/>
        <v>1</v>
      </c>
      <c r="CT191" s="7">
        <f t="shared" si="91"/>
        <v>1</v>
      </c>
      <c r="CU191" s="7">
        <f t="shared" si="91"/>
        <v>0</v>
      </c>
      <c r="CV191" s="7">
        <f t="shared" si="91"/>
        <v>1</v>
      </c>
      <c r="CW191" s="7">
        <f t="shared" si="91"/>
        <v>1</v>
      </c>
      <c r="CX191" s="7">
        <f t="shared" si="91"/>
        <v>0</v>
      </c>
      <c r="CY191" s="7">
        <f t="shared" si="91"/>
        <v>1</v>
      </c>
      <c r="CZ191" s="7">
        <f t="shared" si="91"/>
        <v>0</v>
      </c>
      <c r="DA191" s="7">
        <f t="shared" si="91"/>
        <v>1</v>
      </c>
      <c r="DB191" s="7">
        <f t="shared" si="91"/>
        <v>1</v>
      </c>
      <c r="DC191" s="7">
        <f t="shared" si="91"/>
        <v>1</v>
      </c>
      <c r="DD191" s="7">
        <f t="shared" si="91"/>
        <v>1</v>
      </c>
      <c r="DE191" s="7">
        <f t="shared" si="91"/>
        <v>1</v>
      </c>
      <c r="DF191" s="7">
        <f t="shared" si="91"/>
        <v>0</v>
      </c>
      <c r="DG191" s="7">
        <f t="shared" si="91"/>
        <v>1</v>
      </c>
      <c r="DH191" s="7">
        <f t="shared" si="91"/>
        <v>0</v>
      </c>
      <c r="DI191" s="7">
        <f t="shared" si="91"/>
        <v>0</v>
      </c>
      <c r="DJ191" s="7">
        <f t="shared" si="91"/>
        <v>0</v>
      </c>
      <c r="DK191" s="7">
        <f t="shared" si="91"/>
        <v>0</v>
      </c>
      <c r="DL191" s="7">
        <f t="shared" si="91"/>
        <v>0</v>
      </c>
      <c r="DM191" s="7">
        <f t="shared" si="91"/>
        <v>1</v>
      </c>
      <c r="DN191" s="7">
        <f t="shared" si="91"/>
        <v>0</v>
      </c>
      <c r="DO191" s="7">
        <f t="shared" si="91"/>
        <v>0</v>
      </c>
      <c r="DP191" s="7">
        <f t="shared" si="91"/>
        <v>1</v>
      </c>
      <c r="DQ191" s="7">
        <f t="shared" si="91"/>
        <v>0</v>
      </c>
      <c r="DR191" s="7">
        <f t="shared" si="91"/>
        <v>0</v>
      </c>
      <c r="DS191" s="7">
        <f t="shared" si="91"/>
        <v>0</v>
      </c>
      <c r="DT191" s="7">
        <f t="shared" si="91"/>
        <v>1</v>
      </c>
      <c r="DU191" s="7">
        <f t="shared" si="91"/>
        <v>1</v>
      </c>
      <c r="DV191" s="7">
        <f t="shared" si="91"/>
        <v>1</v>
      </c>
      <c r="DW191" s="7">
        <f t="shared" si="91"/>
        <v>1</v>
      </c>
      <c r="DX191" s="7">
        <f t="shared" si="91"/>
        <v>1</v>
      </c>
      <c r="DY191" s="7">
        <f t="shared" si="91"/>
        <v>1</v>
      </c>
      <c r="DZ191" s="7">
        <f t="shared" si="91"/>
        <v>0</v>
      </c>
      <c r="EA191" s="7">
        <f t="shared" si="91"/>
        <v>0</v>
      </c>
      <c r="EB191" s="7">
        <f t="shared" si="91"/>
        <v>0</v>
      </c>
      <c r="EC191" s="7">
        <f t="shared" si="91"/>
        <v>1</v>
      </c>
      <c r="ED191" s="7">
        <f t="shared" si="91"/>
        <v>0</v>
      </c>
      <c r="EE191" s="7">
        <f t="shared" si="91"/>
        <v>1</v>
      </c>
      <c r="EF191" s="7">
        <f t="shared" si="91"/>
        <v>0</v>
      </c>
      <c r="EG191" s="7">
        <f t="shared" si="91"/>
        <v>1</v>
      </c>
      <c r="EH191" s="7">
        <f t="shared" si="91"/>
        <v>1</v>
      </c>
      <c r="EI191" s="7">
        <f t="shared" si="91"/>
        <v>0</v>
      </c>
      <c r="EJ191" s="7">
        <f t="shared" si="91"/>
        <v>0</v>
      </c>
      <c r="EK191" s="7">
        <f t="shared" si="91"/>
        <v>0</v>
      </c>
      <c r="EL191" s="7">
        <f t="shared" si="91"/>
        <v>0</v>
      </c>
      <c r="EM191" s="7">
        <f t="shared" si="91"/>
        <v>1</v>
      </c>
      <c r="EN191" s="7">
        <f t="shared" si="91"/>
        <v>0</v>
      </c>
      <c r="EO191" s="7">
        <f t="shared" si="91"/>
        <v>1</v>
      </c>
      <c r="EP191" s="7">
        <f t="shared" si="91"/>
        <v>1</v>
      </c>
      <c r="EQ191" s="7">
        <f t="shared" si="91"/>
        <v>0</v>
      </c>
      <c r="ER191" s="7">
        <f t="shared" si="91"/>
        <v>1</v>
      </c>
      <c r="ES191" s="7">
        <f t="shared" si="91"/>
        <v>1</v>
      </c>
      <c r="ET191" s="7">
        <f t="shared" si="91"/>
        <v>1</v>
      </c>
      <c r="EU191" s="7">
        <f t="shared" si="91"/>
        <v>0</v>
      </c>
      <c r="EV191" s="7">
        <f t="shared" si="91"/>
        <v>1</v>
      </c>
      <c r="EW191" s="7">
        <f t="shared" si="91"/>
        <v>0</v>
      </c>
      <c r="EX191" s="7">
        <f t="shared" si="91"/>
        <v>1</v>
      </c>
      <c r="EY191" s="7">
        <f t="shared" si="91"/>
        <v>0</v>
      </c>
      <c r="EZ191" s="7">
        <f t="shared" si="91"/>
        <v>1</v>
      </c>
      <c r="FA191" s="7">
        <f t="shared" si="91"/>
        <v>0</v>
      </c>
      <c r="FB191" s="7">
        <f t="shared" si="91"/>
        <v>1</v>
      </c>
      <c r="FC191" s="7">
        <f t="shared" si="91"/>
        <v>0</v>
      </c>
      <c r="FD191" s="7">
        <f t="shared" si="91"/>
        <v>1</v>
      </c>
      <c r="FE191" s="7">
        <f t="shared" si="91"/>
        <v>1</v>
      </c>
      <c r="FF191" s="7">
        <f t="shared" si="91"/>
        <v>1</v>
      </c>
      <c r="FG191" s="7">
        <f t="shared" si="91"/>
        <v>1</v>
      </c>
      <c r="FH191" s="7">
        <f t="shared" si="91"/>
        <v>1</v>
      </c>
      <c r="FI191" s="7">
        <f t="shared" si="91"/>
        <v>0</v>
      </c>
      <c r="FJ191" s="7">
        <f t="shared" si="91"/>
        <v>0</v>
      </c>
      <c r="FK191" s="7">
        <f t="shared" si="91"/>
        <v>0</v>
      </c>
      <c r="FL191" s="7">
        <f t="shared" si="91"/>
        <v>0</v>
      </c>
      <c r="FM191" s="7">
        <f t="shared" si="91"/>
        <v>0</v>
      </c>
      <c r="FN191" s="7">
        <f t="shared" si="91"/>
        <v>0</v>
      </c>
      <c r="FO191" s="7">
        <f t="shared" si="91"/>
        <v>0</v>
      </c>
      <c r="FP191" s="7">
        <f t="shared" si="91"/>
        <v>0</v>
      </c>
      <c r="FQ191" s="7">
        <f t="shared" si="91"/>
        <v>0</v>
      </c>
      <c r="FR191" s="7">
        <f t="shared" si="91"/>
        <v>1</v>
      </c>
      <c r="FS191" s="7">
        <f t="shared" si="91"/>
        <v>1</v>
      </c>
      <c r="FT191" s="7" t="e">
        <f t="shared" ca="1" si="91"/>
        <v>#NAME?</v>
      </c>
      <c r="FU191" s="7">
        <f t="shared" si="91"/>
        <v>0</v>
      </c>
      <c r="FV191" s="7">
        <f t="shared" si="91"/>
        <v>0</v>
      </c>
      <c r="FW191" s="7">
        <f t="shared" si="91"/>
        <v>1</v>
      </c>
      <c r="FX191" s="7">
        <f t="shared" si="91"/>
        <v>1</v>
      </c>
      <c r="FY191" s="7"/>
      <c r="FZ191" s="7"/>
      <c r="GA191" s="58"/>
      <c r="GB191" s="7"/>
      <c r="GC191" s="7"/>
      <c r="GD191" s="7"/>
      <c r="GE191" s="7"/>
      <c r="GF191" s="7"/>
      <c r="GG191" s="7"/>
      <c r="GH191" s="7"/>
      <c r="GI191" s="7"/>
      <c r="GJ191" s="7"/>
      <c r="GK191" s="7"/>
    </row>
    <row r="192" spans="1:207" ht="15.5" x14ac:dyDescent="0.35">
      <c r="A192" s="12" t="s">
        <v>935</v>
      </c>
      <c r="B192" s="7" t="s">
        <v>936</v>
      </c>
      <c r="C192" s="7" t="e">
        <f t="shared" ref="C192:FX192" ca="1" si="92">IF(C139&lt;=C19,1,0)</f>
        <v>#NAME?</v>
      </c>
      <c r="D192" s="7" t="e">
        <f t="shared" ca="1" si="92"/>
        <v>#NAME?</v>
      </c>
      <c r="E192" s="7" t="e">
        <f t="shared" ca="1" si="92"/>
        <v>#NAME?</v>
      </c>
      <c r="F192" s="7" t="e">
        <f t="shared" ca="1" si="92"/>
        <v>#NAME?</v>
      </c>
      <c r="G192" s="7" t="e">
        <f t="shared" ca="1" si="92"/>
        <v>#NAME?</v>
      </c>
      <c r="H192" s="7" t="e">
        <f t="shared" ca="1" si="92"/>
        <v>#NAME?</v>
      </c>
      <c r="I192" s="7" t="e">
        <f t="shared" ca="1" si="92"/>
        <v>#NAME?</v>
      </c>
      <c r="J192" s="7" t="e">
        <f t="shared" ca="1" si="92"/>
        <v>#NAME?</v>
      </c>
      <c r="K192" s="7" t="e">
        <f t="shared" ca="1" si="92"/>
        <v>#NAME?</v>
      </c>
      <c r="L192" s="7" t="e">
        <f t="shared" ca="1" si="92"/>
        <v>#NAME?</v>
      </c>
      <c r="M192" s="7" t="e">
        <f t="shared" ca="1" si="92"/>
        <v>#NAME?</v>
      </c>
      <c r="N192" s="7" t="e">
        <f t="shared" ca="1" si="92"/>
        <v>#NAME?</v>
      </c>
      <c r="O192" s="7" t="e">
        <f t="shared" ca="1" si="92"/>
        <v>#NAME?</v>
      </c>
      <c r="P192" s="7" t="e">
        <f t="shared" ca="1" si="92"/>
        <v>#NAME?</v>
      </c>
      <c r="Q192" s="7" t="e">
        <f t="shared" ca="1" si="92"/>
        <v>#NAME?</v>
      </c>
      <c r="R192" s="7" t="e">
        <f t="shared" ca="1" si="92"/>
        <v>#NAME?</v>
      </c>
      <c r="S192" s="7" t="e">
        <f t="shared" ca="1" si="92"/>
        <v>#NAME?</v>
      </c>
      <c r="T192" s="7" t="e">
        <f t="shared" ca="1" si="92"/>
        <v>#NAME?</v>
      </c>
      <c r="U192" s="7" t="e">
        <f t="shared" ca="1" si="92"/>
        <v>#NAME?</v>
      </c>
      <c r="V192" s="7" t="e">
        <f t="shared" ca="1" si="92"/>
        <v>#NAME?</v>
      </c>
      <c r="W192" s="7" t="e">
        <f t="shared" ca="1" si="92"/>
        <v>#NAME?</v>
      </c>
      <c r="X192" s="7" t="e">
        <f t="shared" ca="1" si="92"/>
        <v>#NAME?</v>
      </c>
      <c r="Y192" s="7" t="e">
        <f t="shared" ca="1" si="92"/>
        <v>#NAME?</v>
      </c>
      <c r="Z192" s="7" t="e">
        <f t="shared" ca="1" si="92"/>
        <v>#NAME?</v>
      </c>
      <c r="AA192" s="7" t="e">
        <f t="shared" ca="1" si="92"/>
        <v>#NAME?</v>
      </c>
      <c r="AB192" s="7" t="e">
        <f t="shared" ca="1" si="92"/>
        <v>#NAME?</v>
      </c>
      <c r="AC192" s="7" t="e">
        <f t="shared" ca="1" si="92"/>
        <v>#NAME?</v>
      </c>
      <c r="AD192" s="7" t="e">
        <f t="shared" ca="1" si="92"/>
        <v>#NAME?</v>
      </c>
      <c r="AE192" s="7" t="e">
        <f t="shared" ca="1" si="92"/>
        <v>#NAME?</v>
      </c>
      <c r="AF192" s="7" t="e">
        <f t="shared" ca="1" si="92"/>
        <v>#NAME?</v>
      </c>
      <c r="AG192" s="7" t="e">
        <f t="shared" ca="1" si="92"/>
        <v>#NAME?</v>
      </c>
      <c r="AH192" s="7" t="e">
        <f t="shared" ca="1" si="92"/>
        <v>#NAME?</v>
      </c>
      <c r="AI192" s="7" t="e">
        <f t="shared" ca="1" si="92"/>
        <v>#NAME?</v>
      </c>
      <c r="AJ192" s="7" t="e">
        <f t="shared" ca="1" si="92"/>
        <v>#NAME?</v>
      </c>
      <c r="AK192" s="7" t="e">
        <f t="shared" ca="1" si="92"/>
        <v>#NAME?</v>
      </c>
      <c r="AL192" s="7" t="e">
        <f t="shared" ca="1" si="92"/>
        <v>#NAME?</v>
      </c>
      <c r="AM192" s="7" t="e">
        <f t="shared" ca="1" si="92"/>
        <v>#NAME?</v>
      </c>
      <c r="AN192" s="7" t="e">
        <f t="shared" ca="1" si="92"/>
        <v>#NAME?</v>
      </c>
      <c r="AO192" s="7" t="e">
        <f t="shared" ca="1" si="92"/>
        <v>#NAME?</v>
      </c>
      <c r="AP192" s="7" t="e">
        <f t="shared" ca="1" si="92"/>
        <v>#NAME?</v>
      </c>
      <c r="AQ192" s="7" t="e">
        <f t="shared" ca="1" si="92"/>
        <v>#NAME?</v>
      </c>
      <c r="AR192" s="7" t="e">
        <f t="shared" ca="1" si="92"/>
        <v>#NAME?</v>
      </c>
      <c r="AS192" s="7" t="e">
        <f t="shared" ca="1" si="92"/>
        <v>#NAME?</v>
      </c>
      <c r="AT192" s="7" t="e">
        <f t="shared" ca="1" si="92"/>
        <v>#NAME?</v>
      </c>
      <c r="AU192" s="7" t="e">
        <f t="shared" ca="1" si="92"/>
        <v>#NAME?</v>
      </c>
      <c r="AV192" s="7" t="e">
        <f t="shared" ca="1" si="92"/>
        <v>#NAME?</v>
      </c>
      <c r="AW192" s="7" t="e">
        <f t="shared" ca="1" si="92"/>
        <v>#NAME?</v>
      </c>
      <c r="AX192" s="7" t="e">
        <f t="shared" ca="1" si="92"/>
        <v>#NAME?</v>
      </c>
      <c r="AY192" s="7" t="e">
        <f t="shared" ca="1" si="92"/>
        <v>#NAME?</v>
      </c>
      <c r="AZ192" s="7" t="e">
        <f t="shared" ca="1" si="92"/>
        <v>#NAME?</v>
      </c>
      <c r="BA192" s="7" t="e">
        <f t="shared" ca="1" si="92"/>
        <v>#NAME?</v>
      </c>
      <c r="BB192" s="7" t="e">
        <f t="shared" ca="1" si="92"/>
        <v>#NAME?</v>
      </c>
      <c r="BC192" s="7" t="e">
        <f t="shared" ca="1" si="92"/>
        <v>#NAME?</v>
      </c>
      <c r="BD192" s="7" t="e">
        <f t="shared" ca="1" si="92"/>
        <v>#NAME?</v>
      </c>
      <c r="BE192" s="7" t="e">
        <f t="shared" ca="1" si="92"/>
        <v>#NAME?</v>
      </c>
      <c r="BF192" s="7" t="e">
        <f t="shared" ca="1" si="92"/>
        <v>#NAME?</v>
      </c>
      <c r="BG192" s="7" t="e">
        <f t="shared" ca="1" si="92"/>
        <v>#NAME?</v>
      </c>
      <c r="BH192" s="7" t="e">
        <f t="shared" ca="1" si="92"/>
        <v>#NAME?</v>
      </c>
      <c r="BI192" s="7" t="e">
        <f t="shared" ca="1" si="92"/>
        <v>#NAME?</v>
      </c>
      <c r="BJ192" s="7" t="e">
        <f t="shared" ca="1" si="92"/>
        <v>#NAME?</v>
      </c>
      <c r="BK192" s="7" t="e">
        <f t="shared" ca="1" si="92"/>
        <v>#NAME?</v>
      </c>
      <c r="BL192" s="7" t="e">
        <f t="shared" ca="1" si="92"/>
        <v>#NAME?</v>
      </c>
      <c r="BM192" s="7" t="e">
        <f t="shared" ca="1" si="92"/>
        <v>#NAME?</v>
      </c>
      <c r="BN192" s="7" t="e">
        <f t="shared" ca="1" si="92"/>
        <v>#NAME?</v>
      </c>
      <c r="BO192" s="7" t="e">
        <f t="shared" ca="1" si="92"/>
        <v>#NAME?</v>
      </c>
      <c r="BP192" s="7" t="e">
        <f t="shared" ca="1" si="92"/>
        <v>#NAME?</v>
      </c>
      <c r="BQ192" s="7" t="e">
        <f t="shared" ca="1" si="92"/>
        <v>#NAME?</v>
      </c>
      <c r="BR192" s="7" t="e">
        <f t="shared" ca="1" si="92"/>
        <v>#NAME?</v>
      </c>
      <c r="BS192" s="7" t="e">
        <f t="shared" ca="1" si="92"/>
        <v>#NAME?</v>
      </c>
      <c r="BT192" s="7" t="e">
        <f t="shared" ca="1" si="92"/>
        <v>#NAME?</v>
      </c>
      <c r="BU192" s="7" t="e">
        <f t="shared" ca="1" si="92"/>
        <v>#NAME?</v>
      </c>
      <c r="BV192" s="7" t="e">
        <f t="shared" ca="1" si="92"/>
        <v>#NAME?</v>
      </c>
      <c r="BW192" s="7" t="e">
        <f t="shared" ca="1" si="92"/>
        <v>#NAME?</v>
      </c>
      <c r="BX192" s="7" t="e">
        <f t="shared" ca="1" si="92"/>
        <v>#NAME?</v>
      </c>
      <c r="BY192" s="7" t="e">
        <f t="shared" ca="1" si="92"/>
        <v>#NAME?</v>
      </c>
      <c r="BZ192" s="7" t="e">
        <f t="shared" ca="1" si="92"/>
        <v>#NAME?</v>
      </c>
      <c r="CA192" s="7" t="e">
        <f t="shared" ca="1" si="92"/>
        <v>#NAME?</v>
      </c>
      <c r="CB192" s="7" t="e">
        <f t="shared" ca="1" si="92"/>
        <v>#NAME?</v>
      </c>
      <c r="CC192" s="7" t="e">
        <f t="shared" ca="1" si="92"/>
        <v>#NAME?</v>
      </c>
      <c r="CD192" s="7" t="e">
        <f t="shared" ca="1" si="92"/>
        <v>#NAME?</v>
      </c>
      <c r="CE192" s="7" t="e">
        <f t="shared" ca="1" si="92"/>
        <v>#NAME?</v>
      </c>
      <c r="CF192" s="7" t="e">
        <f t="shared" ca="1" si="92"/>
        <v>#NAME?</v>
      </c>
      <c r="CG192" s="7" t="e">
        <f t="shared" ca="1" si="92"/>
        <v>#NAME?</v>
      </c>
      <c r="CH192" s="7" t="e">
        <f t="shared" ca="1" si="92"/>
        <v>#NAME?</v>
      </c>
      <c r="CI192" s="7" t="e">
        <f t="shared" ca="1" si="92"/>
        <v>#NAME?</v>
      </c>
      <c r="CJ192" s="7" t="e">
        <f t="shared" ca="1" si="92"/>
        <v>#NAME?</v>
      </c>
      <c r="CK192" s="7" t="e">
        <f t="shared" ca="1" si="92"/>
        <v>#NAME?</v>
      </c>
      <c r="CL192" s="7" t="e">
        <f t="shared" ca="1" si="92"/>
        <v>#NAME?</v>
      </c>
      <c r="CM192" s="7" t="e">
        <f t="shared" ca="1" si="92"/>
        <v>#NAME?</v>
      </c>
      <c r="CN192" s="7" t="e">
        <f t="shared" ca="1" si="92"/>
        <v>#NAME?</v>
      </c>
      <c r="CO192" s="7" t="e">
        <f t="shared" ca="1" si="92"/>
        <v>#NAME?</v>
      </c>
      <c r="CP192" s="7" t="e">
        <f t="shared" ca="1" si="92"/>
        <v>#NAME?</v>
      </c>
      <c r="CQ192" s="7" t="e">
        <f t="shared" ca="1" si="92"/>
        <v>#NAME?</v>
      </c>
      <c r="CR192" s="7" t="e">
        <f t="shared" ca="1" si="92"/>
        <v>#NAME?</v>
      </c>
      <c r="CS192" s="7" t="e">
        <f t="shared" ca="1" si="92"/>
        <v>#NAME?</v>
      </c>
      <c r="CT192" s="7" t="e">
        <f t="shared" ca="1" si="92"/>
        <v>#NAME?</v>
      </c>
      <c r="CU192" s="7" t="e">
        <f t="shared" ca="1" si="92"/>
        <v>#NAME?</v>
      </c>
      <c r="CV192" s="7" t="e">
        <f t="shared" ca="1" si="92"/>
        <v>#NAME?</v>
      </c>
      <c r="CW192" s="7" t="e">
        <f t="shared" ca="1" si="92"/>
        <v>#NAME?</v>
      </c>
      <c r="CX192" s="7" t="e">
        <f t="shared" ca="1" si="92"/>
        <v>#NAME?</v>
      </c>
      <c r="CY192" s="7" t="e">
        <f t="shared" ca="1" si="92"/>
        <v>#NAME?</v>
      </c>
      <c r="CZ192" s="7" t="e">
        <f t="shared" ca="1" si="92"/>
        <v>#NAME?</v>
      </c>
      <c r="DA192" s="7" t="e">
        <f t="shared" ca="1" si="92"/>
        <v>#NAME?</v>
      </c>
      <c r="DB192" s="7" t="e">
        <f t="shared" ca="1" si="92"/>
        <v>#NAME?</v>
      </c>
      <c r="DC192" s="7" t="e">
        <f t="shared" ca="1" si="92"/>
        <v>#NAME?</v>
      </c>
      <c r="DD192" s="7" t="e">
        <f t="shared" ca="1" si="92"/>
        <v>#NAME?</v>
      </c>
      <c r="DE192" s="7" t="e">
        <f t="shared" ca="1" si="92"/>
        <v>#NAME?</v>
      </c>
      <c r="DF192" s="7" t="e">
        <f t="shared" ca="1" si="92"/>
        <v>#NAME?</v>
      </c>
      <c r="DG192" s="7" t="e">
        <f t="shared" ca="1" si="92"/>
        <v>#NAME?</v>
      </c>
      <c r="DH192" s="7" t="e">
        <f t="shared" ca="1" si="92"/>
        <v>#NAME?</v>
      </c>
      <c r="DI192" s="7" t="e">
        <f t="shared" ca="1" si="92"/>
        <v>#NAME?</v>
      </c>
      <c r="DJ192" s="7" t="e">
        <f t="shared" ca="1" si="92"/>
        <v>#NAME?</v>
      </c>
      <c r="DK192" s="7" t="e">
        <f t="shared" ca="1" si="92"/>
        <v>#NAME?</v>
      </c>
      <c r="DL192" s="7" t="e">
        <f t="shared" ca="1" si="92"/>
        <v>#NAME?</v>
      </c>
      <c r="DM192" s="7" t="e">
        <f t="shared" ca="1" si="92"/>
        <v>#NAME?</v>
      </c>
      <c r="DN192" s="7" t="e">
        <f t="shared" ca="1" si="92"/>
        <v>#NAME?</v>
      </c>
      <c r="DO192" s="7" t="e">
        <f t="shared" ca="1" si="92"/>
        <v>#NAME?</v>
      </c>
      <c r="DP192" s="7" t="e">
        <f t="shared" ca="1" si="92"/>
        <v>#NAME?</v>
      </c>
      <c r="DQ192" s="7" t="e">
        <f t="shared" ca="1" si="92"/>
        <v>#NAME?</v>
      </c>
      <c r="DR192" s="7" t="e">
        <f t="shared" ca="1" si="92"/>
        <v>#NAME?</v>
      </c>
      <c r="DS192" s="7" t="e">
        <f t="shared" ca="1" si="92"/>
        <v>#NAME?</v>
      </c>
      <c r="DT192" s="7" t="e">
        <f t="shared" ca="1" si="92"/>
        <v>#NAME?</v>
      </c>
      <c r="DU192" s="7" t="e">
        <f t="shared" ca="1" si="92"/>
        <v>#NAME?</v>
      </c>
      <c r="DV192" s="7" t="e">
        <f t="shared" ca="1" si="92"/>
        <v>#NAME?</v>
      </c>
      <c r="DW192" s="7" t="e">
        <f t="shared" ca="1" si="92"/>
        <v>#NAME?</v>
      </c>
      <c r="DX192" s="7" t="e">
        <f t="shared" ca="1" si="92"/>
        <v>#NAME?</v>
      </c>
      <c r="DY192" s="7" t="e">
        <f t="shared" ca="1" si="92"/>
        <v>#NAME?</v>
      </c>
      <c r="DZ192" s="7" t="e">
        <f t="shared" ca="1" si="92"/>
        <v>#NAME?</v>
      </c>
      <c r="EA192" s="7" t="e">
        <f t="shared" ca="1" si="92"/>
        <v>#NAME?</v>
      </c>
      <c r="EB192" s="7" t="e">
        <f t="shared" ca="1" si="92"/>
        <v>#NAME?</v>
      </c>
      <c r="EC192" s="7" t="e">
        <f t="shared" ca="1" si="92"/>
        <v>#NAME?</v>
      </c>
      <c r="ED192" s="7" t="e">
        <f t="shared" ca="1" si="92"/>
        <v>#NAME?</v>
      </c>
      <c r="EE192" s="7" t="e">
        <f t="shared" ca="1" si="92"/>
        <v>#NAME?</v>
      </c>
      <c r="EF192" s="7" t="e">
        <f t="shared" ca="1" si="92"/>
        <v>#NAME?</v>
      </c>
      <c r="EG192" s="7" t="e">
        <f t="shared" ca="1" si="92"/>
        <v>#NAME?</v>
      </c>
      <c r="EH192" s="7" t="e">
        <f t="shared" ca="1" si="92"/>
        <v>#NAME?</v>
      </c>
      <c r="EI192" s="7" t="e">
        <f t="shared" ca="1" si="92"/>
        <v>#NAME?</v>
      </c>
      <c r="EJ192" s="7" t="e">
        <f t="shared" ca="1" si="92"/>
        <v>#NAME?</v>
      </c>
      <c r="EK192" s="7" t="e">
        <f t="shared" ca="1" si="92"/>
        <v>#NAME?</v>
      </c>
      <c r="EL192" s="7" t="e">
        <f t="shared" ca="1" si="92"/>
        <v>#NAME?</v>
      </c>
      <c r="EM192" s="7" t="e">
        <f t="shared" ca="1" si="92"/>
        <v>#NAME?</v>
      </c>
      <c r="EN192" s="7" t="e">
        <f t="shared" ca="1" si="92"/>
        <v>#NAME?</v>
      </c>
      <c r="EO192" s="7" t="e">
        <f t="shared" ca="1" si="92"/>
        <v>#NAME?</v>
      </c>
      <c r="EP192" s="7" t="e">
        <f t="shared" ca="1" si="92"/>
        <v>#NAME?</v>
      </c>
      <c r="EQ192" s="7" t="e">
        <f t="shared" ca="1" si="92"/>
        <v>#NAME?</v>
      </c>
      <c r="ER192" s="7" t="e">
        <f t="shared" ca="1" si="92"/>
        <v>#NAME?</v>
      </c>
      <c r="ES192" s="7" t="e">
        <f t="shared" ca="1" si="92"/>
        <v>#NAME?</v>
      </c>
      <c r="ET192" s="7" t="e">
        <f t="shared" ca="1" si="92"/>
        <v>#NAME?</v>
      </c>
      <c r="EU192" s="7" t="e">
        <f t="shared" ca="1" si="92"/>
        <v>#NAME?</v>
      </c>
      <c r="EV192" s="7" t="e">
        <f t="shared" ca="1" si="92"/>
        <v>#NAME?</v>
      </c>
      <c r="EW192" s="7" t="e">
        <f t="shared" ca="1" si="92"/>
        <v>#NAME?</v>
      </c>
      <c r="EX192" s="7" t="e">
        <f t="shared" ca="1" si="92"/>
        <v>#NAME?</v>
      </c>
      <c r="EY192" s="7" t="e">
        <f t="shared" ca="1" si="92"/>
        <v>#NAME?</v>
      </c>
      <c r="EZ192" s="7" t="e">
        <f t="shared" ca="1" si="92"/>
        <v>#NAME?</v>
      </c>
      <c r="FA192" s="7" t="e">
        <f t="shared" ca="1" si="92"/>
        <v>#NAME?</v>
      </c>
      <c r="FB192" s="7" t="e">
        <f t="shared" ca="1" si="92"/>
        <v>#NAME?</v>
      </c>
      <c r="FC192" s="7" t="e">
        <f t="shared" ca="1" si="92"/>
        <v>#NAME?</v>
      </c>
      <c r="FD192" s="7" t="e">
        <f t="shared" ca="1" si="92"/>
        <v>#NAME?</v>
      </c>
      <c r="FE192" s="7" t="e">
        <f t="shared" ca="1" si="92"/>
        <v>#NAME?</v>
      </c>
      <c r="FF192" s="7" t="e">
        <f t="shared" ca="1" si="92"/>
        <v>#NAME?</v>
      </c>
      <c r="FG192" s="7" t="e">
        <f t="shared" ca="1" si="92"/>
        <v>#NAME?</v>
      </c>
      <c r="FH192" s="7" t="e">
        <f t="shared" ca="1" si="92"/>
        <v>#NAME?</v>
      </c>
      <c r="FI192" s="7" t="e">
        <f t="shared" ca="1" si="92"/>
        <v>#NAME?</v>
      </c>
      <c r="FJ192" s="7" t="e">
        <f t="shared" ca="1" si="92"/>
        <v>#NAME?</v>
      </c>
      <c r="FK192" s="7" t="e">
        <f t="shared" ca="1" si="92"/>
        <v>#NAME?</v>
      </c>
      <c r="FL192" s="7" t="e">
        <f t="shared" ca="1" si="92"/>
        <v>#NAME?</v>
      </c>
      <c r="FM192" s="7" t="e">
        <f t="shared" ca="1" si="92"/>
        <v>#NAME?</v>
      </c>
      <c r="FN192" s="7" t="e">
        <f t="shared" ca="1" si="92"/>
        <v>#NAME?</v>
      </c>
      <c r="FO192" s="7" t="e">
        <f t="shared" ca="1" si="92"/>
        <v>#NAME?</v>
      </c>
      <c r="FP192" s="7" t="e">
        <f t="shared" ca="1" si="92"/>
        <v>#NAME?</v>
      </c>
      <c r="FQ192" s="7" t="e">
        <f t="shared" ca="1" si="92"/>
        <v>#NAME?</v>
      </c>
      <c r="FR192" s="7" t="e">
        <f t="shared" ca="1" si="92"/>
        <v>#NAME?</v>
      </c>
      <c r="FS192" s="7" t="e">
        <f t="shared" ca="1" si="92"/>
        <v>#NAME?</v>
      </c>
      <c r="FT192" s="7" t="e">
        <f t="shared" ca="1" si="92"/>
        <v>#NAME?</v>
      </c>
      <c r="FU192" s="7" t="e">
        <f t="shared" ca="1" si="92"/>
        <v>#NAME?</v>
      </c>
      <c r="FV192" s="7" t="e">
        <f t="shared" ca="1" si="92"/>
        <v>#NAME?</v>
      </c>
      <c r="FW192" s="7" t="e">
        <f t="shared" ca="1" si="92"/>
        <v>#NAME?</v>
      </c>
      <c r="FX192" s="7" t="e">
        <f t="shared" ca="1" si="92"/>
        <v>#NAME?</v>
      </c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</row>
    <row r="193" spans="1:205" ht="15.5" x14ac:dyDescent="0.35">
      <c r="A193" s="12" t="s">
        <v>937</v>
      </c>
      <c r="B193" s="7" t="s">
        <v>938</v>
      </c>
      <c r="C193" s="108" t="e">
        <f t="shared" ref="C193:FX193" ca="1" si="93">ROUND(IF((OR(C191=1,C192=1))=TRUE(),0,C124/C113),8)</f>
        <v>#NAME?</v>
      </c>
      <c r="D193" s="108" t="e">
        <f t="shared" ca="1" si="93"/>
        <v>#NAME?</v>
      </c>
      <c r="E193" s="108" t="e">
        <f t="shared" ca="1" si="93"/>
        <v>#NAME?</v>
      </c>
      <c r="F193" s="108" t="e">
        <f t="shared" ca="1" si="93"/>
        <v>#NAME?</v>
      </c>
      <c r="G193" s="108" t="e">
        <f t="shared" ca="1" si="93"/>
        <v>#NAME?</v>
      </c>
      <c r="H193" s="108" t="e">
        <f t="shared" ca="1" si="93"/>
        <v>#NAME?</v>
      </c>
      <c r="I193" s="108" t="e">
        <f t="shared" ca="1" si="93"/>
        <v>#NAME?</v>
      </c>
      <c r="J193" s="108" t="e">
        <f t="shared" ca="1" si="93"/>
        <v>#NAME?</v>
      </c>
      <c r="K193" s="108" t="e">
        <f t="shared" ca="1" si="93"/>
        <v>#NAME?</v>
      </c>
      <c r="L193" s="108" t="e">
        <f t="shared" ca="1" si="93"/>
        <v>#NAME?</v>
      </c>
      <c r="M193" s="108" t="e">
        <f t="shared" ca="1" si="93"/>
        <v>#NAME?</v>
      </c>
      <c r="N193" s="108" t="e">
        <f t="shared" ca="1" si="93"/>
        <v>#NAME?</v>
      </c>
      <c r="O193" s="108" t="e">
        <f t="shared" ca="1" si="93"/>
        <v>#NAME?</v>
      </c>
      <c r="P193" s="108" t="e">
        <f t="shared" ca="1" si="93"/>
        <v>#NAME?</v>
      </c>
      <c r="Q193" s="108" t="e">
        <f t="shared" ca="1" si="93"/>
        <v>#NAME?</v>
      </c>
      <c r="R193" s="108" t="e">
        <f t="shared" ca="1" si="93"/>
        <v>#NAME?</v>
      </c>
      <c r="S193" s="108" t="e">
        <f t="shared" ca="1" si="93"/>
        <v>#NAME?</v>
      </c>
      <c r="T193" s="108" t="e">
        <f t="shared" ca="1" si="93"/>
        <v>#NAME?</v>
      </c>
      <c r="U193" s="108" t="e">
        <f t="shared" ca="1" si="93"/>
        <v>#NAME?</v>
      </c>
      <c r="V193" s="108" t="e">
        <f t="shared" ca="1" si="93"/>
        <v>#NAME?</v>
      </c>
      <c r="W193" s="108" t="e">
        <f t="shared" ca="1" si="93"/>
        <v>#NAME?</v>
      </c>
      <c r="X193" s="108" t="e">
        <f t="shared" ca="1" si="93"/>
        <v>#NAME?</v>
      </c>
      <c r="Y193" s="108" t="e">
        <f t="shared" ca="1" si="93"/>
        <v>#NAME?</v>
      </c>
      <c r="Z193" s="108" t="e">
        <f t="shared" ca="1" si="93"/>
        <v>#NAME?</v>
      </c>
      <c r="AA193" s="108" t="e">
        <f t="shared" ca="1" si="93"/>
        <v>#NAME?</v>
      </c>
      <c r="AB193" s="108" t="e">
        <f t="shared" ca="1" si="93"/>
        <v>#NAME?</v>
      </c>
      <c r="AC193" s="108" t="e">
        <f t="shared" ca="1" si="93"/>
        <v>#NAME?</v>
      </c>
      <c r="AD193" s="108" t="e">
        <f t="shared" ca="1" si="93"/>
        <v>#NAME?</v>
      </c>
      <c r="AE193" s="108" t="e">
        <f t="shared" ca="1" si="93"/>
        <v>#NAME?</v>
      </c>
      <c r="AF193" s="108" t="e">
        <f t="shared" ca="1" si="93"/>
        <v>#NAME?</v>
      </c>
      <c r="AG193" s="108" t="e">
        <f t="shared" ca="1" si="93"/>
        <v>#NAME?</v>
      </c>
      <c r="AH193" s="108" t="e">
        <f t="shared" ca="1" si="93"/>
        <v>#NAME?</v>
      </c>
      <c r="AI193" s="108" t="e">
        <f t="shared" ca="1" si="93"/>
        <v>#NAME?</v>
      </c>
      <c r="AJ193" s="108" t="e">
        <f t="shared" ca="1" si="93"/>
        <v>#NAME?</v>
      </c>
      <c r="AK193" s="108" t="e">
        <f t="shared" ca="1" si="93"/>
        <v>#NAME?</v>
      </c>
      <c r="AL193" s="108" t="e">
        <f t="shared" ca="1" si="93"/>
        <v>#NAME?</v>
      </c>
      <c r="AM193" s="108" t="e">
        <f t="shared" ca="1" si="93"/>
        <v>#NAME?</v>
      </c>
      <c r="AN193" s="108" t="e">
        <f t="shared" ca="1" si="93"/>
        <v>#NAME?</v>
      </c>
      <c r="AO193" s="108" t="e">
        <f t="shared" ca="1" si="93"/>
        <v>#NAME?</v>
      </c>
      <c r="AP193" s="108" t="e">
        <f t="shared" ca="1" si="93"/>
        <v>#NAME?</v>
      </c>
      <c r="AQ193" s="108" t="e">
        <f t="shared" ca="1" si="93"/>
        <v>#NAME?</v>
      </c>
      <c r="AR193" s="108" t="e">
        <f t="shared" ca="1" si="93"/>
        <v>#NAME?</v>
      </c>
      <c r="AS193" s="108" t="e">
        <f t="shared" ca="1" si="93"/>
        <v>#NAME?</v>
      </c>
      <c r="AT193" s="108" t="e">
        <f t="shared" ca="1" si="93"/>
        <v>#NAME?</v>
      </c>
      <c r="AU193" s="108" t="e">
        <f t="shared" ca="1" si="93"/>
        <v>#NAME?</v>
      </c>
      <c r="AV193" s="108" t="e">
        <f t="shared" ca="1" si="93"/>
        <v>#NAME?</v>
      </c>
      <c r="AW193" s="108" t="e">
        <f t="shared" ca="1" si="93"/>
        <v>#NAME?</v>
      </c>
      <c r="AX193" s="108" t="e">
        <f t="shared" ca="1" si="93"/>
        <v>#NAME?</v>
      </c>
      <c r="AY193" s="108" t="e">
        <f t="shared" ca="1" si="93"/>
        <v>#NAME?</v>
      </c>
      <c r="AZ193" s="108" t="e">
        <f t="shared" ca="1" si="93"/>
        <v>#NAME?</v>
      </c>
      <c r="BA193" s="108" t="e">
        <f t="shared" ca="1" si="93"/>
        <v>#NAME?</v>
      </c>
      <c r="BB193" s="108" t="e">
        <f t="shared" ca="1" si="93"/>
        <v>#NAME?</v>
      </c>
      <c r="BC193" s="108" t="e">
        <f t="shared" ca="1" si="93"/>
        <v>#NAME?</v>
      </c>
      <c r="BD193" s="108" t="e">
        <f t="shared" ca="1" si="93"/>
        <v>#NAME?</v>
      </c>
      <c r="BE193" s="108" t="e">
        <f t="shared" ca="1" si="93"/>
        <v>#NAME?</v>
      </c>
      <c r="BF193" s="108" t="e">
        <f t="shared" ca="1" si="93"/>
        <v>#NAME?</v>
      </c>
      <c r="BG193" s="108" t="e">
        <f t="shared" ca="1" si="93"/>
        <v>#NAME?</v>
      </c>
      <c r="BH193" s="108" t="e">
        <f t="shared" ca="1" si="93"/>
        <v>#NAME?</v>
      </c>
      <c r="BI193" s="108" t="e">
        <f t="shared" ca="1" si="93"/>
        <v>#NAME?</v>
      </c>
      <c r="BJ193" s="108" t="e">
        <f t="shared" ca="1" si="93"/>
        <v>#NAME?</v>
      </c>
      <c r="BK193" s="108" t="e">
        <f t="shared" ca="1" si="93"/>
        <v>#NAME?</v>
      </c>
      <c r="BL193" s="108" t="e">
        <f t="shared" ca="1" si="93"/>
        <v>#NAME?</v>
      </c>
      <c r="BM193" s="108" t="e">
        <f t="shared" ca="1" si="93"/>
        <v>#NAME?</v>
      </c>
      <c r="BN193" s="108" t="e">
        <f t="shared" ca="1" si="93"/>
        <v>#NAME?</v>
      </c>
      <c r="BO193" s="108" t="e">
        <f t="shared" ca="1" si="93"/>
        <v>#NAME?</v>
      </c>
      <c r="BP193" s="108" t="e">
        <f t="shared" ca="1" si="93"/>
        <v>#NAME?</v>
      </c>
      <c r="BQ193" s="108" t="e">
        <f t="shared" ca="1" si="93"/>
        <v>#NAME?</v>
      </c>
      <c r="BR193" s="108" t="e">
        <f t="shared" ca="1" si="93"/>
        <v>#NAME?</v>
      </c>
      <c r="BS193" s="108" t="e">
        <f t="shared" ca="1" si="93"/>
        <v>#NAME?</v>
      </c>
      <c r="BT193" s="108" t="e">
        <f t="shared" ca="1" si="93"/>
        <v>#NAME?</v>
      </c>
      <c r="BU193" s="108" t="e">
        <f t="shared" ca="1" si="93"/>
        <v>#NAME?</v>
      </c>
      <c r="BV193" s="108" t="e">
        <f t="shared" ca="1" si="93"/>
        <v>#NAME?</v>
      </c>
      <c r="BW193" s="108" t="e">
        <f t="shared" ca="1" si="93"/>
        <v>#NAME?</v>
      </c>
      <c r="BX193" s="108" t="e">
        <f t="shared" ca="1" si="93"/>
        <v>#NAME?</v>
      </c>
      <c r="BY193" s="108" t="e">
        <f t="shared" ca="1" si="93"/>
        <v>#NAME?</v>
      </c>
      <c r="BZ193" s="108" t="e">
        <f t="shared" ca="1" si="93"/>
        <v>#NAME?</v>
      </c>
      <c r="CA193" s="108" t="e">
        <f t="shared" ca="1" si="93"/>
        <v>#NAME?</v>
      </c>
      <c r="CB193" s="108" t="e">
        <f t="shared" ca="1" si="93"/>
        <v>#NAME?</v>
      </c>
      <c r="CC193" s="108" t="e">
        <f t="shared" ca="1" si="93"/>
        <v>#NAME?</v>
      </c>
      <c r="CD193" s="108" t="e">
        <f t="shared" ca="1" si="93"/>
        <v>#NAME?</v>
      </c>
      <c r="CE193" s="108" t="e">
        <f t="shared" ca="1" si="93"/>
        <v>#NAME?</v>
      </c>
      <c r="CF193" s="108" t="e">
        <f t="shared" ca="1" si="93"/>
        <v>#NAME?</v>
      </c>
      <c r="CG193" s="108" t="e">
        <f t="shared" ca="1" si="93"/>
        <v>#NAME?</v>
      </c>
      <c r="CH193" s="108" t="e">
        <f t="shared" ca="1" si="93"/>
        <v>#NAME?</v>
      </c>
      <c r="CI193" s="108" t="e">
        <f t="shared" ca="1" si="93"/>
        <v>#NAME?</v>
      </c>
      <c r="CJ193" s="108" t="e">
        <f t="shared" ca="1" si="93"/>
        <v>#NAME?</v>
      </c>
      <c r="CK193" s="108" t="e">
        <f t="shared" ca="1" si="93"/>
        <v>#NAME?</v>
      </c>
      <c r="CL193" s="108" t="e">
        <f t="shared" ca="1" si="93"/>
        <v>#NAME?</v>
      </c>
      <c r="CM193" s="108" t="e">
        <f t="shared" ca="1" si="93"/>
        <v>#NAME?</v>
      </c>
      <c r="CN193" s="108" t="e">
        <f t="shared" ca="1" si="93"/>
        <v>#NAME?</v>
      </c>
      <c r="CO193" s="108" t="e">
        <f t="shared" ca="1" si="93"/>
        <v>#NAME?</v>
      </c>
      <c r="CP193" s="108" t="e">
        <f t="shared" ca="1" si="93"/>
        <v>#NAME?</v>
      </c>
      <c r="CQ193" s="108" t="e">
        <f t="shared" ca="1" si="93"/>
        <v>#NAME?</v>
      </c>
      <c r="CR193" s="108" t="e">
        <f t="shared" ca="1" si="93"/>
        <v>#NAME?</v>
      </c>
      <c r="CS193" s="108" t="e">
        <f t="shared" ca="1" si="93"/>
        <v>#NAME?</v>
      </c>
      <c r="CT193" s="108" t="e">
        <f t="shared" ca="1" si="93"/>
        <v>#NAME?</v>
      </c>
      <c r="CU193" s="108" t="e">
        <f t="shared" ca="1" si="93"/>
        <v>#NAME?</v>
      </c>
      <c r="CV193" s="108" t="e">
        <f t="shared" ca="1" si="93"/>
        <v>#NAME?</v>
      </c>
      <c r="CW193" s="108" t="e">
        <f t="shared" ca="1" si="93"/>
        <v>#NAME?</v>
      </c>
      <c r="CX193" s="108" t="e">
        <f t="shared" ca="1" si="93"/>
        <v>#NAME?</v>
      </c>
      <c r="CY193" s="108" t="e">
        <f t="shared" ca="1" si="93"/>
        <v>#NAME?</v>
      </c>
      <c r="CZ193" s="108" t="e">
        <f t="shared" ca="1" si="93"/>
        <v>#NAME?</v>
      </c>
      <c r="DA193" s="108" t="e">
        <f t="shared" ca="1" si="93"/>
        <v>#NAME?</v>
      </c>
      <c r="DB193" s="108" t="e">
        <f t="shared" ca="1" si="93"/>
        <v>#NAME?</v>
      </c>
      <c r="DC193" s="108" t="e">
        <f t="shared" ca="1" si="93"/>
        <v>#NAME?</v>
      </c>
      <c r="DD193" s="108" t="e">
        <f t="shared" ca="1" si="93"/>
        <v>#NAME?</v>
      </c>
      <c r="DE193" s="108" t="e">
        <f t="shared" ca="1" si="93"/>
        <v>#NAME?</v>
      </c>
      <c r="DF193" s="108" t="e">
        <f t="shared" ca="1" si="93"/>
        <v>#NAME?</v>
      </c>
      <c r="DG193" s="108" t="e">
        <f t="shared" ca="1" si="93"/>
        <v>#NAME?</v>
      </c>
      <c r="DH193" s="108" t="e">
        <f t="shared" ca="1" si="93"/>
        <v>#NAME?</v>
      </c>
      <c r="DI193" s="108" t="e">
        <f t="shared" ca="1" si="93"/>
        <v>#NAME?</v>
      </c>
      <c r="DJ193" s="108" t="e">
        <f t="shared" ca="1" si="93"/>
        <v>#NAME?</v>
      </c>
      <c r="DK193" s="108" t="e">
        <f t="shared" ca="1" si="93"/>
        <v>#NAME?</v>
      </c>
      <c r="DL193" s="108" t="e">
        <f t="shared" ca="1" si="93"/>
        <v>#NAME?</v>
      </c>
      <c r="DM193" s="108" t="e">
        <f t="shared" ca="1" si="93"/>
        <v>#NAME?</v>
      </c>
      <c r="DN193" s="108" t="e">
        <f t="shared" ca="1" si="93"/>
        <v>#NAME?</v>
      </c>
      <c r="DO193" s="108" t="e">
        <f t="shared" ca="1" si="93"/>
        <v>#NAME?</v>
      </c>
      <c r="DP193" s="108" t="e">
        <f t="shared" ca="1" si="93"/>
        <v>#NAME?</v>
      </c>
      <c r="DQ193" s="108" t="e">
        <f t="shared" ca="1" si="93"/>
        <v>#NAME?</v>
      </c>
      <c r="DR193" s="108" t="e">
        <f t="shared" ca="1" si="93"/>
        <v>#NAME?</v>
      </c>
      <c r="DS193" s="108" t="e">
        <f t="shared" ca="1" si="93"/>
        <v>#NAME?</v>
      </c>
      <c r="DT193" s="108" t="e">
        <f t="shared" ca="1" si="93"/>
        <v>#NAME?</v>
      </c>
      <c r="DU193" s="108" t="e">
        <f t="shared" ca="1" si="93"/>
        <v>#NAME?</v>
      </c>
      <c r="DV193" s="108" t="e">
        <f t="shared" ca="1" si="93"/>
        <v>#NAME?</v>
      </c>
      <c r="DW193" s="108" t="e">
        <f t="shared" ca="1" si="93"/>
        <v>#NAME?</v>
      </c>
      <c r="DX193" s="108" t="e">
        <f t="shared" ca="1" si="93"/>
        <v>#NAME?</v>
      </c>
      <c r="DY193" s="108" t="e">
        <f t="shared" ca="1" si="93"/>
        <v>#NAME?</v>
      </c>
      <c r="DZ193" s="108" t="e">
        <f t="shared" ca="1" si="93"/>
        <v>#NAME?</v>
      </c>
      <c r="EA193" s="108" t="e">
        <f t="shared" ca="1" si="93"/>
        <v>#NAME?</v>
      </c>
      <c r="EB193" s="108" t="e">
        <f t="shared" ca="1" si="93"/>
        <v>#NAME?</v>
      </c>
      <c r="EC193" s="108" t="e">
        <f t="shared" ca="1" si="93"/>
        <v>#NAME?</v>
      </c>
      <c r="ED193" s="108" t="e">
        <f t="shared" ca="1" si="93"/>
        <v>#NAME?</v>
      </c>
      <c r="EE193" s="108" t="e">
        <f t="shared" ca="1" si="93"/>
        <v>#NAME?</v>
      </c>
      <c r="EF193" s="108" t="e">
        <f t="shared" ca="1" si="93"/>
        <v>#NAME?</v>
      </c>
      <c r="EG193" s="108" t="e">
        <f t="shared" ca="1" si="93"/>
        <v>#NAME?</v>
      </c>
      <c r="EH193" s="108" t="e">
        <f t="shared" ca="1" si="93"/>
        <v>#NAME?</v>
      </c>
      <c r="EI193" s="108" t="e">
        <f t="shared" ca="1" si="93"/>
        <v>#NAME?</v>
      </c>
      <c r="EJ193" s="108" t="e">
        <f t="shared" ca="1" si="93"/>
        <v>#NAME?</v>
      </c>
      <c r="EK193" s="108" t="e">
        <f t="shared" ca="1" si="93"/>
        <v>#NAME?</v>
      </c>
      <c r="EL193" s="108" t="e">
        <f t="shared" ca="1" si="93"/>
        <v>#NAME?</v>
      </c>
      <c r="EM193" s="108" t="e">
        <f t="shared" ca="1" si="93"/>
        <v>#NAME?</v>
      </c>
      <c r="EN193" s="108" t="e">
        <f t="shared" ca="1" si="93"/>
        <v>#NAME?</v>
      </c>
      <c r="EO193" s="108" t="e">
        <f t="shared" ca="1" si="93"/>
        <v>#NAME?</v>
      </c>
      <c r="EP193" s="108" t="e">
        <f t="shared" ca="1" si="93"/>
        <v>#NAME?</v>
      </c>
      <c r="EQ193" s="108" t="e">
        <f t="shared" ca="1" si="93"/>
        <v>#NAME?</v>
      </c>
      <c r="ER193" s="108" t="e">
        <f t="shared" ca="1" si="93"/>
        <v>#NAME?</v>
      </c>
      <c r="ES193" s="108" t="e">
        <f t="shared" ca="1" si="93"/>
        <v>#NAME?</v>
      </c>
      <c r="ET193" s="108" t="e">
        <f t="shared" ca="1" si="93"/>
        <v>#NAME?</v>
      </c>
      <c r="EU193" s="108" t="e">
        <f t="shared" ca="1" si="93"/>
        <v>#NAME?</v>
      </c>
      <c r="EV193" s="108" t="e">
        <f t="shared" ca="1" si="93"/>
        <v>#NAME?</v>
      </c>
      <c r="EW193" s="108" t="e">
        <f t="shared" ca="1" si="93"/>
        <v>#NAME?</v>
      </c>
      <c r="EX193" s="108" t="e">
        <f t="shared" ca="1" si="93"/>
        <v>#NAME?</v>
      </c>
      <c r="EY193" s="108" t="e">
        <f t="shared" ca="1" si="93"/>
        <v>#NAME?</v>
      </c>
      <c r="EZ193" s="108" t="e">
        <f t="shared" ca="1" si="93"/>
        <v>#NAME?</v>
      </c>
      <c r="FA193" s="108" t="e">
        <f t="shared" ca="1" si="93"/>
        <v>#NAME?</v>
      </c>
      <c r="FB193" s="108" t="e">
        <f t="shared" ca="1" si="93"/>
        <v>#NAME?</v>
      </c>
      <c r="FC193" s="108" t="e">
        <f t="shared" ca="1" si="93"/>
        <v>#NAME?</v>
      </c>
      <c r="FD193" s="108" t="e">
        <f t="shared" ca="1" si="93"/>
        <v>#NAME?</v>
      </c>
      <c r="FE193" s="108" t="e">
        <f t="shared" ca="1" si="93"/>
        <v>#NAME?</v>
      </c>
      <c r="FF193" s="108" t="e">
        <f t="shared" ca="1" si="93"/>
        <v>#NAME?</v>
      </c>
      <c r="FG193" s="108" t="e">
        <f t="shared" ca="1" si="93"/>
        <v>#NAME?</v>
      </c>
      <c r="FH193" s="108" t="e">
        <f t="shared" ca="1" si="93"/>
        <v>#NAME?</v>
      </c>
      <c r="FI193" s="108" t="e">
        <f t="shared" ca="1" si="93"/>
        <v>#NAME?</v>
      </c>
      <c r="FJ193" s="108" t="e">
        <f t="shared" ca="1" si="93"/>
        <v>#NAME?</v>
      </c>
      <c r="FK193" s="108" t="e">
        <f t="shared" ca="1" si="93"/>
        <v>#NAME?</v>
      </c>
      <c r="FL193" s="108" t="e">
        <f t="shared" ca="1" si="93"/>
        <v>#NAME?</v>
      </c>
      <c r="FM193" s="108" t="e">
        <f t="shared" ca="1" si="93"/>
        <v>#NAME?</v>
      </c>
      <c r="FN193" s="108" t="e">
        <f t="shared" ca="1" si="93"/>
        <v>#NAME?</v>
      </c>
      <c r="FO193" s="108" t="e">
        <f t="shared" ca="1" si="93"/>
        <v>#NAME?</v>
      </c>
      <c r="FP193" s="108" t="e">
        <f t="shared" ca="1" si="93"/>
        <v>#NAME?</v>
      </c>
      <c r="FQ193" s="108" t="e">
        <f t="shared" ca="1" si="93"/>
        <v>#NAME?</v>
      </c>
      <c r="FR193" s="108" t="e">
        <f t="shared" ca="1" si="93"/>
        <v>#NAME?</v>
      </c>
      <c r="FS193" s="108" t="e">
        <f t="shared" ca="1" si="93"/>
        <v>#NAME?</v>
      </c>
      <c r="FT193" s="108" t="e">
        <f t="shared" ca="1" si="93"/>
        <v>#NAME?</v>
      </c>
      <c r="FU193" s="108" t="e">
        <f t="shared" ca="1" si="93"/>
        <v>#NAME?</v>
      </c>
      <c r="FV193" s="108" t="e">
        <f t="shared" ca="1" si="93"/>
        <v>#NAME?</v>
      </c>
      <c r="FW193" s="108" t="e">
        <f t="shared" ca="1" si="93"/>
        <v>#NAME?</v>
      </c>
      <c r="FX193" s="108" t="e">
        <f t="shared" ca="1" si="93"/>
        <v>#NAME?</v>
      </c>
      <c r="FY193" s="7"/>
      <c r="FZ193" s="45"/>
      <c r="GA193" s="23"/>
      <c r="GB193" s="7"/>
      <c r="GC193" s="7"/>
      <c r="GD193" s="7"/>
      <c r="GE193" s="7"/>
      <c r="GF193" s="7"/>
      <c r="GG193" s="7"/>
      <c r="GH193" s="7"/>
      <c r="GI193" s="7"/>
      <c r="GJ193" s="7"/>
      <c r="GK193" s="7"/>
    </row>
    <row r="194" spans="1:205" ht="15.5" x14ac:dyDescent="0.35">
      <c r="A194" s="7"/>
      <c r="B194" s="7" t="s">
        <v>939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</row>
    <row r="195" spans="1:205" ht="15.5" x14ac:dyDescent="0.35">
      <c r="A195" s="12" t="s">
        <v>940</v>
      </c>
      <c r="B195" s="7" t="s">
        <v>941</v>
      </c>
      <c r="C195" s="47" t="e">
        <f t="shared" ref="C195:FX195" ca="1" si="94">ROUND(IF((OR(C191=1,C192=1))=TRUE(),0,((1027-459)*0.00020599)+1.1215),4)</f>
        <v>#NAME?</v>
      </c>
      <c r="D195" s="47" t="e">
        <f t="shared" ca="1" si="94"/>
        <v>#NAME?</v>
      </c>
      <c r="E195" s="47" t="e">
        <f t="shared" ca="1" si="94"/>
        <v>#NAME?</v>
      </c>
      <c r="F195" s="47" t="e">
        <f t="shared" ca="1" si="94"/>
        <v>#NAME?</v>
      </c>
      <c r="G195" s="47" t="e">
        <f t="shared" ca="1" si="94"/>
        <v>#NAME?</v>
      </c>
      <c r="H195" s="47" t="e">
        <f t="shared" ca="1" si="94"/>
        <v>#NAME?</v>
      </c>
      <c r="I195" s="47" t="e">
        <f t="shared" ca="1" si="94"/>
        <v>#NAME?</v>
      </c>
      <c r="J195" s="47" t="e">
        <f t="shared" ca="1" si="94"/>
        <v>#NAME?</v>
      </c>
      <c r="K195" s="47" t="e">
        <f t="shared" ca="1" si="94"/>
        <v>#NAME?</v>
      </c>
      <c r="L195" s="47" t="e">
        <f t="shared" ca="1" si="94"/>
        <v>#NAME?</v>
      </c>
      <c r="M195" s="47" t="e">
        <f t="shared" ca="1" si="94"/>
        <v>#NAME?</v>
      </c>
      <c r="N195" s="47" t="e">
        <f t="shared" ca="1" si="94"/>
        <v>#NAME?</v>
      </c>
      <c r="O195" s="47" t="e">
        <f t="shared" ca="1" si="94"/>
        <v>#NAME?</v>
      </c>
      <c r="P195" s="47" t="e">
        <f t="shared" ca="1" si="94"/>
        <v>#NAME?</v>
      </c>
      <c r="Q195" s="47" t="e">
        <f t="shared" ca="1" si="94"/>
        <v>#NAME?</v>
      </c>
      <c r="R195" s="47" t="e">
        <f t="shared" ca="1" si="94"/>
        <v>#NAME?</v>
      </c>
      <c r="S195" s="47" t="e">
        <f t="shared" ca="1" si="94"/>
        <v>#NAME?</v>
      </c>
      <c r="T195" s="47" t="e">
        <f t="shared" ca="1" si="94"/>
        <v>#NAME?</v>
      </c>
      <c r="U195" s="47" t="e">
        <f t="shared" ca="1" si="94"/>
        <v>#NAME?</v>
      </c>
      <c r="V195" s="47" t="e">
        <f t="shared" ca="1" si="94"/>
        <v>#NAME?</v>
      </c>
      <c r="W195" s="47" t="e">
        <f t="shared" ca="1" si="94"/>
        <v>#NAME?</v>
      </c>
      <c r="X195" s="47" t="e">
        <f t="shared" ca="1" si="94"/>
        <v>#NAME?</v>
      </c>
      <c r="Y195" s="47" t="e">
        <f t="shared" ca="1" si="94"/>
        <v>#NAME?</v>
      </c>
      <c r="Z195" s="47" t="e">
        <f t="shared" ca="1" si="94"/>
        <v>#NAME?</v>
      </c>
      <c r="AA195" s="47" t="e">
        <f t="shared" ca="1" si="94"/>
        <v>#NAME?</v>
      </c>
      <c r="AB195" s="47" t="e">
        <f t="shared" ca="1" si="94"/>
        <v>#NAME?</v>
      </c>
      <c r="AC195" s="47" t="e">
        <f t="shared" ca="1" si="94"/>
        <v>#NAME?</v>
      </c>
      <c r="AD195" s="47" t="e">
        <f t="shared" ca="1" si="94"/>
        <v>#NAME?</v>
      </c>
      <c r="AE195" s="47" t="e">
        <f t="shared" ca="1" si="94"/>
        <v>#NAME?</v>
      </c>
      <c r="AF195" s="47" t="e">
        <f t="shared" ca="1" si="94"/>
        <v>#NAME?</v>
      </c>
      <c r="AG195" s="47" t="e">
        <f t="shared" ca="1" si="94"/>
        <v>#NAME?</v>
      </c>
      <c r="AH195" s="47" t="e">
        <f t="shared" ca="1" si="94"/>
        <v>#NAME?</v>
      </c>
      <c r="AI195" s="47" t="e">
        <f t="shared" ca="1" si="94"/>
        <v>#NAME?</v>
      </c>
      <c r="AJ195" s="47" t="e">
        <f t="shared" ca="1" si="94"/>
        <v>#NAME?</v>
      </c>
      <c r="AK195" s="47" t="e">
        <f t="shared" ca="1" si="94"/>
        <v>#NAME?</v>
      </c>
      <c r="AL195" s="47" t="e">
        <f t="shared" ca="1" si="94"/>
        <v>#NAME?</v>
      </c>
      <c r="AM195" s="47" t="e">
        <f t="shared" ca="1" si="94"/>
        <v>#NAME?</v>
      </c>
      <c r="AN195" s="47" t="e">
        <f t="shared" ca="1" si="94"/>
        <v>#NAME?</v>
      </c>
      <c r="AO195" s="47" t="e">
        <f t="shared" ca="1" si="94"/>
        <v>#NAME?</v>
      </c>
      <c r="AP195" s="47" t="e">
        <f t="shared" ca="1" si="94"/>
        <v>#NAME?</v>
      </c>
      <c r="AQ195" s="47" t="e">
        <f t="shared" ca="1" si="94"/>
        <v>#NAME?</v>
      </c>
      <c r="AR195" s="47" t="e">
        <f t="shared" ca="1" si="94"/>
        <v>#NAME?</v>
      </c>
      <c r="AS195" s="47" t="e">
        <f t="shared" ca="1" si="94"/>
        <v>#NAME?</v>
      </c>
      <c r="AT195" s="47" t="e">
        <f t="shared" ca="1" si="94"/>
        <v>#NAME?</v>
      </c>
      <c r="AU195" s="47" t="e">
        <f t="shared" ca="1" si="94"/>
        <v>#NAME?</v>
      </c>
      <c r="AV195" s="47" t="e">
        <f t="shared" ca="1" si="94"/>
        <v>#NAME?</v>
      </c>
      <c r="AW195" s="47" t="e">
        <f t="shared" ca="1" si="94"/>
        <v>#NAME?</v>
      </c>
      <c r="AX195" s="47" t="e">
        <f t="shared" ca="1" si="94"/>
        <v>#NAME?</v>
      </c>
      <c r="AY195" s="47" t="e">
        <f t="shared" ca="1" si="94"/>
        <v>#NAME?</v>
      </c>
      <c r="AZ195" s="47" t="e">
        <f t="shared" ca="1" si="94"/>
        <v>#NAME?</v>
      </c>
      <c r="BA195" s="47" t="e">
        <f t="shared" ca="1" si="94"/>
        <v>#NAME?</v>
      </c>
      <c r="BB195" s="47" t="e">
        <f t="shared" ca="1" si="94"/>
        <v>#NAME?</v>
      </c>
      <c r="BC195" s="47" t="e">
        <f t="shared" ca="1" si="94"/>
        <v>#NAME?</v>
      </c>
      <c r="BD195" s="47" t="e">
        <f t="shared" ca="1" si="94"/>
        <v>#NAME?</v>
      </c>
      <c r="BE195" s="47" t="e">
        <f t="shared" ca="1" si="94"/>
        <v>#NAME?</v>
      </c>
      <c r="BF195" s="47" t="e">
        <f t="shared" ca="1" si="94"/>
        <v>#NAME?</v>
      </c>
      <c r="BG195" s="47" t="e">
        <f t="shared" ca="1" si="94"/>
        <v>#NAME?</v>
      </c>
      <c r="BH195" s="47" t="e">
        <f t="shared" ca="1" si="94"/>
        <v>#NAME?</v>
      </c>
      <c r="BI195" s="47" t="e">
        <f t="shared" ca="1" si="94"/>
        <v>#NAME?</v>
      </c>
      <c r="BJ195" s="47" t="e">
        <f t="shared" ca="1" si="94"/>
        <v>#NAME?</v>
      </c>
      <c r="BK195" s="47" t="e">
        <f t="shared" ca="1" si="94"/>
        <v>#NAME?</v>
      </c>
      <c r="BL195" s="47" t="e">
        <f t="shared" ca="1" si="94"/>
        <v>#NAME?</v>
      </c>
      <c r="BM195" s="47" t="e">
        <f t="shared" ca="1" si="94"/>
        <v>#NAME?</v>
      </c>
      <c r="BN195" s="47" t="e">
        <f t="shared" ca="1" si="94"/>
        <v>#NAME?</v>
      </c>
      <c r="BO195" s="47" t="e">
        <f t="shared" ca="1" si="94"/>
        <v>#NAME?</v>
      </c>
      <c r="BP195" s="47" t="e">
        <f t="shared" ca="1" si="94"/>
        <v>#NAME?</v>
      </c>
      <c r="BQ195" s="47" t="e">
        <f t="shared" ca="1" si="94"/>
        <v>#NAME?</v>
      </c>
      <c r="BR195" s="47" t="e">
        <f t="shared" ca="1" si="94"/>
        <v>#NAME?</v>
      </c>
      <c r="BS195" s="47" t="e">
        <f t="shared" ca="1" si="94"/>
        <v>#NAME?</v>
      </c>
      <c r="BT195" s="47" t="e">
        <f t="shared" ca="1" si="94"/>
        <v>#NAME?</v>
      </c>
      <c r="BU195" s="47" t="e">
        <f t="shared" ca="1" si="94"/>
        <v>#NAME?</v>
      </c>
      <c r="BV195" s="47" t="e">
        <f t="shared" ca="1" si="94"/>
        <v>#NAME?</v>
      </c>
      <c r="BW195" s="47" t="e">
        <f t="shared" ca="1" si="94"/>
        <v>#NAME?</v>
      </c>
      <c r="BX195" s="47" t="e">
        <f t="shared" ca="1" si="94"/>
        <v>#NAME?</v>
      </c>
      <c r="BY195" s="47" t="e">
        <f t="shared" ca="1" si="94"/>
        <v>#NAME?</v>
      </c>
      <c r="BZ195" s="47" t="e">
        <f t="shared" ca="1" si="94"/>
        <v>#NAME?</v>
      </c>
      <c r="CA195" s="47" t="e">
        <f t="shared" ca="1" si="94"/>
        <v>#NAME?</v>
      </c>
      <c r="CB195" s="47" t="e">
        <f t="shared" ca="1" si="94"/>
        <v>#NAME?</v>
      </c>
      <c r="CC195" s="47" t="e">
        <f t="shared" ca="1" si="94"/>
        <v>#NAME?</v>
      </c>
      <c r="CD195" s="47" t="e">
        <f t="shared" ca="1" si="94"/>
        <v>#NAME?</v>
      </c>
      <c r="CE195" s="47" t="e">
        <f t="shared" ca="1" si="94"/>
        <v>#NAME?</v>
      </c>
      <c r="CF195" s="47" t="e">
        <f t="shared" ca="1" si="94"/>
        <v>#NAME?</v>
      </c>
      <c r="CG195" s="47" t="e">
        <f t="shared" ca="1" si="94"/>
        <v>#NAME?</v>
      </c>
      <c r="CH195" s="47" t="e">
        <f t="shared" ca="1" si="94"/>
        <v>#NAME?</v>
      </c>
      <c r="CI195" s="47" t="e">
        <f t="shared" ca="1" si="94"/>
        <v>#NAME?</v>
      </c>
      <c r="CJ195" s="47" t="e">
        <f t="shared" ca="1" si="94"/>
        <v>#NAME?</v>
      </c>
      <c r="CK195" s="47" t="e">
        <f t="shared" ca="1" si="94"/>
        <v>#NAME?</v>
      </c>
      <c r="CL195" s="47" t="e">
        <f t="shared" ca="1" si="94"/>
        <v>#NAME?</v>
      </c>
      <c r="CM195" s="47" t="e">
        <f t="shared" ca="1" si="94"/>
        <v>#NAME?</v>
      </c>
      <c r="CN195" s="47" t="e">
        <f t="shared" ca="1" si="94"/>
        <v>#NAME?</v>
      </c>
      <c r="CO195" s="47" t="e">
        <f t="shared" ca="1" si="94"/>
        <v>#NAME?</v>
      </c>
      <c r="CP195" s="47" t="e">
        <f t="shared" ca="1" si="94"/>
        <v>#NAME?</v>
      </c>
      <c r="CQ195" s="47" t="e">
        <f t="shared" ca="1" si="94"/>
        <v>#NAME?</v>
      </c>
      <c r="CR195" s="47" t="e">
        <f t="shared" ca="1" si="94"/>
        <v>#NAME?</v>
      </c>
      <c r="CS195" s="47" t="e">
        <f t="shared" ca="1" si="94"/>
        <v>#NAME?</v>
      </c>
      <c r="CT195" s="47" t="e">
        <f t="shared" ca="1" si="94"/>
        <v>#NAME?</v>
      </c>
      <c r="CU195" s="47" t="e">
        <f t="shared" ca="1" si="94"/>
        <v>#NAME?</v>
      </c>
      <c r="CV195" s="47" t="e">
        <f t="shared" ca="1" si="94"/>
        <v>#NAME?</v>
      </c>
      <c r="CW195" s="47" t="e">
        <f t="shared" ca="1" si="94"/>
        <v>#NAME?</v>
      </c>
      <c r="CX195" s="47" t="e">
        <f t="shared" ca="1" si="94"/>
        <v>#NAME?</v>
      </c>
      <c r="CY195" s="47" t="e">
        <f t="shared" ca="1" si="94"/>
        <v>#NAME?</v>
      </c>
      <c r="CZ195" s="47" t="e">
        <f t="shared" ca="1" si="94"/>
        <v>#NAME?</v>
      </c>
      <c r="DA195" s="47" t="e">
        <f t="shared" ca="1" si="94"/>
        <v>#NAME?</v>
      </c>
      <c r="DB195" s="47" t="e">
        <f t="shared" ca="1" si="94"/>
        <v>#NAME?</v>
      </c>
      <c r="DC195" s="47" t="e">
        <f t="shared" ca="1" si="94"/>
        <v>#NAME?</v>
      </c>
      <c r="DD195" s="47" t="e">
        <f t="shared" ca="1" si="94"/>
        <v>#NAME?</v>
      </c>
      <c r="DE195" s="47" t="e">
        <f t="shared" ca="1" si="94"/>
        <v>#NAME?</v>
      </c>
      <c r="DF195" s="47" t="e">
        <f t="shared" ca="1" si="94"/>
        <v>#NAME?</v>
      </c>
      <c r="DG195" s="47" t="e">
        <f t="shared" ca="1" si="94"/>
        <v>#NAME?</v>
      </c>
      <c r="DH195" s="47" t="e">
        <f t="shared" ca="1" si="94"/>
        <v>#NAME?</v>
      </c>
      <c r="DI195" s="47" t="e">
        <f t="shared" ca="1" si="94"/>
        <v>#NAME?</v>
      </c>
      <c r="DJ195" s="47" t="e">
        <f t="shared" ca="1" si="94"/>
        <v>#NAME?</v>
      </c>
      <c r="DK195" s="47" t="e">
        <f t="shared" ca="1" si="94"/>
        <v>#NAME?</v>
      </c>
      <c r="DL195" s="47" t="e">
        <f t="shared" ca="1" si="94"/>
        <v>#NAME?</v>
      </c>
      <c r="DM195" s="47" t="e">
        <f t="shared" ca="1" si="94"/>
        <v>#NAME?</v>
      </c>
      <c r="DN195" s="47" t="e">
        <f t="shared" ca="1" si="94"/>
        <v>#NAME?</v>
      </c>
      <c r="DO195" s="47" t="e">
        <f t="shared" ca="1" si="94"/>
        <v>#NAME?</v>
      </c>
      <c r="DP195" s="47" t="e">
        <f t="shared" ca="1" si="94"/>
        <v>#NAME?</v>
      </c>
      <c r="DQ195" s="47" t="e">
        <f t="shared" ca="1" si="94"/>
        <v>#NAME?</v>
      </c>
      <c r="DR195" s="47" t="e">
        <f t="shared" ca="1" si="94"/>
        <v>#NAME?</v>
      </c>
      <c r="DS195" s="47" t="e">
        <f t="shared" ca="1" si="94"/>
        <v>#NAME?</v>
      </c>
      <c r="DT195" s="47" t="e">
        <f t="shared" ca="1" si="94"/>
        <v>#NAME?</v>
      </c>
      <c r="DU195" s="47" t="e">
        <f t="shared" ca="1" si="94"/>
        <v>#NAME?</v>
      </c>
      <c r="DV195" s="47" t="e">
        <f t="shared" ca="1" si="94"/>
        <v>#NAME?</v>
      </c>
      <c r="DW195" s="47" t="e">
        <f t="shared" ca="1" si="94"/>
        <v>#NAME?</v>
      </c>
      <c r="DX195" s="47" t="e">
        <f t="shared" ca="1" si="94"/>
        <v>#NAME?</v>
      </c>
      <c r="DY195" s="47" t="e">
        <f t="shared" ca="1" si="94"/>
        <v>#NAME?</v>
      </c>
      <c r="DZ195" s="47" t="e">
        <f t="shared" ca="1" si="94"/>
        <v>#NAME?</v>
      </c>
      <c r="EA195" s="47" t="e">
        <f t="shared" ca="1" si="94"/>
        <v>#NAME?</v>
      </c>
      <c r="EB195" s="47" t="e">
        <f t="shared" ca="1" si="94"/>
        <v>#NAME?</v>
      </c>
      <c r="EC195" s="47" t="e">
        <f t="shared" ca="1" si="94"/>
        <v>#NAME?</v>
      </c>
      <c r="ED195" s="47" t="e">
        <f t="shared" ca="1" si="94"/>
        <v>#NAME?</v>
      </c>
      <c r="EE195" s="47" t="e">
        <f t="shared" ca="1" si="94"/>
        <v>#NAME?</v>
      </c>
      <c r="EF195" s="47" t="e">
        <f t="shared" ca="1" si="94"/>
        <v>#NAME?</v>
      </c>
      <c r="EG195" s="47" t="e">
        <f t="shared" ca="1" si="94"/>
        <v>#NAME?</v>
      </c>
      <c r="EH195" s="47" t="e">
        <f t="shared" ca="1" si="94"/>
        <v>#NAME?</v>
      </c>
      <c r="EI195" s="47" t="e">
        <f t="shared" ca="1" si="94"/>
        <v>#NAME?</v>
      </c>
      <c r="EJ195" s="47" t="e">
        <f t="shared" ca="1" si="94"/>
        <v>#NAME?</v>
      </c>
      <c r="EK195" s="47" t="e">
        <f t="shared" ca="1" si="94"/>
        <v>#NAME?</v>
      </c>
      <c r="EL195" s="47" t="e">
        <f t="shared" ca="1" si="94"/>
        <v>#NAME?</v>
      </c>
      <c r="EM195" s="47" t="e">
        <f t="shared" ca="1" si="94"/>
        <v>#NAME?</v>
      </c>
      <c r="EN195" s="47" t="e">
        <f t="shared" ca="1" si="94"/>
        <v>#NAME?</v>
      </c>
      <c r="EO195" s="47" t="e">
        <f t="shared" ca="1" si="94"/>
        <v>#NAME?</v>
      </c>
      <c r="EP195" s="47" t="e">
        <f t="shared" ca="1" si="94"/>
        <v>#NAME?</v>
      </c>
      <c r="EQ195" s="47" t="e">
        <f t="shared" ca="1" si="94"/>
        <v>#NAME?</v>
      </c>
      <c r="ER195" s="47" t="e">
        <f t="shared" ca="1" si="94"/>
        <v>#NAME?</v>
      </c>
      <c r="ES195" s="47" t="e">
        <f t="shared" ca="1" si="94"/>
        <v>#NAME?</v>
      </c>
      <c r="ET195" s="47" t="e">
        <f t="shared" ca="1" si="94"/>
        <v>#NAME?</v>
      </c>
      <c r="EU195" s="47" t="e">
        <f t="shared" ca="1" si="94"/>
        <v>#NAME?</v>
      </c>
      <c r="EV195" s="47" t="e">
        <f t="shared" ca="1" si="94"/>
        <v>#NAME?</v>
      </c>
      <c r="EW195" s="47" t="e">
        <f t="shared" ca="1" si="94"/>
        <v>#NAME?</v>
      </c>
      <c r="EX195" s="47" t="e">
        <f t="shared" ca="1" si="94"/>
        <v>#NAME?</v>
      </c>
      <c r="EY195" s="47" t="e">
        <f t="shared" ca="1" si="94"/>
        <v>#NAME?</v>
      </c>
      <c r="EZ195" s="47" t="e">
        <f t="shared" ca="1" si="94"/>
        <v>#NAME?</v>
      </c>
      <c r="FA195" s="47" t="e">
        <f t="shared" ca="1" si="94"/>
        <v>#NAME?</v>
      </c>
      <c r="FB195" s="47" t="e">
        <f t="shared" ca="1" si="94"/>
        <v>#NAME?</v>
      </c>
      <c r="FC195" s="47" t="e">
        <f t="shared" ca="1" si="94"/>
        <v>#NAME?</v>
      </c>
      <c r="FD195" s="47" t="e">
        <f t="shared" ca="1" si="94"/>
        <v>#NAME?</v>
      </c>
      <c r="FE195" s="47" t="e">
        <f t="shared" ca="1" si="94"/>
        <v>#NAME?</v>
      </c>
      <c r="FF195" s="47" t="e">
        <f t="shared" ca="1" si="94"/>
        <v>#NAME?</v>
      </c>
      <c r="FG195" s="47" t="e">
        <f t="shared" ca="1" si="94"/>
        <v>#NAME?</v>
      </c>
      <c r="FH195" s="47" t="e">
        <f t="shared" ca="1" si="94"/>
        <v>#NAME?</v>
      </c>
      <c r="FI195" s="47" t="e">
        <f t="shared" ca="1" si="94"/>
        <v>#NAME?</v>
      </c>
      <c r="FJ195" s="47" t="e">
        <f t="shared" ca="1" si="94"/>
        <v>#NAME?</v>
      </c>
      <c r="FK195" s="47" t="e">
        <f t="shared" ca="1" si="94"/>
        <v>#NAME?</v>
      </c>
      <c r="FL195" s="47" t="e">
        <f t="shared" ca="1" si="94"/>
        <v>#NAME?</v>
      </c>
      <c r="FM195" s="47" t="e">
        <f t="shared" ca="1" si="94"/>
        <v>#NAME?</v>
      </c>
      <c r="FN195" s="47" t="e">
        <f t="shared" ca="1" si="94"/>
        <v>#NAME?</v>
      </c>
      <c r="FO195" s="47" t="e">
        <f t="shared" ca="1" si="94"/>
        <v>#NAME?</v>
      </c>
      <c r="FP195" s="47" t="e">
        <f t="shared" ca="1" si="94"/>
        <v>#NAME?</v>
      </c>
      <c r="FQ195" s="47" t="e">
        <f t="shared" ca="1" si="94"/>
        <v>#NAME?</v>
      </c>
      <c r="FR195" s="47" t="e">
        <f t="shared" ca="1" si="94"/>
        <v>#NAME?</v>
      </c>
      <c r="FS195" s="47" t="e">
        <f t="shared" ca="1" si="94"/>
        <v>#NAME?</v>
      </c>
      <c r="FT195" s="47" t="e">
        <f t="shared" ca="1" si="94"/>
        <v>#NAME?</v>
      </c>
      <c r="FU195" s="47" t="e">
        <f t="shared" ca="1" si="94"/>
        <v>#NAME?</v>
      </c>
      <c r="FV195" s="47" t="e">
        <f t="shared" ca="1" si="94"/>
        <v>#NAME?</v>
      </c>
      <c r="FW195" s="47" t="e">
        <f t="shared" ca="1" si="94"/>
        <v>#NAME?</v>
      </c>
      <c r="FX195" s="47" t="e">
        <f t="shared" ca="1" si="94"/>
        <v>#NAME?</v>
      </c>
      <c r="FY195" s="108"/>
      <c r="FZ195" s="45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</row>
    <row r="196" spans="1:205" ht="15.5" x14ac:dyDescent="0.35">
      <c r="A196" s="7"/>
      <c r="B196" s="7" t="s">
        <v>942</v>
      </c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</row>
    <row r="197" spans="1:205" ht="15.5" x14ac:dyDescent="0.35">
      <c r="A197" s="12" t="s">
        <v>943</v>
      </c>
      <c r="B197" s="7" t="s">
        <v>944</v>
      </c>
      <c r="C197" s="45" t="e">
        <f t="shared" ref="C197:FX197" ca="1" si="95">ROUND(IF((OR(C191=1,C192=1))=TRUE(),0,C193*C195),8)</f>
        <v>#NAME?</v>
      </c>
      <c r="D197" s="45" t="e">
        <f t="shared" ca="1" si="95"/>
        <v>#NAME?</v>
      </c>
      <c r="E197" s="45" t="e">
        <f t="shared" ca="1" si="95"/>
        <v>#NAME?</v>
      </c>
      <c r="F197" s="45" t="e">
        <f t="shared" ca="1" si="95"/>
        <v>#NAME?</v>
      </c>
      <c r="G197" s="45" t="e">
        <f t="shared" ca="1" si="95"/>
        <v>#NAME?</v>
      </c>
      <c r="H197" s="45" t="e">
        <f t="shared" ca="1" si="95"/>
        <v>#NAME?</v>
      </c>
      <c r="I197" s="45" t="e">
        <f t="shared" ca="1" si="95"/>
        <v>#NAME?</v>
      </c>
      <c r="J197" s="45" t="e">
        <f t="shared" ca="1" si="95"/>
        <v>#NAME?</v>
      </c>
      <c r="K197" s="45" t="e">
        <f t="shared" ca="1" si="95"/>
        <v>#NAME?</v>
      </c>
      <c r="L197" s="45" t="e">
        <f t="shared" ca="1" si="95"/>
        <v>#NAME?</v>
      </c>
      <c r="M197" s="45" t="e">
        <f t="shared" ca="1" si="95"/>
        <v>#NAME?</v>
      </c>
      <c r="N197" s="45" t="e">
        <f t="shared" ca="1" si="95"/>
        <v>#NAME?</v>
      </c>
      <c r="O197" s="45" t="e">
        <f t="shared" ca="1" si="95"/>
        <v>#NAME?</v>
      </c>
      <c r="P197" s="45" t="e">
        <f t="shared" ca="1" si="95"/>
        <v>#NAME?</v>
      </c>
      <c r="Q197" s="45" t="e">
        <f t="shared" ca="1" si="95"/>
        <v>#NAME?</v>
      </c>
      <c r="R197" s="45" t="e">
        <f t="shared" ca="1" si="95"/>
        <v>#NAME?</v>
      </c>
      <c r="S197" s="45" t="e">
        <f t="shared" ca="1" si="95"/>
        <v>#NAME?</v>
      </c>
      <c r="T197" s="45" t="e">
        <f t="shared" ca="1" si="95"/>
        <v>#NAME?</v>
      </c>
      <c r="U197" s="45" t="e">
        <f t="shared" ca="1" si="95"/>
        <v>#NAME?</v>
      </c>
      <c r="V197" s="45" t="e">
        <f t="shared" ca="1" si="95"/>
        <v>#NAME?</v>
      </c>
      <c r="W197" s="45" t="e">
        <f t="shared" ca="1" si="95"/>
        <v>#NAME?</v>
      </c>
      <c r="X197" s="45" t="e">
        <f t="shared" ca="1" si="95"/>
        <v>#NAME?</v>
      </c>
      <c r="Y197" s="45" t="e">
        <f t="shared" ca="1" si="95"/>
        <v>#NAME?</v>
      </c>
      <c r="Z197" s="45" t="e">
        <f t="shared" ca="1" si="95"/>
        <v>#NAME?</v>
      </c>
      <c r="AA197" s="45" t="e">
        <f t="shared" ca="1" si="95"/>
        <v>#NAME?</v>
      </c>
      <c r="AB197" s="45" t="e">
        <f t="shared" ca="1" si="95"/>
        <v>#NAME?</v>
      </c>
      <c r="AC197" s="45" t="e">
        <f t="shared" ca="1" si="95"/>
        <v>#NAME?</v>
      </c>
      <c r="AD197" s="45" t="e">
        <f t="shared" ca="1" si="95"/>
        <v>#NAME?</v>
      </c>
      <c r="AE197" s="45" t="e">
        <f t="shared" ca="1" si="95"/>
        <v>#NAME?</v>
      </c>
      <c r="AF197" s="45" t="e">
        <f t="shared" ca="1" si="95"/>
        <v>#NAME?</v>
      </c>
      <c r="AG197" s="45" t="e">
        <f t="shared" ca="1" si="95"/>
        <v>#NAME?</v>
      </c>
      <c r="AH197" s="45" t="e">
        <f t="shared" ca="1" si="95"/>
        <v>#NAME?</v>
      </c>
      <c r="AI197" s="45" t="e">
        <f t="shared" ca="1" si="95"/>
        <v>#NAME?</v>
      </c>
      <c r="AJ197" s="45" t="e">
        <f t="shared" ca="1" si="95"/>
        <v>#NAME?</v>
      </c>
      <c r="AK197" s="45" t="e">
        <f t="shared" ca="1" si="95"/>
        <v>#NAME?</v>
      </c>
      <c r="AL197" s="45" t="e">
        <f t="shared" ca="1" si="95"/>
        <v>#NAME?</v>
      </c>
      <c r="AM197" s="45" t="e">
        <f t="shared" ca="1" si="95"/>
        <v>#NAME?</v>
      </c>
      <c r="AN197" s="45" t="e">
        <f t="shared" ca="1" si="95"/>
        <v>#NAME?</v>
      </c>
      <c r="AO197" s="45" t="e">
        <f t="shared" ca="1" si="95"/>
        <v>#NAME?</v>
      </c>
      <c r="AP197" s="45" t="e">
        <f t="shared" ca="1" si="95"/>
        <v>#NAME?</v>
      </c>
      <c r="AQ197" s="45" t="e">
        <f t="shared" ca="1" si="95"/>
        <v>#NAME?</v>
      </c>
      <c r="AR197" s="45" t="e">
        <f t="shared" ca="1" si="95"/>
        <v>#NAME?</v>
      </c>
      <c r="AS197" s="45" t="e">
        <f t="shared" ca="1" si="95"/>
        <v>#NAME?</v>
      </c>
      <c r="AT197" s="45" t="e">
        <f t="shared" ca="1" si="95"/>
        <v>#NAME?</v>
      </c>
      <c r="AU197" s="45" t="e">
        <f t="shared" ca="1" si="95"/>
        <v>#NAME?</v>
      </c>
      <c r="AV197" s="45" t="e">
        <f t="shared" ca="1" si="95"/>
        <v>#NAME?</v>
      </c>
      <c r="AW197" s="45" t="e">
        <f t="shared" ca="1" si="95"/>
        <v>#NAME?</v>
      </c>
      <c r="AX197" s="45" t="e">
        <f t="shared" ca="1" si="95"/>
        <v>#NAME?</v>
      </c>
      <c r="AY197" s="45" t="e">
        <f t="shared" ca="1" si="95"/>
        <v>#NAME?</v>
      </c>
      <c r="AZ197" s="45" t="e">
        <f t="shared" ca="1" si="95"/>
        <v>#NAME?</v>
      </c>
      <c r="BA197" s="45" t="e">
        <f t="shared" ca="1" si="95"/>
        <v>#NAME?</v>
      </c>
      <c r="BB197" s="45" t="e">
        <f t="shared" ca="1" si="95"/>
        <v>#NAME?</v>
      </c>
      <c r="BC197" s="45" t="e">
        <f t="shared" ca="1" si="95"/>
        <v>#NAME?</v>
      </c>
      <c r="BD197" s="45" t="e">
        <f t="shared" ca="1" si="95"/>
        <v>#NAME?</v>
      </c>
      <c r="BE197" s="45" t="e">
        <f t="shared" ca="1" si="95"/>
        <v>#NAME?</v>
      </c>
      <c r="BF197" s="45" t="e">
        <f t="shared" ca="1" si="95"/>
        <v>#NAME?</v>
      </c>
      <c r="BG197" s="45" t="e">
        <f t="shared" ca="1" si="95"/>
        <v>#NAME?</v>
      </c>
      <c r="BH197" s="45" t="e">
        <f t="shared" ca="1" si="95"/>
        <v>#NAME?</v>
      </c>
      <c r="BI197" s="45" t="e">
        <f t="shared" ca="1" si="95"/>
        <v>#NAME?</v>
      </c>
      <c r="BJ197" s="45" t="e">
        <f t="shared" ca="1" si="95"/>
        <v>#NAME?</v>
      </c>
      <c r="BK197" s="45" t="e">
        <f t="shared" ca="1" si="95"/>
        <v>#NAME?</v>
      </c>
      <c r="BL197" s="45" t="e">
        <f t="shared" ca="1" si="95"/>
        <v>#NAME?</v>
      </c>
      <c r="BM197" s="45" t="e">
        <f t="shared" ca="1" si="95"/>
        <v>#NAME?</v>
      </c>
      <c r="BN197" s="45" t="e">
        <f t="shared" ca="1" si="95"/>
        <v>#NAME?</v>
      </c>
      <c r="BO197" s="45" t="e">
        <f t="shared" ca="1" si="95"/>
        <v>#NAME?</v>
      </c>
      <c r="BP197" s="45" t="e">
        <f t="shared" ca="1" si="95"/>
        <v>#NAME?</v>
      </c>
      <c r="BQ197" s="45" t="e">
        <f t="shared" ca="1" si="95"/>
        <v>#NAME?</v>
      </c>
      <c r="BR197" s="45" t="e">
        <f t="shared" ca="1" si="95"/>
        <v>#NAME?</v>
      </c>
      <c r="BS197" s="45" t="e">
        <f t="shared" ca="1" si="95"/>
        <v>#NAME?</v>
      </c>
      <c r="BT197" s="45" t="e">
        <f t="shared" ca="1" si="95"/>
        <v>#NAME?</v>
      </c>
      <c r="BU197" s="45" t="e">
        <f t="shared" ca="1" si="95"/>
        <v>#NAME?</v>
      </c>
      <c r="BV197" s="45" t="e">
        <f t="shared" ca="1" si="95"/>
        <v>#NAME?</v>
      </c>
      <c r="BW197" s="45" t="e">
        <f t="shared" ca="1" si="95"/>
        <v>#NAME?</v>
      </c>
      <c r="BX197" s="45" t="e">
        <f t="shared" ca="1" si="95"/>
        <v>#NAME?</v>
      </c>
      <c r="BY197" s="45" t="e">
        <f t="shared" ca="1" si="95"/>
        <v>#NAME?</v>
      </c>
      <c r="BZ197" s="45" t="e">
        <f t="shared" ca="1" si="95"/>
        <v>#NAME?</v>
      </c>
      <c r="CA197" s="45" t="e">
        <f t="shared" ca="1" si="95"/>
        <v>#NAME?</v>
      </c>
      <c r="CB197" s="45" t="e">
        <f t="shared" ca="1" si="95"/>
        <v>#NAME?</v>
      </c>
      <c r="CC197" s="45" t="e">
        <f t="shared" ca="1" si="95"/>
        <v>#NAME?</v>
      </c>
      <c r="CD197" s="45" t="e">
        <f t="shared" ca="1" si="95"/>
        <v>#NAME?</v>
      </c>
      <c r="CE197" s="45" t="e">
        <f t="shared" ca="1" si="95"/>
        <v>#NAME?</v>
      </c>
      <c r="CF197" s="45" t="e">
        <f t="shared" ca="1" si="95"/>
        <v>#NAME?</v>
      </c>
      <c r="CG197" s="45" t="e">
        <f t="shared" ca="1" si="95"/>
        <v>#NAME?</v>
      </c>
      <c r="CH197" s="45" t="e">
        <f t="shared" ca="1" si="95"/>
        <v>#NAME?</v>
      </c>
      <c r="CI197" s="45" t="e">
        <f t="shared" ca="1" si="95"/>
        <v>#NAME?</v>
      </c>
      <c r="CJ197" s="45" t="e">
        <f t="shared" ca="1" si="95"/>
        <v>#NAME?</v>
      </c>
      <c r="CK197" s="45" t="e">
        <f t="shared" ca="1" si="95"/>
        <v>#NAME?</v>
      </c>
      <c r="CL197" s="45" t="e">
        <f t="shared" ca="1" si="95"/>
        <v>#NAME?</v>
      </c>
      <c r="CM197" s="45" t="e">
        <f t="shared" ca="1" si="95"/>
        <v>#NAME?</v>
      </c>
      <c r="CN197" s="45" t="e">
        <f t="shared" ca="1" si="95"/>
        <v>#NAME?</v>
      </c>
      <c r="CO197" s="45" t="e">
        <f t="shared" ca="1" si="95"/>
        <v>#NAME?</v>
      </c>
      <c r="CP197" s="45" t="e">
        <f t="shared" ca="1" si="95"/>
        <v>#NAME?</v>
      </c>
      <c r="CQ197" s="45" t="e">
        <f t="shared" ca="1" si="95"/>
        <v>#NAME?</v>
      </c>
      <c r="CR197" s="45" t="e">
        <f t="shared" ca="1" si="95"/>
        <v>#NAME?</v>
      </c>
      <c r="CS197" s="45" t="e">
        <f t="shared" ca="1" si="95"/>
        <v>#NAME?</v>
      </c>
      <c r="CT197" s="45" t="e">
        <f t="shared" ca="1" si="95"/>
        <v>#NAME?</v>
      </c>
      <c r="CU197" s="45" t="e">
        <f t="shared" ca="1" si="95"/>
        <v>#NAME?</v>
      </c>
      <c r="CV197" s="45" t="e">
        <f t="shared" ca="1" si="95"/>
        <v>#NAME?</v>
      </c>
      <c r="CW197" s="45" t="e">
        <f t="shared" ca="1" si="95"/>
        <v>#NAME?</v>
      </c>
      <c r="CX197" s="45" t="e">
        <f t="shared" ca="1" si="95"/>
        <v>#NAME?</v>
      </c>
      <c r="CY197" s="45" t="e">
        <f t="shared" ca="1" si="95"/>
        <v>#NAME?</v>
      </c>
      <c r="CZ197" s="45" t="e">
        <f t="shared" ca="1" si="95"/>
        <v>#NAME?</v>
      </c>
      <c r="DA197" s="45" t="e">
        <f t="shared" ca="1" si="95"/>
        <v>#NAME?</v>
      </c>
      <c r="DB197" s="45" t="e">
        <f t="shared" ca="1" si="95"/>
        <v>#NAME?</v>
      </c>
      <c r="DC197" s="45" t="e">
        <f t="shared" ca="1" si="95"/>
        <v>#NAME?</v>
      </c>
      <c r="DD197" s="45" t="e">
        <f t="shared" ca="1" si="95"/>
        <v>#NAME?</v>
      </c>
      <c r="DE197" s="45" t="e">
        <f t="shared" ca="1" si="95"/>
        <v>#NAME?</v>
      </c>
      <c r="DF197" s="45" t="e">
        <f t="shared" ca="1" si="95"/>
        <v>#NAME?</v>
      </c>
      <c r="DG197" s="45" t="e">
        <f t="shared" ca="1" si="95"/>
        <v>#NAME?</v>
      </c>
      <c r="DH197" s="45" t="e">
        <f t="shared" ca="1" si="95"/>
        <v>#NAME?</v>
      </c>
      <c r="DI197" s="45" t="e">
        <f t="shared" ca="1" si="95"/>
        <v>#NAME?</v>
      </c>
      <c r="DJ197" s="45" t="e">
        <f t="shared" ca="1" si="95"/>
        <v>#NAME?</v>
      </c>
      <c r="DK197" s="45" t="e">
        <f t="shared" ca="1" si="95"/>
        <v>#NAME?</v>
      </c>
      <c r="DL197" s="45" t="e">
        <f t="shared" ca="1" si="95"/>
        <v>#NAME?</v>
      </c>
      <c r="DM197" s="45" t="e">
        <f t="shared" ca="1" si="95"/>
        <v>#NAME?</v>
      </c>
      <c r="DN197" s="45" t="e">
        <f t="shared" ca="1" si="95"/>
        <v>#NAME?</v>
      </c>
      <c r="DO197" s="45" t="e">
        <f t="shared" ca="1" si="95"/>
        <v>#NAME?</v>
      </c>
      <c r="DP197" s="45" t="e">
        <f t="shared" ca="1" si="95"/>
        <v>#NAME?</v>
      </c>
      <c r="DQ197" s="45" t="e">
        <f t="shared" ca="1" si="95"/>
        <v>#NAME?</v>
      </c>
      <c r="DR197" s="45" t="e">
        <f t="shared" ca="1" si="95"/>
        <v>#NAME?</v>
      </c>
      <c r="DS197" s="45" t="e">
        <f t="shared" ca="1" si="95"/>
        <v>#NAME?</v>
      </c>
      <c r="DT197" s="45" t="e">
        <f t="shared" ca="1" si="95"/>
        <v>#NAME?</v>
      </c>
      <c r="DU197" s="45" t="e">
        <f t="shared" ca="1" si="95"/>
        <v>#NAME?</v>
      </c>
      <c r="DV197" s="45" t="e">
        <f t="shared" ca="1" si="95"/>
        <v>#NAME?</v>
      </c>
      <c r="DW197" s="45" t="e">
        <f t="shared" ca="1" si="95"/>
        <v>#NAME?</v>
      </c>
      <c r="DX197" s="45" t="e">
        <f t="shared" ca="1" si="95"/>
        <v>#NAME?</v>
      </c>
      <c r="DY197" s="45" t="e">
        <f t="shared" ca="1" si="95"/>
        <v>#NAME?</v>
      </c>
      <c r="DZ197" s="45" t="e">
        <f t="shared" ca="1" si="95"/>
        <v>#NAME?</v>
      </c>
      <c r="EA197" s="45" t="e">
        <f t="shared" ca="1" si="95"/>
        <v>#NAME?</v>
      </c>
      <c r="EB197" s="45" t="e">
        <f t="shared" ca="1" si="95"/>
        <v>#NAME?</v>
      </c>
      <c r="EC197" s="45" t="e">
        <f t="shared" ca="1" si="95"/>
        <v>#NAME?</v>
      </c>
      <c r="ED197" s="45" t="e">
        <f t="shared" ca="1" si="95"/>
        <v>#NAME?</v>
      </c>
      <c r="EE197" s="45" t="e">
        <f t="shared" ca="1" si="95"/>
        <v>#NAME?</v>
      </c>
      <c r="EF197" s="45" t="e">
        <f t="shared" ca="1" si="95"/>
        <v>#NAME?</v>
      </c>
      <c r="EG197" s="45" t="e">
        <f t="shared" ca="1" si="95"/>
        <v>#NAME?</v>
      </c>
      <c r="EH197" s="45" t="e">
        <f t="shared" ca="1" si="95"/>
        <v>#NAME?</v>
      </c>
      <c r="EI197" s="45" t="e">
        <f t="shared" ca="1" si="95"/>
        <v>#NAME?</v>
      </c>
      <c r="EJ197" s="45" t="e">
        <f t="shared" ca="1" si="95"/>
        <v>#NAME?</v>
      </c>
      <c r="EK197" s="45" t="e">
        <f t="shared" ca="1" si="95"/>
        <v>#NAME?</v>
      </c>
      <c r="EL197" s="45" t="e">
        <f t="shared" ca="1" si="95"/>
        <v>#NAME?</v>
      </c>
      <c r="EM197" s="45" t="e">
        <f t="shared" ca="1" si="95"/>
        <v>#NAME?</v>
      </c>
      <c r="EN197" s="45" t="e">
        <f t="shared" ca="1" si="95"/>
        <v>#NAME?</v>
      </c>
      <c r="EO197" s="45" t="e">
        <f t="shared" ca="1" si="95"/>
        <v>#NAME?</v>
      </c>
      <c r="EP197" s="45" t="e">
        <f t="shared" ca="1" si="95"/>
        <v>#NAME?</v>
      </c>
      <c r="EQ197" s="45" t="e">
        <f t="shared" ca="1" si="95"/>
        <v>#NAME?</v>
      </c>
      <c r="ER197" s="45" t="e">
        <f t="shared" ca="1" si="95"/>
        <v>#NAME?</v>
      </c>
      <c r="ES197" s="45" t="e">
        <f t="shared" ca="1" si="95"/>
        <v>#NAME?</v>
      </c>
      <c r="ET197" s="45" t="e">
        <f t="shared" ca="1" si="95"/>
        <v>#NAME?</v>
      </c>
      <c r="EU197" s="45" t="e">
        <f t="shared" ca="1" si="95"/>
        <v>#NAME?</v>
      </c>
      <c r="EV197" s="45" t="e">
        <f t="shared" ca="1" si="95"/>
        <v>#NAME?</v>
      </c>
      <c r="EW197" s="45" t="e">
        <f t="shared" ca="1" si="95"/>
        <v>#NAME?</v>
      </c>
      <c r="EX197" s="45" t="e">
        <f t="shared" ca="1" si="95"/>
        <v>#NAME?</v>
      </c>
      <c r="EY197" s="45" t="e">
        <f t="shared" ca="1" si="95"/>
        <v>#NAME?</v>
      </c>
      <c r="EZ197" s="45" t="e">
        <f t="shared" ca="1" si="95"/>
        <v>#NAME?</v>
      </c>
      <c r="FA197" s="45" t="e">
        <f t="shared" ca="1" si="95"/>
        <v>#NAME?</v>
      </c>
      <c r="FB197" s="45" t="e">
        <f t="shared" ca="1" si="95"/>
        <v>#NAME?</v>
      </c>
      <c r="FC197" s="45" t="e">
        <f t="shared" ca="1" si="95"/>
        <v>#NAME?</v>
      </c>
      <c r="FD197" s="45" t="e">
        <f t="shared" ca="1" si="95"/>
        <v>#NAME?</v>
      </c>
      <c r="FE197" s="45" t="e">
        <f t="shared" ca="1" si="95"/>
        <v>#NAME?</v>
      </c>
      <c r="FF197" s="45" t="e">
        <f t="shared" ca="1" si="95"/>
        <v>#NAME?</v>
      </c>
      <c r="FG197" s="45" t="e">
        <f t="shared" ca="1" si="95"/>
        <v>#NAME?</v>
      </c>
      <c r="FH197" s="45" t="e">
        <f t="shared" ca="1" si="95"/>
        <v>#NAME?</v>
      </c>
      <c r="FI197" s="45" t="e">
        <f t="shared" ca="1" si="95"/>
        <v>#NAME?</v>
      </c>
      <c r="FJ197" s="45" t="e">
        <f t="shared" ca="1" si="95"/>
        <v>#NAME?</v>
      </c>
      <c r="FK197" s="45" t="e">
        <f t="shared" ca="1" si="95"/>
        <v>#NAME?</v>
      </c>
      <c r="FL197" s="45" t="e">
        <f t="shared" ca="1" si="95"/>
        <v>#NAME?</v>
      </c>
      <c r="FM197" s="45" t="e">
        <f t="shared" ca="1" si="95"/>
        <v>#NAME?</v>
      </c>
      <c r="FN197" s="45" t="e">
        <f t="shared" ca="1" si="95"/>
        <v>#NAME?</v>
      </c>
      <c r="FO197" s="45" t="e">
        <f t="shared" ca="1" si="95"/>
        <v>#NAME?</v>
      </c>
      <c r="FP197" s="45" t="e">
        <f t="shared" ca="1" si="95"/>
        <v>#NAME?</v>
      </c>
      <c r="FQ197" s="45" t="e">
        <f t="shared" ca="1" si="95"/>
        <v>#NAME?</v>
      </c>
      <c r="FR197" s="45" t="e">
        <f t="shared" ca="1" si="95"/>
        <v>#NAME?</v>
      </c>
      <c r="FS197" s="45" t="e">
        <f t="shared" ca="1" si="95"/>
        <v>#NAME?</v>
      </c>
      <c r="FT197" s="45" t="e">
        <f t="shared" ca="1" si="95"/>
        <v>#NAME?</v>
      </c>
      <c r="FU197" s="45" t="e">
        <f t="shared" ca="1" si="95"/>
        <v>#NAME?</v>
      </c>
      <c r="FV197" s="45" t="e">
        <f t="shared" ca="1" si="95"/>
        <v>#NAME?</v>
      </c>
      <c r="FW197" s="45" t="e">
        <f t="shared" ca="1" si="95"/>
        <v>#NAME?</v>
      </c>
      <c r="FX197" s="45" t="e">
        <f t="shared" ca="1" si="95"/>
        <v>#NAME?</v>
      </c>
      <c r="FY197" s="47"/>
      <c r="FZ197" s="45"/>
      <c r="GA197" s="7"/>
      <c r="GB197" s="45"/>
      <c r="GC197" s="45"/>
      <c r="GD197" s="45"/>
      <c r="GE197" s="7"/>
      <c r="GF197" s="45"/>
      <c r="GG197" s="45"/>
      <c r="GH197" s="45"/>
      <c r="GI197" s="45"/>
      <c r="GJ197" s="45"/>
      <c r="GK197" s="45"/>
    </row>
    <row r="198" spans="1:205" ht="15.5" x14ac:dyDescent="0.35">
      <c r="A198" s="7"/>
      <c r="B198" s="7" t="s">
        <v>945</v>
      </c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 t="e">
        <f ca="1">R197*459</f>
        <v>#NAME?</v>
      </c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</row>
    <row r="199" spans="1:205" ht="15.5" x14ac:dyDescent="0.35">
      <c r="A199" s="12" t="s">
        <v>946</v>
      </c>
      <c r="B199" s="7" t="s">
        <v>947</v>
      </c>
      <c r="C199" s="7" t="e">
        <f t="shared" ref="C199:FX199" ca="1" si="96">ROUND(IF((OR(C191=1,C192=1))=TRUE(),0,(C197*459)+(C137*(C43*C197))),2)</f>
        <v>#NAME?</v>
      </c>
      <c r="D199" s="7" t="e">
        <f t="shared" ca="1" si="96"/>
        <v>#NAME?</v>
      </c>
      <c r="E199" s="7" t="e">
        <f t="shared" ca="1" si="96"/>
        <v>#NAME?</v>
      </c>
      <c r="F199" s="7" t="e">
        <f t="shared" ca="1" si="96"/>
        <v>#NAME?</v>
      </c>
      <c r="G199" s="7" t="e">
        <f t="shared" ca="1" si="96"/>
        <v>#NAME?</v>
      </c>
      <c r="H199" s="7" t="e">
        <f t="shared" ca="1" si="96"/>
        <v>#NAME?</v>
      </c>
      <c r="I199" s="7" t="e">
        <f t="shared" ca="1" si="96"/>
        <v>#NAME?</v>
      </c>
      <c r="J199" s="7" t="e">
        <f t="shared" ca="1" si="96"/>
        <v>#NAME?</v>
      </c>
      <c r="K199" s="7" t="e">
        <f t="shared" ca="1" si="96"/>
        <v>#NAME?</v>
      </c>
      <c r="L199" s="7" t="e">
        <f t="shared" ca="1" si="96"/>
        <v>#NAME?</v>
      </c>
      <c r="M199" s="7" t="e">
        <f t="shared" ca="1" si="96"/>
        <v>#NAME?</v>
      </c>
      <c r="N199" s="7" t="e">
        <f t="shared" ca="1" si="96"/>
        <v>#NAME?</v>
      </c>
      <c r="O199" s="7" t="e">
        <f t="shared" ca="1" si="96"/>
        <v>#NAME?</v>
      </c>
      <c r="P199" s="7" t="e">
        <f t="shared" ca="1" si="96"/>
        <v>#NAME?</v>
      </c>
      <c r="Q199" s="7" t="e">
        <f t="shared" ca="1" si="96"/>
        <v>#NAME?</v>
      </c>
      <c r="R199" s="7" t="e">
        <f t="shared" ca="1" si="96"/>
        <v>#NAME?</v>
      </c>
      <c r="S199" s="7" t="e">
        <f t="shared" ca="1" si="96"/>
        <v>#NAME?</v>
      </c>
      <c r="T199" s="7" t="e">
        <f t="shared" ca="1" si="96"/>
        <v>#NAME?</v>
      </c>
      <c r="U199" s="7" t="e">
        <f t="shared" ca="1" si="96"/>
        <v>#NAME?</v>
      </c>
      <c r="V199" s="7" t="e">
        <f t="shared" ca="1" si="96"/>
        <v>#NAME?</v>
      </c>
      <c r="W199" s="7" t="e">
        <f t="shared" ca="1" si="96"/>
        <v>#NAME?</v>
      </c>
      <c r="X199" s="7" t="e">
        <f t="shared" ca="1" si="96"/>
        <v>#NAME?</v>
      </c>
      <c r="Y199" s="7" t="e">
        <f t="shared" ca="1" si="96"/>
        <v>#NAME?</v>
      </c>
      <c r="Z199" s="7" t="e">
        <f t="shared" ca="1" si="96"/>
        <v>#NAME?</v>
      </c>
      <c r="AA199" s="7" t="e">
        <f t="shared" ca="1" si="96"/>
        <v>#NAME?</v>
      </c>
      <c r="AB199" s="7" t="e">
        <f t="shared" ca="1" si="96"/>
        <v>#NAME?</v>
      </c>
      <c r="AC199" s="7" t="e">
        <f t="shared" ca="1" si="96"/>
        <v>#NAME?</v>
      </c>
      <c r="AD199" s="7" t="e">
        <f t="shared" ca="1" si="96"/>
        <v>#NAME?</v>
      </c>
      <c r="AE199" s="7" t="e">
        <f t="shared" ca="1" si="96"/>
        <v>#NAME?</v>
      </c>
      <c r="AF199" s="7" t="e">
        <f t="shared" ca="1" si="96"/>
        <v>#NAME?</v>
      </c>
      <c r="AG199" s="7" t="e">
        <f t="shared" ca="1" si="96"/>
        <v>#NAME?</v>
      </c>
      <c r="AH199" s="7" t="e">
        <f t="shared" ca="1" si="96"/>
        <v>#NAME?</v>
      </c>
      <c r="AI199" s="7" t="e">
        <f t="shared" ca="1" si="96"/>
        <v>#NAME?</v>
      </c>
      <c r="AJ199" s="7" t="e">
        <f t="shared" ca="1" si="96"/>
        <v>#NAME?</v>
      </c>
      <c r="AK199" s="7" t="e">
        <f t="shared" ca="1" si="96"/>
        <v>#NAME?</v>
      </c>
      <c r="AL199" s="7" t="e">
        <f t="shared" ca="1" si="96"/>
        <v>#NAME?</v>
      </c>
      <c r="AM199" s="7" t="e">
        <f t="shared" ca="1" si="96"/>
        <v>#NAME?</v>
      </c>
      <c r="AN199" s="7" t="e">
        <f t="shared" ca="1" si="96"/>
        <v>#NAME?</v>
      </c>
      <c r="AO199" s="7" t="e">
        <f t="shared" ca="1" si="96"/>
        <v>#NAME?</v>
      </c>
      <c r="AP199" s="7" t="e">
        <f t="shared" ca="1" si="96"/>
        <v>#NAME?</v>
      </c>
      <c r="AQ199" s="7" t="e">
        <f t="shared" ca="1" si="96"/>
        <v>#NAME?</v>
      </c>
      <c r="AR199" s="7" t="e">
        <f t="shared" ca="1" si="96"/>
        <v>#NAME?</v>
      </c>
      <c r="AS199" s="7" t="e">
        <f t="shared" ca="1" si="96"/>
        <v>#NAME?</v>
      </c>
      <c r="AT199" s="7" t="e">
        <f t="shared" ca="1" si="96"/>
        <v>#NAME?</v>
      </c>
      <c r="AU199" s="7" t="e">
        <f t="shared" ca="1" si="96"/>
        <v>#NAME?</v>
      </c>
      <c r="AV199" s="7" t="e">
        <f t="shared" ca="1" si="96"/>
        <v>#NAME?</v>
      </c>
      <c r="AW199" s="7" t="e">
        <f t="shared" ca="1" si="96"/>
        <v>#NAME?</v>
      </c>
      <c r="AX199" s="7" t="e">
        <f t="shared" ca="1" si="96"/>
        <v>#NAME?</v>
      </c>
      <c r="AY199" s="7" t="e">
        <f t="shared" ca="1" si="96"/>
        <v>#NAME?</v>
      </c>
      <c r="AZ199" s="7" t="e">
        <f t="shared" ca="1" si="96"/>
        <v>#NAME?</v>
      </c>
      <c r="BA199" s="7" t="e">
        <f t="shared" ca="1" si="96"/>
        <v>#NAME?</v>
      </c>
      <c r="BB199" s="7" t="e">
        <f t="shared" ca="1" si="96"/>
        <v>#NAME?</v>
      </c>
      <c r="BC199" s="7" t="e">
        <f t="shared" ca="1" si="96"/>
        <v>#NAME?</v>
      </c>
      <c r="BD199" s="7" t="e">
        <f t="shared" ca="1" si="96"/>
        <v>#NAME?</v>
      </c>
      <c r="BE199" s="7" t="e">
        <f t="shared" ca="1" si="96"/>
        <v>#NAME?</v>
      </c>
      <c r="BF199" s="7" t="e">
        <f t="shared" ca="1" si="96"/>
        <v>#NAME?</v>
      </c>
      <c r="BG199" s="7" t="e">
        <f t="shared" ca="1" si="96"/>
        <v>#NAME?</v>
      </c>
      <c r="BH199" s="7" t="e">
        <f t="shared" ca="1" si="96"/>
        <v>#NAME?</v>
      </c>
      <c r="BI199" s="7" t="e">
        <f t="shared" ca="1" si="96"/>
        <v>#NAME?</v>
      </c>
      <c r="BJ199" s="7" t="e">
        <f t="shared" ca="1" si="96"/>
        <v>#NAME?</v>
      </c>
      <c r="BK199" s="7" t="e">
        <f t="shared" ca="1" si="96"/>
        <v>#NAME?</v>
      </c>
      <c r="BL199" s="7" t="e">
        <f t="shared" ca="1" si="96"/>
        <v>#NAME?</v>
      </c>
      <c r="BM199" s="7" t="e">
        <f t="shared" ca="1" si="96"/>
        <v>#NAME?</v>
      </c>
      <c r="BN199" s="7" t="e">
        <f t="shared" ca="1" si="96"/>
        <v>#NAME?</v>
      </c>
      <c r="BO199" s="7" t="e">
        <f t="shared" ca="1" si="96"/>
        <v>#NAME?</v>
      </c>
      <c r="BP199" s="7" t="e">
        <f t="shared" ca="1" si="96"/>
        <v>#NAME?</v>
      </c>
      <c r="BQ199" s="7" t="e">
        <f t="shared" ca="1" si="96"/>
        <v>#NAME?</v>
      </c>
      <c r="BR199" s="7" t="e">
        <f t="shared" ca="1" si="96"/>
        <v>#NAME?</v>
      </c>
      <c r="BS199" s="7" t="e">
        <f t="shared" ca="1" si="96"/>
        <v>#NAME?</v>
      </c>
      <c r="BT199" s="7" t="e">
        <f t="shared" ca="1" si="96"/>
        <v>#NAME?</v>
      </c>
      <c r="BU199" s="7" t="e">
        <f t="shared" ca="1" si="96"/>
        <v>#NAME?</v>
      </c>
      <c r="BV199" s="7" t="e">
        <f t="shared" ca="1" si="96"/>
        <v>#NAME?</v>
      </c>
      <c r="BW199" s="7" t="e">
        <f t="shared" ca="1" si="96"/>
        <v>#NAME?</v>
      </c>
      <c r="BX199" s="7" t="e">
        <f t="shared" ca="1" si="96"/>
        <v>#NAME?</v>
      </c>
      <c r="BY199" s="7" t="e">
        <f t="shared" ca="1" si="96"/>
        <v>#NAME?</v>
      </c>
      <c r="BZ199" s="7" t="e">
        <f t="shared" ca="1" si="96"/>
        <v>#NAME?</v>
      </c>
      <c r="CA199" s="7" t="e">
        <f t="shared" ca="1" si="96"/>
        <v>#NAME?</v>
      </c>
      <c r="CB199" s="7" t="e">
        <f t="shared" ca="1" si="96"/>
        <v>#NAME?</v>
      </c>
      <c r="CC199" s="7" t="e">
        <f t="shared" ca="1" si="96"/>
        <v>#NAME?</v>
      </c>
      <c r="CD199" s="7" t="e">
        <f t="shared" ca="1" si="96"/>
        <v>#NAME?</v>
      </c>
      <c r="CE199" s="7" t="e">
        <f t="shared" ca="1" si="96"/>
        <v>#NAME?</v>
      </c>
      <c r="CF199" s="7" t="e">
        <f t="shared" ca="1" si="96"/>
        <v>#NAME?</v>
      </c>
      <c r="CG199" s="7" t="e">
        <f t="shared" ca="1" si="96"/>
        <v>#NAME?</v>
      </c>
      <c r="CH199" s="7" t="e">
        <f t="shared" ca="1" si="96"/>
        <v>#NAME?</v>
      </c>
      <c r="CI199" s="7" t="e">
        <f t="shared" ca="1" si="96"/>
        <v>#NAME?</v>
      </c>
      <c r="CJ199" s="7" t="e">
        <f t="shared" ca="1" si="96"/>
        <v>#NAME?</v>
      </c>
      <c r="CK199" s="7" t="e">
        <f t="shared" ca="1" si="96"/>
        <v>#NAME?</v>
      </c>
      <c r="CL199" s="7" t="e">
        <f t="shared" ca="1" si="96"/>
        <v>#NAME?</v>
      </c>
      <c r="CM199" s="7" t="e">
        <f t="shared" ca="1" si="96"/>
        <v>#NAME?</v>
      </c>
      <c r="CN199" s="7" t="e">
        <f t="shared" ca="1" si="96"/>
        <v>#NAME?</v>
      </c>
      <c r="CO199" s="7" t="e">
        <f t="shared" ca="1" si="96"/>
        <v>#NAME?</v>
      </c>
      <c r="CP199" s="7" t="e">
        <f t="shared" ca="1" si="96"/>
        <v>#NAME?</v>
      </c>
      <c r="CQ199" s="7" t="e">
        <f t="shared" ca="1" si="96"/>
        <v>#NAME?</v>
      </c>
      <c r="CR199" s="7" t="e">
        <f t="shared" ca="1" si="96"/>
        <v>#NAME?</v>
      </c>
      <c r="CS199" s="7" t="e">
        <f t="shared" ca="1" si="96"/>
        <v>#NAME?</v>
      </c>
      <c r="CT199" s="7" t="e">
        <f t="shared" ca="1" si="96"/>
        <v>#NAME?</v>
      </c>
      <c r="CU199" s="7" t="e">
        <f t="shared" ca="1" si="96"/>
        <v>#NAME?</v>
      </c>
      <c r="CV199" s="7" t="e">
        <f t="shared" ca="1" si="96"/>
        <v>#NAME?</v>
      </c>
      <c r="CW199" s="7" t="e">
        <f t="shared" ca="1" si="96"/>
        <v>#NAME?</v>
      </c>
      <c r="CX199" s="7" t="e">
        <f t="shared" ca="1" si="96"/>
        <v>#NAME?</v>
      </c>
      <c r="CY199" s="7" t="e">
        <f t="shared" ca="1" si="96"/>
        <v>#NAME?</v>
      </c>
      <c r="CZ199" s="7" t="e">
        <f t="shared" ca="1" si="96"/>
        <v>#NAME?</v>
      </c>
      <c r="DA199" s="7" t="e">
        <f t="shared" ca="1" si="96"/>
        <v>#NAME?</v>
      </c>
      <c r="DB199" s="7" t="e">
        <f t="shared" ca="1" si="96"/>
        <v>#NAME?</v>
      </c>
      <c r="DC199" s="7" t="e">
        <f t="shared" ca="1" si="96"/>
        <v>#NAME?</v>
      </c>
      <c r="DD199" s="7" t="e">
        <f t="shared" ca="1" si="96"/>
        <v>#NAME?</v>
      </c>
      <c r="DE199" s="7" t="e">
        <f t="shared" ca="1" si="96"/>
        <v>#NAME?</v>
      </c>
      <c r="DF199" s="7" t="e">
        <f t="shared" ca="1" si="96"/>
        <v>#NAME?</v>
      </c>
      <c r="DG199" s="7" t="e">
        <f t="shared" ca="1" si="96"/>
        <v>#NAME?</v>
      </c>
      <c r="DH199" s="7" t="e">
        <f t="shared" ca="1" si="96"/>
        <v>#NAME?</v>
      </c>
      <c r="DI199" s="7" t="e">
        <f t="shared" ca="1" si="96"/>
        <v>#NAME?</v>
      </c>
      <c r="DJ199" s="7" t="e">
        <f t="shared" ca="1" si="96"/>
        <v>#NAME?</v>
      </c>
      <c r="DK199" s="7" t="e">
        <f t="shared" ca="1" si="96"/>
        <v>#NAME?</v>
      </c>
      <c r="DL199" s="7" t="e">
        <f t="shared" ca="1" si="96"/>
        <v>#NAME?</v>
      </c>
      <c r="DM199" s="7" t="e">
        <f t="shared" ca="1" si="96"/>
        <v>#NAME?</v>
      </c>
      <c r="DN199" s="7" t="e">
        <f t="shared" ca="1" si="96"/>
        <v>#NAME?</v>
      </c>
      <c r="DO199" s="7" t="e">
        <f t="shared" ca="1" si="96"/>
        <v>#NAME?</v>
      </c>
      <c r="DP199" s="7" t="e">
        <f t="shared" ca="1" si="96"/>
        <v>#NAME?</v>
      </c>
      <c r="DQ199" s="7" t="e">
        <f t="shared" ca="1" si="96"/>
        <v>#NAME?</v>
      </c>
      <c r="DR199" s="7" t="e">
        <f t="shared" ca="1" si="96"/>
        <v>#NAME?</v>
      </c>
      <c r="DS199" s="7" t="e">
        <f t="shared" ca="1" si="96"/>
        <v>#NAME?</v>
      </c>
      <c r="DT199" s="7" t="e">
        <f t="shared" ca="1" si="96"/>
        <v>#NAME?</v>
      </c>
      <c r="DU199" s="7" t="e">
        <f t="shared" ca="1" si="96"/>
        <v>#NAME?</v>
      </c>
      <c r="DV199" s="7" t="e">
        <f t="shared" ca="1" si="96"/>
        <v>#NAME?</v>
      </c>
      <c r="DW199" s="7" t="e">
        <f t="shared" ca="1" si="96"/>
        <v>#NAME?</v>
      </c>
      <c r="DX199" s="7" t="e">
        <f t="shared" ca="1" si="96"/>
        <v>#NAME?</v>
      </c>
      <c r="DY199" s="7" t="e">
        <f t="shared" ca="1" si="96"/>
        <v>#NAME?</v>
      </c>
      <c r="DZ199" s="7" t="e">
        <f t="shared" ca="1" si="96"/>
        <v>#NAME?</v>
      </c>
      <c r="EA199" s="7" t="e">
        <f t="shared" ca="1" si="96"/>
        <v>#NAME?</v>
      </c>
      <c r="EB199" s="7" t="e">
        <f t="shared" ca="1" si="96"/>
        <v>#NAME?</v>
      </c>
      <c r="EC199" s="7" t="e">
        <f t="shared" ca="1" si="96"/>
        <v>#NAME?</v>
      </c>
      <c r="ED199" s="7" t="e">
        <f t="shared" ca="1" si="96"/>
        <v>#NAME?</v>
      </c>
      <c r="EE199" s="7" t="e">
        <f t="shared" ca="1" si="96"/>
        <v>#NAME?</v>
      </c>
      <c r="EF199" s="7" t="e">
        <f t="shared" ca="1" si="96"/>
        <v>#NAME?</v>
      </c>
      <c r="EG199" s="7" t="e">
        <f t="shared" ca="1" si="96"/>
        <v>#NAME?</v>
      </c>
      <c r="EH199" s="7" t="e">
        <f t="shared" ca="1" si="96"/>
        <v>#NAME?</v>
      </c>
      <c r="EI199" s="7" t="e">
        <f t="shared" ca="1" si="96"/>
        <v>#NAME?</v>
      </c>
      <c r="EJ199" s="7" t="e">
        <f t="shared" ca="1" si="96"/>
        <v>#NAME?</v>
      </c>
      <c r="EK199" s="7" t="e">
        <f t="shared" ca="1" si="96"/>
        <v>#NAME?</v>
      </c>
      <c r="EL199" s="7" t="e">
        <f t="shared" ca="1" si="96"/>
        <v>#NAME?</v>
      </c>
      <c r="EM199" s="7" t="e">
        <f t="shared" ca="1" si="96"/>
        <v>#NAME?</v>
      </c>
      <c r="EN199" s="7" t="e">
        <f t="shared" ca="1" si="96"/>
        <v>#NAME?</v>
      </c>
      <c r="EO199" s="7" t="e">
        <f t="shared" ca="1" si="96"/>
        <v>#NAME?</v>
      </c>
      <c r="EP199" s="7" t="e">
        <f t="shared" ca="1" si="96"/>
        <v>#NAME?</v>
      </c>
      <c r="EQ199" s="7" t="e">
        <f t="shared" ca="1" si="96"/>
        <v>#NAME?</v>
      </c>
      <c r="ER199" s="7" t="e">
        <f t="shared" ca="1" si="96"/>
        <v>#NAME?</v>
      </c>
      <c r="ES199" s="7" t="e">
        <f t="shared" ca="1" si="96"/>
        <v>#NAME?</v>
      </c>
      <c r="ET199" s="7" t="e">
        <f t="shared" ca="1" si="96"/>
        <v>#NAME?</v>
      </c>
      <c r="EU199" s="7" t="e">
        <f t="shared" ca="1" si="96"/>
        <v>#NAME?</v>
      </c>
      <c r="EV199" s="7" t="e">
        <f t="shared" ca="1" si="96"/>
        <v>#NAME?</v>
      </c>
      <c r="EW199" s="7" t="e">
        <f t="shared" ca="1" si="96"/>
        <v>#NAME?</v>
      </c>
      <c r="EX199" s="7" t="e">
        <f t="shared" ca="1" si="96"/>
        <v>#NAME?</v>
      </c>
      <c r="EY199" s="7" t="e">
        <f t="shared" ca="1" si="96"/>
        <v>#NAME?</v>
      </c>
      <c r="EZ199" s="7" t="e">
        <f t="shared" ca="1" si="96"/>
        <v>#NAME?</v>
      </c>
      <c r="FA199" s="7" t="e">
        <f t="shared" ca="1" si="96"/>
        <v>#NAME?</v>
      </c>
      <c r="FB199" s="7" t="e">
        <f t="shared" ca="1" si="96"/>
        <v>#NAME?</v>
      </c>
      <c r="FC199" s="7" t="e">
        <f t="shared" ca="1" si="96"/>
        <v>#NAME?</v>
      </c>
      <c r="FD199" s="7" t="e">
        <f t="shared" ca="1" si="96"/>
        <v>#NAME?</v>
      </c>
      <c r="FE199" s="7" t="e">
        <f t="shared" ca="1" si="96"/>
        <v>#NAME?</v>
      </c>
      <c r="FF199" s="7" t="e">
        <f t="shared" ca="1" si="96"/>
        <v>#NAME?</v>
      </c>
      <c r="FG199" s="7" t="e">
        <f t="shared" ca="1" si="96"/>
        <v>#NAME?</v>
      </c>
      <c r="FH199" s="7" t="e">
        <f t="shared" ca="1" si="96"/>
        <v>#NAME?</v>
      </c>
      <c r="FI199" s="7" t="e">
        <f t="shared" ca="1" si="96"/>
        <v>#NAME?</v>
      </c>
      <c r="FJ199" s="7" t="e">
        <f t="shared" ca="1" si="96"/>
        <v>#NAME?</v>
      </c>
      <c r="FK199" s="7" t="e">
        <f t="shared" ca="1" si="96"/>
        <v>#NAME?</v>
      </c>
      <c r="FL199" s="7" t="e">
        <f t="shared" ca="1" si="96"/>
        <v>#NAME?</v>
      </c>
      <c r="FM199" s="7" t="e">
        <f t="shared" ca="1" si="96"/>
        <v>#NAME?</v>
      </c>
      <c r="FN199" s="7" t="e">
        <f t="shared" ca="1" si="96"/>
        <v>#NAME?</v>
      </c>
      <c r="FO199" s="7" t="e">
        <f t="shared" ca="1" si="96"/>
        <v>#NAME?</v>
      </c>
      <c r="FP199" s="7" t="e">
        <f t="shared" ca="1" si="96"/>
        <v>#NAME?</v>
      </c>
      <c r="FQ199" s="7" t="e">
        <f t="shared" ca="1" si="96"/>
        <v>#NAME?</v>
      </c>
      <c r="FR199" s="7" t="e">
        <f t="shared" ca="1" si="96"/>
        <v>#NAME?</v>
      </c>
      <c r="FS199" s="7" t="e">
        <f t="shared" ca="1" si="96"/>
        <v>#NAME?</v>
      </c>
      <c r="FT199" s="7" t="e">
        <f t="shared" ca="1" si="96"/>
        <v>#NAME?</v>
      </c>
      <c r="FU199" s="7" t="e">
        <f t="shared" ca="1" si="96"/>
        <v>#NAME?</v>
      </c>
      <c r="FV199" s="7" t="e">
        <f t="shared" ca="1" si="96"/>
        <v>#NAME?</v>
      </c>
      <c r="FW199" s="7" t="e">
        <f t="shared" ca="1" si="96"/>
        <v>#NAME?</v>
      </c>
      <c r="FX199" s="7" t="e">
        <f t="shared" ca="1" si="96"/>
        <v>#NAME?</v>
      </c>
      <c r="FY199" s="45"/>
      <c r="FZ199" s="58"/>
      <c r="GA199" s="7"/>
      <c r="GB199" s="45"/>
      <c r="GC199" s="45"/>
      <c r="GD199" s="45"/>
      <c r="GE199" s="7"/>
      <c r="GF199" s="45"/>
      <c r="GG199" s="45"/>
      <c r="GH199" s="45"/>
      <c r="GI199" s="45"/>
      <c r="GJ199" s="45"/>
      <c r="GK199" s="45"/>
    </row>
    <row r="200" spans="1:205" ht="15.5" x14ac:dyDescent="0.35">
      <c r="A200" s="12" t="s">
        <v>948</v>
      </c>
      <c r="B200" s="7" t="s">
        <v>949</v>
      </c>
      <c r="C200" s="23" t="e">
        <f t="shared" ref="C200:FX200" ca="1" si="97">IF((OR(C191=1,C192=1))=TRUE(),0,C96)</f>
        <v>#NAME?</v>
      </c>
      <c r="D200" s="23" t="e">
        <f t="shared" ca="1" si="97"/>
        <v>#NAME?</v>
      </c>
      <c r="E200" s="23" t="e">
        <f t="shared" ca="1" si="97"/>
        <v>#NAME?</v>
      </c>
      <c r="F200" s="23" t="e">
        <f t="shared" ca="1" si="97"/>
        <v>#NAME?</v>
      </c>
      <c r="G200" s="23" t="e">
        <f t="shared" ca="1" si="97"/>
        <v>#NAME?</v>
      </c>
      <c r="H200" s="23" t="e">
        <f t="shared" ca="1" si="97"/>
        <v>#NAME?</v>
      </c>
      <c r="I200" s="23" t="e">
        <f t="shared" ca="1" si="97"/>
        <v>#NAME?</v>
      </c>
      <c r="J200" s="23" t="e">
        <f t="shared" ca="1" si="97"/>
        <v>#NAME?</v>
      </c>
      <c r="K200" s="23" t="e">
        <f t="shared" ca="1" si="97"/>
        <v>#NAME?</v>
      </c>
      <c r="L200" s="23" t="e">
        <f t="shared" ca="1" si="97"/>
        <v>#NAME?</v>
      </c>
      <c r="M200" s="23" t="e">
        <f t="shared" ca="1" si="97"/>
        <v>#NAME?</v>
      </c>
      <c r="N200" s="23" t="e">
        <f t="shared" ca="1" si="97"/>
        <v>#NAME?</v>
      </c>
      <c r="O200" s="23" t="e">
        <f t="shared" ca="1" si="97"/>
        <v>#NAME?</v>
      </c>
      <c r="P200" s="23" t="e">
        <f t="shared" ca="1" si="97"/>
        <v>#NAME?</v>
      </c>
      <c r="Q200" s="23" t="e">
        <f t="shared" ca="1" si="97"/>
        <v>#NAME?</v>
      </c>
      <c r="R200" s="23" t="e">
        <f t="shared" ca="1" si="97"/>
        <v>#NAME?</v>
      </c>
      <c r="S200" s="23" t="e">
        <f t="shared" ca="1" si="97"/>
        <v>#NAME?</v>
      </c>
      <c r="T200" s="23" t="e">
        <f t="shared" ca="1" si="97"/>
        <v>#NAME?</v>
      </c>
      <c r="U200" s="23" t="e">
        <f t="shared" ca="1" si="97"/>
        <v>#NAME?</v>
      </c>
      <c r="V200" s="23" t="e">
        <f t="shared" ca="1" si="97"/>
        <v>#NAME?</v>
      </c>
      <c r="W200" s="23" t="e">
        <f t="shared" ca="1" si="97"/>
        <v>#NAME?</v>
      </c>
      <c r="X200" s="23" t="e">
        <f t="shared" ca="1" si="97"/>
        <v>#NAME?</v>
      </c>
      <c r="Y200" s="23" t="e">
        <f t="shared" ca="1" si="97"/>
        <v>#NAME?</v>
      </c>
      <c r="Z200" s="23" t="e">
        <f t="shared" ca="1" si="97"/>
        <v>#NAME?</v>
      </c>
      <c r="AA200" s="23" t="e">
        <f t="shared" ca="1" si="97"/>
        <v>#NAME?</v>
      </c>
      <c r="AB200" s="23" t="e">
        <f t="shared" ca="1" si="97"/>
        <v>#NAME?</v>
      </c>
      <c r="AC200" s="23" t="e">
        <f t="shared" ca="1" si="97"/>
        <v>#NAME?</v>
      </c>
      <c r="AD200" s="23" t="e">
        <f t="shared" ca="1" si="97"/>
        <v>#NAME?</v>
      </c>
      <c r="AE200" s="23" t="e">
        <f t="shared" ca="1" si="97"/>
        <v>#NAME?</v>
      </c>
      <c r="AF200" s="23" t="e">
        <f t="shared" ca="1" si="97"/>
        <v>#NAME?</v>
      </c>
      <c r="AG200" s="23" t="e">
        <f t="shared" ca="1" si="97"/>
        <v>#NAME?</v>
      </c>
      <c r="AH200" s="23" t="e">
        <f t="shared" ca="1" si="97"/>
        <v>#NAME?</v>
      </c>
      <c r="AI200" s="23" t="e">
        <f t="shared" ca="1" si="97"/>
        <v>#NAME?</v>
      </c>
      <c r="AJ200" s="23" t="e">
        <f t="shared" ca="1" si="97"/>
        <v>#NAME?</v>
      </c>
      <c r="AK200" s="23" t="e">
        <f t="shared" ca="1" si="97"/>
        <v>#NAME?</v>
      </c>
      <c r="AL200" s="23" t="e">
        <f t="shared" ca="1" si="97"/>
        <v>#NAME?</v>
      </c>
      <c r="AM200" s="23" t="e">
        <f t="shared" ca="1" si="97"/>
        <v>#NAME?</v>
      </c>
      <c r="AN200" s="23" t="e">
        <f t="shared" ca="1" si="97"/>
        <v>#NAME?</v>
      </c>
      <c r="AO200" s="23" t="e">
        <f t="shared" ca="1" si="97"/>
        <v>#NAME?</v>
      </c>
      <c r="AP200" s="23" t="e">
        <f t="shared" ca="1" si="97"/>
        <v>#NAME?</v>
      </c>
      <c r="AQ200" s="23" t="e">
        <f t="shared" ca="1" si="97"/>
        <v>#NAME?</v>
      </c>
      <c r="AR200" s="23" t="e">
        <f t="shared" ca="1" si="97"/>
        <v>#NAME?</v>
      </c>
      <c r="AS200" s="23" t="e">
        <f t="shared" ca="1" si="97"/>
        <v>#NAME?</v>
      </c>
      <c r="AT200" s="23" t="e">
        <f t="shared" ca="1" si="97"/>
        <v>#NAME?</v>
      </c>
      <c r="AU200" s="23" t="e">
        <f t="shared" ca="1" si="97"/>
        <v>#NAME?</v>
      </c>
      <c r="AV200" s="23" t="e">
        <f t="shared" ca="1" si="97"/>
        <v>#NAME?</v>
      </c>
      <c r="AW200" s="23" t="e">
        <f t="shared" ca="1" si="97"/>
        <v>#NAME?</v>
      </c>
      <c r="AX200" s="23" t="e">
        <f t="shared" ca="1" si="97"/>
        <v>#NAME?</v>
      </c>
      <c r="AY200" s="23" t="e">
        <f t="shared" ca="1" si="97"/>
        <v>#NAME?</v>
      </c>
      <c r="AZ200" s="23" t="e">
        <f t="shared" ca="1" si="97"/>
        <v>#NAME?</v>
      </c>
      <c r="BA200" s="23" t="e">
        <f t="shared" ca="1" si="97"/>
        <v>#NAME?</v>
      </c>
      <c r="BB200" s="23" t="e">
        <f t="shared" ca="1" si="97"/>
        <v>#NAME?</v>
      </c>
      <c r="BC200" s="23" t="e">
        <f t="shared" ca="1" si="97"/>
        <v>#NAME?</v>
      </c>
      <c r="BD200" s="23" t="e">
        <f t="shared" ca="1" si="97"/>
        <v>#NAME?</v>
      </c>
      <c r="BE200" s="23" t="e">
        <f t="shared" ca="1" si="97"/>
        <v>#NAME?</v>
      </c>
      <c r="BF200" s="23" t="e">
        <f t="shared" ca="1" si="97"/>
        <v>#NAME?</v>
      </c>
      <c r="BG200" s="23" t="e">
        <f t="shared" ca="1" si="97"/>
        <v>#NAME?</v>
      </c>
      <c r="BH200" s="23" t="e">
        <f t="shared" ca="1" si="97"/>
        <v>#NAME?</v>
      </c>
      <c r="BI200" s="23" t="e">
        <f t="shared" ca="1" si="97"/>
        <v>#NAME?</v>
      </c>
      <c r="BJ200" s="23" t="e">
        <f t="shared" ca="1" si="97"/>
        <v>#NAME?</v>
      </c>
      <c r="BK200" s="23" t="e">
        <f t="shared" ca="1" si="97"/>
        <v>#NAME?</v>
      </c>
      <c r="BL200" s="23" t="e">
        <f t="shared" ca="1" si="97"/>
        <v>#NAME?</v>
      </c>
      <c r="BM200" s="23" t="e">
        <f t="shared" ca="1" si="97"/>
        <v>#NAME?</v>
      </c>
      <c r="BN200" s="23" t="e">
        <f t="shared" ca="1" si="97"/>
        <v>#NAME?</v>
      </c>
      <c r="BO200" s="23" t="e">
        <f t="shared" ca="1" si="97"/>
        <v>#NAME?</v>
      </c>
      <c r="BP200" s="23" t="e">
        <f t="shared" ca="1" si="97"/>
        <v>#NAME?</v>
      </c>
      <c r="BQ200" s="23" t="e">
        <f t="shared" ca="1" si="97"/>
        <v>#NAME?</v>
      </c>
      <c r="BR200" s="23" t="e">
        <f t="shared" ca="1" si="97"/>
        <v>#NAME?</v>
      </c>
      <c r="BS200" s="23" t="e">
        <f t="shared" ca="1" si="97"/>
        <v>#NAME?</v>
      </c>
      <c r="BT200" s="23" t="e">
        <f t="shared" ca="1" si="97"/>
        <v>#NAME?</v>
      </c>
      <c r="BU200" s="23" t="e">
        <f t="shared" ca="1" si="97"/>
        <v>#NAME?</v>
      </c>
      <c r="BV200" s="23" t="e">
        <f t="shared" ca="1" si="97"/>
        <v>#NAME?</v>
      </c>
      <c r="BW200" s="23" t="e">
        <f t="shared" ca="1" si="97"/>
        <v>#NAME?</v>
      </c>
      <c r="BX200" s="23" t="e">
        <f t="shared" ca="1" si="97"/>
        <v>#NAME?</v>
      </c>
      <c r="BY200" s="23" t="e">
        <f t="shared" ca="1" si="97"/>
        <v>#NAME?</v>
      </c>
      <c r="BZ200" s="23" t="e">
        <f t="shared" ca="1" si="97"/>
        <v>#NAME?</v>
      </c>
      <c r="CA200" s="23" t="e">
        <f t="shared" ca="1" si="97"/>
        <v>#NAME?</v>
      </c>
      <c r="CB200" s="23" t="e">
        <f t="shared" ca="1" si="97"/>
        <v>#NAME?</v>
      </c>
      <c r="CC200" s="23" t="e">
        <f t="shared" ca="1" si="97"/>
        <v>#NAME?</v>
      </c>
      <c r="CD200" s="23" t="e">
        <f t="shared" ca="1" si="97"/>
        <v>#NAME?</v>
      </c>
      <c r="CE200" s="23" t="e">
        <f t="shared" ca="1" si="97"/>
        <v>#NAME?</v>
      </c>
      <c r="CF200" s="23" t="e">
        <f t="shared" ca="1" si="97"/>
        <v>#NAME?</v>
      </c>
      <c r="CG200" s="23" t="e">
        <f t="shared" ca="1" si="97"/>
        <v>#NAME?</v>
      </c>
      <c r="CH200" s="23" t="e">
        <f t="shared" ca="1" si="97"/>
        <v>#NAME?</v>
      </c>
      <c r="CI200" s="23" t="e">
        <f t="shared" ca="1" si="97"/>
        <v>#NAME?</v>
      </c>
      <c r="CJ200" s="23" t="e">
        <f t="shared" ca="1" si="97"/>
        <v>#NAME?</v>
      </c>
      <c r="CK200" s="23" t="e">
        <f t="shared" ca="1" si="97"/>
        <v>#NAME?</v>
      </c>
      <c r="CL200" s="23" t="e">
        <f t="shared" ca="1" si="97"/>
        <v>#NAME?</v>
      </c>
      <c r="CM200" s="23" t="e">
        <f t="shared" ca="1" si="97"/>
        <v>#NAME?</v>
      </c>
      <c r="CN200" s="23" t="e">
        <f t="shared" ca="1" si="97"/>
        <v>#NAME?</v>
      </c>
      <c r="CO200" s="23" t="e">
        <f t="shared" ca="1" si="97"/>
        <v>#NAME?</v>
      </c>
      <c r="CP200" s="23" t="e">
        <f t="shared" ca="1" si="97"/>
        <v>#NAME?</v>
      </c>
      <c r="CQ200" s="23" t="e">
        <f t="shared" ca="1" si="97"/>
        <v>#NAME?</v>
      </c>
      <c r="CR200" s="23" t="e">
        <f t="shared" ca="1" si="97"/>
        <v>#NAME?</v>
      </c>
      <c r="CS200" s="23" t="e">
        <f t="shared" ca="1" si="97"/>
        <v>#NAME?</v>
      </c>
      <c r="CT200" s="23" t="e">
        <f t="shared" ca="1" si="97"/>
        <v>#NAME?</v>
      </c>
      <c r="CU200" s="23" t="e">
        <f t="shared" ca="1" si="97"/>
        <v>#NAME?</v>
      </c>
      <c r="CV200" s="23" t="e">
        <f t="shared" ca="1" si="97"/>
        <v>#NAME?</v>
      </c>
      <c r="CW200" s="23" t="e">
        <f t="shared" ca="1" si="97"/>
        <v>#NAME?</v>
      </c>
      <c r="CX200" s="23" t="e">
        <f t="shared" ca="1" si="97"/>
        <v>#NAME?</v>
      </c>
      <c r="CY200" s="23" t="e">
        <f t="shared" ca="1" si="97"/>
        <v>#NAME?</v>
      </c>
      <c r="CZ200" s="23" t="e">
        <f t="shared" ca="1" si="97"/>
        <v>#NAME?</v>
      </c>
      <c r="DA200" s="23" t="e">
        <f t="shared" ca="1" si="97"/>
        <v>#NAME?</v>
      </c>
      <c r="DB200" s="23" t="e">
        <f t="shared" ca="1" si="97"/>
        <v>#NAME?</v>
      </c>
      <c r="DC200" s="23" t="e">
        <f t="shared" ca="1" si="97"/>
        <v>#NAME?</v>
      </c>
      <c r="DD200" s="23" t="e">
        <f t="shared" ca="1" si="97"/>
        <v>#NAME?</v>
      </c>
      <c r="DE200" s="23" t="e">
        <f t="shared" ca="1" si="97"/>
        <v>#NAME?</v>
      </c>
      <c r="DF200" s="23" t="e">
        <f t="shared" ca="1" si="97"/>
        <v>#NAME?</v>
      </c>
      <c r="DG200" s="23" t="e">
        <f t="shared" ca="1" si="97"/>
        <v>#NAME?</v>
      </c>
      <c r="DH200" s="23" t="e">
        <f t="shared" ca="1" si="97"/>
        <v>#NAME?</v>
      </c>
      <c r="DI200" s="23" t="e">
        <f t="shared" ca="1" si="97"/>
        <v>#NAME?</v>
      </c>
      <c r="DJ200" s="23" t="e">
        <f t="shared" ca="1" si="97"/>
        <v>#NAME?</v>
      </c>
      <c r="DK200" s="23" t="e">
        <f t="shared" ca="1" si="97"/>
        <v>#NAME?</v>
      </c>
      <c r="DL200" s="23" t="e">
        <f t="shared" ca="1" si="97"/>
        <v>#NAME?</v>
      </c>
      <c r="DM200" s="23" t="e">
        <f t="shared" ca="1" si="97"/>
        <v>#NAME?</v>
      </c>
      <c r="DN200" s="23" t="e">
        <f t="shared" ca="1" si="97"/>
        <v>#NAME?</v>
      </c>
      <c r="DO200" s="23" t="e">
        <f t="shared" ca="1" si="97"/>
        <v>#NAME?</v>
      </c>
      <c r="DP200" s="23" t="e">
        <f t="shared" ca="1" si="97"/>
        <v>#NAME?</v>
      </c>
      <c r="DQ200" s="23" t="e">
        <f t="shared" ca="1" si="97"/>
        <v>#NAME?</v>
      </c>
      <c r="DR200" s="23" t="e">
        <f t="shared" ca="1" si="97"/>
        <v>#NAME?</v>
      </c>
      <c r="DS200" s="23" t="e">
        <f t="shared" ca="1" si="97"/>
        <v>#NAME?</v>
      </c>
      <c r="DT200" s="23" t="e">
        <f t="shared" ca="1" si="97"/>
        <v>#NAME?</v>
      </c>
      <c r="DU200" s="23" t="e">
        <f t="shared" ca="1" si="97"/>
        <v>#NAME?</v>
      </c>
      <c r="DV200" s="23" t="e">
        <f t="shared" ca="1" si="97"/>
        <v>#NAME?</v>
      </c>
      <c r="DW200" s="23" t="e">
        <f t="shared" ca="1" si="97"/>
        <v>#NAME?</v>
      </c>
      <c r="DX200" s="23" t="e">
        <f t="shared" ca="1" si="97"/>
        <v>#NAME?</v>
      </c>
      <c r="DY200" s="23" t="e">
        <f t="shared" ca="1" si="97"/>
        <v>#NAME?</v>
      </c>
      <c r="DZ200" s="23" t="e">
        <f t="shared" ca="1" si="97"/>
        <v>#NAME?</v>
      </c>
      <c r="EA200" s="23" t="e">
        <f t="shared" ca="1" si="97"/>
        <v>#NAME?</v>
      </c>
      <c r="EB200" s="23" t="e">
        <f t="shared" ca="1" si="97"/>
        <v>#NAME?</v>
      </c>
      <c r="EC200" s="23" t="e">
        <f t="shared" ca="1" si="97"/>
        <v>#NAME?</v>
      </c>
      <c r="ED200" s="23" t="e">
        <f t="shared" ca="1" si="97"/>
        <v>#NAME?</v>
      </c>
      <c r="EE200" s="23" t="e">
        <f t="shared" ca="1" si="97"/>
        <v>#NAME?</v>
      </c>
      <c r="EF200" s="23" t="e">
        <f t="shared" ca="1" si="97"/>
        <v>#NAME?</v>
      </c>
      <c r="EG200" s="23" t="e">
        <f t="shared" ca="1" si="97"/>
        <v>#NAME?</v>
      </c>
      <c r="EH200" s="23" t="e">
        <f t="shared" ca="1" si="97"/>
        <v>#NAME?</v>
      </c>
      <c r="EI200" s="23" t="e">
        <f t="shared" ca="1" si="97"/>
        <v>#NAME?</v>
      </c>
      <c r="EJ200" s="23" t="e">
        <f t="shared" ca="1" si="97"/>
        <v>#NAME?</v>
      </c>
      <c r="EK200" s="23" t="e">
        <f t="shared" ca="1" si="97"/>
        <v>#NAME?</v>
      </c>
      <c r="EL200" s="23" t="e">
        <f t="shared" ca="1" si="97"/>
        <v>#NAME?</v>
      </c>
      <c r="EM200" s="23" t="e">
        <f t="shared" ca="1" si="97"/>
        <v>#NAME?</v>
      </c>
      <c r="EN200" s="23" t="e">
        <f t="shared" ca="1" si="97"/>
        <v>#NAME?</v>
      </c>
      <c r="EO200" s="23" t="e">
        <f t="shared" ca="1" si="97"/>
        <v>#NAME?</v>
      </c>
      <c r="EP200" s="23" t="e">
        <f t="shared" ca="1" si="97"/>
        <v>#NAME?</v>
      </c>
      <c r="EQ200" s="23" t="e">
        <f t="shared" ca="1" si="97"/>
        <v>#NAME?</v>
      </c>
      <c r="ER200" s="23" t="e">
        <f t="shared" ca="1" si="97"/>
        <v>#NAME?</v>
      </c>
      <c r="ES200" s="23" t="e">
        <f t="shared" ca="1" si="97"/>
        <v>#NAME?</v>
      </c>
      <c r="ET200" s="23" t="e">
        <f t="shared" ca="1" si="97"/>
        <v>#NAME?</v>
      </c>
      <c r="EU200" s="23" t="e">
        <f t="shared" ca="1" si="97"/>
        <v>#NAME?</v>
      </c>
      <c r="EV200" s="23" t="e">
        <f t="shared" ca="1" si="97"/>
        <v>#NAME?</v>
      </c>
      <c r="EW200" s="23" t="e">
        <f t="shared" ca="1" si="97"/>
        <v>#NAME?</v>
      </c>
      <c r="EX200" s="23" t="e">
        <f t="shared" ca="1" si="97"/>
        <v>#NAME?</v>
      </c>
      <c r="EY200" s="23" t="e">
        <f t="shared" ca="1" si="97"/>
        <v>#NAME?</v>
      </c>
      <c r="EZ200" s="23" t="e">
        <f t="shared" ca="1" si="97"/>
        <v>#NAME?</v>
      </c>
      <c r="FA200" s="23" t="e">
        <f t="shared" ca="1" si="97"/>
        <v>#NAME?</v>
      </c>
      <c r="FB200" s="23" t="e">
        <f t="shared" ca="1" si="97"/>
        <v>#NAME?</v>
      </c>
      <c r="FC200" s="23" t="e">
        <f t="shared" ca="1" si="97"/>
        <v>#NAME?</v>
      </c>
      <c r="FD200" s="23" t="e">
        <f t="shared" ca="1" si="97"/>
        <v>#NAME?</v>
      </c>
      <c r="FE200" s="23" t="e">
        <f t="shared" ca="1" si="97"/>
        <v>#NAME?</v>
      </c>
      <c r="FF200" s="23" t="e">
        <f t="shared" ca="1" si="97"/>
        <v>#NAME?</v>
      </c>
      <c r="FG200" s="23" t="e">
        <f t="shared" ca="1" si="97"/>
        <v>#NAME?</v>
      </c>
      <c r="FH200" s="23" t="e">
        <f t="shared" ca="1" si="97"/>
        <v>#NAME?</v>
      </c>
      <c r="FI200" s="23" t="e">
        <f t="shared" ca="1" si="97"/>
        <v>#NAME?</v>
      </c>
      <c r="FJ200" s="23" t="e">
        <f t="shared" ca="1" si="97"/>
        <v>#NAME?</v>
      </c>
      <c r="FK200" s="23" t="e">
        <f t="shared" ca="1" si="97"/>
        <v>#NAME?</v>
      </c>
      <c r="FL200" s="23" t="e">
        <f t="shared" ca="1" si="97"/>
        <v>#NAME?</v>
      </c>
      <c r="FM200" s="23" t="e">
        <f t="shared" ca="1" si="97"/>
        <v>#NAME?</v>
      </c>
      <c r="FN200" s="23" t="e">
        <f t="shared" ca="1" si="97"/>
        <v>#NAME?</v>
      </c>
      <c r="FO200" s="23" t="e">
        <f t="shared" ca="1" si="97"/>
        <v>#NAME?</v>
      </c>
      <c r="FP200" s="23" t="e">
        <f t="shared" ca="1" si="97"/>
        <v>#NAME?</v>
      </c>
      <c r="FQ200" s="23" t="e">
        <f t="shared" ca="1" si="97"/>
        <v>#NAME?</v>
      </c>
      <c r="FR200" s="23" t="e">
        <f t="shared" ca="1" si="97"/>
        <v>#NAME?</v>
      </c>
      <c r="FS200" s="23" t="e">
        <f t="shared" ca="1" si="97"/>
        <v>#NAME?</v>
      </c>
      <c r="FT200" s="23" t="e">
        <f t="shared" ca="1" si="97"/>
        <v>#NAME?</v>
      </c>
      <c r="FU200" s="23" t="e">
        <f t="shared" ca="1" si="97"/>
        <v>#NAME?</v>
      </c>
      <c r="FV200" s="23" t="e">
        <f t="shared" ca="1" si="97"/>
        <v>#NAME?</v>
      </c>
      <c r="FW200" s="23" t="e">
        <f t="shared" ca="1" si="97"/>
        <v>#NAME?</v>
      </c>
      <c r="FX200" s="23" t="e">
        <f t="shared" ca="1" si="97"/>
        <v>#NAME?</v>
      </c>
      <c r="FY200" s="7"/>
      <c r="FZ200" s="23"/>
      <c r="GA200" s="7"/>
      <c r="GB200" s="45"/>
      <c r="GC200" s="45"/>
      <c r="GD200" s="45"/>
      <c r="GE200" s="7"/>
      <c r="GF200" s="45"/>
      <c r="GG200" s="45"/>
      <c r="GH200" s="45"/>
      <c r="GI200" s="45"/>
      <c r="GJ200" s="45"/>
      <c r="GK200" s="45"/>
    </row>
    <row r="201" spans="1:205" ht="15.5" x14ac:dyDescent="0.35">
      <c r="A201" s="12" t="s">
        <v>950</v>
      </c>
      <c r="B201" s="7" t="s">
        <v>951</v>
      </c>
      <c r="C201" s="7" t="e">
        <f t="shared" ref="C201:FX201" ca="1" si="98">ROUND(IF((OR(C191=1,C192=1))=TRUE(),0,(C199/459*C200)),2)</f>
        <v>#NAME?</v>
      </c>
      <c r="D201" s="7" t="e">
        <f t="shared" ca="1" si="98"/>
        <v>#NAME?</v>
      </c>
      <c r="E201" s="7" t="e">
        <f t="shared" ca="1" si="98"/>
        <v>#NAME?</v>
      </c>
      <c r="F201" s="7" t="e">
        <f t="shared" ca="1" si="98"/>
        <v>#NAME?</v>
      </c>
      <c r="G201" s="7" t="e">
        <f t="shared" ca="1" si="98"/>
        <v>#NAME?</v>
      </c>
      <c r="H201" s="7" t="e">
        <f t="shared" ca="1" si="98"/>
        <v>#NAME?</v>
      </c>
      <c r="I201" s="7" t="e">
        <f t="shared" ca="1" si="98"/>
        <v>#NAME?</v>
      </c>
      <c r="J201" s="7" t="e">
        <f t="shared" ca="1" si="98"/>
        <v>#NAME?</v>
      </c>
      <c r="K201" s="7" t="e">
        <f t="shared" ca="1" si="98"/>
        <v>#NAME?</v>
      </c>
      <c r="L201" s="7" t="e">
        <f t="shared" ca="1" si="98"/>
        <v>#NAME?</v>
      </c>
      <c r="M201" s="7" t="e">
        <f t="shared" ca="1" si="98"/>
        <v>#NAME?</v>
      </c>
      <c r="N201" s="7" t="e">
        <f t="shared" ca="1" si="98"/>
        <v>#NAME?</v>
      </c>
      <c r="O201" s="7" t="e">
        <f t="shared" ca="1" si="98"/>
        <v>#NAME?</v>
      </c>
      <c r="P201" s="7" t="e">
        <f t="shared" ca="1" si="98"/>
        <v>#NAME?</v>
      </c>
      <c r="Q201" s="7" t="e">
        <f t="shared" ca="1" si="98"/>
        <v>#NAME?</v>
      </c>
      <c r="R201" s="7" t="e">
        <f t="shared" ca="1" si="98"/>
        <v>#NAME?</v>
      </c>
      <c r="S201" s="7" t="e">
        <f t="shared" ca="1" si="98"/>
        <v>#NAME?</v>
      </c>
      <c r="T201" s="7" t="e">
        <f t="shared" ca="1" si="98"/>
        <v>#NAME?</v>
      </c>
      <c r="U201" s="7" t="e">
        <f t="shared" ca="1" si="98"/>
        <v>#NAME?</v>
      </c>
      <c r="V201" s="7" t="e">
        <f t="shared" ca="1" si="98"/>
        <v>#NAME?</v>
      </c>
      <c r="W201" s="7" t="e">
        <f t="shared" ca="1" si="98"/>
        <v>#NAME?</v>
      </c>
      <c r="X201" s="7" t="e">
        <f t="shared" ca="1" si="98"/>
        <v>#NAME?</v>
      </c>
      <c r="Y201" s="7" t="e">
        <f t="shared" ca="1" si="98"/>
        <v>#NAME?</v>
      </c>
      <c r="Z201" s="7" t="e">
        <f t="shared" ca="1" si="98"/>
        <v>#NAME?</v>
      </c>
      <c r="AA201" s="7" t="e">
        <f t="shared" ca="1" si="98"/>
        <v>#NAME?</v>
      </c>
      <c r="AB201" s="7" t="e">
        <f t="shared" ca="1" si="98"/>
        <v>#NAME?</v>
      </c>
      <c r="AC201" s="7" t="e">
        <f t="shared" ca="1" si="98"/>
        <v>#NAME?</v>
      </c>
      <c r="AD201" s="7" t="e">
        <f t="shared" ca="1" si="98"/>
        <v>#NAME?</v>
      </c>
      <c r="AE201" s="7" t="e">
        <f t="shared" ca="1" si="98"/>
        <v>#NAME?</v>
      </c>
      <c r="AF201" s="7" t="e">
        <f t="shared" ca="1" si="98"/>
        <v>#NAME?</v>
      </c>
      <c r="AG201" s="7" t="e">
        <f t="shared" ca="1" si="98"/>
        <v>#NAME?</v>
      </c>
      <c r="AH201" s="7" t="e">
        <f t="shared" ca="1" si="98"/>
        <v>#NAME?</v>
      </c>
      <c r="AI201" s="7" t="e">
        <f t="shared" ca="1" si="98"/>
        <v>#NAME?</v>
      </c>
      <c r="AJ201" s="7" t="e">
        <f t="shared" ca="1" si="98"/>
        <v>#NAME?</v>
      </c>
      <c r="AK201" s="7" t="e">
        <f t="shared" ca="1" si="98"/>
        <v>#NAME?</v>
      </c>
      <c r="AL201" s="7" t="e">
        <f t="shared" ca="1" si="98"/>
        <v>#NAME?</v>
      </c>
      <c r="AM201" s="7" t="e">
        <f t="shared" ca="1" si="98"/>
        <v>#NAME?</v>
      </c>
      <c r="AN201" s="7" t="e">
        <f t="shared" ca="1" si="98"/>
        <v>#NAME?</v>
      </c>
      <c r="AO201" s="7" t="e">
        <f t="shared" ca="1" si="98"/>
        <v>#NAME?</v>
      </c>
      <c r="AP201" s="7" t="e">
        <f t="shared" ca="1" si="98"/>
        <v>#NAME?</v>
      </c>
      <c r="AQ201" s="7" t="e">
        <f t="shared" ca="1" si="98"/>
        <v>#NAME?</v>
      </c>
      <c r="AR201" s="7" t="e">
        <f t="shared" ca="1" si="98"/>
        <v>#NAME?</v>
      </c>
      <c r="AS201" s="7" t="e">
        <f t="shared" ca="1" si="98"/>
        <v>#NAME?</v>
      </c>
      <c r="AT201" s="7" t="e">
        <f t="shared" ca="1" si="98"/>
        <v>#NAME?</v>
      </c>
      <c r="AU201" s="7" t="e">
        <f t="shared" ca="1" si="98"/>
        <v>#NAME?</v>
      </c>
      <c r="AV201" s="7" t="e">
        <f t="shared" ca="1" si="98"/>
        <v>#NAME?</v>
      </c>
      <c r="AW201" s="7" t="e">
        <f t="shared" ca="1" si="98"/>
        <v>#NAME?</v>
      </c>
      <c r="AX201" s="7" t="e">
        <f t="shared" ca="1" si="98"/>
        <v>#NAME?</v>
      </c>
      <c r="AY201" s="7" t="e">
        <f t="shared" ca="1" si="98"/>
        <v>#NAME?</v>
      </c>
      <c r="AZ201" s="7" t="e">
        <f t="shared" ca="1" si="98"/>
        <v>#NAME?</v>
      </c>
      <c r="BA201" s="7" t="e">
        <f t="shared" ca="1" si="98"/>
        <v>#NAME?</v>
      </c>
      <c r="BB201" s="7" t="e">
        <f t="shared" ca="1" si="98"/>
        <v>#NAME?</v>
      </c>
      <c r="BC201" s="7" t="e">
        <f t="shared" ca="1" si="98"/>
        <v>#NAME?</v>
      </c>
      <c r="BD201" s="7" t="e">
        <f t="shared" ca="1" si="98"/>
        <v>#NAME?</v>
      </c>
      <c r="BE201" s="7" t="e">
        <f t="shared" ca="1" si="98"/>
        <v>#NAME?</v>
      </c>
      <c r="BF201" s="7" t="e">
        <f t="shared" ca="1" si="98"/>
        <v>#NAME?</v>
      </c>
      <c r="BG201" s="7" t="e">
        <f t="shared" ca="1" si="98"/>
        <v>#NAME?</v>
      </c>
      <c r="BH201" s="7" t="e">
        <f t="shared" ca="1" si="98"/>
        <v>#NAME?</v>
      </c>
      <c r="BI201" s="7" t="e">
        <f t="shared" ca="1" si="98"/>
        <v>#NAME?</v>
      </c>
      <c r="BJ201" s="7" t="e">
        <f t="shared" ca="1" si="98"/>
        <v>#NAME?</v>
      </c>
      <c r="BK201" s="7" t="e">
        <f t="shared" ca="1" si="98"/>
        <v>#NAME?</v>
      </c>
      <c r="BL201" s="7" t="e">
        <f t="shared" ca="1" si="98"/>
        <v>#NAME?</v>
      </c>
      <c r="BM201" s="7" t="e">
        <f t="shared" ca="1" si="98"/>
        <v>#NAME?</v>
      </c>
      <c r="BN201" s="7" t="e">
        <f t="shared" ca="1" si="98"/>
        <v>#NAME?</v>
      </c>
      <c r="BO201" s="7" t="e">
        <f t="shared" ca="1" si="98"/>
        <v>#NAME?</v>
      </c>
      <c r="BP201" s="7" t="e">
        <f t="shared" ca="1" si="98"/>
        <v>#NAME?</v>
      </c>
      <c r="BQ201" s="7" t="e">
        <f t="shared" ca="1" si="98"/>
        <v>#NAME?</v>
      </c>
      <c r="BR201" s="7" t="e">
        <f t="shared" ca="1" si="98"/>
        <v>#NAME?</v>
      </c>
      <c r="BS201" s="7" t="e">
        <f t="shared" ca="1" si="98"/>
        <v>#NAME?</v>
      </c>
      <c r="BT201" s="7" t="e">
        <f t="shared" ca="1" si="98"/>
        <v>#NAME?</v>
      </c>
      <c r="BU201" s="7" t="e">
        <f t="shared" ca="1" si="98"/>
        <v>#NAME?</v>
      </c>
      <c r="BV201" s="7" t="e">
        <f t="shared" ca="1" si="98"/>
        <v>#NAME?</v>
      </c>
      <c r="BW201" s="7" t="e">
        <f t="shared" ca="1" si="98"/>
        <v>#NAME?</v>
      </c>
      <c r="BX201" s="7" t="e">
        <f t="shared" ca="1" si="98"/>
        <v>#NAME?</v>
      </c>
      <c r="BY201" s="7" t="e">
        <f t="shared" ca="1" si="98"/>
        <v>#NAME?</v>
      </c>
      <c r="BZ201" s="7" t="e">
        <f t="shared" ca="1" si="98"/>
        <v>#NAME?</v>
      </c>
      <c r="CA201" s="7" t="e">
        <f t="shared" ca="1" si="98"/>
        <v>#NAME?</v>
      </c>
      <c r="CB201" s="7" t="e">
        <f t="shared" ca="1" si="98"/>
        <v>#NAME?</v>
      </c>
      <c r="CC201" s="7" t="e">
        <f t="shared" ca="1" si="98"/>
        <v>#NAME?</v>
      </c>
      <c r="CD201" s="7" t="e">
        <f t="shared" ca="1" si="98"/>
        <v>#NAME?</v>
      </c>
      <c r="CE201" s="7" t="e">
        <f t="shared" ca="1" si="98"/>
        <v>#NAME?</v>
      </c>
      <c r="CF201" s="7" t="e">
        <f t="shared" ca="1" si="98"/>
        <v>#NAME?</v>
      </c>
      <c r="CG201" s="7" t="e">
        <f t="shared" ca="1" si="98"/>
        <v>#NAME?</v>
      </c>
      <c r="CH201" s="7" t="e">
        <f t="shared" ca="1" si="98"/>
        <v>#NAME?</v>
      </c>
      <c r="CI201" s="7" t="e">
        <f t="shared" ca="1" si="98"/>
        <v>#NAME?</v>
      </c>
      <c r="CJ201" s="7" t="e">
        <f t="shared" ca="1" si="98"/>
        <v>#NAME?</v>
      </c>
      <c r="CK201" s="7" t="e">
        <f t="shared" ca="1" si="98"/>
        <v>#NAME?</v>
      </c>
      <c r="CL201" s="7" t="e">
        <f t="shared" ca="1" si="98"/>
        <v>#NAME?</v>
      </c>
      <c r="CM201" s="7" t="e">
        <f t="shared" ca="1" si="98"/>
        <v>#NAME?</v>
      </c>
      <c r="CN201" s="7" t="e">
        <f t="shared" ca="1" si="98"/>
        <v>#NAME?</v>
      </c>
      <c r="CO201" s="7" t="e">
        <f t="shared" ca="1" si="98"/>
        <v>#NAME?</v>
      </c>
      <c r="CP201" s="7" t="e">
        <f t="shared" ca="1" si="98"/>
        <v>#NAME?</v>
      </c>
      <c r="CQ201" s="7" t="e">
        <f t="shared" ca="1" si="98"/>
        <v>#NAME?</v>
      </c>
      <c r="CR201" s="7" t="e">
        <f t="shared" ca="1" si="98"/>
        <v>#NAME?</v>
      </c>
      <c r="CS201" s="7" t="e">
        <f t="shared" ca="1" si="98"/>
        <v>#NAME?</v>
      </c>
      <c r="CT201" s="7" t="e">
        <f t="shared" ca="1" si="98"/>
        <v>#NAME?</v>
      </c>
      <c r="CU201" s="7" t="e">
        <f t="shared" ca="1" si="98"/>
        <v>#NAME?</v>
      </c>
      <c r="CV201" s="7" t="e">
        <f t="shared" ca="1" si="98"/>
        <v>#NAME?</v>
      </c>
      <c r="CW201" s="7" t="e">
        <f t="shared" ca="1" si="98"/>
        <v>#NAME?</v>
      </c>
      <c r="CX201" s="7" t="e">
        <f t="shared" ca="1" si="98"/>
        <v>#NAME?</v>
      </c>
      <c r="CY201" s="7" t="e">
        <f t="shared" ca="1" si="98"/>
        <v>#NAME?</v>
      </c>
      <c r="CZ201" s="7" t="e">
        <f t="shared" ca="1" si="98"/>
        <v>#NAME?</v>
      </c>
      <c r="DA201" s="7" t="e">
        <f t="shared" ca="1" si="98"/>
        <v>#NAME?</v>
      </c>
      <c r="DB201" s="7" t="e">
        <f t="shared" ca="1" si="98"/>
        <v>#NAME?</v>
      </c>
      <c r="DC201" s="7" t="e">
        <f t="shared" ca="1" si="98"/>
        <v>#NAME?</v>
      </c>
      <c r="DD201" s="7" t="e">
        <f t="shared" ca="1" si="98"/>
        <v>#NAME?</v>
      </c>
      <c r="DE201" s="7" t="e">
        <f t="shared" ca="1" si="98"/>
        <v>#NAME?</v>
      </c>
      <c r="DF201" s="7" t="e">
        <f t="shared" ca="1" si="98"/>
        <v>#NAME?</v>
      </c>
      <c r="DG201" s="7" t="e">
        <f t="shared" ca="1" si="98"/>
        <v>#NAME?</v>
      </c>
      <c r="DH201" s="7" t="e">
        <f t="shared" ca="1" si="98"/>
        <v>#NAME?</v>
      </c>
      <c r="DI201" s="7" t="e">
        <f t="shared" ca="1" si="98"/>
        <v>#NAME?</v>
      </c>
      <c r="DJ201" s="7" t="e">
        <f t="shared" ca="1" si="98"/>
        <v>#NAME?</v>
      </c>
      <c r="DK201" s="7" t="e">
        <f t="shared" ca="1" si="98"/>
        <v>#NAME?</v>
      </c>
      <c r="DL201" s="7" t="e">
        <f t="shared" ca="1" si="98"/>
        <v>#NAME?</v>
      </c>
      <c r="DM201" s="7" t="e">
        <f t="shared" ca="1" si="98"/>
        <v>#NAME?</v>
      </c>
      <c r="DN201" s="7" t="e">
        <f t="shared" ca="1" si="98"/>
        <v>#NAME?</v>
      </c>
      <c r="DO201" s="7" t="e">
        <f t="shared" ca="1" si="98"/>
        <v>#NAME?</v>
      </c>
      <c r="DP201" s="7" t="e">
        <f t="shared" ca="1" si="98"/>
        <v>#NAME?</v>
      </c>
      <c r="DQ201" s="7" t="e">
        <f t="shared" ca="1" si="98"/>
        <v>#NAME?</v>
      </c>
      <c r="DR201" s="7" t="e">
        <f t="shared" ca="1" si="98"/>
        <v>#NAME?</v>
      </c>
      <c r="DS201" s="7" t="e">
        <f t="shared" ca="1" si="98"/>
        <v>#NAME?</v>
      </c>
      <c r="DT201" s="7" t="e">
        <f t="shared" ca="1" si="98"/>
        <v>#NAME?</v>
      </c>
      <c r="DU201" s="7" t="e">
        <f t="shared" ca="1" si="98"/>
        <v>#NAME?</v>
      </c>
      <c r="DV201" s="7" t="e">
        <f t="shared" ca="1" si="98"/>
        <v>#NAME?</v>
      </c>
      <c r="DW201" s="7" t="e">
        <f t="shared" ca="1" si="98"/>
        <v>#NAME?</v>
      </c>
      <c r="DX201" s="7" t="e">
        <f t="shared" ca="1" si="98"/>
        <v>#NAME?</v>
      </c>
      <c r="DY201" s="7" t="e">
        <f t="shared" ca="1" si="98"/>
        <v>#NAME?</v>
      </c>
      <c r="DZ201" s="7" t="e">
        <f t="shared" ca="1" si="98"/>
        <v>#NAME?</v>
      </c>
      <c r="EA201" s="7" t="e">
        <f t="shared" ca="1" si="98"/>
        <v>#NAME?</v>
      </c>
      <c r="EB201" s="7" t="e">
        <f t="shared" ca="1" si="98"/>
        <v>#NAME?</v>
      </c>
      <c r="EC201" s="7" t="e">
        <f t="shared" ca="1" si="98"/>
        <v>#NAME?</v>
      </c>
      <c r="ED201" s="7" t="e">
        <f t="shared" ca="1" si="98"/>
        <v>#NAME?</v>
      </c>
      <c r="EE201" s="7" t="e">
        <f t="shared" ca="1" si="98"/>
        <v>#NAME?</v>
      </c>
      <c r="EF201" s="7" t="e">
        <f t="shared" ca="1" si="98"/>
        <v>#NAME?</v>
      </c>
      <c r="EG201" s="7" t="e">
        <f t="shared" ca="1" si="98"/>
        <v>#NAME?</v>
      </c>
      <c r="EH201" s="7" t="e">
        <f t="shared" ca="1" si="98"/>
        <v>#NAME?</v>
      </c>
      <c r="EI201" s="7" t="e">
        <f t="shared" ca="1" si="98"/>
        <v>#NAME?</v>
      </c>
      <c r="EJ201" s="7" t="e">
        <f t="shared" ca="1" si="98"/>
        <v>#NAME?</v>
      </c>
      <c r="EK201" s="7" t="e">
        <f t="shared" ca="1" si="98"/>
        <v>#NAME?</v>
      </c>
      <c r="EL201" s="7" t="e">
        <f t="shared" ca="1" si="98"/>
        <v>#NAME?</v>
      </c>
      <c r="EM201" s="7" t="e">
        <f t="shared" ca="1" si="98"/>
        <v>#NAME?</v>
      </c>
      <c r="EN201" s="7" t="e">
        <f t="shared" ca="1" si="98"/>
        <v>#NAME?</v>
      </c>
      <c r="EO201" s="7" t="e">
        <f t="shared" ca="1" si="98"/>
        <v>#NAME?</v>
      </c>
      <c r="EP201" s="7" t="e">
        <f t="shared" ca="1" si="98"/>
        <v>#NAME?</v>
      </c>
      <c r="EQ201" s="7" t="e">
        <f t="shared" ca="1" si="98"/>
        <v>#NAME?</v>
      </c>
      <c r="ER201" s="7" t="e">
        <f t="shared" ca="1" si="98"/>
        <v>#NAME?</v>
      </c>
      <c r="ES201" s="7" t="e">
        <f t="shared" ca="1" si="98"/>
        <v>#NAME?</v>
      </c>
      <c r="ET201" s="7" t="e">
        <f t="shared" ca="1" si="98"/>
        <v>#NAME?</v>
      </c>
      <c r="EU201" s="7" t="e">
        <f t="shared" ca="1" si="98"/>
        <v>#NAME?</v>
      </c>
      <c r="EV201" s="7" t="e">
        <f t="shared" ca="1" si="98"/>
        <v>#NAME?</v>
      </c>
      <c r="EW201" s="7" t="e">
        <f t="shared" ca="1" si="98"/>
        <v>#NAME?</v>
      </c>
      <c r="EX201" s="7" t="e">
        <f t="shared" ca="1" si="98"/>
        <v>#NAME?</v>
      </c>
      <c r="EY201" s="7" t="e">
        <f t="shared" ca="1" si="98"/>
        <v>#NAME?</v>
      </c>
      <c r="EZ201" s="7" t="e">
        <f t="shared" ca="1" si="98"/>
        <v>#NAME?</v>
      </c>
      <c r="FA201" s="7" t="e">
        <f t="shared" ca="1" si="98"/>
        <v>#NAME?</v>
      </c>
      <c r="FB201" s="7" t="e">
        <f t="shared" ca="1" si="98"/>
        <v>#NAME?</v>
      </c>
      <c r="FC201" s="7" t="e">
        <f t="shared" ca="1" si="98"/>
        <v>#NAME?</v>
      </c>
      <c r="FD201" s="7" t="e">
        <f t="shared" ca="1" si="98"/>
        <v>#NAME?</v>
      </c>
      <c r="FE201" s="7" t="e">
        <f t="shared" ca="1" si="98"/>
        <v>#NAME?</v>
      </c>
      <c r="FF201" s="7" t="e">
        <f t="shared" ca="1" si="98"/>
        <v>#NAME?</v>
      </c>
      <c r="FG201" s="7" t="e">
        <f t="shared" ca="1" si="98"/>
        <v>#NAME?</v>
      </c>
      <c r="FH201" s="7" t="e">
        <f t="shared" ca="1" si="98"/>
        <v>#NAME?</v>
      </c>
      <c r="FI201" s="7" t="e">
        <f t="shared" ca="1" si="98"/>
        <v>#NAME?</v>
      </c>
      <c r="FJ201" s="7" t="e">
        <f t="shared" ca="1" si="98"/>
        <v>#NAME?</v>
      </c>
      <c r="FK201" s="7" t="e">
        <f t="shared" ca="1" si="98"/>
        <v>#NAME?</v>
      </c>
      <c r="FL201" s="7" t="e">
        <f t="shared" ca="1" si="98"/>
        <v>#NAME?</v>
      </c>
      <c r="FM201" s="7" t="e">
        <f t="shared" ca="1" si="98"/>
        <v>#NAME?</v>
      </c>
      <c r="FN201" s="7" t="e">
        <f t="shared" ca="1" si="98"/>
        <v>#NAME?</v>
      </c>
      <c r="FO201" s="7" t="e">
        <f t="shared" ca="1" si="98"/>
        <v>#NAME?</v>
      </c>
      <c r="FP201" s="7" t="e">
        <f t="shared" ca="1" si="98"/>
        <v>#NAME?</v>
      </c>
      <c r="FQ201" s="7" t="e">
        <f t="shared" ca="1" si="98"/>
        <v>#NAME?</v>
      </c>
      <c r="FR201" s="7" t="e">
        <f t="shared" ca="1" si="98"/>
        <v>#NAME?</v>
      </c>
      <c r="FS201" s="7" t="e">
        <f t="shared" ca="1" si="98"/>
        <v>#NAME?</v>
      </c>
      <c r="FT201" s="7" t="e">
        <f t="shared" ca="1" si="98"/>
        <v>#NAME?</v>
      </c>
      <c r="FU201" s="7" t="e">
        <f t="shared" ca="1" si="98"/>
        <v>#NAME?</v>
      </c>
      <c r="FV201" s="7" t="e">
        <f t="shared" ca="1" si="98"/>
        <v>#NAME?</v>
      </c>
      <c r="FW201" s="7" t="e">
        <f t="shared" ca="1" si="98"/>
        <v>#NAME?</v>
      </c>
      <c r="FX201" s="7" t="e">
        <f t="shared" ca="1" si="98"/>
        <v>#NAME?</v>
      </c>
      <c r="FY201" s="7"/>
      <c r="FZ201" s="7" t="e">
        <f ca="1">SUM(C201:FX201)</f>
        <v>#NAME?</v>
      </c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</row>
    <row r="202" spans="1:205" ht="15.5" x14ac:dyDescent="0.35">
      <c r="A202" s="7"/>
      <c r="B202" s="7" t="s">
        <v>952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23"/>
      <c r="FZ202" s="7"/>
      <c r="GA202" s="7"/>
      <c r="GB202" s="58"/>
      <c r="GC202" s="58"/>
      <c r="GD202" s="58"/>
      <c r="GE202" s="7"/>
      <c r="GF202" s="58"/>
      <c r="GG202" s="58"/>
      <c r="GH202" s="58"/>
      <c r="GI202" s="58"/>
      <c r="GJ202" s="7"/>
      <c r="GK202" s="7"/>
    </row>
    <row r="203" spans="1:205" ht="15.5" x14ac:dyDescent="0.35">
      <c r="A203" s="12" t="s">
        <v>684</v>
      </c>
      <c r="B203" s="7" t="s">
        <v>684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</row>
    <row r="204" spans="1:205" ht="15.5" x14ac:dyDescent="0.35">
      <c r="A204" s="12" t="s">
        <v>684</v>
      </c>
      <c r="B204" s="5" t="s">
        <v>953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23"/>
      <c r="GC204" s="23"/>
      <c r="GD204" s="23"/>
      <c r="GE204" s="7"/>
      <c r="GF204" s="7"/>
      <c r="GG204" s="7"/>
      <c r="GH204" s="7"/>
      <c r="GI204" s="7"/>
      <c r="GJ204" s="7"/>
      <c r="GK204" s="7"/>
    </row>
    <row r="205" spans="1:205" ht="15.5" x14ac:dyDescent="0.35">
      <c r="A205" s="12" t="s">
        <v>954</v>
      </c>
      <c r="B205" s="7" t="s">
        <v>955</v>
      </c>
      <c r="C205" s="7">
        <f ca="1">IFERROR(__xludf.DUMMYFUNCTION("+C53"),78280270.66)</f>
        <v>78280270.659999996</v>
      </c>
      <c r="D205" s="7">
        <f ca="1">IFERROR(__xludf.DUMMYFUNCTION("+D53"),441513334.78)</f>
        <v>441513334.77999997</v>
      </c>
      <c r="E205" s="7">
        <f ca="1">IFERROR(__xludf.DUMMYFUNCTION("+E53"),72811077.91)</f>
        <v>72811077.909999996</v>
      </c>
      <c r="F205" s="7">
        <f ca="1">IFERROR(__xludf.DUMMYFUNCTION("+F53"),263130617.96)</f>
        <v>263130617.96000001</v>
      </c>
      <c r="G205" s="7">
        <f ca="1">IFERROR(__xludf.DUMMYFUNCTION("+G53"),18268979.88)</f>
        <v>18268979.879999999</v>
      </c>
      <c r="H205" s="7">
        <f ca="1">IFERROR(__xludf.DUMMYFUNCTION("+H53"),13280033.19)</f>
        <v>13280033.189999999</v>
      </c>
      <c r="I205" s="7">
        <f ca="1">IFERROR(__xludf.DUMMYFUNCTION("+I53"),99149017.74)</f>
        <v>99149017.739999995</v>
      </c>
      <c r="J205" s="7">
        <f ca="1">IFERROR(__xludf.DUMMYFUNCTION("+J53"),24020317.79)</f>
        <v>24020317.789999999</v>
      </c>
      <c r="K205" s="7">
        <f ca="1">IFERROR(__xludf.DUMMYFUNCTION("+K53"),4376133.27)</f>
        <v>4376133.2699999996</v>
      </c>
      <c r="L205" s="7">
        <f ca="1">IFERROR(__xludf.DUMMYFUNCTION("+L53"),26180456.03)</f>
        <v>26180456.030000001</v>
      </c>
      <c r="M205" s="7">
        <f ca="1">IFERROR(__xludf.DUMMYFUNCTION("+M53"),13493657.89)</f>
        <v>13493657.890000001</v>
      </c>
      <c r="N205" s="7">
        <f ca="1">IFERROR(__xludf.DUMMYFUNCTION("+N53"),581402832.08)</f>
        <v>581402832.08000004</v>
      </c>
      <c r="O205" s="7">
        <f ca="1">IFERROR(__xludf.DUMMYFUNCTION("+O53"),143543356.31)</f>
        <v>143543356.31</v>
      </c>
      <c r="P205" s="7">
        <f ca="1">IFERROR(__xludf.DUMMYFUNCTION("+P53"),5486815.51)</f>
        <v>5486815.5099999998</v>
      </c>
      <c r="Q205" s="7">
        <f ca="1">IFERROR(__xludf.DUMMYFUNCTION("+Q53"),468203554.43)</f>
        <v>468203554.43000001</v>
      </c>
      <c r="R205" s="7">
        <f ca="1">IFERROR(__xludf.DUMMYFUNCTION("+R53"),67965527.08)</f>
        <v>67965527.079999998</v>
      </c>
      <c r="S205" s="7">
        <f ca="1">IFERROR(__xludf.DUMMYFUNCTION("+S53"),18924881.17)</f>
        <v>18924881.170000002</v>
      </c>
      <c r="T205" s="7">
        <f ca="1">IFERROR(__xludf.DUMMYFUNCTION("+T53"),3280571.47)</f>
        <v>3280571.47</v>
      </c>
      <c r="U205" s="7">
        <f ca="1">IFERROR(__xludf.DUMMYFUNCTION("+U53"),1310359.06)</f>
        <v>1310359.06</v>
      </c>
      <c r="V205" s="7">
        <f ca="1">IFERROR(__xludf.DUMMYFUNCTION("+V53"),4233931.06)</f>
        <v>4233931.0599999996</v>
      </c>
      <c r="W205" s="7">
        <f ca="1">IFERROR(__xludf.DUMMYFUNCTION("+W53"),3688375.04)</f>
        <v>3688375.04</v>
      </c>
      <c r="X205" s="7">
        <f ca="1">IFERROR(__xludf.DUMMYFUNCTION("+X53"),1219109.24)</f>
        <v>1219109.24</v>
      </c>
      <c r="Y205" s="7">
        <f ca="1">IFERROR(__xludf.DUMMYFUNCTION("+Y53"),11502733.69)</f>
        <v>11502733.689999999</v>
      </c>
      <c r="Z205" s="7">
        <f ca="1">IFERROR(__xludf.DUMMYFUNCTION("+Z53"),3811891.54)</f>
        <v>3811891.54</v>
      </c>
      <c r="AA205" s="7">
        <f ca="1">IFERROR(__xludf.DUMMYFUNCTION("+AA53"),344043292.08)</f>
        <v>344043292.07999998</v>
      </c>
      <c r="AB205" s="7">
        <f ca="1">IFERROR(__xludf.DUMMYFUNCTION("+AB53"),307281236.79)</f>
        <v>307281236.79000002</v>
      </c>
      <c r="AC205" s="7">
        <f ca="1">IFERROR(__xludf.DUMMYFUNCTION("+AC53"),11287823.91)</f>
        <v>11287823.91</v>
      </c>
      <c r="AD205" s="7">
        <f ca="1">IFERROR(__xludf.DUMMYFUNCTION("+AD53"),15912790.71)</f>
        <v>15912790.710000001</v>
      </c>
      <c r="AE205" s="7">
        <f ca="1">IFERROR(__xludf.DUMMYFUNCTION("+AE53"),2102521.44)</f>
        <v>2102521.44</v>
      </c>
      <c r="AF205" s="7">
        <f ca="1">IFERROR(__xludf.DUMMYFUNCTION("+AF53"),3417701.57)</f>
        <v>3417701.57</v>
      </c>
      <c r="AG205" s="7">
        <f ca="1">IFERROR(__xludf.DUMMYFUNCTION("+AG53"),7967358)</f>
        <v>7967358</v>
      </c>
      <c r="AH205" s="7">
        <f ca="1">IFERROR(__xludf.DUMMYFUNCTION("+AH53"),11672985.89)</f>
        <v>11672985.890000001</v>
      </c>
      <c r="AI205" s="7">
        <f ca="1">IFERROR(__xludf.DUMMYFUNCTION("+AI53"),5504284.83)</f>
        <v>5504284.8300000001</v>
      </c>
      <c r="AJ205" s="7">
        <f ca="1">IFERROR(__xludf.DUMMYFUNCTION("+AJ53"),3421162.94)</f>
        <v>3421162.94</v>
      </c>
      <c r="AK205" s="7">
        <f ca="1">IFERROR(__xludf.DUMMYFUNCTION("+AK53"),3437264.26)</f>
        <v>3437264.26</v>
      </c>
      <c r="AL205" s="7">
        <f ca="1">IFERROR(__xludf.DUMMYFUNCTION("+AL53"),4531542.67)</f>
        <v>4531542.67</v>
      </c>
      <c r="AM205" s="7">
        <f ca="1">IFERROR(__xludf.DUMMYFUNCTION("+AM53"),5326794.29)</f>
        <v>5326794.29</v>
      </c>
      <c r="AN205" s="7">
        <f ca="1">IFERROR(__xludf.DUMMYFUNCTION("+AN53"),4853828.37)</f>
        <v>4853828.37</v>
      </c>
      <c r="AO205" s="7">
        <f ca="1">IFERROR(__xludf.DUMMYFUNCTION("+AO53"),49181610.97)</f>
        <v>49181610.969999999</v>
      </c>
      <c r="AP205" s="7">
        <f ca="1">IFERROR(__xludf.DUMMYFUNCTION("+AP53"),984476347.71)</f>
        <v>984476347.71000004</v>
      </c>
      <c r="AQ205" s="7">
        <f ca="1">IFERROR(__xludf.DUMMYFUNCTION("+AQ53"),4254035.19)</f>
        <v>4254035.1900000004</v>
      </c>
      <c r="AR205" s="7">
        <f ca="1">IFERROR(__xludf.DUMMYFUNCTION("+AR53"),688335848.29)</f>
        <v>688335848.28999996</v>
      </c>
      <c r="AS205" s="7">
        <f ca="1">IFERROR(__xludf.DUMMYFUNCTION("+AS53"),78787121.94)</f>
        <v>78787121.939999998</v>
      </c>
      <c r="AT205" s="7">
        <f ca="1">IFERROR(__xludf.DUMMYFUNCTION("+AT53"),29995630.32)</f>
        <v>29995630.32</v>
      </c>
      <c r="AU205" s="7">
        <f ca="1">IFERROR(__xludf.DUMMYFUNCTION("+AU53"),4940563.06)</f>
        <v>4940563.0599999996</v>
      </c>
      <c r="AV205" s="7">
        <f ca="1">IFERROR(__xludf.DUMMYFUNCTION("+AV53"),5000518.68)</f>
        <v>5000518.68</v>
      </c>
      <c r="AW205" s="7">
        <f ca="1">IFERROR(__xludf.DUMMYFUNCTION("+AW53"),4415981.21)</f>
        <v>4415981.21</v>
      </c>
      <c r="AX205" s="7">
        <f ca="1">IFERROR(__xludf.DUMMYFUNCTION("+AX53"),1697596.48)</f>
        <v>1697596.48</v>
      </c>
      <c r="AY205" s="7">
        <f ca="1">IFERROR(__xludf.DUMMYFUNCTION("+AY53"),6058557.23)</f>
        <v>6058557.2300000004</v>
      </c>
      <c r="AZ205" s="7">
        <f ca="1">IFERROR(__xludf.DUMMYFUNCTION("+AZ53"),142156367.77)</f>
        <v>142156367.77000001</v>
      </c>
      <c r="BA205" s="7">
        <f ca="1">IFERROR(__xludf.DUMMYFUNCTION("+BA53"),99155079.23)</f>
        <v>99155079.230000004</v>
      </c>
      <c r="BB205" s="7">
        <f ca="1">IFERROR(__xludf.DUMMYFUNCTION("+BB53"),82432730.72)</f>
        <v>82432730.719999999</v>
      </c>
      <c r="BC205" s="7">
        <f ca="1">IFERROR(__xludf.DUMMYFUNCTION("+BC53"),290262662.54)</f>
        <v>290262662.54000002</v>
      </c>
      <c r="BD205" s="7">
        <f ca="1">IFERROR(__xludf.DUMMYFUNCTION("+BD53"),39221665.8)</f>
        <v>39221665.799999997</v>
      </c>
      <c r="BE205" s="7">
        <f ca="1">IFERROR(__xludf.DUMMYFUNCTION("+BE53"),14653499.36)</f>
        <v>14653499.359999999</v>
      </c>
      <c r="BF205" s="7">
        <f ca="1">IFERROR(__xludf.DUMMYFUNCTION("+BF53"),276304553.99)</f>
        <v>276304553.99000001</v>
      </c>
      <c r="BG205" s="7">
        <f ca="1">IFERROR(__xludf.DUMMYFUNCTION("+BG53"),11571564.07)</f>
        <v>11571564.07</v>
      </c>
      <c r="BH205" s="7">
        <f ca="1">IFERROR(__xludf.DUMMYFUNCTION("+BH53"),7661196.27)</f>
        <v>7661196.2699999996</v>
      </c>
      <c r="BI205" s="7">
        <f ca="1">IFERROR(__xludf.DUMMYFUNCTION("+BI53"),4534185.93)</f>
        <v>4534185.93</v>
      </c>
      <c r="BJ205" s="7">
        <f ca="1">IFERROR(__xludf.DUMMYFUNCTION("+BJ53"),67995494.64)</f>
        <v>67995494.640000001</v>
      </c>
      <c r="BK205" s="7">
        <f ca="1">IFERROR(__xludf.DUMMYFUNCTION("+BK53"),337189436.94)</f>
        <v>337189436.94</v>
      </c>
      <c r="BL205" s="7">
        <f ca="1">IFERROR(__xludf.DUMMYFUNCTION("+BL53"),2201677.97)</f>
        <v>2201677.9700000002</v>
      </c>
      <c r="BM205" s="7">
        <f ca="1">IFERROR(__xludf.DUMMYFUNCTION("+BM53"),5933143.35)</f>
        <v>5933143.3499999996</v>
      </c>
      <c r="BN205" s="7">
        <f ca="1">IFERROR(__xludf.DUMMYFUNCTION("+BN53"),35417030.71)</f>
        <v>35417030.710000001</v>
      </c>
      <c r="BO205" s="7">
        <f ca="1">IFERROR(__xludf.DUMMYFUNCTION("+BO53"),14738253.41)</f>
        <v>14738253.41</v>
      </c>
      <c r="BP205" s="7">
        <f ca="1">IFERROR(__xludf.DUMMYFUNCTION("+BP53"),3427045.16)</f>
        <v>3427045.16</v>
      </c>
      <c r="BQ205" s="7">
        <f ca="1">IFERROR(__xludf.DUMMYFUNCTION("+BQ53"),72689800.59)</f>
        <v>72689800.590000004</v>
      </c>
      <c r="BR205" s="7">
        <f ca="1">IFERROR(__xludf.DUMMYFUNCTION("+BR53"),49902027.48)</f>
        <v>49902027.479999997</v>
      </c>
      <c r="BS205" s="7">
        <f ca="1">IFERROR(__xludf.DUMMYFUNCTION("+BS53"),14128786.94)</f>
        <v>14128786.939999999</v>
      </c>
      <c r="BT205" s="7">
        <f ca="1">IFERROR(__xludf.DUMMYFUNCTION("+BT53"),5768967.64)</f>
        <v>5768967.6399999997</v>
      </c>
      <c r="BU205" s="7">
        <f ca="1">IFERROR(__xludf.DUMMYFUNCTION("+BU53"),6049478.08)</f>
        <v>6049478.0800000001</v>
      </c>
      <c r="BV205" s="7">
        <f ca="1">IFERROR(__xludf.DUMMYFUNCTION("+BV53"),14351929.45)</f>
        <v>14351929.449999999</v>
      </c>
      <c r="BW205" s="7">
        <f ca="1">IFERROR(__xludf.DUMMYFUNCTION("+BW53"),22872366.5)</f>
        <v>22872366.5</v>
      </c>
      <c r="BX205" s="7">
        <f ca="1">IFERROR(__xludf.DUMMYFUNCTION("+BX53"),1793810.78)</f>
        <v>1793810.78</v>
      </c>
      <c r="BY205" s="7">
        <f ca="1">IFERROR(__xludf.DUMMYFUNCTION("+BY53"),5897243.55)</f>
        <v>5897243.5499999998</v>
      </c>
      <c r="BZ205" s="7">
        <f ca="1">IFERROR(__xludf.DUMMYFUNCTION("+BZ53"),3670222.23)</f>
        <v>3670222.23</v>
      </c>
      <c r="CA205" s="7">
        <f ca="1">IFERROR(__xludf.DUMMYFUNCTION("+CA53"),3155462.16)</f>
        <v>3155462.16</v>
      </c>
      <c r="CB205" s="7">
        <f ca="1">IFERROR(__xludf.DUMMYFUNCTION("+CB53"),825753541.16)</f>
        <v>825753541.15999997</v>
      </c>
      <c r="CC205" s="7">
        <f ca="1">IFERROR(__xludf.DUMMYFUNCTION("+CC53"),3503040.55)</f>
        <v>3503040.55</v>
      </c>
      <c r="CD205" s="7">
        <f ca="1">IFERROR(__xludf.DUMMYFUNCTION("+CD53"),3475014.13)</f>
        <v>3475014.13</v>
      </c>
      <c r="CE205" s="7">
        <f ca="1">IFERROR(__xludf.DUMMYFUNCTION("+CE53"),3031667.9)</f>
        <v>3031667.9</v>
      </c>
      <c r="CF205" s="7">
        <f ca="1">IFERROR(__xludf.DUMMYFUNCTION("+CF53"),2337551.13)</f>
        <v>2337551.13</v>
      </c>
      <c r="CG205" s="7">
        <f ca="1">IFERROR(__xludf.DUMMYFUNCTION("+CG53"),3663065.84)</f>
        <v>3663065.84</v>
      </c>
      <c r="CH205" s="7">
        <f ca="1">IFERROR(__xludf.DUMMYFUNCTION("+CH53"),2312645.78)</f>
        <v>2312645.7799999998</v>
      </c>
      <c r="CI205" s="7">
        <f ca="1">IFERROR(__xludf.DUMMYFUNCTION("+CI53"),8594395.47)</f>
        <v>8594395.4700000007</v>
      </c>
      <c r="CJ205" s="7">
        <f ca="1">IFERROR(__xludf.DUMMYFUNCTION("+CJ53"),11370701.36)</f>
        <v>11370701.359999999</v>
      </c>
      <c r="CK205" s="7">
        <f ca="1">IFERROR(__xludf.DUMMYFUNCTION("+CK53"),64493594.61)</f>
        <v>64493594.609999999</v>
      </c>
      <c r="CL205" s="7">
        <f ca="1">IFERROR(__xludf.DUMMYFUNCTION("+CL53"),15439886.31)</f>
        <v>15439886.310000001</v>
      </c>
      <c r="CM205" s="7">
        <f ca="1">IFERROR(__xludf.DUMMYFUNCTION("+CM53"),9715933.37)</f>
        <v>9715933.3699999992</v>
      </c>
      <c r="CN205" s="7">
        <f ca="1">IFERROR(__xludf.DUMMYFUNCTION("+CN53"),351056724.09)</f>
        <v>351056724.08999997</v>
      </c>
      <c r="CO205" s="7">
        <f ca="1">IFERROR(__xludf.DUMMYFUNCTION("+CO53"),156849964.21)</f>
        <v>156849964.21000001</v>
      </c>
      <c r="CP205" s="7">
        <f ca="1">IFERROR(__xludf.DUMMYFUNCTION("+CP53"),12350467.81)</f>
        <v>12350467.810000001</v>
      </c>
      <c r="CQ205" s="7">
        <f ca="1">IFERROR(__xludf.DUMMYFUNCTION("+CQ53"),10314109.21)</f>
        <v>10314109.210000001</v>
      </c>
      <c r="CR205" s="7">
        <f ca="1">IFERROR(__xludf.DUMMYFUNCTION("+CR53"),4056706.95)</f>
        <v>4056706.95</v>
      </c>
      <c r="CS205" s="7">
        <f ca="1">IFERROR(__xludf.DUMMYFUNCTION("+CS53"),4594320.78)</f>
        <v>4594320.78</v>
      </c>
      <c r="CT205" s="7">
        <f ca="1">IFERROR(__xludf.DUMMYFUNCTION("+CT53"),2341807.96)</f>
        <v>2341807.96</v>
      </c>
      <c r="CU205" s="7">
        <f ca="1">IFERROR(__xludf.DUMMYFUNCTION("+CU53"),4687694.54)</f>
        <v>4687694.54</v>
      </c>
      <c r="CV205" s="7">
        <f ca="1">IFERROR(__xludf.DUMMYFUNCTION("+CV53"),1148275.01)</f>
        <v>1148275.01</v>
      </c>
      <c r="CW205" s="7">
        <f ca="1">IFERROR(__xludf.DUMMYFUNCTION("+CW53"),3787358.23)</f>
        <v>3787358.23</v>
      </c>
      <c r="CX205" s="7">
        <f ca="1">IFERROR(__xludf.DUMMYFUNCTION("+CX53"),6036047.88)</f>
        <v>6036047.8799999999</v>
      </c>
      <c r="CY205" s="7">
        <f ca="1">IFERROR(__xludf.DUMMYFUNCTION("+CY53"),1239684.9)</f>
        <v>1239684.8999999999</v>
      </c>
      <c r="CZ205" s="7">
        <f ca="1">IFERROR(__xludf.DUMMYFUNCTION("+CZ53"),21057356.12)</f>
        <v>21057356.120000001</v>
      </c>
      <c r="DA205" s="7">
        <f ca="1">IFERROR(__xludf.DUMMYFUNCTION("+DA53"),3612368.75)</f>
        <v>3612368.75</v>
      </c>
      <c r="DB205" s="7">
        <f ca="1">IFERROR(__xludf.DUMMYFUNCTION("+DB53"),4839800.64)</f>
        <v>4839800.6399999997</v>
      </c>
      <c r="DC205" s="7">
        <f ca="1">IFERROR(__xludf.DUMMYFUNCTION("+DC53"),3462885.21)</f>
        <v>3462885.21</v>
      </c>
      <c r="DD205" s="7">
        <f ca="1">IFERROR(__xludf.DUMMYFUNCTION("+DD53"),3271844.17)</f>
        <v>3271844.17</v>
      </c>
      <c r="DE205" s="7">
        <f ca="1">IFERROR(__xludf.DUMMYFUNCTION("+DE53"),4618149.77)</f>
        <v>4618149.7699999996</v>
      </c>
      <c r="DF205" s="7">
        <f ca="1">IFERROR(__xludf.DUMMYFUNCTION("+DF53"),227288961.69)</f>
        <v>227288961.69</v>
      </c>
      <c r="DG205" s="7">
        <f ca="1">IFERROR(__xludf.DUMMYFUNCTION("+DG53"),2423573.89)</f>
        <v>2423573.89</v>
      </c>
      <c r="DH205" s="7">
        <f ca="1">IFERROR(__xludf.DUMMYFUNCTION("+DH53"),20886839.41)</f>
        <v>20886839.41</v>
      </c>
      <c r="DI205" s="7">
        <f ca="1">IFERROR(__xludf.DUMMYFUNCTION("+DI53"),27709961.46)</f>
        <v>27709961.460000001</v>
      </c>
      <c r="DJ205" s="7">
        <f ca="1">IFERROR(__xludf.DUMMYFUNCTION("+DJ53"),8149616.66)</f>
        <v>8149616.6600000001</v>
      </c>
      <c r="DK205" s="7">
        <f ca="1">IFERROR(__xludf.DUMMYFUNCTION("+DK53"),6532518.4)</f>
        <v>6532518.4000000004</v>
      </c>
      <c r="DL205" s="7">
        <f ca="1">IFERROR(__xludf.DUMMYFUNCTION("+DL53"),66129697.74)</f>
        <v>66129697.740000002</v>
      </c>
      <c r="DM205" s="7">
        <f ca="1">IFERROR(__xludf.DUMMYFUNCTION("+DM53"),4324956.21)</f>
        <v>4324956.21</v>
      </c>
      <c r="DN205" s="7">
        <f ca="1">IFERROR(__xludf.DUMMYFUNCTION("+DN53"),16054629.26)</f>
        <v>16054629.26</v>
      </c>
      <c r="DO205" s="7">
        <f ca="1">IFERROR(__xludf.DUMMYFUNCTION("+DO53"),37791858.01)</f>
        <v>37791858.009999998</v>
      </c>
      <c r="DP205" s="7">
        <f ca="1">IFERROR(__xludf.DUMMYFUNCTION("+DP53"),3823507.1)</f>
        <v>3823507.1</v>
      </c>
      <c r="DQ205" s="7">
        <f ca="1">IFERROR(__xludf.DUMMYFUNCTION("+DQ53"),10302616.72)</f>
        <v>10302616.720000001</v>
      </c>
      <c r="DR205" s="7">
        <f ca="1">IFERROR(__xludf.DUMMYFUNCTION("+DR53"),16267957.55)</f>
        <v>16267957.550000001</v>
      </c>
      <c r="DS205" s="7">
        <f ca="1">IFERROR(__xludf.DUMMYFUNCTION("+DS53"),8493099.74)</f>
        <v>8493099.7400000002</v>
      </c>
      <c r="DT205" s="7">
        <f ca="1">IFERROR(__xludf.DUMMYFUNCTION("+DT53"),3605217.69)</f>
        <v>3605217.69</v>
      </c>
      <c r="DU205" s="7">
        <f ca="1">IFERROR(__xludf.DUMMYFUNCTION("+DU53"),5250957.58)</f>
        <v>5250957.58</v>
      </c>
      <c r="DV205" s="7">
        <f ca="1">IFERROR(__xludf.DUMMYFUNCTION("+DV53"),3878489.81)</f>
        <v>3878489.81</v>
      </c>
      <c r="DW205" s="7">
        <f ca="1">IFERROR(__xludf.DUMMYFUNCTION("+DW53"),4751412.07)</f>
        <v>4751412.07</v>
      </c>
      <c r="DX205" s="7">
        <f ca="1">IFERROR(__xludf.DUMMYFUNCTION("+DX53"),3671409.73)</f>
        <v>3671409.73</v>
      </c>
      <c r="DY205" s="7">
        <f ca="1">IFERROR(__xludf.DUMMYFUNCTION("+DY53"),5085104.34)</f>
        <v>5085104.34</v>
      </c>
      <c r="DZ205" s="7">
        <f ca="1">IFERROR(__xludf.DUMMYFUNCTION("+DZ53"),9347377.23)</f>
        <v>9347377.2300000004</v>
      </c>
      <c r="EA205" s="7">
        <f ca="1">IFERROR(__xludf.DUMMYFUNCTION("+EA53"),7100248.33)</f>
        <v>7100248.3300000001</v>
      </c>
      <c r="EB205" s="7">
        <f ca="1">IFERROR(__xludf.DUMMYFUNCTION("+EB53"),7337063.96)</f>
        <v>7337063.96</v>
      </c>
      <c r="EC205" s="7">
        <f ca="1">IFERROR(__xludf.DUMMYFUNCTION("+EC53"),4337598.04)</f>
        <v>4337598.04</v>
      </c>
      <c r="ED205" s="7">
        <f ca="1">IFERROR(__xludf.DUMMYFUNCTION("+ED53"),23147062.68)</f>
        <v>23147062.68</v>
      </c>
      <c r="EE205" s="7">
        <f ca="1">IFERROR(__xludf.DUMMYFUNCTION("+EE53"),3588701.8)</f>
        <v>3588701.8</v>
      </c>
      <c r="EF205" s="7">
        <f ca="1">IFERROR(__xludf.DUMMYFUNCTION("+EF53"),16640420.61)</f>
        <v>16640420.609999999</v>
      </c>
      <c r="EG205" s="7">
        <f ca="1">IFERROR(__xludf.DUMMYFUNCTION("+EG53"),4049993.17)</f>
        <v>4049993.17</v>
      </c>
      <c r="EH205" s="7">
        <f ca="1">IFERROR(__xludf.DUMMYFUNCTION("+EH53"),4055923.04)</f>
        <v>4055923.04</v>
      </c>
      <c r="EI205" s="7">
        <f ca="1">IFERROR(__xludf.DUMMYFUNCTION("+EI53"),164608124.29)</f>
        <v>164608124.28999999</v>
      </c>
      <c r="EJ205" s="7">
        <f ca="1">IFERROR(__xludf.DUMMYFUNCTION("+EJ53"),110814645.64)</f>
        <v>110814645.64</v>
      </c>
      <c r="EK205" s="7">
        <f ca="1">IFERROR(__xludf.DUMMYFUNCTION("+EK53"),8358286.37)</f>
        <v>8358286.3700000001</v>
      </c>
      <c r="EL205" s="7">
        <f ca="1">IFERROR(__xludf.DUMMYFUNCTION("+EL53"),5973275.95)</f>
        <v>5973275.9500000002</v>
      </c>
      <c r="EM205" s="7">
        <f ca="1">IFERROR(__xludf.DUMMYFUNCTION("+EM53"),5539638.62)</f>
        <v>5539638.6200000001</v>
      </c>
      <c r="EN205" s="7">
        <f ca="1">IFERROR(__xludf.DUMMYFUNCTION("+EN53"),11951057.87)</f>
        <v>11951057.869999999</v>
      </c>
      <c r="EO205" s="7">
        <f ca="1">IFERROR(__xludf.DUMMYFUNCTION("+EO53"),4720810.3)</f>
        <v>4720810.3</v>
      </c>
      <c r="EP205" s="7">
        <f ca="1">IFERROR(__xludf.DUMMYFUNCTION("+EP53"),6002523.32)</f>
        <v>6002523.3200000003</v>
      </c>
      <c r="EQ205" s="7">
        <f ca="1">IFERROR(__xludf.DUMMYFUNCTION("+EQ53"),30565460.55)</f>
        <v>30565460.550000001</v>
      </c>
      <c r="ER205" s="7">
        <f ca="1">IFERROR(__xludf.DUMMYFUNCTION("+ER53"),5084806.14)</f>
        <v>5084806.1399999997</v>
      </c>
      <c r="ES205" s="7">
        <f ca="1">IFERROR(__xludf.DUMMYFUNCTION("+ES53"),3508977.85)</f>
        <v>3508977.85</v>
      </c>
      <c r="ET205" s="7">
        <f ca="1">IFERROR(__xludf.DUMMYFUNCTION("+ET53"),4095070.51)</f>
        <v>4095070.51</v>
      </c>
      <c r="EU205" s="7">
        <f ca="1">IFERROR(__xludf.DUMMYFUNCTION("+EU53"),7749917.62)</f>
        <v>7749917.6200000001</v>
      </c>
      <c r="EV205" s="7">
        <f ca="1">IFERROR(__xludf.DUMMYFUNCTION("+EV53"),1928227.33)</f>
        <v>1928227.33</v>
      </c>
      <c r="EW205" s="7">
        <f ca="1">IFERROR(__xludf.DUMMYFUNCTION("+EW53"),13218618.97)</f>
        <v>13218618.970000001</v>
      </c>
      <c r="EX205" s="7">
        <f ca="1">IFERROR(__xludf.DUMMYFUNCTION("+EX53"),3623072.51)</f>
        <v>3623072.51</v>
      </c>
      <c r="EY205" s="7">
        <f ca="1">IFERROR(__xludf.DUMMYFUNCTION("+EY53"),8997897.12)</f>
        <v>8997897.1199999992</v>
      </c>
      <c r="EZ205" s="7">
        <f ca="1">IFERROR(__xludf.DUMMYFUNCTION("+EZ53"),2751725.07)</f>
        <v>2751725.07</v>
      </c>
      <c r="FA205" s="7">
        <f ca="1">IFERROR(__xludf.DUMMYFUNCTION("+FA53"),42110223.62)</f>
        <v>42110223.619999997</v>
      </c>
      <c r="FB205" s="7">
        <f ca="1">IFERROR(__xludf.DUMMYFUNCTION("+FB53"),4735112.44)</f>
        <v>4735112.4400000004</v>
      </c>
      <c r="FC205" s="7">
        <f ca="1">IFERROR(__xludf.DUMMYFUNCTION("+FC53"),22078486.78)</f>
        <v>22078486.780000001</v>
      </c>
      <c r="FD205" s="7">
        <f ca="1">IFERROR(__xludf.DUMMYFUNCTION("+FD53"),5671783.54)</f>
        <v>5671783.54</v>
      </c>
      <c r="FE205" s="7">
        <f ca="1">IFERROR(__xludf.DUMMYFUNCTION("+FE53"),2003245.54)</f>
        <v>2003245.54</v>
      </c>
      <c r="FF205" s="7">
        <f ca="1">IFERROR(__xludf.DUMMYFUNCTION("+FF53"),3739006.87)</f>
        <v>3739006.87</v>
      </c>
      <c r="FG205" s="7">
        <f ca="1">IFERROR(__xludf.DUMMYFUNCTION("+FG53"),2791667.9)</f>
        <v>2791667.9</v>
      </c>
      <c r="FH205" s="7">
        <f ca="1">IFERROR(__xludf.DUMMYFUNCTION("+FH53"),1687641.15)</f>
        <v>1687641.15</v>
      </c>
      <c r="FI205" s="7">
        <f ca="1">IFERROR(__xludf.DUMMYFUNCTION("+FI53"),20073193.17)</f>
        <v>20073193.170000002</v>
      </c>
      <c r="FJ205" s="7">
        <f ca="1">IFERROR(__xludf.DUMMYFUNCTION("+FJ53"),22454241.26)</f>
        <v>22454241.260000002</v>
      </c>
      <c r="FK205" s="7">
        <f ca="1">IFERROR(__xludf.DUMMYFUNCTION("+FK53"),29197638.19)</f>
        <v>29197638.190000001</v>
      </c>
      <c r="FL205" s="7">
        <f ca="1">IFERROR(__xludf.DUMMYFUNCTION("+FL53"),89506028.04)</f>
        <v>89506028.040000007</v>
      </c>
      <c r="FM205" s="7">
        <f ca="1">IFERROR(__xludf.DUMMYFUNCTION("+FM53"),42621303.26)</f>
        <v>42621303.259999998</v>
      </c>
      <c r="FN205" s="7">
        <f ca="1">IFERROR(__xludf.DUMMYFUNCTION("+FN53"),254076077.58)</f>
        <v>254076077.58000001</v>
      </c>
      <c r="FO205" s="7">
        <f ca="1">IFERROR(__xludf.DUMMYFUNCTION("+FO53"),12923250.27)</f>
        <v>12923250.27</v>
      </c>
      <c r="FP205" s="7">
        <f ca="1">IFERROR(__xludf.DUMMYFUNCTION("+FP53"),26423778.79)</f>
        <v>26423778.789999999</v>
      </c>
      <c r="FQ205" s="7">
        <f ca="1">IFERROR(__xludf.DUMMYFUNCTION("+FQ53"),11931842.02)</f>
        <v>11931842.02</v>
      </c>
      <c r="FR205" s="7">
        <f ca="1">IFERROR(__xludf.DUMMYFUNCTION("+FR53"),3384089.51)</f>
        <v>3384089.51</v>
      </c>
      <c r="FS205" s="7">
        <f ca="1">IFERROR(__xludf.DUMMYFUNCTION("+FS53"),3457705.04)</f>
        <v>3457705.04</v>
      </c>
      <c r="FT205" s="7">
        <f ca="1">IFERROR(__xludf.DUMMYFUNCTION("+FT53"),1530952.34)</f>
        <v>1530952.34</v>
      </c>
      <c r="FU205" s="7">
        <f ca="1">IFERROR(__xludf.DUMMYFUNCTION("+FU53"),10796310.34)</f>
        <v>10796310.34</v>
      </c>
      <c r="FV205" s="7">
        <f ca="1">IFERROR(__xludf.DUMMYFUNCTION("+FV53"),9901858.91)</f>
        <v>9901858.9100000001</v>
      </c>
      <c r="FW205" s="7">
        <f ca="1">IFERROR(__xludf.DUMMYFUNCTION("+FW53"),3307351.27)</f>
        <v>3307351.27</v>
      </c>
      <c r="FX205" s="7">
        <f ca="1">IFERROR(__xludf.DUMMYFUNCTION("+FX53"),1506941.06)</f>
        <v>1506941.06</v>
      </c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</row>
    <row r="206" spans="1:205" ht="15.5" x14ac:dyDescent="0.35">
      <c r="A206" s="12" t="s">
        <v>956</v>
      </c>
      <c r="B206" s="7" t="s">
        <v>957</v>
      </c>
      <c r="C206" s="65">
        <f t="shared" ref="C206:FX206" si="99">C67</f>
        <v>2.3E-2</v>
      </c>
      <c r="D206" s="65">
        <f t="shared" si="99"/>
        <v>2.3E-2</v>
      </c>
      <c r="E206" s="65">
        <f t="shared" si="99"/>
        <v>2.3E-2</v>
      </c>
      <c r="F206" s="65">
        <f t="shared" si="99"/>
        <v>2.3E-2</v>
      </c>
      <c r="G206" s="65">
        <f t="shared" si="99"/>
        <v>2.3E-2</v>
      </c>
      <c r="H206" s="65">
        <f t="shared" si="99"/>
        <v>2.3E-2</v>
      </c>
      <c r="I206" s="65">
        <f t="shared" si="99"/>
        <v>2.3E-2</v>
      </c>
      <c r="J206" s="65">
        <f t="shared" si="99"/>
        <v>2.3E-2</v>
      </c>
      <c r="K206" s="65">
        <f t="shared" si="99"/>
        <v>2.3E-2</v>
      </c>
      <c r="L206" s="65">
        <f t="shared" si="99"/>
        <v>2.3E-2</v>
      </c>
      <c r="M206" s="65">
        <f t="shared" si="99"/>
        <v>2.3E-2</v>
      </c>
      <c r="N206" s="65">
        <f t="shared" si="99"/>
        <v>2.3E-2</v>
      </c>
      <c r="O206" s="65">
        <f t="shared" si="99"/>
        <v>2.3E-2</v>
      </c>
      <c r="P206" s="65">
        <f t="shared" si="99"/>
        <v>2.3E-2</v>
      </c>
      <c r="Q206" s="65">
        <f t="shared" si="99"/>
        <v>2.3E-2</v>
      </c>
      <c r="R206" s="65">
        <f t="shared" si="99"/>
        <v>2.3E-2</v>
      </c>
      <c r="S206" s="65">
        <f t="shared" si="99"/>
        <v>2.3E-2</v>
      </c>
      <c r="T206" s="65">
        <f t="shared" si="99"/>
        <v>2.3E-2</v>
      </c>
      <c r="U206" s="65">
        <f t="shared" si="99"/>
        <v>2.3E-2</v>
      </c>
      <c r="V206" s="65">
        <f t="shared" si="99"/>
        <v>2.3E-2</v>
      </c>
      <c r="W206" s="65">
        <f t="shared" si="99"/>
        <v>2.3E-2</v>
      </c>
      <c r="X206" s="65">
        <f t="shared" si="99"/>
        <v>2.3E-2</v>
      </c>
      <c r="Y206" s="65">
        <f t="shared" si="99"/>
        <v>2.3E-2</v>
      </c>
      <c r="Z206" s="65">
        <f t="shared" si="99"/>
        <v>2.3E-2</v>
      </c>
      <c r="AA206" s="65">
        <f t="shared" si="99"/>
        <v>2.3E-2</v>
      </c>
      <c r="AB206" s="65">
        <f t="shared" si="99"/>
        <v>2.3E-2</v>
      </c>
      <c r="AC206" s="65">
        <f t="shared" si="99"/>
        <v>2.3E-2</v>
      </c>
      <c r="AD206" s="65">
        <f t="shared" si="99"/>
        <v>2.3E-2</v>
      </c>
      <c r="AE206" s="65">
        <f t="shared" si="99"/>
        <v>2.3E-2</v>
      </c>
      <c r="AF206" s="65">
        <f t="shared" si="99"/>
        <v>2.3E-2</v>
      </c>
      <c r="AG206" s="65">
        <f t="shared" si="99"/>
        <v>2.3E-2</v>
      </c>
      <c r="AH206" s="65">
        <f t="shared" si="99"/>
        <v>2.3E-2</v>
      </c>
      <c r="AI206" s="65">
        <f t="shared" si="99"/>
        <v>2.3E-2</v>
      </c>
      <c r="AJ206" s="65">
        <f t="shared" si="99"/>
        <v>2.3E-2</v>
      </c>
      <c r="AK206" s="65">
        <f t="shared" si="99"/>
        <v>2.3E-2</v>
      </c>
      <c r="AL206" s="65">
        <f t="shared" si="99"/>
        <v>2.3E-2</v>
      </c>
      <c r="AM206" s="65">
        <f t="shared" si="99"/>
        <v>2.3E-2</v>
      </c>
      <c r="AN206" s="65">
        <f t="shared" si="99"/>
        <v>2.3E-2</v>
      </c>
      <c r="AO206" s="65">
        <f t="shared" si="99"/>
        <v>2.3E-2</v>
      </c>
      <c r="AP206" s="65">
        <f t="shared" si="99"/>
        <v>2.3E-2</v>
      </c>
      <c r="AQ206" s="65">
        <f t="shared" si="99"/>
        <v>2.3E-2</v>
      </c>
      <c r="AR206" s="65">
        <f t="shared" si="99"/>
        <v>2.3E-2</v>
      </c>
      <c r="AS206" s="65">
        <f t="shared" si="99"/>
        <v>2.3E-2</v>
      </c>
      <c r="AT206" s="65">
        <f t="shared" si="99"/>
        <v>2.3E-2</v>
      </c>
      <c r="AU206" s="65">
        <f t="shared" si="99"/>
        <v>2.3E-2</v>
      </c>
      <c r="AV206" s="65">
        <f t="shared" si="99"/>
        <v>2.3E-2</v>
      </c>
      <c r="AW206" s="65">
        <f t="shared" si="99"/>
        <v>2.3E-2</v>
      </c>
      <c r="AX206" s="65">
        <f t="shared" si="99"/>
        <v>2.3E-2</v>
      </c>
      <c r="AY206" s="65">
        <f t="shared" si="99"/>
        <v>2.3E-2</v>
      </c>
      <c r="AZ206" s="109">
        <f t="shared" si="99"/>
        <v>2.3E-2</v>
      </c>
      <c r="BA206" s="65">
        <f t="shared" si="99"/>
        <v>2.3E-2</v>
      </c>
      <c r="BB206" s="65">
        <f t="shared" si="99"/>
        <v>2.3E-2</v>
      </c>
      <c r="BC206" s="65">
        <f t="shared" si="99"/>
        <v>2.3E-2</v>
      </c>
      <c r="BD206" s="65">
        <f t="shared" si="99"/>
        <v>2.3E-2</v>
      </c>
      <c r="BE206" s="65">
        <f t="shared" si="99"/>
        <v>2.3E-2</v>
      </c>
      <c r="BF206" s="65">
        <f t="shared" si="99"/>
        <v>2.3E-2</v>
      </c>
      <c r="BG206" s="65">
        <f t="shared" si="99"/>
        <v>2.3E-2</v>
      </c>
      <c r="BH206" s="65">
        <f t="shared" si="99"/>
        <v>2.3E-2</v>
      </c>
      <c r="BI206" s="65">
        <f t="shared" si="99"/>
        <v>2.3E-2</v>
      </c>
      <c r="BJ206" s="65">
        <f t="shared" si="99"/>
        <v>2.3E-2</v>
      </c>
      <c r="BK206" s="65">
        <f t="shared" si="99"/>
        <v>2.3E-2</v>
      </c>
      <c r="BL206" s="65">
        <f t="shared" si="99"/>
        <v>2.3E-2</v>
      </c>
      <c r="BM206" s="65">
        <f t="shared" si="99"/>
        <v>2.3E-2</v>
      </c>
      <c r="BN206" s="65">
        <f t="shared" si="99"/>
        <v>2.3E-2</v>
      </c>
      <c r="BO206" s="65">
        <f t="shared" si="99"/>
        <v>2.3E-2</v>
      </c>
      <c r="BP206" s="65">
        <f t="shared" si="99"/>
        <v>2.3E-2</v>
      </c>
      <c r="BQ206" s="65">
        <f t="shared" si="99"/>
        <v>2.3E-2</v>
      </c>
      <c r="BR206" s="65">
        <f t="shared" si="99"/>
        <v>2.3E-2</v>
      </c>
      <c r="BS206" s="65">
        <f t="shared" si="99"/>
        <v>2.3E-2</v>
      </c>
      <c r="BT206" s="65">
        <f t="shared" si="99"/>
        <v>2.3E-2</v>
      </c>
      <c r="BU206" s="65">
        <f t="shared" si="99"/>
        <v>2.3E-2</v>
      </c>
      <c r="BV206" s="65">
        <f t="shared" si="99"/>
        <v>2.3E-2</v>
      </c>
      <c r="BW206" s="65">
        <f t="shared" si="99"/>
        <v>2.3E-2</v>
      </c>
      <c r="BX206" s="65">
        <f t="shared" si="99"/>
        <v>2.3E-2</v>
      </c>
      <c r="BY206" s="65">
        <f t="shared" si="99"/>
        <v>2.3E-2</v>
      </c>
      <c r="BZ206" s="65">
        <f t="shared" si="99"/>
        <v>2.3E-2</v>
      </c>
      <c r="CA206" s="65">
        <f t="shared" si="99"/>
        <v>2.3E-2</v>
      </c>
      <c r="CB206" s="65">
        <f t="shared" si="99"/>
        <v>2.3E-2</v>
      </c>
      <c r="CC206" s="65">
        <f t="shared" si="99"/>
        <v>2.3E-2</v>
      </c>
      <c r="CD206" s="65">
        <f t="shared" si="99"/>
        <v>2.3E-2</v>
      </c>
      <c r="CE206" s="65">
        <f t="shared" si="99"/>
        <v>2.3E-2</v>
      </c>
      <c r="CF206" s="65">
        <f t="shared" si="99"/>
        <v>2.3E-2</v>
      </c>
      <c r="CG206" s="65">
        <f t="shared" si="99"/>
        <v>2.3E-2</v>
      </c>
      <c r="CH206" s="65">
        <f t="shared" si="99"/>
        <v>2.3E-2</v>
      </c>
      <c r="CI206" s="65">
        <f t="shared" si="99"/>
        <v>2.3E-2</v>
      </c>
      <c r="CJ206" s="65">
        <f t="shared" si="99"/>
        <v>2.3E-2</v>
      </c>
      <c r="CK206" s="65">
        <f t="shared" si="99"/>
        <v>2.3E-2</v>
      </c>
      <c r="CL206" s="65">
        <f t="shared" si="99"/>
        <v>2.3E-2</v>
      </c>
      <c r="CM206" s="65">
        <f t="shared" si="99"/>
        <v>2.3E-2</v>
      </c>
      <c r="CN206" s="65">
        <f t="shared" si="99"/>
        <v>2.3E-2</v>
      </c>
      <c r="CO206" s="65">
        <f t="shared" si="99"/>
        <v>2.3E-2</v>
      </c>
      <c r="CP206" s="65">
        <f t="shared" si="99"/>
        <v>2.3E-2</v>
      </c>
      <c r="CQ206" s="65">
        <f t="shared" si="99"/>
        <v>2.3E-2</v>
      </c>
      <c r="CR206" s="65">
        <f t="shared" si="99"/>
        <v>2.3E-2</v>
      </c>
      <c r="CS206" s="65">
        <f t="shared" si="99"/>
        <v>2.3E-2</v>
      </c>
      <c r="CT206" s="65">
        <f t="shared" si="99"/>
        <v>2.3E-2</v>
      </c>
      <c r="CU206" s="65">
        <f t="shared" si="99"/>
        <v>2.3E-2</v>
      </c>
      <c r="CV206" s="65">
        <f t="shared" si="99"/>
        <v>2.3E-2</v>
      </c>
      <c r="CW206" s="65">
        <f t="shared" si="99"/>
        <v>2.3E-2</v>
      </c>
      <c r="CX206" s="65">
        <f t="shared" si="99"/>
        <v>2.3E-2</v>
      </c>
      <c r="CY206" s="65">
        <f t="shared" si="99"/>
        <v>2.3E-2</v>
      </c>
      <c r="CZ206" s="65">
        <f t="shared" si="99"/>
        <v>2.3E-2</v>
      </c>
      <c r="DA206" s="65">
        <f t="shared" si="99"/>
        <v>2.3E-2</v>
      </c>
      <c r="DB206" s="65">
        <f t="shared" si="99"/>
        <v>2.3E-2</v>
      </c>
      <c r="DC206" s="65">
        <f t="shared" si="99"/>
        <v>2.3E-2</v>
      </c>
      <c r="DD206" s="65">
        <f t="shared" si="99"/>
        <v>2.3E-2</v>
      </c>
      <c r="DE206" s="65">
        <f t="shared" si="99"/>
        <v>2.3E-2</v>
      </c>
      <c r="DF206" s="65">
        <f t="shared" si="99"/>
        <v>2.3E-2</v>
      </c>
      <c r="DG206" s="65">
        <f t="shared" si="99"/>
        <v>2.3E-2</v>
      </c>
      <c r="DH206" s="65">
        <f t="shared" si="99"/>
        <v>2.3E-2</v>
      </c>
      <c r="DI206" s="65">
        <f t="shared" si="99"/>
        <v>2.3E-2</v>
      </c>
      <c r="DJ206" s="65">
        <f t="shared" si="99"/>
        <v>2.3E-2</v>
      </c>
      <c r="DK206" s="65">
        <f t="shared" si="99"/>
        <v>2.3E-2</v>
      </c>
      <c r="DL206" s="65">
        <f t="shared" si="99"/>
        <v>2.3E-2</v>
      </c>
      <c r="DM206" s="65">
        <f t="shared" si="99"/>
        <v>2.3E-2</v>
      </c>
      <c r="DN206" s="65">
        <f t="shared" si="99"/>
        <v>2.3E-2</v>
      </c>
      <c r="DO206" s="65">
        <f t="shared" si="99"/>
        <v>2.3E-2</v>
      </c>
      <c r="DP206" s="65">
        <f t="shared" si="99"/>
        <v>2.3E-2</v>
      </c>
      <c r="DQ206" s="65">
        <f t="shared" si="99"/>
        <v>2.3E-2</v>
      </c>
      <c r="DR206" s="65">
        <f t="shared" si="99"/>
        <v>2.3E-2</v>
      </c>
      <c r="DS206" s="65">
        <f t="shared" si="99"/>
        <v>2.3E-2</v>
      </c>
      <c r="DT206" s="65">
        <f t="shared" si="99"/>
        <v>2.3E-2</v>
      </c>
      <c r="DU206" s="65">
        <f t="shared" si="99"/>
        <v>2.3E-2</v>
      </c>
      <c r="DV206" s="65">
        <f t="shared" si="99"/>
        <v>2.3E-2</v>
      </c>
      <c r="DW206" s="65">
        <f t="shared" si="99"/>
        <v>2.3E-2</v>
      </c>
      <c r="DX206" s="65">
        <f t="shared" si="99"/>
        <v>2.3E-2</v>
      </c>
      <c r="DY206" s="65">
        <f t="shared" si="99"/>
        <v>2.3E-2</v>
      </c>
      <c r="DZ206" s="65">
        <f t="shared" si="99"/>
        <v>2.3E-2</v>
      </c>
      <c r="EA206" s="65">
        <f t="shared" si="99"/>
        <v>2.3E-2</v>
      </c>
      <c r="EB206" s="65">
        <f t="shared" si="99"/>
        <v>2.3E-2</v>
      </c>
      <c r="EC206" s="65">
        <f t="shared" si="99"/>
        <v>2.3E-2</v>
      </c>
      <c r="ED206" s="65">
        <f t="shared" si="99"/>
        <v>2.3E-2</v>
      </c>
      <c r="EE206" s="65">
        <f t="shared" si="99"/>
        <v>2.3E-2</v>
      </c>
      <c r="EF206" s="65">
        <f t="shared" si="99"/>
        <v>2.3E-2</v>
      </c>
      <c r="EG206" s="65">
        <f t="shared" si="99"/>
        <v>2.3E-2</v>
      </c>
      <c r="EH206" s="65">
        <f t="shared" si="99"/>
        <v>2.3E-2</v>
      </c>
      <c r="EI206" s="65">
        <f t="shared" si="99"/>
        <v>2.3E-2</v>
      </c>
      <c r="EJ206" s="65">
        <f t="shared" si="99"/>
        <v>2.3E-2</v>
      </c>
      <c r="EK206" s="65">
        <f t="shared" si="99"/>
        <v>2.3E-2</v>
      </c>
      <c r="EL206" s="65">
        <f t="shared" si="99"/>
        <v>2.3E-2</v>
      </c>
      <c r="EM206" s="65">
        <f t="shared" si="99"/>
        <v>2.3E-2</v>
      </c>
      <c r="EN206" s="65">
        <f t="shared" si="99"/>
        <v>2.3E-2</v>
      </c>
      <c r="EO206" s="65">
        <f t="shared" si="99"/>
        <v>2.3E-2</v>
      </c>
      <c r="EP206" s="65">
        <f t="shared" si="99"/>
        <v>2.3E-2</v>
      </c>
      <c r="EQ206" s="31">
        <f t="shared" si="99"/>
        <v>2.3E-2</v>
      </c>
      <c r="ER206" s="65">
        <f t="shared" si="99"/>
        <v>2.3E-2</v>
      </c>
      <c r="ES206" s="65">
        <f t="shared" si="99"/>
        <v>2.3E-2</v>
      </c>
      <c r="ET206" s="65">
        <f t="shared" si="99"/>
        <v>2.3E-2</v>
      </c>
      <c r="EU206" s="65">
        <f t="shared" si="99"/>
        <v>2.3E-2</v>
      </c>
      <c r="EV206" s="65">
        <f t="shared" si="99"/>
        <v>2.3E-2</v>
      </c>
      <c r="EW206" s="65">
        <f t="shared" si="99"/>
        <v>2.3E-2</v>
      </c>
      <c r="EX206" s="65">
        <f t="shared" si="99"/>
        <v>2.3E-2</v>
      </c>
      <c r="EY206" s="65">
        <f t="shared" si="99"/>
        <v>2.3E-2</v>
      </c>
      <c r="EZ206" s="65">
        <f t="shared" si="99"/>
        <v>2.3E-2</v>
      </c>
      <c r="FA206" s="65">
        <f t="shared" si="99"/>
        <v>2.3E-2</v>
      </c>
      <c r="FB206" s="65">
        <f t="shared" si="99"/>
        <v>2.3E-2</v>
      </c>
      <c r="FC206" s="65">
        <f t="shared" si="99"/>
        <v>2.3E-2</v>
      </c>
      <c r="FD206" s="65">
        <f t="shared" si="99"/>
        <v>2.3E-2</v>
      </c>
      <c r="FE206" s="65">
        <f t="shared" si="99"/>
        <v>2.3E-2</v>
      </c>
      <c r="FF206" s="65">
        <f t="shared" si="99"/>
        <v>2.3E-2</v>
      </c>
      <c r="FG206" s="65">
        <f t="shared" si="99"/>
        <v>2.3E-2</v>
      </c>
      <c r="FH206" s="65">
        <f t="shared" si="99"/>
        <v>2.3E-2</v>
      </c>
      <c r="FI206" s="65">
        <f t="shared" si="99"/>
        <v>2.3E-2</v>
      </c>
      <c r="FJ206" s="65">
        <f t="shared" si="99"/>
        <v>2.3E-2</v>
      </c>
      <c r="FK206" s="65">
        <f t="shared" si="99"/>
        <v>2.3E-2</v>
      </c>
      <c r="FL206" s="65">
        <f t="shared" si="99"/>
        <v>2.3E-2</v>
      </c>
      <c r="FM206" s="65">
        <f t="shared" si="99"/>
        <v>2.3E-2</v>
      </c>
      <c r="FN206" s="65">
        <f t="shared" si="99"/>
        <v>2.3E-2</v>
      </c>
      <c r="FO206" s="65">
        <f t="shared" si="99"/>
        <v>2.3E-2</v>
      </c>
      <c r="FP206" s="65">
        <f t="shared" si="99"/>
        <v>2.3E-2</v>
      </c>
      <c r="FQ206" s="65">
        <f t="shared" si="99"/>
        <v>2.3E-2</v>
      </c>
      <c r="FR206" s="65">
        <f t="shared" si="99"/>
        <v>2.3E-2</v>
      </c>
      <c r="FS206" s="65">
        <f t="shared" si="99"/>
        <v>2.3E-2</v>
      </c>
      <c r="FT206" s="65">
        <f t="shared" si="99"/>
        <v>2.3E-2</v>
      </c>
      <c r="FU206" s="65">
        <f t="shared" si="99"/>
        <v>2.3E-2</v>
      </c>
      <c r="FV206" s="65">
        <f t="shared" si="99"/>
        <v>2.3E-2</v>
      </c>
      <c r="FW206" s="65">
        <f t="shared" si="99"/>
        <v>2.3E-2</v>
      </c>
      <c r="FX206" s="65">
        <f t="shared" si="99"/>
        <v>2.3E-2</v>
      </c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</row>
    <row r="207" spans="1:205" ht="15.5" x14ac:dyDescent="0.35">
      <c r="A207" s="12" t="s">
        <v>958</v>
      </c>
      <c r="B207" s="7" t="s">
        <v>959</v>
      </c>
      <c r="C207" s="31">
        <f t="shared" ref="C207:FX207" si="100">ROUND((C103-C23)/C23,4)</f>
        <v>-2.3999999999999998E-3</v>
      </c>
      <c r="D207" s="31">
        <f t="shared" si="100"/>
        <v>-1.2500000000000001E-2</v>
      </c>
      <c r="E207" s="31">
        <f t="shared" si="100"/>
        <v>-4.6899999999999997E-2</v>
      </c>
      <c r="F207" s="31">
        <f t="shared" si="100"/>
        <v>3.7199999999999997E-2</v>
      </c>
      <c r="G207" s="31">
        <f t="shared" si="100"/>
        <v>0.18990000000000001</v>
      </c>
      <c r="H207" s="31">
        <f t="shared" si="100"/>
        <v>-1.38E-2</v>
      </c>
      <c r="I207" s="31">
        <f t="shared" si="100"/>
        <v>-3.0700000000000002E-2</v>
      </c>
      <c r="J207" s="31">
        <f t="shared" si="100"/>
        <v>-1.6500000000000001E-2</v>
      </c>
      <c r="K207" s="31">
        <f t="shared" si="100"/>
        <v>-6.7799999999999999E-2</v>
      </c>
      <c r="L207" s="31">
        <f t="shared" si="100"/>
        <v>-1.66E-2</v>
      </c>
      <c r="M207" s="31">
        <f t="shared" si="100"/>
        <v>-5.7599999999999998E-2</v>
      </c>
      <c r="N207" s="31">
        <f t="shared" si="100"/>
        <v>-5.1999999999999998E-3</v>
      </c>
      <c r="O207" s="31">
        <f t="shared" si="100"/>
        <v>-2.1000000000000001E-2</v>
      </c>
      <c r="P207" s="31">
        <f t="shared" si="100"/>
        <v>-9.1399999999999995E-2</v>
      </c>
      <c r="Q207" s="31">
        <f t="shared" si="100"/>
        <v>4.2999999999999997E-2</v>
      </c>
      <c r="R207" s="31">
        <f t="shared" si="100"/>
        <v>0.16900000000000001</v>
      </c>
      <c r="S207" s="31">
        <f t="shared" si="100"/>
        <v>-5.9999999999999995E-4</v>
      </c>
      <c r="T207" s="31">
        <f t="shared" si="100"/>
        <v>-1.04E-2</v>
      </c>
      <c r="U207" s="31">
        <f t="shared" si="100"/>
        <v>7.3499999999999996E-2</v>
      </c>
      <c r="V207" s="31">
        <f t="shared" si="100"/>
        <v>-1.61E-2</v>
      </c>
      <c r="W207" s="31">
        <f t="shared" si="100"/>
        <v>-0.71419999999999995</v>
      </c>
      <c r="X207" s="31">
        <f t="shared" si="100"/>
        <v>0</v>
      </c>
      <c r="Y207" s="31">
        <f t="shared" si="100"/>
        <v>-5.4199999999999998E-2</v>
      </c>
      <c r="Z207" s="31">
        <f t="shared" si="100"/>
        <v>2.5999999999999999E-3</v>
      </c>
      <c r="AA207" s="31">
        <f t="shared" si="100"/>
        <v>-1.8E-3</v>
      </c>
      <c r="AB207" s="31">
        <f t="shared" si="100"/>
        <v>-6.7999999999999996E-3</v>
      </c>
      <c r="AC207" s="31">
        <f t="shared" si="100"/>
        <v>-2.81E-2</v>
      </c>
      <c r="AD207" s="31">
        <f t="shared" si="100"/>
        <v>2.1299999999999999E-2</v>
      </c>
      <c r="AE207" s="31">
        <f t="shared" si="100"/>
        <v>3.1899999999999998E-2</v>
      </c>
      <c r="AF207" s="31">
        <f t="shared" si="100"/>
        <v>-2.6200000000000001E-2</v>
      </c>
      <c r="AG207" s="31">
        <f t="shared" si="100"/>
        <v>-1.83E-2</v>
      </c>
      <c r="AH207" s="31">
        <f t="shared" si="100"/>
        <v>-2.0299999999999999E-2</v>
      </c>
      <c r="AI207" s="31">
        <f t="shared" si="100"/>
        <v>-4.2500000000000003E-2</v>
      </c>
      <c r="AJ207" s="31">
        <f t="shared" si="100"/>
        <v>9.3399999999999997E-2</v>
      </c>
      <c r="AK207" s="31">
        <f t="shared" si="100"/>
        <v>-2.76E-2</v>
      </c>
      <c r="AL207" s="31">
        <f t="shared" si="100"/>
        <v>2.3E-2</v>
      </c>
      <c r="AM207" s="31">
        <f t="shared" si="100"/>
        <v>-5.16E-2</v>
      </c>
      <c r="AN207" s="31">
        <f t="shared" si="100"/>
        <v>-4.3900000000000002E-2</v>
      </c>
      <c r="AO207" s="31">
        <f t="shared" si="100"/>
        <v>1.2200000000000001E-2</v>
      </c>
      <c r="AP207" s="31">
        <f t="shared" si="100"/>
        <v>1.0800000000000001E-2</v>
      </c>
      <c r="AQ207" s="31">
        <f t="shared" si="100"/>
        <v>5.5500000000000001E-2</v>
      </c>
      <c r="AR207" s="31">
        <f t="shared" si="100"/>
        <v>-1.3299999999999999E-2</v>
      </c>
      <c r="AS207" s="31">
        <f t="shared" si="100"/>
        <v>-1.77E-2</v>
      </c>
      <c r="AT207" s="31">
        <f t="shared" si="100"/>
        <v>-0.1087</v>
      </c>
      <c r="AU207" s="31">
        <f t="shared" si="100"/>
        <v>-0.1129</v>
      </c>
      <c r="AV207" s="31">
        <f t="shared" si="100"/>
        <v>-6.7999999999999996E-3</v>
      </c>
      <c r="AW207" s="31">
        <f t="shared" si="100"/>
        <v>4.7000000000000002E-3</v>
      </c>
      <c r="AX207" s="31">
        <f t="shared" si="100"/>
        <v>0.22170000000000001</v>
      </c>
      <c r="AY207" s="31">
        <f t="shared" si="100"/>
        <v>-4.1200000000000001E-2</v>
      </c>
      <c r="AZ207" s="109">
        <f t="shared" si="100"/>
        <v>-1.29E-2</v>
      </c>
      <c r="BA207" s="31">
        <f t="shared" si="100"/>
        <v>-3.8999999999999998E-3</v>
      </c>
      <c r="BB207" s="31">
        <f t="shared" si="100"/>
        <v>-6.9999999999999999E-4</v>
      </c>
      <c r="BC207" s="31">
        <f t="shared" si="100"/>
        <v>-4.3700000000000003E-2</v>
      </c>
      <c r="BD207" s="31">
        <f t="shared" si="100"/>
        <v>6.9999999999999999E-4</v>
      </c>
      <c r="BE207" s="31">
        <f t="shared" si="100"/>
        <v>-4.8000000000000001E-2</v>
      </c>
      <c r="BF207" s="31">
        <f t="shared" si="100"/>
        <v>-2E-3</v>
      </c>
      <c r="BG207" s="31">
        <f t="shared" si="100"/>
        <v>2.3199999999999998E-2</v>
      </c>
      <c r="BH207" s="31">
        <f t="shared" si="100"/>
        <v>-1.15E-2</v>
      </c>
      <c r="BI207" s="31">
        <f t="shared" si="100"/>
        <v>1.1999999999999999E-3</v>
      </c>
      <c r="BJ207" s="31">
        <f t="shared" si="100"/>
        <v>1.8E-3</v>
      </c>
      <c r="BK207" s="31">
        <f t="shared" si="100"/>
        <v>0.13469999999999999</v>
      </c>
      <c r="BL207" s="31">
        <f t="shared" si="100"/>
        <v>-0.2006</v>
      </c>
      <c r="BM207" s="31">
        <f t="shared" si="100"/>
        <v>-0.14449999999999999</v>
      </c>
      <c r="BN207" s="31">
        <f t="shared" si="100"/>
        <v>-1.78E-2</v>
      </c>
      <c r="BO207" s="31">
        <f t="shared" si="100"/>
        <v>-2.3199999999999998E-2</v>
      </c>
      <c r="BP207" s="31">
        <f t="shared" si="100"/>
        <v>-5.4199999999999998E-2</v>
      </c>
      <c r="BQ207" s="31">
        <f t="shared" si="100"/>
        <v>-1.4E-2</v>
      </c>
      <c r="BR207" s="31">
        <f t="shared" si="100"/>
        <v>-2.5000000000000001E-3</v>
      </c>
      <c r="BS207" s="31">
        <f t="shared" si="100"/>
        <v>3.7600000000000001E-2</v>
      </c>
      <c r="BT207" s="31">
        <f t="shared" si="100"/>
        <v>-3.6499999999999998E-2</v>
      </c>
      <c r="BU207" s="31">
        <f t="shared" si="100"/>
        <v>-5.5899999999999998E-2</v>
      </c>
      <c r="BV207" s="31">
        <f t="shared" si="100"/>
        <v>1.03E-2</v>
      </c>
      <c r="BW207" s="31">
        <f t="shared" si="100"/>
        <v>1.23E-2</v>
      </c>
      <c r="BX207" s="31">
        <f t="shared" si="100"/>
        <v>-3.9E-2</v>
      </c>
      <c r="BY207" s="31">
        <f t="shared" si="100"/>
        <v>-6.2300000000000001E-2</v>
      </c>
      <c r="BZ207" s="31">
        <f t="shared" si="100"/>
        <v>0.1193</v>
      </c>
      <c r="CA207" s="31">
        <f t="shared" si="100"/>
        <v>-2.92E-2</v>
      </c>
      <c r="CB207" s="31">
        <f t="shared" si="100"/>
        <v>-1.66E-2</v>
      </c>
      <c r="CC207" s="31">
        <f t="shared" si="100"/>
        <v>6.8999999999999999E-3</v>
      </c>
      <c r="CD207" s="31">
        <f t="shared" si="100"/>
        <v>-0.76339999999999997</v>
      </c>
      <c r="CE207" s="31">
        <f t="shared" si="100"/>
        <v>4.2799999999999998E-2</v>
      </c>
      <c r="CF207" s="31">
        <f t="shared" si="100"/>
        <v>-2.0899999999999998E-2</v>
      </c>
      <c r="CG207" s="31">
        <f t="shared" si="100"/>
        <v>-7.9000000000000008E-3</v>
      </c>
      <c r="CH207" s="31">
        <f t="shared" si="100"/>
        <v>-3.6900000000000002E-2</v>
      </c>
      <c r="CI207" s="31">
        <f t="shared" si="100"/>
        <v>-1.38E-2</v>
      </c>
      <c r="CJ207" s="31">
        <f t="shared" si="100"/>
        <v>-2.7199999999999998E-2</v>
      </c>
      <c r="CK207" s="31">
        <f t="shared" si="100"/>
        <v>-0.1348</v>
      </c>
      <c r="CL207" s="31">
        <f t="shared" si="100"/>
        <v>-3.39E-2</v>
      </c>
      <c r="CM207" s="31">
        <f t="shared" si="100"/>
        <v>-6.1800000000000001E-2</v>
      </c>
      <c r="CN207" s="31">
        <f t="shared" si="100"/>
        <v>-3.2099999999999997E-2</v>
      </c>
      <c r="CO207" s="31">
        <f t="shared" si="100"/>
        <v>-0.01</v>
      </c>
      <c r="CP207" s="31">
        <f t="shared" si="100"/>
        <v>-3.8399999999999997E-2</v>
      </c>
      <c r="CQ207" s="31">
        <f t="shared" si="100"/>
        <v>-3.8E-3</v>
      </c>
      <c r="CR207" s="31">
        <f t="shared" si="100"/>
        <v>-7.46E-2</v>
      </c>
      <c r="CS207" s="31">
        <f t="shared" si="100"/>
        <v>-5.3400000000000003E-2</v>
      </c>
      <c r="CT207" s="31">
        <f t="shared" si="100"/>
        <v>9.3399999999999997E-2</v>
      </c>
      <c r="CU207" s="31">
        <f t="shared" si="100"/>
        <v>0.156</v>
      </c>
      <c r="CV207" s="31">
        <f t="shared" si="100"/>
        <v>0</v>
      </c>
      <c r="CW207" s="31">
        <f t="shared" si="100"/>
        <v>-3.5400000000000001E-2</v>
      </c>
      <c r="CX207" s="31">
        <f t="shared" si="100"/>
        <v>-2.3999999999999998E-3</v>
      </c>
      <c r="CY207" s="31">
        <f t="shared" si="100"/>
        <v>0</v>
      </c>
      <c r="CZ207" s="31">
        <f t="shared" si="100"/>
        <v>-1.9800000000000002E-2</v>
      </c>
      <c r="DA207" s="31">
        <f t="shared" si="100"/>
        <v>2.01E-2</v>
      </c>
      <c r="DB207" s="31">
        <f t="shared" si="100"/>
        <v>-1.47E-2</v>
      </c>
      <c r="DC207" s="31">
        <f t="shared" si="100"/>
        <v>5.4600000000000003E-2</v>
      </c>
      <c r="DD207" s="31">
        <f t="shared" si="100"/>
        <v>0.1186</v>
      </c>
      <c r="DE207" s="31">
        <f t="shared" si="100"/>
        <v>-4.2299999999999997E-2</v>
      </c>
      <c r="DF207" s="31">
        <f t="shared" si="100"/>
        <v>-1.0999999999999999E-2</v>
      </c>
      <c r="DG207" s="31">
        <f t="shared" si="100"/>
        <v>-0.10100000000000001</v>
      </c>
      <c r="DH207" s="31">
        <f t="shared" si="100"/>
        <v>-2.9700000000000001E-2</v>
      </c>
      <c r="DI207" s="31">
        <f t="shared" si="100"/>
        <v>-1.3899999999999999E-2</v>
      </c>
      <c r="DJ207" s="31">
        <f t="shared" si="100"/>
        <v>-2.4199999999999999E-2</v>
      </c>
      <c r="DK207" s="31">
        <f t="shared" si="100"/>
        <v>-4.2599999999999999E-2</v>
      </c>
      <c r="DL207" s="31">
        <f t="shared" si="100"/>
        <v>-5.7000000000000002E-3</v>
      </c>
      <c r="DM207" s="31">
        <f t="shared" si="100"/>
        <v>9.4999999999999998E-3</v>
      </c>
      <c r="DN207" s="31">
        <f t="shared" si="100"/>
        <v>-1.8200000000000001E-2</v>
      </c>
      <c r="DO207" s="31">
        <f t="shared" si="100"/>
        <v>1.29E-2</v>
      </c>
      <c r="DP207" s="31">
        <f t="shared" si="100"/>
        <v>8.6E-3</v>
      </c>
      <c r="DQ207" s="31">
        <f t="shared" si="100"/>
        <v>6.4699999999999994E-2</v>
      </c>
      <c r="DR207" s="31">
        <f t="shared" si="100"/>
        <v>-2.1100000000000001E-2</v>
      </c>
      <c r="DS207" s="31">
        <f t="shared" si="100"/>
        <v>-6.1199999999999997E-2</v>
      </c>
      <c r="DT207" s="31">
        <f t="shared" si="100"/>
        <v>8.6E-3</v>
      </c>
      <c r="DU207" s="31">
        <f t="shared" si="100"/>
        <v>-2.6599999999999999E-2</v>
      </c>
      <c r="DV207" s="31">
        <f t="shared" si="100"/>
        <v>-2.8000000000000001E-2</v>
      </c>
      <c r="DW207" s="31">
        <f t="shared" si="100"/>
        <v>-2.4400000000000002E-2</v>
      </c>
      <c r="DX207" s="31">
        <f t="shared" si="100"/>
        <v>2.3099999999999999E-2</v>
      </c>
      <c r="DY207" s="31">
        <f t="shared" si="100"/>
        <v>-2.8500000000000001E-2</v>
      </c>
      <c r="DZ207" s="31">
        <f t="shared" si="100"/>
        <v>-4.8300000000000003E-2</v>
      </c>
      <c r="EA207" s="31">
        <f t="shared" si="100"/>
        <v>-1.2999999999999999E-3</v>
      </c>
      <c r="EB207" s="31">
        <f t="shared" si="100"/>
        <v>-6.0999999999999999E-2</v>
      </c>
      <c r="EC207" s="31">
        <f t="shared" si="100"/>
        <v>-4.0399999999999998E-2</v>
      </c>
      <c r="ED207" s="31">
        <f t="shared" si="100"/>
        <v>-4.0000000000000002E-4</v>
      </c>
      <c r="EE207" s="31">
        <f t="shared" si="100"/>
        <v>7.4000000000000003E-3</v>
      </c>
      <c r="EF207" s="31">
        <f t="shared" si="100"/>
        <v>-3.5200000000000002E-2</v>
      </c>
      <c r="EG207" s="31">
        <f t="shared" si="100"/>
        <v>1.44E-2</v>
      </c>
      <c r="EH207" s="31">
        <f t="shared" si="100"/>
        <v>-2.3999999999999998E-3</v>
      </c>
      <c r="EI207" s="31">
        <f t="shared" si="100"/>
        <v>-2.0400000000000001E-2</v>
      </c>
      <c r="EJ207" s="31">
        <f t="shared" si="100"/>
        <v>-9.4000000000000004E-3</v>
      </c>
      <c r="EK207" s="31">
        <f t="shared" si="100"/>
        <v>-2.07E-2</v>
      </c>
      <c r="EL207" s="31">
        <f t="shared" si="100"/>
        <v>-3.1800000000000002E-2</v>
      </c>
      <c r="EM207" s="31">
        <f t="shared" si="100"/>
        <v>-1.77E-2</v>
      </c>
      <c r="EN207" s="31">
        <f t="shared" si="100"/>
        <v>-4.07E-2</v>
      </c>
      <c r="EO207" s="31">
        <f t="shared" si="100"/>
        <v>-2.8000000000000001E-2</v>
      </c>
      <c r="EP207" s="31">
        <f t="shared" si="100"/>
        <v>2.1000000000000001E-2</v>
      </c>
      <c r="EQ207" s="31">
        <f t="shared" si="100"/>
        <v>-1.6E-2</v>
      </c>
      <c r="ER207" s="31">
        <f t="shared" si="100"/>
        <v>-2.0299999999999999E-2</v>
      </c>
      <c r="ES207" s="31">
        <f t="shared" si="100"/>
        <v>-0.1014</v>
      </c>
      <c r="ET207" s="31">
        <f t="shared" si="100"/>
        <v>3.2899999999999999E-2</v>
      </c>
      <c r="EU207" s="31">
        <f t="shared" si="100"/>
        <v>1.1999999999999999E-3</v>
      </c>
      <c r="EV207" s="31">
        <f t="shared" si="100"/>
        <v>-7.8700000000000006E-2</v>
      </c>
      <c r="EW207" s="31">
        <f t="shared" si="100"/>
        <v>-2.3400000000000001E-2</v>
      </c>
      <c r="EX207" s="31">
        <f t="shared" si="100"/>
        <v>2.4799999999999999E-2</v>
      </c>
      <c r="EY207" s="31">
        <f t="shared" si="100"/>
        <v>-0.1573</v>
      </c>
      <c r="EZ207" s="31">
        <f t="shared" si="100"/>
        <v>6.1999999999999998E-3</v>
      </c>
      <c r="FA207" s="31">
        <f t="shared" si="100"/>
        <v>-1.6799999999999999E-2</v>
      </c>
      <c r="FB207" s="31">
        <f t="shared" si="100"/>
        <v>-2.5000000000000001E-2</v>
      </c>
      <c r="FC207" s="31">
        <f t="shared" si="100"/>
        <v>-7.0300000000000001E-2</v>
      </c>
      <c r="FD207" s="31">
        <f t="shared" si="100"/>
        <v>-8.0999999999999996E-3</v>
      </c>
      <c r="FE207" s="31">
        <f t="shared" si="100"/>
        <v>-5.28E-2</v>
      </c>
      <c r="FF207" s="31">
        <f t="shared" si="100"/>
        <v>-5.3199999999999997E-2</v>
      </c>
      <c r="FG207" s="31">
        <f t="shared" si="100"/>
        <v>-4.7300000000000002E-2</v>
      </c>
      <c r="FH207" s="31">
        <f t="shared" si="100"/>
        <v>4.3E-3</v>
      </c>
      <c r="FI207" s="31">
        <f t="shared" si="100"/>
        <v>-2.1000000000000001E-2</v>
      </c>
      <c r="FJ207" s="31">
        <f t="shared" si="100"/>
        <v>-8.0999999999999996E-3</v>
      </c>
      <c r="FK207" s="31">
        <f t="shared" si="100"/>
        <v>-1.7299999999999999E-2</v>
      </c>
      <c r="FL207" s="31">
        <f t="shared" si="100"/>
        <v>2.9499999999999998E-2</v>
      </c>
      <c r="FM207" s="31">
        <f t="shared" si="100"/>
        <v>2.46E-2</v>
      </c>
      <c r="FN207" s="31">
        <f t="shared" si="100"/>
        <v>2.35E-2</v>
      </c>
      <c r="FO207" s="31">
        <f t="shared" si="100"/>
        <v>2.76E-2</v>
      </c>
      <c r="FP207" s="31">
        <f t="shared" si="100"/>
        <v>2.7E-2</v>
      </c>
      <c r="FQ207" s="31">
        <f t="shared" si="100"/>
        <v>-2E-3</v>
      </c>
      <c r="FR207" s="31">
        <f t="shared" si="100"/>
        <v>-7.7000000000000002E-3</v>
      </c>
      <c r="FS207" s="31">
        <f t="shared" si="100"/>
        <v>-6.4500000000000002E-2</v>
      </c>
      <c r="FT207" s="31" t="e">
        <f t="shared" ca="1" si="100"/>
        <v>#NAME?</v>
      </c>
      <c r="FU207" s="31">
        <f t="shared" si="100"/>
        <v>-2.7799999999999998E-2</v>
      </c>
      <c r="FV207" s="31">
        <f t="shared" si="100"/>
        <v>-0.1152</v>
      </c>
      <c r="FW207" s="31">
        <f t="shared" si="100"/>
        <v>-6.0900000000000003E-2</v>
      </c>
      <c r="FX207" s="31">
        <f t="shared" si="100"/>
        <v>0.12759999999999999</v>
      </c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</row>
    <row r="208" spans="1:205" ht="15.5" x14ac:dyDescent="0.35">
      <c r="A208" s="7"/>
      <c r="B208" s="7" t="s">
        <v>960</v>
      </c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81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65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</row>
    <row r="209" spans="1:193" ht="15.5" x14ac:dyDescent="0.35">
      <c r="A209" s="12" t="s">
        <v>961</v>
      </c>
      <c r="B209" s="7" t="s">
        <v>962</v>
      </c>
      <c r="C209" s="7">
        <f t="shared" ref="C209:FX209" ca="1" si="101">ROUND((C205)*(1+C206+C207),2)</f>
        <v>79892844.239999995</v>
      </c>
      <c r="D209" s="7">
        <f t="shared" ca="1" si="101"/>
        <v>446149224.80000001</v>
      </c>
      <c r="E209" s="7">
        <f t="shared" ca="1" si="101"/>
        <v>71070893.150000006</v>
      </c>
      <c r="F209" s="7">
        <f t="shared" ca="1" si="101"/>
        <v>278971081.16000003</v>
      </c>
      <c r="G209" s="7">
        <f t="shared" ca="1" si="101"/>
        <v>22158445.699999999</v>
      </c>
      <c r="H209" s="7">
        <f t="shared" ca="1" si="101"/>
        <v>13402209.5</v>
      </c>
      <c r="I209" s="7">
        <f t="shared" ca="1" si="101"/>
        <v>98385570.299999997</v>
      </c>
      <c r="J209" s="7">
        <f t="shared" ca="1" si="101"/>
        <v>24176449.859999999</v>
      </c>
      <c r="K209" s="7">
        <f t="shared" ca="1" si="101"/>
        <v>4180082.5</v>
      </c>
      <c r="L209" s="7">
        <f t="shared" ca="1" si="101"/>
        <v>26348010.949999999</v>
      </c>
      <c r="M209" s="7">
        <f t="shared" ca="1" si="101"/>
        <v>13026777.33</v>
      </c>
      <c r="N209" s="7">
        <f t="shared" ca="1" si="101"/>
        <v>591751802.49000001</v>
      </c>
      <c r="O209" s="7">
        <f t="shared" ca="1" si="101"/>
        <v>143830443.02000001</v>
      </c>
      <c r="P209" s="7">
        <f t="shared" ca="1" si="101"/>
        <v>5111517.33</v>
      </c>
      <c r="Q209" s="7">
        <f t="shared" ca="1" si="101"/>
        <v>499104989.01999998</v>
      </c>
      <c r="R209" s="7">
        <f t="shared" ca="1" si="101"/>
        <v>81014908.280000001</v>
      </c>
      <c r="S209" s="7">
        <f t="shared" ca="1" si="101"/>
        <v>19348798.510000002</v>
      </c>
      <c r="T209" s="7">
        <f t="shared" ca="1" si="101"/>
        <v>3321906.67</v>
      </c>
      <c r="U209" s="7">
        <f t="shared" ca="1" si="101"/>
        <v>1436808.71</v>
      </c>
      <c r="V209" s="7">
        <f t="shared" ca="1" si="101"/>
        <v>4263145.18</v>
      </c>
      <c r="W209" s="7">
        <f t="shared" ca="1" si="101"/>
        <v>1138970.21</v>
      </c>
      <c r="X209" s="7">
        <f t="shared" ca="1" si="101"/>
        <v>1247148.75</v>
      </c>
      <c r="Y209" s="7">
        <f t="shared" ca="1" si="101"/>
        <v>11143848.4</v>
      </c>
      <c r="Z209" s="7">
        <f t="shared" ca="1" si="101"/>
        <v>3909475.96</v>
      </c>
      <c r="AA209" s="7">
        <f t="shared" ca="1" si="101"/>
        <v>351337009.87</v>
      </c>
      <c r="AB209" s="7">
        <f t="shared" ca="1" si="101"/>
        <v>312259192.82999998</v>
      </c>
      <c r="AC209" s="7">
        <f t="shared" ca="1" si="101"/>
        <v>11230256.01</v>
      </c>
      <c r="AD209" s="7">
        <f t="shared" ca="1" si="101"/>
        <v>16617727.34</v>
      </c>
      <c r="AE209" s="7">
        <f t="shared" ca="1" si="101"/>
        <v>2217949.87</v>
      </c>
      <c r="AF209" s="7">
        <f t="shared" ca="1" si="101"/>
        <v>3406764.92</v>
      </c>
      <c r="AG209" s="7">
        <f t="shared" ca="1" si="101"/>
        <v>8004804.5800000001</v>
      </c>
      <c r="AH209" s="7">
        <f t="shared" ca="1" si="101"/>
        <v>11704502.949999999</v>
      </c>
      <c r="AI209" s="7">
        <f t="shared" ca="1" si="101"/>
        <v>5396951.2800000003</v>
      </c>
      <c r="AJ209" s="7">
        <f t="shared" ca="1" si="101"/>
        <v>3819386.31</v>
      </c>
      <c r="AK209" s="7">
        <f t="shared" ca="1" si="101"/>
        <v>3421452.84</v>
      </c>
      <c r="AL209" s="7">
        <f t="shared" ca="1" si="101"/>
        <v>4739993.63</v>
      </c>
      <c r="AM209" s="7">
        <f t="shared" ca="1" si="101"/>
        <v>5174447.97</v>
      </c>
      <c r="AN209" s="7">
        <f t="shared" ca="1" si="101"/>
        <v>4752383.3600000003</v>
      </c>
      <c r="AO209" s="7">
        <f t="shared" ca="1" si="101"/>
        <v>50912803.68</v>
      </c>
      <c r="AP209" s="7">
        <f t="shared" ca="1" si="101"/>
        <v>1017751648.26</v>
      </c>
      <c r="AQ209" s="7">
        <f t="shared" ca="1" si="101"/>
        <v>4587976.95</v>
      </c>
      <c r="AR209" s="7">
        <f t="shared" ca="1" si="101"/>
        <v>695012706.01999998</v>
      </c>
      <c r="AS209" s="7">
        <f t="shared" ca="1" si="101"/>
        <v>79204693.689999998</v>
      </c>
      <c r="AT209" s="7">
        <f t="shared" ca="1" si="101"/>
        <v>27425004.800000001</v>
      </c>
      <c r="AU209" s="7">
        <f t="shared" ca="1" si="101"/>
        <v>4496406.4400000004</v>
      </c>
      <c r="AV209" s="7">
        <f t="shared" ca="1" si="101"/>
        <v>5081527.08</v>
      </c>
      <c r="AW209" s="7">
        <f t="shared" ca="1" si="101"/>
        <v>4538303.8899999997</v>
      </c>
      <c r="AX209" s="7">
        <f t="shared" ca="1" si="101"/>
        <v>2112998.34</v>
      </c>
      <c r="AY209" s="7">
        <f t="shared" ca="1" si="101"/>
        <v>5948291.4900000002</v>
      </c>
      <c r="AZ209" s="7">
        <f t="shared" ca="1" si="101"/>
        <v>143592147.08000001</v>
      </c>
      <c r="BA209" s="7">
        <f t="shared" ca="1" si="101"/>
        <v>101048941.23999999</v>
      </c>
      <c r="BB209" s="7">
        <f t="shared" ca="1" si="101"/>
        <v>84270980.620000005</v>
      </c>
      <c r="BC209" s="7">
        <f t="shared" ca="1" si="101"/>
        <v>284254225.43000001</v>
      </c>
      <c r="BD209" s="7">
        <f t="shared" ca="1" si="101"/>
        <v>40151219.280000001</v>
      </c>
      <c r="BE209" s="7">
        <f t="shared" ca="1" si="101"/>
        <v>14287161.880000001</v>
      </c>
      <c r="BF209" s="7">
        <f t="shared" ca="1" si="101"/>
        <v>282106949.62</v>
      </c>
      <c r="BG209" s="7">
        <f t="shared" ca="1" si="101"/>
        <v>12106170.33</v>
      </c>
      <c r="BH209" s="7">
        <f t="shared" ca="1" si="101"/>
        <v>7749300.0300000003</v>
      </c>
      <c r="BI209" s="7">
        <f t="shared" ca="1" si="101"/>
        <v>4643913.2300000004</v>
      </c>
      <c r="BJ209" s="7">
        <f t="shared" ca="1" si="101"/>
        <v>69681782.909999996</v>
      </c>
      <c r="BK209" s="7">
        <f t="shared" ca="1" si="101"/>
        <v>390364211.14999998</v>
      </c>
      <c r="BL209" s="7">
        <f t="shared" ca="1" si="101"/>
        <v>1810659.96</v>
      </c>
      <c r="BM209" s="7">
        <f t="shared" ca="1" si="101"/>
        <v>5212266.43</v>
      </c>
      <c r="BN209" s="7">
        <f t="shared" ca="1" si="101"/>
        <v>35601199.270000003</v>
      </c>
      <c r="BO209" s="7">
        <f t="shared" ca="1" si="101"/>
        <v>14735305.76</v>
      </c>
      <c r="BP209" s="7">
        <f t="shared" ca="1" si="101"/>
        <v>3320121.35</v>
      </c>
      <c r="BQ209" s="7">
        <f t="shared" ca="1" si="101"/>
        <v>73344008.799999997</v>
      </c>
      <c r="BR209" s="7">
        <f t="shared" ca="1" si="101"/>
        <v>50925019.039999999</v>
      </c>
      <c r="BS209" s="7">
        <f t="shared" ca="1" si="101"/>
        <v>14984991.43</v>
      </c>
      <c r="BT209" s="7">
        <f t="shared" ca="1" si="101"/>
        <v>5691086.5800000001</v>
      </c>
      <c r="BU209" s="7">
        <f t="shared" ca="1" si="101"/>
        <v>5850450.25</v>
      </c>
      <c r="BV209" s="7">
        <f t="shared" ca="1" si="101"/>
        <v>14829848.699999999</v>
      </c>
      <c r="BW209" s="7">
        <f t="shared" ca="1" si="101"/>
        <v>23679761.039999999</v>
      </c>
      <c r="BX209" s="7">
        <f t="shared" ca="1" si="101"/>
        <v>1765109.81</v>
      </c>
      <c r="BY209" s="7">
        <f t="shared" ca="1" si="101"/>
        <v>5665481.8799999999</v>
      </c>
      <c r="BZ209" s="7">
        <f t="shared" ca="1" si="101"/>
        <v>4192494.85</v>
      </c>
      <c r="CA209" s="7">
        <f t="shared" ca="1" si="101"/>
        <v>3135898.29</v>
      </c>
      <c r="CB209" s="7">
        <f t="shared" ca="1" si="101"/>
        <v>831038363.82000005</v>
      </c>
      <c r="CC209" s="7">
        <f t="shared" ca="1" si="101"/>
        <v>3607781.46</v>
      </c>
      <c r="CD209" s="7">
        <f t="shared" ca="1" si="101"/>
        <v>902113.67</v>
      </c>
      <c r="CE209" s="7">
        <f t="shared" ca="1" si="101"/>
        <v>3231151.65</v>
      </c>
      <c r="CF209" s="7">
        <f t="shared" ca="1" si="101"/>
        <v>2342459.9900000002</v>
      </c>
      <c r="CG209" s="7">
        <f t="shared" ca="1" si="101"/>
        <v>3718378.13</v>
      </c>
      <c r="CH209" s="7">
        <f t="shared" ca="1" si="101"/>
        <v>2280500</v>
      </c>
      <c r="CI209" s="7">
        <f t="shared" ca="1" si="101"/>
        <v>8673463.9100000001</v>
      </c>
      <c r="CJ209" s="7">
        <f t="shared" ca="1" si="101"/>
        <v>11322944.41</v>
      </c>
      <c r="CK209" s="7">
        <f t="shared" ca="1" si="101"/>
        <v>57283210.729999997</v>
      </c>
      <c r="CL209" s="7">
        <f t="shared" ca="1" si="101"/>
        <v>15271591.550000001</v>
      </c>
      <c r="CM209" s="7">
        <f t="shared" ca="1" si="101"/>
        <v>9338955.1600000001</v>
      </c>
      <c r="CN209" s="7">
        <f t="shared" ca="1" si="101"/>
        <v>347862107.89999998</v>
      </c>
      <c r="CO209" s="7">
        <f t="shared" ca="1" si="101"/>
        <v>158889013.74000001</v>
      </c>
      <c r="CP209" s="7">
        <f t="shared" ca="1" si="101"/>
        <v>12160270.609999999</v>
      </c>
      <c r="CQ209" s="7">
        <f t="shared" ca="1" si="101"/>
        <v>10512140.109999999</v>
      </c>
      <c r="CR209" s="7">
        <f t="shared" ca="1" si="101"/>
        <v>3847380.87</v>
      </c>
      <c r="CS209" s="7">
        <f t="shared" ca="1" si="101"/>
        <v>4454653.43</v>
      </c>
      <c r="CT209" s="7">
        <f t="shared" ca="1" si="101"/>
        <v>2614394.41</v>
      </c>
      <c r="CU209" s="7">
        <f t="shared" ca="1" si="101"/>
        <v>5526791.8600000003</v>
      </c>
      <c r="CV209" s="7">
        <f t="shared" ca="1" si="101"/>
        <v>1174685.3400000001</v>
      </c>
      <c r="CW209" s="7">
        <f t="shared" ca="1" si="101"/>
        <v>3740394.99</v>
      </c>
      <c r="CX209" s="7">
        <f t="shared" ca="1" si="101"/>
        <v>6160390.4699999997</v>
      </c>
      <c r="CY209" s="7">
        <f t="shared" ca="1" si="101"/>
        <v>1268197.6499999999</v>
      </c>
      <c r="CZ209" s="7">
        <f t="shared" ca="1" si="101"/>
        <v>21124739.66</v>
      </c>
      <c r="DA209" s="7">
        <f t="shared" ca="1" si="101"/>
        <v>3768061.84</v>
      </c>
      <c r="DB209" s="7">
        <f t="shared" ca="1" si="101"/>
        <v>4879970.99</v>
      </c>
      <c r="DC209" s="7">
        <f t="shared" ca="1" si="101"/>
        <v>3731605.1</v>
      </c>
      <c r="DD209" s="7">
        <f t="shared" ca="1" si="101"/>
        <v>3735137.3</v>
      </c>
      <c r="DE209" s="7">
        <f t="shared" ca="1" si="101"/>
        <v>4529019.4800000004</v>
      </c>
      <c r="DF209" s="7">
        <f t="shared" ca="1" si="101"/>
        <v>230016429.22999999</v>
      </c>
      <c r="DG209" s="7">
        <f t="shared" ca="1" si="101"/>
        <v>2234535.13</v>
      </c>
      <c r="DH209" s="7">
        <f t="shared" ca="1" si="101"/>
        <v>20746897.59</v>
      </c>
      <c r="DI209" s="7">
        <f t="shared" ca="1" si="101"/>
        <v>27962122.109999999</v>
      </c>
      <c r="DJ209" s="7">
        <f t="shared" ca="1" si="101"/>
        <v>8139837.1200000001</v>
      </c>
      <c r="DK209" s="7">
        <f t="shared" ca="1" si="101"/>
        <v>6404481.04</v>
      </c>
      <c r="DL209" s="7">
        <f t="shared" ca="1" si="101"/>
        <v>67273741.510000005</v>
      </c>
      <c r="DM209" s="7">
        <f t="shared" ca="1" si="101"/>
        <v>4465517.29</v>
      </c>
      <c r="DN209" s="7">
        <f t="shared" ca="1" si="101"/>
        <v>16131691.48</v>
      </c>
      <c r="DO209" s="7">
        <f t="shared" ca="1" si="101"/>
        <v>39148585.710000001</v>
      </c>
      <c r="DP209" s="7">
        <f t="shared" ca="1" si="101"/>
        <v>3944329.92</v>
      </c>
      <c r="DQ209" s="7">
        <f t="shared" ca="1" si="101"/>
        <v>11206156.210000001</v>
      </c>
      <c r="DR209" s="7">
        <f t="shared" ca="1" si="101"/>
        <v>16298866.67</v>
      </c>
      <c r="DS209" s="7">
        <f t="shared" ca="1" si="101"/>
        <v>8168663.3300000001</v>
      </c>
      <c r="DT209" s="7">
        <f t="shared" ca="1" si="101"/>
        <v>3719142.57</v>
      </c>
      <c r="DU209" s="7">
        <f t="shared" ca="1" si="101"/>
        <v>5232054.13</v>
      </c>
      <c r="DV209" s="7">
        <f t="shared" ca="1" si="101"/>
        <v>3859097.36</v>
      </c>
      <c r="DW209" s="7">
        <f t="shared" ca="1" si="101"/>
        <v>4744760.09</v>
      </c>
      <c r="DX209" s="7">
        <f t="shared" ca="1" si="101"/>
        <v>3840661.72</v>
      </c>
      <c r="DY209" s="7">
        <f t="shared" ca="1" si="101"/>
        <v>5057136.2699999996</v>
      </c>
      <c r="DZ209" s="7">
        <f t="shared" ca="1" si="101"/>
        <v>9110888.5899999999</v>
      </c>
      <c r="EA209" s="7">
        <f t="shared" ca="1" si="101"/>
        <v>7254323.7199999997</v>
      </c>
      <c r="EB209" s="7">
        <f t="shared" ca="1" si="101"/>
        <v>7058255.5300000003</v>
      </c>
      <c r="EC209" s="7">
        <f t="shared" ca="1" si="101"/>
        <v>4262123.83</v>
      </c>
      <c r="ED209" s="7">
        <f t="shared" ca="1" si="101"/>
        <v>23670186.300000001</v>
      </c>
      <c r="EE209" s="7">
        <f t="shared" ca="1" si="101"/>
        <v>3697798.33</v>
      </c>
      <c r="EF209" s="7">
        <f t="shared" ca="1" si="101"/>
        <v>16437407.48</v>
      </c>
      <c r="EG209" s="7">
        <f t="shared" ca="1" si="101"/>
        <v>4201462.91</v>
      </c>
      <c r="EH209" s="7">
        <f t="shared" ca="1" si="101"/>
        <v>4139475.05</v>
      </c>
      <c r="EI209" s="7">
        <f t="shared" ca="1" si="101"/>
        <v>165036105.41</v>
      </c>
      <c r="EJ209" s="7">
        <f t="shared" ca="1" si="101"/>
        <v>112321724.81999999</v>
      </c>
      <c r="EK209" s="7">
        <f t="shared" ca="1" si="101"/>
        <v>8377510.4299999997</v>
      </c>
      <c r="EL209" s="7">
        <f t="shared" ca="1" si="101"/>
        <v>5920711.1200000001</v>
      </c>
      <c r="EM209" s="7">
        <f t="shared" ca="1" si="101"/>
        <v>5568998.7000000002</v>
      </c>
      <c r="EN209" s="7">
        <f t="shared" ca="1" si="101"/>
        <v>11739524.15</v>
      </c>
      <c r="EO209" s="7">
        <f t="shared" ca="1" si="101"/>
        <v>4697206.25</v>
      </c>
      <c r="EP209" s="7">
        <f t="shared" ca="1" si="101"/>
        <v>6266634.3499999996</v>
      </c>
      <c r="EQ209" s="7">
        <f t="shared" ca="1" si="101"/>
        <v>30779418.77</v>
      </c>
      <c r="ER209" s="7">
        <f t="shared" ca="1" si="101"/>
        <v>5098535.12</v>
      </c>
      <c r="ES209" s="7">
        <f t="shared" ca="1" si="101"/>
        <v>3233873.99</v>
      </c>
      <c r="ET209" s="7">
        <f t="shared" ca="1" si="101"/>
        <v>4323984.95</v>
      </c>
      <c r="EU209" s="7">
        <f t="shared" ca="1" si="101"/>
        <v>7937465.6299999999</v>
      </c>
      <c r="EV209" s="7">
        <f t="shared" ca="1" si="101"/>
        <v>1820825.07</v>
      </c>
      <c r="EW209" s="7">
        <f t="shared" ca="1" si="101"/>
        <v>13213331.52</v>
      </c>
      <c r="EX209" s="7">
        <f t="shared" ca="1" si="101"/>
        <v>3796255.38</v>
      </c>
      <c r="EY209" s="7">
        <f t="shared" ca="1" si="101"/>
        <v>7789479.54</v>
      </c>
      <c r="EZ209" s="7">
        <f t="shared" ca="1" si="101"/>
        <v>2832075.44</v>
      </c>
      <c r="FA209" s="7">
        <f t="shared" ca="1" si="101"/>
        <v>42371307.009999998</v>
      </c>
      <c r="FB209" s="7">
        <f t="shared" ca="1" si="101"/>
        <v>4725642.22</v>
      </c>
      <c r="FC209" s="7">
        <f t="shared" ca="1" si="101"/>
        <v>21034174.359999999</v>
      </c>
      <c r="FD209" s="7">
        <f t="shared" ca="1" si="101"/>
        <v>5756293.1100000003</v>
      </c>
      <c r="FE209" s="7">
        <f t="shared" ca="1" si="101"/>
        <v>1943548.82</v>
      </c>
      <c r="FF209" s="7">
        <f t="shared" ca="1" si="101"/>
        <v>3626088.86</v>
      </c>
      <c r="FG209" s="7">
        <f t="shared" ca="1" si="101"/>
        <v>2723830.37</v>
      </c>
      <c r="FH209" s="7">
        <f t="shared" ca="1" si="101"/>
        <v>1733713.75</v>
      </c>
      <c r="FI209" s="7">
        <f t="shared" ca="1" si="101"/>
        <v>20113339.559999999</v>
      </c>
      <c r="FJ209" s="7">
        <f t="shared" ca="1" si="101"/>
        <v>22788809.449999999</v>
      </c>
      <c r="FK209" s="7">
        <f t="shared" ca="1" si="101"/>
        <v>29364064.73</v>
      </c>
      <c r="FL209" s="7">
        <f t="shared" ca="1" si="101"/>
        <v>94205094.510000005</v>
      </c>
      <c r="FM209" s="7">
        <f t="shared" ca="1" si="101"/>
        <v>44650077.299999997</v>
      </c>
      <c r="FN209" s="7">
        <f t="shared" ca="1" si="101"/>
        <v>265890615.19</v>
      </c>
      <c r="FO209" s="7">
        <f t="shared" ca="1" si="101"/>
        <v>13577166.73</v>
      </c>
      <c r="FP209" s="7">
        <f t="shared" ca="1" si="101"/>
        <v>27744967.73</v>
      </c>
      <c r="FQ209" s="7">
        <f t="shared" ca="1" si="101"/>
        <v>12182410.699999999</v>
      </c>
      <c r="FR209" s="7">
        <f t="shared" ca="1" si="101"/>
        <v>3435866.08</v>
      </c>
      <c r="FS209" s="7">
        <f t="shared" ca="1" si="101"/>
        <v>3314210.28</v>
      </c>
      <c r="FT209" s="7" t="e">
        <f t="shared" ca="1" si="101"/>
        <v>#NAME?</v>
      </c>
      <c r="FU209" s="7">
        <f t="shared" ca="1" si="101"/>
        <v>10744488.050000001</v>
      </c>
      <c r="FV209" s="7">
        <f t="shared" ca="1" si="101"/>
        <v>8988907.5199999996</v>
      </c>
      <c r="FW209" s="7">
        <f t="shared" ca="1" si="101"/>
        <v>3182002.66</v>
      </c>
      <c r="FX209" s="7">
        <f t="shared" ca="1" si="101"/>
        <v>1733886.38</v>
      </c>
      <c r="FY209" s="31"/>
      <c r="FZ209" s="7" t="e">
        <f ca="1">SUM(C209:FX209)</f>
        <v>#NAME?</v>
      </c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</row>
    <row r="210" spans="1:193" ht="15.5" x14ac:dyDescent="0.35">
      <c r="A210" s="7"/>
      <c r="B210" s="7" t="s">
        <v>963</v>
      </c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65"/>
      <c r="GC210" s="65"/>
      <c r="GD210" s="65"/>
      <c r="GE210" s="7"/>
      <c r="GF210" s="7"/>
      <c r="GG210" s="7"/>
      <c r="GH210" s="7"/>
      <c r="GI210" s="7"/>
      <c r="GJ210" s="7"/>
      <c r="GK210" s="7"/>
    </row>
    <row r="211" spans="1:193" ht="15.5" x14ac:dyDescent="0.3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</row>
    <row r="212" spans="1:193" ht="15.5" x14ac:dyDescent="0.35">
      <c r="A212" s="7"/>
      <c r="B212" s="5" t="s">
        <v>964</v>
      </c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</row>
    <row r="213" spans="1:193" ht="15.5" x14ac:dyDescent="0.35">
      <c r="A213" s="12" t="s">
        <v>965</v>
      </c>
      <c r="B213" s="7" t="s">
        <v>966</v>
      </c>
      <c r="C213" s="7">
        <f t="shared" ref="C213:FX213" si="102">ROUND(C40,2)</f>
        <v>11028.65</v>
      </c>
      <c r="D213" s="7">
        <f t="shared" si="102"/>
        <v>11028.65</v>
      </c>
      <c r="E213" s="7">
        <f t="shared" si="102"/>
        <v>11028.65</v>
      </c>
      <c r="F213" s="7">
        <f t="shared" si="102"/>
        <v>11028.65</v>
      </c>
      <c r="G213" s="7">
        <f t="shared" si="102"/>
        <v>11028.65</v>
      </c>
      <c r="H213" s="7">
        <f t="shared" si="102"/>
        <v>11028.65</v>
      </c>
      <c r="I213" s="7">
        <f t="shared" si="102"/>
        <v>11028.65</v>
      </c>
      <c r="J213" s="7">
        <f t="shared" si="102"/>
        <v>11028.65</v>
      </c>
      <c r="K213" s="7">
        <f t="shared" si="102"/>
        <v>11028.65</v>
      </c>
      <c r="L213" s="7">
        <f t="shared" si="102"/>
        <v>11028.65</v>
      </c>
      <c r="M213" s="7">
        <f t="shared" si="102"/>
        <v>11028.65</v>
      </c>
      <c r="N213" s="7">
        <f t="shared" si="102"/>
        <v>11028.65</v>
      </c>
      <c r="O213" s="7">
        <f t="shared" si="102"/>
        <v>11028.65</v>
      </c>
      <c r="P213" s="7">
        <f t="shared" si="102"/>
        <v>11028.65</v>
      </c>
      <c r="Q213" s="7">
        <f t="shared" si="102"/>
        <v>11028.65</v>
      </c>
      <c r="R213" s="7">
        <f t="shared" si="102"/>
        <v>11028.65</v>
      </c>
      <c r="S213" s="7">
        <f t="shared" si="102"/>
        <v>11028.65</v>
      </c>
      <c r="T213" s="7">
        <f t="shared" si="102"/>
        <v>11028.65</v>
      </c>
      <c r="U213" s="7">
        <f t="shared" si="102"/>
        <v>11028.65</v>
      </c>
      <c r="V213" s="7">
        <f t="shared" si="102"/>
        <v>11028.65</v>
      </c>
      <c r="W213" s="7">
        <f t="shared" si="102"/>
        <v>11028.65</v>
      </c>
      <c r="X213" s="7">
        <f t="shared" si="102"/>
        <v>11028.65</v>
      </c>
      <c r="Y213" s="7">
        <f t="shared" si="102"/>
        <v>11028.65</v>
      </c>
      <c r="Z213" s="7">
        <f t="shared" si="102"/>
        <v>11028.65</v>
      </c>
      <c r="AA213" s="7">
        <f t="shared" si="102"/>
        <v>11028.65</v>
      </c>
      <c r="AB213" s="7">
        <f t="shared" si="102"/>
        <v>11028.65</v>
      </c>
      <c r="AC213" s="7">
        <f t="shared" si="102"/>
        <v>11028.65</v>
      </c>
      <c r="AD213" s="7">
        <f t="shared" si="102"/>
        <v>11028.65</v>
      </c>
      <c r="AE213" s="7">
        <f t="shared" si="102"/>
        <v>11028.65</v>
      </c>
      <c r="AF213" s="7">
        <f t="shared" si="102"/>
        <v>11028.65</v>
      </c>
      <c r="AG213" s="7">
        <f t="shared" si="102"/>
        <v>11028.65</v>
      </c>
      <c r="AH213" s="7">
        <f t="shared" si="102"/>
        <v>11028.65</v>
      </c>
      <c r="AI213" s="7">
        <f t="shared" si="102"/>
        <v>11028.65</v>
      </c>
      <c r="AJ213" s="7">
        <f t="shared" si="102"/>
        <v>11028.65</v>
      </c>
      <c r="AK213" s="7">
        <f t="shared" si="102"/>
        <v>11028.65</v>
      </c>
      <c r="AL213" s="7">
        <f t="shared" si="102"/>
        <v>11028.65</v>
      </c>
      <c r="AM213" s="7">
        <f t="shared" si="102"/>
        <v>11028.65</v>
      </c>
      <c r="AN213" s="7">
        <f t="shared" si="102"/>
        <v>11028.65</v>
      </c>
      <c r="AO213" s="7">
        <f t="shared" si="102"/>
        <v>11028.65</v>
      </c>
      <c r="AP213" s="7">
        <f t="shared" si="102"/>
        <v>11028.65</v>
      </c>
      <c r="AQ213" s="7">
        <f t="shared" si="102"/>
        <v>11028.65</v>
      </c>
      <c r="AR213" s="7">
        <f t="shared" si="102"/>
        <v>11028.65</v>
      </c>
      <c r="AS213" s="7">
        <f t="shared" si="102"/>
        <v>11028.65</v>
      </c>
      <c r="AT213" s="7">
        <f t="shared" si="102"/>
        <v>11028.65</v>
      </c>
      <c r="AU213" s="7">
        <f t="shared" si="102"/>
        <v>11028.65</v>
      </c>
      <c r="AV213" s="7">
        <f t="shared" si="102"/>
        <v>11028.65</v>
      </c>
      <c r="AW213" s="7">
        <f t="shared" si="102"/>
        <v>11028.65</v>
      </c>
      <c r="AX213" s="7">
        <f t="shared" si="102"/>
        <v>11028.65</v>
      </c>
      <c r="AY213" s="7">
        <f t="shared" si="102"/>
        <v>11028.65</v>
      </c>
      <c r="AZ213" s="7">
        <f t="shared" si="102"/>
        <v>11028.65</v>
      </c>
      <c r="BA213" s="7">
        <f t="shared" si="102"/>
        <v>11028.65</v>
      </c>
      <c r="BB213" s="7">
        <f t="shared" si="102"/>
        <v>11028.65</v>
      </c>
      <c r="BC213" s="7">
        <f t="shared" si="102"/>
        <v>11028.65</v>
      </c>
      <c r="BD213" s="7">
        <f t="shared" si="102"/>
        <v>11028.65</v>
      </c>
      <c r="BE213" s="7">
        <f t="shared" si="102"/>
        <v>11028.65</v>
      </c>
      <c r="BF213" s="7">
        <f t="shared" si="102"/>
        <v>11028.65</v>
      </c>
      <c r="BG213" s="7">
        <f t="shared" si="102"/>
        <v>11028.65</v>
      </c>
      <c r="BH213" s="7">
        <f t="shared" si="102"/>
        <v>11028.65</v>
      </c>
      <c r="BI213" s="7">
        <f t="shared" si="102"/>
        <v>11028.65</v>
      </c>
      <c r="BJ213" s="7">
        <f t="shared" si="102"/>
        <v>11028.65</v>
      </c>
      <c r="BK213" s="7">
        <f t="shared" si="102"/>
        <v>11028.65</v>
      </c>
      <c r="BL213" s="7">
        <f t="shared" si="102"/>
        <v>11028.65</v>
      </c>
      <c r="BM213" s="7">
        <f t="shared" si="102"/>
        <v>11028.65</v>
      </c>
      <c r="BN213" s="7">
        <f t="shared" si="102"/>
        <v>11028.65</v>
      </c>
      <c r="BO213" s="7">
        <f t="shared" si="102"/>
        <v>11028.65</v>
      </c>
      <c r="BP213" s="7">
        <f t="shared" si="102"/>
        <v>11028.65</v>
      </c>
      <c r="BQ213" s="7">
        <f t="shared" si="102"/>
        <v>11028.65</v>
      </c>
      <c r="BR213" s="7">
        <f t="shared" si="102"/>
        <v>11028.65</v>
      </c>
      <c r="BS213" s="7">
        <f t="shared" si="102"/>
        <v>11028.65</v>
      </c>
      <c r="BT213" s="7">
        <f t="shared" si="102"/>
        <v>11028.65</v>
      </c>
      <c r="BU213" s="7">
        <f t="shared" si="102"/>
        <v>11028.65</v>
      </c>
      <c r="BV213" s="7">
        <f t="shared" si="102"/>
        <v>11028.65</v>
      </c>
      <c r="BW213" s="7">
        <f t="shared" si="102"/>
        <v>11028.65</v>
      </c>
      <c r="BX213" s="7">
        <f t="shared" si="102"/>
        <v>11028.65</v>
      </c>
      <c r="BY213" s="7">
        <f t="shared" si="102"/>
        <v>11028.65</v>
      </c>
      <c r="BZ213" s="7">
        <f t="shared" si="102"/>
        <v>11028.65</v>
      </c>
      <c r="CA213" s="7">
        <f t="shared" si="102"/>
        <v>11028.65</v>
      </c>
      <c r="CB213" s="7">
        <f t="shared" si="102"/>
        <v>11028.65</v>
      </c>
      <c r="CC213" s="7">
        <f t="shared" si="102"/>
        <v>11028.65</v>
      </c>
      <c r="CD213" s="7">
        <f t="shared" si="102"/>
        <v>11028.65</v>
      </c>
      <c r="CE213" s="7">
        <f t="shared" si="102"/>
        <v>11028.65</v>
      </c>
      <c r="CF213" s="7">
        <f t="shared" si="102"/>
        <v>11028.65</v>
      </c>
      <c r="CG213" s="7">
        <f t="shared" si="102"/>
        <v>11028.65</v>
      </c>
      <c r="CH213" s="7">
        <f t="shared" si="102"/>
        <v>11028.65</v>
      </c>
      <c r="CI213" s="7">
        <f t="shared" si="102"/>
        <v>11028.65</v>
      </c>
      <c r="CJ213" s="7">
        <f t="shared" si="102"/>
        <v>11028.65</v>
      </c>
      <c r="CK213" s="7">
        <f t="shared" si="102"/>
        <v>11028.65</v>
      </c>
      <c r="CL213" s="7">
        <f t="shared" si="102"/>
        <v>11028.65</v>
      </c>
      <c r="CM213" s="7">
        <f t="shared" si="102"/>
        <v>11028.65</v>
      </c>
      <c r="CN213" s="7">
        <f t="shared" si="102"/>
        <v>11028.65</v>
      </c>
      <c r="CO213" s="7">
        <f t="shared" si="102"/>
        <v>11028.65</v>
      </c>
      <c r="CP213" s="7">
        <f t="shared" si="102"/>
        <v>11028.65</v>
      </c>
      <c r="CQ213" s="7">
        <f t="shared" si="102"/>
        <v>11028.65</v>
      </c>
      <c r="CR213" s="7">
        <f t="shared" si="102"/>
        <v>11028.65</v>
      </c>
      <c r="CS213" s="7">
        <f t="shared" si="102"/>
        <v>11028.65</v>
      </c>
      <c r="CT213" s="7">
        <f t="shared" si="102"/>
        <v>11028.65</v>
      </c>
      <c r="CU213" s="7">
        <f t="shared" si="102"/>
        <v>11028.65</v>
      </c>
      <c r="CV213" s="7">
        <f t="shared" si="102"/>
        <v>11028.65</v>
      </c>
      <c r="CW213" s="7">
        <f t="shared" si="102"/>
        <v>11028.65</v>
      </c>
      <c r="CX213" s="7">
        <f t="shared" si="102"/>
        <v>11028.65</v>
      </c>
      <c r="CY213" s="7">
        <f t="shared" si="102"/>
        <v>11028.65</v>
      </c>
      <c r="CZ213" s="7">
        <f t="shared" si="102"/>
        <v>11028.65</v>
      </c>
      <c r="DA213" s="7">
        <f t="shared" si="102"/>
        <v>11028.65</v>
      </c>
      <c r="DB213" s="7">
        <f t="shared" si="102"/>
        <v>11028.65</v>
      </c>
      <c r="DC213" s="7">
        <f t="shared" si="102"/>
        <v>11028.65</v>
      </c>
      <c r="DD213" s="7">
        <f t="shared" si="102"/>
        <v>11028.65</v>
      </c>
      <c r="DE213" s="7">
        <f t="shared" si="102"/>
        <v>11028.65</v>
      </c>
      <c r="DF213" s="7">
        <f t="shared" si="102"/>
        <v>11028.65</v>
      </c>
      <c r="DG213" s="7">
        <f t="shared" si="102"/>
        <v>11028.65</v>
      </c>
      <c r="DH213" s="7">
        <f t="shared" si="102"/>
        <v>11028.65</v>
      </c>
      <c r="DI213" s="7">
        <f t="shared" si="102"/>
        <v>11028.65</v>
      </c>
      <c r="DJ213" s="7">
        <f t="shared" si="102"/>
        <v>11028.65</v>
      </c>
      <c r="DK213" s="7">
        <f t="shared" si="102"/>
        <v>11028.65</v>
      </c>
      <c r="DL213" s="7">
        <f t="shared" si="102"/>
        <v>11028.65</v>
      </c>
      <c r="DM213" s="7">
        <f t="shared" si="102"/>
        <v>11028.65</v>
      </c>
      <c r="DN213" s="7">
        <f t="shared" si="102"/>
        <v>11028.65</v>
      </c>
      <c r="DO213" s="7">
        <f t="shared" si="102"/>
        <v>11028.65</v>
      </c>
      <c r="DP213" s="7">
        <f t="shared" si="102"/>
        <v>11028.65</v>
      </c>
      <c r="DQ213" s="7">
        <f t="shared" si="102"/>
        <v>11028.65</v>
      </c>
      <c r="DR213" s="7">
        <f t="shared" si="102"/>
        <v>11028.65</v>
      </c>
      <c r="DS213" s="7">
        <f t="shared" si="102"/>
        <v>11028.65</v>
      </c>
      <c r="DT213" s="7">
        <f t="shared" si="102"/>
        <v>11028.65</v>
      </c>
      <c r="DU213" s="7">
        <f t="shared" si="102"/>
        <v>11028.65</v>
      </c>
      <c r="DV213" s="7">
        <f t="shared" si="102"/>
        <v>11028.65</v>
      </c>
      <c r="DW213" s="7">
        <f t="shared" si="102"/>
        <v>11028.65</v>
      </c>
      <c r="DX213" s="7">
        <f t="shared" si="102"/>
        <v>11028.65</v>
      </c>
      <c r="DY213" s="7">
        <f t="shared" si="102"/>
        <v>11028.65</v>
      </c>
      <c r="DZ213" s="7">
        <f t="shared" si="102"/>
        <v>11028.65</v>
      </c>
      <c r="EA213" s="7">
        <f t="shared" si="102"/>
        <v>11028.65</v>
      </c>
      <c r="EB213" s="7">
        <f t="shared" si="102"/>
        <v>11028.65</v>
      </c>
      <c r="EC213" s="7">
        <f t="shared" si="102"/>
        <v>11028.65</v>
      </c>
      <c r="ED213" s="7">
        <f t="shared" si="102"/>
        <v>11028.65</v>
      </c>
      <c r="EE213" s="7">
        <f t="shared" si="102"/>
        <v>11028.65</v>
      </c>
      <c r="EF213" s="7">
        <f t="shared" si="102"/>
        <v>11028.65</v>
      </c>
      <c r="EG213" s="7">
        <f t="shared" si="102"/>
        <v>11028.65</v>
      </c>
      <c r="EH213" s="7">
        <f t="shared" si="102"/>
        <v>11028.65</v>
      </c>
      <c r="EI213" s="7">
        <f t="shared" si="102"/>
        <v>11028.65</v>
      </c>
      <c r="EJ213" s="7">
        <f t="shared" si="102"/>
        <v>11028.65</v>
      </c>
      <c r="EK213" s="7">
        <f t="shared" si="102"/>
        <v>11028.65</v>
      </c>
      <c r="EL213" s="7">
        <f t="shared" si="102"/>
        <v>11028.65</v>
      </c>
      <c r="EM213" s="7">
        <f t="shared" si="102"/>
        <v>11028.65</v>
      </c>
      <c r="EN213" s="7">
        <f t="shared" si="102"/>
        <v>11028.65</v>
      </c>
      <c r="EO213" s="7">
        <f t="shared" si="102"/>
        <v>11028.65</v>
      </c>
      <c r="EP213" s="7">
        <f t="shared" si="102"/>
        <v>11028.65</v>
      </c>
      <c r="EQ213" s="7">
        <f t="shared" si="102"/>
        <v>11028.65</v>
      </c>
      <c r="ER213" s="7">
        <f t="shared" si="102"/>
        <v>11028.65</v>
      </c>
      <c r="ES213" s="7">
        <f t="shared" si="102"/>
        <v>11028.65</v>
      </c>
      <c r="ET213" s="7">
        <f t="shared" si="102"/>
        <v>11028.65</v>
      </c>
      <c r="EU213" s="7">
        <f t="shared" si="102"/>
        <v>11028.65</v>
      </c>
      <c r="EV213" s="7">
        <f t="shared" si="102"/>
        <v>11028.65</v>
      </c>
      <c r="EW213" s="7">
        <f t="shared" si="102"/>
        <v>11028.65</v>
      </c>
      <c r="EX213" s="7">
        <f t="shared" si="102"/>
        <v>11028.65</v>
      </c>
      <c r="EY213" s="7">
        <f t="shared" si="102"/>
        <v>11028.65</v>
      </c>
      <c r="EZ213" s="7">
        <f t="shared" si="102"/>
        <v>11028.65</v>
      </c>
      <c r="FA213" s="7">
        <f t="shared" si="102"/>
        <v>11028.65</v>
      </c>
      <c r="FB213" s="7">
        <f t="shared" si="102"/>
        <v>11028.65</v>
      </c>
      <c r="FC213" s="7">
        <f t="shared" si="102"/>
        <v>11028.65</v>
      </c>
      <c r="FD213" s="7">
        <f t="shared" si="102"/>
        <v>11028.65</v>
      </c>
      <c r="FE213" s="7">
        <f t="shared" si="102"/>
        <v>11028.65</v>
      </c>
      <c r="FF213" s="7">
        <f t="shared" si="102"/>
        <v>11028.65</v>
      </c>
      <c r="FG213" s="7">
        <f t="shared" si="102"/>
        <v>11028.65</v>
      </c>
      <c r="FH213" s="7">
        <f t="shared" si="102"/>
        <v>11028.65</v>
      </c>
      <c r="FI213" s="7">
        <f t="shared" si="102"/>
        <v>11028.65</v>
      </c>
      <c r="FJ213" s="7">
        <f t="shared" si="102"/>
        <v>11028.65</v>
      </c>
      <c r="FK213" s="7">
        <f t="shared" si="102"/>
        <v>11028.65</v>
      </c>
      <c r="FL213" s="7">
        <f t="shared" si="102"/>
        <v>11028.65</v>
      </c>
      <c r="FM213" s="7">
        <f t="shared" si="102"/>
        <v>11028.65</v>
      </c>
      <c r="FN213" s="7">
        <f t="shared" si="102"/>
        <v>11028.65</v>
      </c>
      <c r="FO213" s="7">
        <f t="shared" si="102"/>
        <v>11028.65</v>
      </c>
      <c r="FP213" s="7">
        <f t="shared" si="102"/>
        <v>11028.65</v>
      </c>
      <c r="FQ213" s="7">
        <f t="shared" si="102"/>
        <v>11028.65</v>
      </c>
      <c r="FR213" s="7">
        <f t="shared" si="102"/>
        <v>11028.65</v>
      </c>
      <c r="FS213" s="7">
        <f t="shared" si="102"/>
        <v>11028.65</v>
      </c>
      <c r="FT213" s="7">
        <f t="shared" si="102"/>
        <v>11028.65</v>
      </c>
      <c r="FU213" s="7">
        <f t="shared" si="102"/>
        <v>11028.65</v>
      </c>
      <c r="FV213" s="7">
        <f t="shared" si="102"/>
        <v>11028.65</v>
      </c>
      <c r="FW213" s="7">
        <f t="shared" si="102"/>
        <v>11028.65</v>
      </c>
      <c r="FX213" s="7">
        <f t="shared" si="102"/>
        <v>11028.65</v>
      </c>
      <c r="FY213" s="7"/>
      <c r="FZ213" s="7">
        <f t="shared" ref="FZ213:FZ219" si="103">SUM(C213:FX213)</f>
        <v>1963099.6999999939</v>
      </c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</row>
    <row r="214" spans="1:193" ht="15.5" x14ac:dyDescent="0.35">
      <c r="A214" s="12" t="s">
        <v>967</v>
      </c>
      <c r="B214" s="7" t="s">
        <v>968</v>
      </c>
      <c r="C214" s="23">
        <f t="shared" ref="C214:FX214" si="104">ROUND(C96,1)</f>
        <v>6384.5</v>
      </c>
      <c r="D214" s="23">
        <f t="shared" si="104"/>
        <v>38102.400000000001</v>
      </c>
      <c r="E214" s="23">
        <f t="shared" si="104"/>
        <v>5738</v>
      </c>
      <c r="F214" s="23">
        <f t="shared" si="104"/>
        <v>22398.6</v>
      </c>
      <c r="G214" s="23">
        <f t="shared" si="104"/>
        <v>1844</v>
      </c>
      <c r="H214" s="23">
        <f t="shared" si="104"/>
        <v>1095.7</v>
      </c>
      <c r="I214" s="23">
        <f t="shared" si="104"/>
        <v>8056</v>
      </c>
      <c r="J214" s="23">
        <f t="shared" si="104"/>
        <v>2066.8000000000002</v>
      </c>
      <c r="K214" s="23">
        <f t="shared" si="104"/>
        <v>251.7</v>
      </c>
      <c r="L214" s="23">
        <f t="shared" si="104"/>
        <v>2133.1</v>
      </c>
      <c r="M214" s="23">
        <f t="shared" si="104"/>
        <v>936.7</v>
      </c>
      <c r="N214" s="23">
        <f t="shared" si="104"/>
        <v>50452.1</v>
      </c>
      <c r="O214" s="23">
        <f t="shared" si="104"/>
        <v>12808.4</v>
      </c>
      <c r="P214" s="23">
        <f t="shared" si="104"/>
        <v>315.3</v>
      </c>
      <c r="Q214" s="23">
        <f t="shared" si="104"/>
        <v>39320.800000000003</v>
      </c>
      <c r="R214" s="23">
        <f t="shared" si="104"/>
        <v>481.8</v>
      </c>
      <c r="S214" s="23">
        <f t="shared" si="104"/>
        <v>1591.4</v>
      </c>
      <c r="T214" s="23">
        <f t="shared" si="104"/>
        <v>161.1</v>
      </c>
      <c r="U214" s="23">
        <f t="shared" si="104"/>
        <v>55.5</v>
      </c>
      <c r="V214" s="23">
        <f t="shared" si="104"/>
        <v>256.39999999999998</v>
      </c>
      <c r="W214" s="23">
        <f t="shared" si="104"/>
        <v>58.7</v>
      </c>
      <c r="X214" s="23">
        <f t="shared" si="104"/>
        <v>50</v>
      </c>
      <c r="Y214" s="23">
        <f t="shared" si="104"/>
        <v>423.8</v>
      </c>
      <c r="Z214" s="23">
        <f t="shared" si="104"/>
        <v>231.1</v>
      </c>
      <c r="AA214" s="23">
        <f t="shared" si="104"/>
        <v>30551.4</v>
      </c>
      <c r="AB214" s="23">
        <f t="shared" si="104"/>
        <v>26947.7</v>
      </c>
      <c r="AC214" s="23">
        <f t="shared" si="104"/>
        <v>906.3</v>
      </c>
      <c r="AD214" s="23">
        <f t="shared" si="104"/>
        <v>1435.1</v>
      </c>
      <c r="AE214" s="23">
        <f t="shared" si="104"/>
        <v>97</v>
      </c>
      <c r="AF214" s="23">
        <f t="shared" si="104"/>
        <v>167.5</v>
      </c>
      <c r="AG214" s="23">
        <f t="shared" si="104"/>
        <v>601.1</v>
      </c>
      <c r="AH214" s="23">
        <f t="shared" si="104"/>
        <v>957.7</v>
      </c>
      <c r="AI214" s="23">
        <f t="shared" si="104"/>
        <v>383</v>
      </c>
      <c r="AJ214" s="23">
        <f t="shared" si="104"/>
        <v>181.5</v>
      </c>
      <c r="AK214" s="23">
        <f t="shared" si="104"/>
        <v>165.7</v>
      </c>
      <c r="AL214" s="23">
        <f t="shared" si="104"/>
        <v>288.5</v>
      </c>
      <c r="AM214" s="23">
        <f t="shared" si="104"/>
        <v>352.6</v>
      </c>
      <c r="AN214" s="23">
        <f t="shared" si="104"/>
        <v>299.5</v>
      </c>
      <c r="AO214" s="23">
        <f t="shared" si="104"/>
        <v>4036</v>
      </c>
      <c r="AP214" s="23">
        <f t="shared" si="104"/>
        <v>83959.6</v>
      </c>
      <c r="AQ214" s="23">
        <f t="shared" si="104"/>
        <v>251</v>
      </c>
      <c r="AR214" s="23">
        <f t="shared" si="104"/>
        <v>60695.1</v>
      </c>
      <c r="AS214" s="23">
        <f t="shared" si="104"/>
        <v>6483</v>
      </c>
      <c r="AT214" s="23">
        <f t="shared" si="104"/>
        <v>2360.1999999999998</v>
      </c>
      <c r="AU214" s="23">
        <f t="shared" si="104"/>
        <v>271</v>
      </c>
      <c r="AV214" s="23">
        <f t="shared" si="104"/>
        <v>305.39999999999998</v>
      </c>
      <c r="AW214" s="23">
        <f t="shared" si="104"/>
        <v>255</v>
      </c>
      <c r="AX214" s="23">
        <f t="shared" si="104"/>
        <v>81</v>
      </c>
      <c r="AY214" s="23">
        <f t="shared" si="104"/>
        <v>406.8</v>
      </c>
      <c r="AZ214" s="23">
        <f t="shared" si="104"/>
        <v>12123.4</v>
      </c>
      <c r="BA214" s="23">
        <f t="shared" si="104"/>
        <v>8895.7999999999993</v>
      </c>
      <c r="BB214" s="23">
        <f t="shared" si="104"/>
        <v>7554.3</v>
      </c>
      <c r="BC214" s="23">
        <f t="shared" si="104"/>
        <v>24177.4</v>
      </c>
      <c r="BD214" s="23">
        <f t="shared" si="104"/>
        <v>3633.5</v>
      </c>
      <c r="BE214" s="23">
        <f t="shared" si="104"/>
        <v>1198.7</v>
      </c>
      <c r="BF214" s="23">
        <f t="shared" si="104"/>
        <v>24386.3</v>
      </c>
      <c r="BG214" s="23">
        <f t="shared" si="104"/>
        <v>920.6</v>
      </c>
      <c r="BH214" s="23">
        <f t="shared" si="104"/>
        <v>543.5</v>
      </c>
      <c r="BI214" s="23">
        <f t="shared" si="104"/>
        <v>257.39999999999998</v>
      </c>
      <c r="BJ214" s="23">
        <f t="shared" si="104"/>
        <v>6297.4</v>
      </c>
      <c r="BK214" s="23">
        <f t="shared" si="104"/>
        <v>21864.7</v>
      </c>
      <c r="BL214" s="23">
        <f t="shared" si="104"/>
        <v>74.3</v>
      </c>
      <c r="BM214" s="23">
        <f t="shared" si="104"/>
        <v>340.8</v>
      </c>
      <c r="BN214" s="23">
        <f t="shared" si="104"/>
        <v>3100.1</v>
      </c>
      <c r="BO214" s="23">
        <f t="shared" si="104"/>
        <v>1254.3</v>
      </c>
      <c r="BP214" s="23">
        <f t="shared" si="104"/>
        <v>160.4</v>
      </c>
      <c r="BQ214" s="23">
        <f t="shared" si="104"/>
        <v>5884.7</v>
      </c>
      <c r="BR214" s="23">
        <f t="shared" si="104"/>
        <v>4488.3999999999996</v>
      </c>
      <c r="BS214" s="23">
        <f t="shared" si="104"/>
        <v>1158.0999999999999</v>
      </c>
      <c r="BT214" s="23">
        <f t="shared" si="104"/>
        <v>372.5</v>
      </c>
      <c r="BU214" s="23">
        <f t="shared" si="104"/>
        <v>393.7</v>
      </c>
      <c r="BV214" s="23">
        <f t="shared" si="104"/>
        <v>1245.3</v>
      </c>
      <c r="BW214" s="23">
        <f t="shared" si="104"/>
        <v>2017.5</v>
      </c>
      <c r="BX214" s="23">
        <f t="shared" si="104"/>
        <v>66.5</v>
      </c>
      <c r="BY214" s="23">
        <f t="shared" si="104"/>
        <v>430.7</v>
      </c>
      <c r="BZ214" s="23">
        <f t="shared" si="104"/>
        <v>228</v>
      </c>
      <c r="CA214" s="23">
        <f t="shared" si="104"/>
        <v>146.19999999999999</v>
      </c>
      <c r="CB214" s="23">
        <f t="shared" si="104"/>
        <v>72575.399999999994</v>
      </c>
      <c r="CC214" s="23">
        <f t="shared" si="104"/>
        <v>189.3</v>
      </c>
      <c r="CD214" s="23">
        <f t="shared" si="104"/>
        <v>50</v>
      </c>
      <c r="CE214" s="23">
        <f t="shared" si="104"/>
        <v>158.30000000000001</v>
      </c>
      <c r="CF214" s="23">
        <f t="shared" si="104"/>
        <v>112.5</v>
      </c>
      <c r="CG214" s="23">
        <f t="shared" si="104"/>
        <v>199.9</v>
      </c>
      <c r="CH214" s="23">
        <f t="shared" si="104"/>
        <v>96.5</v>
      </c>
      <c r="CI214" s="23">
        <f t="shared" si="104"/>
        <v>687.9</v>
      </c>
      <c r="CJ214" s="23">
        <f t="shared" si="104"/>
        <v>872.3</v>
      </c>
      <c r="CK214" s="23">
        <f t="shared" si="104"/>
        <v>4888</v>
      </c>
      <c r="CL214" s="23">
        <f t="shared" si="104"/>
        <v>1228.4000000000001</v>
      </c>
      <c r="CM214" s="23">
        <f t="shared" si="104"/>
        <v>685.4</v>
      </c>
      <c r="CN214" s="23">
        <f t="shared" si="104"/>
        <v>30616.799999999999</v>
      </c>
      <c r="CO214" s="23">
        <f t="shared" si="104"/>
        <v>14324.2</v>
      </c>
      <c r="CP214" s="23">
        <f t="shared" si="104"/>
        <v>929.4</v>
      </c>
      <c r="CQ214" s="23">
        <f t="shared" si="104"/>
        <v>770.1</v>
      </c>
      <c r="CR214" s="23">
        <f t="shared" si="104"/>
        <v>215.8</v>
      </c>
      <c r="CS214" s="23">
        <f t="shared" si="104"/>
        <v>285.5</v>
      </c>
      <c r="CT214" s="23">
        <f t="shared" si="104"/>
        <v>113.5</v>
      </c>
      <c r="CU214" s="23">
        <f t="shared" si="104"/>
        <v>71.8</v>
      </c>
      <c r="CV214" s="23">
        <f t="shared" si="104"/>
        <v>50</v>
      </c>
      <c r="CW214" s="23">
        <f t="shared" si="104"/>
        <v>198.7</v>
      </c>
      <c r="CX214" s="23">
        <f t="shared" si="104"/>
        <v>461.4</v>
      </c>
      <c r="CY214" s="23">
        <f t="shared" si="104"/>
        <v>50</v>
      </c>
      <c r="CZ214" s="23">
        <f t="shared" si="104"/>
        <v>1806.8</v>
      </c>
      <c r="DA214" s="23">
        <f t="shared" si="104"/>
        <v>203.5</v>
      </c>
      <c r="DB214" s="23">
        <f t="shared" si="104"/>
        <v>315.8</v>
      </c>
      <c r="DC214" s="23">
        <f t="shared" si="104"/>
        <v>193</v>
      </c>
      <c r="DD214" s="23">
        <f t="shared" si="104"/>
        <v>174.5</v>
      </c>
      <c r="DE214" s="23">
        <f t="shared" si="104"/>
        <v>285.3</v>
      </c>
      <c r="DF214" s="23">
        <f t="shared" si="104"/>
        <v>20790.099999999999</v>
      </c>
      <c r="DG214" s="23">
        <f t="shared" si="104"/>
        <v>93.5</v>
      </c>
      <c r="DH214" s="23">
        <f t="shared" si="104"/>
        <v>1805.4</v>
      </c>
      <c r="DI214" s="23">
        <f t="shared" si="104"/>
        <v>2448.3000000000002</v>
      </c>
      <c r="DJ214" s="23">
        <f t="shared" si="104"/>
        <v>623</v>
      </c>
      <c r="DK214" s="23">
        <f t="shared" si="104"/>
        <v>477.7</v>
      </c>
      <c r="DL214" s="23">
        <f t="shared" si="104"/>
        <v>5694</v>
      </c>
      <c r="DM214" s="23">
        <f t="shared" si="104"/>
        <v>235</v>
      </c>
      <c r="DN214" s="23">
        <f t="shared" si="104"/>
        <v>1294.5</v>
      </c>
      <c r="DO214" s="23">
        <f t="shared" si="104"/>
        <v>3290</v>
      </c>
      <c r="DP214" s="23">
        <f t="shared" si="104"/>
        <v>200</v>
      </c>
      <c r="DQ214" s="23">
        <f t="shared" si="104"/>
        <v>887</v>
      </c>
      <c r="DR214" s="23">
        <f t="shared" si="104"/>
        <v>1315.2</v>
      </c>
      <c r="DS214" s="23">
        <f t="shared" si="104"/>
        <v>599.9</v>
      </c>
      <c r="DT214" s="23">
        <f t="shared" si="104"/>
        <v>176.5</v>
      </c>
      <c r="DU214" s="23">
        <f t="shared" si="104"/>
        <v>351.4</v>
      </c>
      <c r="DV214" s="23">
        <f t="shared" si="104"/>
        <v>208</v>
      </c>
      <c r="DW214" s="23">
        <f t="shared" si="104"/>
        <v>300.2</v>
      </c>
      <c r="DX214" s="23">
        <f t="shared" si="104"/>
        <v>168</v>
      </c>
      <c r="DY214" s="23">
        <f t="shared" si="104"/>
        <v>296.60000000000002</v>
      </c>
      <c r="DZ214" s="23">
        <f t="shared" si="104"/>
        <v>680.8</v>
      </c>
      <c r="EA214" s="23">
        <f t="shared" si="104"/>
        <v>530.6</v>
      </c>
      <c r="EB214" s="23">
        <f t="shared" si="104"/>
        <v>534.4</v>
      </c>
      <c r="EC214" s="23">
        <f t="shared" si="104"/>
        <v>285.10000000000002</v>
      </c>
      <c r="ED214" s="23">
        <f t="shared" si="104"/>
        <v>1561.8</v>
      </c>
      <c r="EE214" s="23">
        <f t="shared" si="104"/>
        <v>191.6</v>
      </c>
      <c r="EF214" s="23">
        <f t="shared" si="104"/>
        <v>1353.2</v>
      </c>
      <c r="EG214" s="23">
        <f t="shared" si="104"/>
        <v>253.5</v>
      </c>
      <c r="EH214" s="23">
        <f t="shared" si="104"/>
        <v>247.4</v>
      </c>
      <c r="EI214" s="23">
        <f t="shared" si="104"/>
        <v>13865.8</v>
      </c>
      <c r="EJ214" s="23">
        <f t="shared" si="104"/>
        <v>9949.7999999999993</v>
      </c>
      <c r="EK214" s="23">
        <f t="shared" si="104"/>
        <v>668.7</v>
      </c>
      <c r="EL214" s="23">
        <f t="shared" si="104"/>
        <v>459.4</v>
      </c>
      <c r="EM214" s="23">
        <f t="shared" si="104"/>
        <v>378.1</v>
      </c>
      <c r="EN214" s="23">
        <f t="shared" si="104"/>
        <v>896.9</v>
      </c>
      <c r="EO214" s="23">
        <f t="shared" si="104"/>
        <v>305.39999999999998</v>
      </c>
      <c r="EP214" s="23">
        <f t="shared" si="104"/>
        <v>428.5</v>
      </c>
      <c r="EQ214" s="23">
        <f t="shared" si="104"/>
        <v>2614.4</v>
      </c>
      <c r="ER214" s="23">
        <f t="shared" si="104"/>
        <v>307.60000000000002</v>
      </c>
      <c r="ES214" s="23">
        <f t="shared" si="104"/>
        <v>163</v>
      </c>
      <c r="ET214" s="23">
        <f t="shared" si="104"/>
        <v>197.5</v>
      </c>
      <c r="EU214" s="23">
        <f t="shared" si="104"/>
        <v>575.29999999999995</v>
      </c>
      <c r="EV214" s="23">
        <f t="shared" si="104"/>
        <v>72.599999999999994</v>
      </c>
      <c r="EW214" s="23">
        <f t="shared" si="104"/>
        <v>819.4</v>
      </c>
      <c r="EX214" s="23">
        <f t="shared" si="104"/>
        <v>173.5</v>
      </c>
      <c r="EY214" s="23">
        <f t="shared" si="104"/>
        <v>206.5</v>
      </c>
      <c r="EZ214" s="23">
        <f t="shared" si="104"/>
        <v>129.30000000000001</v>
      </c>
      <c r="FA214" s="23">
        <f t="shared" si="104"/>
        <v>3385.2</v>
      </c>
      <c r="FB214" s="23">
        <f t="shared" si="104"/>
        <v>288.10000000000002</v>
      </c>
      <c r="FC214" s="23">
        <f t="shared" si="104"/>
        <v>1822.2</v>
      </c>
      <c r="FD214" s="23">
        <f t="shared" si="104"/>
        <v>402</v>
      </c>
      <c r="FE214" s="23">
        <f t="shared" si="104"/>
        <v>79</v>
      </c>
      <c r="FF214" s="23">
        <f t="shared" si="104"/>
        <v>185</v>
      </c>
      <c r="FG214" s="23">
        <f t="shared" si="104"/>
        <v>120.8</v>
      </c>
      <c r="FH214" s="23">
        <f t="shared" si="104"/>
        <v>70</v>
      </c>
      <c r="FI214" s="23">
        <f t="shared" si="104"/>
        <v>1702.5</v>
      </c>
      <c r="FJ214" s="23">
        <f t="shared" si="104"/>
        <v>2016.5</v>
      </c>
      <c r="FK214" s="23">
        <f t="shared" si="104"/>
        <v>2529.1</v>
      </c>
      <c r="FL214" s="23">
        <f t="shared" si="104"/>
        <v>8538.5</v>
      </c>
      <c r="FM214" s="23">
        <f t="shared" si="104"/>
        <v>3981.5</v>
      </c>
      <c r="FN214" s="23">
        <f t="shared" si="104"/>
        <v>22422.3</v>
      </c>
      <c r="FO214" s="23">
        <f t="shared" si="104"/>
        <v>1117.2</v>
      </c>
      <c r="FP214" s="23">
        <f t="shared" si="104"/>
        <v>2341.5</v>
      </c>
      <c r="FQ214" s="23">
        <f t="shared" si="104"/>
        <v>984.9</v>
      </c>
      <c r="FR214" s="23">
        <f t="shared" si="104"/>
        <v>168.1</v>
      </c>
      <c r="FS214" s="23">
        <f t="shared" si="104"/>
        <v>168.3</v>
      </c>
      <c r="FT214" s="23" t="e">
        <f t="shared" ca="1" si="104"/>
        <v>#NAME?</v>
      </c>
      <c r="FU214" s="23">
        <f t="shared" si="104"/>
        <v>791.1</v>
      </c>
      <c r="FV214" s="23">
        <f t="shared" si="104"/>
        <v>692.7</v>
      </c>
      <c r="FW214" s="23">
        <f t="shared" si="104"/>
        <v>147.5</v>
      </c>
      <c r="FX214" s="23">
        <f t="shared" si="104"/>
        <v>64.5</v>
      </c>
      <c r="FY214" s="7"/>
      <c r="FZ214" s="7" t="e">
        <f t="shared" ca="1" si="103"/>
        <v>#NAME?</v>
      </c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</row>
    <row r="215" spans="1:193" ht="15.5" x14ac:dyDescent="0.35">
      <c r="A215" s="12" t="s">
        <v>969</v>
      </c>
      <c r="B215" s="7" t="s">
        <v>970</v>
      </c>
      <c r="C215" s="23">
        <f t="shared" ref="C215:FX215" si="105">C41</f>
        <v>10480</v>
      </c>
      <c r="D215" s="23">
        <f t="shared" si="105"/>
        <v>10480</v>
      </c>
      <c r="E215" s="23">
        <f t="shared" si="105"/>
        <v>10480</v>
      </c>
      <c r="F215" s="23">
        <f t="shared" si="105"/>
        <v>10480</v>
      </c>
      <c r="G215" s="23">
        <f t="shared" si="105"/>
        <v>10480</v>
      </c>
      <c r="H215" s="23">
        <f t="shared" si="105"/>
        <v>10480</v>
      </c>
      <c r="I215" s="23">
        <f t="shared" si="105"/>
        <v>10480</v>
      </c>
      <c r="J215" s="23">
        <f t="shared" si="105"/>
        <v>10480</v>
      </c>
      <c r="K215" s="23">
        <f t="shared" si="105"/>
        <v>10480</v>
      </c>
      <c r="L215" s="23">
        <f t="shared" si="105"/>
        <v>10480</v>
      </c>
      <c r="M215" s="23">
        <f t="shared" si="105"/>
        <v>10480</v>
      </c>
      <c r="N215" s="23">
        <f t="shared" si="105"/>
        <v>10480</v>
      </c>
      <c r="O215" s="23">
        <f t="shared" si="105"/>
        <v>10480</v>
      </c>
      <c r="P215" s="23">
        <f t="shared" si="105"/>
        <v>10480</v>
      </c>
      <c r="Q215" s="23">
        <f t="shared" si="105"/>
        <v>10480</v>
      </c>
      <c r="R215" s="23">
        <f t="shared" si="105"/>
        <v>10480</v>
      </c>
      <c r="S215" s="23">
        <f t="shared" si="105"/>
        <v>10480</v>
      </c>
      <c r="T215" s="23">
        <f t="shared" si="105"/>
        <v>10480</v>
      </c>
      <c r="U215" s="23">
        <f t="shared" si="105"/>
        <v>10480</v>
      </c>
      <c r="V215" s="23">
        <f t="shared" si="105"/>
        <v>10480</v>
      </c>
      <c r="W215" s="23">
        <f t="shared" si="105"/>
        <v>10480</v>
      </c>
      <c r="X215" s="23">
        <f t="shared" si="105"/>
        <v>10480</v>
      </c>
      <c r="Y215" s="23">
        <f t="shared" si="105"/>
        <v>10480</v>
      </c>
      <c r="Z215" s="23">
        <f t="shared" si="105"/>
        <v>10480</v>
      </c>
      <c r="AA215" s="23">
        <f t="shared" si="105"/>
        <v>10480</v>
      </c>
      <c r="AB215" s="23">
        <f t="shared" si="105"/>
        <v>10480</v>
      </c>
      <c r="AC215" s="23">
        <f t="shared" si="105"/>
        <v>10480</v>
      </c>
      <c r="AD215" s="23">
        <f t="shared" si="105"/>
        <v>10480</v>
      </c>
      <c r="AE215" s="23">
        <f t="shared" si="105"/>
        <v>10480</v>
      </c>
      <c r="AF215" s="23">
        <f t="shared" si="105"/>
        <v>10480</v>
      </c>
      <c r="AG215" s="23">
        <f t="shared" si="105"/>
        <v>10480</v>
      </c>
      <c r="AH215" s="23">
        <f t="shared" si="105"/>
        <v>10480</v>
      </c>
      <c r="AI215" s="23">
        <f t="shared" si="105"/>
        <v>10480</v>
      </c>
      <c r="AJ215" s="23">
        <f t="shared" si="105"/>
        <v>10480</v>
      </c>
      <c r="AK215" s="23">
        <f t="shared" si="105"/>
        <v>10480</v>
      </c>
      <c r="AL215" s="23">
        <f t="shared" si="105"/>
        <v>10480</v>
      </c>
      <c r="AM215" s="23">
        <f t="shared" si="105"/>
        <v>10480</v>
      </c>
      <c r="AN215" s="23">
        <f t="shared" si="105"/>
        <v>10480</v>
      </c>
      <c r="AO215" s="23">
        <f t="shared" si="105"/>
        <v>10480</v>
      </c>
      <c r="AP215" s="23">
        <f t="shared" si="105"/>
        <v>10480</v>
      </c>
      <c r="AQ215" s="23">
        <f t="shared" si="105"/>
        <v>10480</v>
      </c>
      <c r="AR215" s="23">
        <f t="shared" si="105"/>
        <v>10480</v>
      </c>
      <c r="AS215" s="23">
        <f t="shared" si="105"/>
        <v>10480</v>
      </c>
      <c r="AT215" s="23">
        <f t="shared" si="105"/>
        <v>10480</v>
      </c>
      <c r="AU215" s="23">
        <f t="shared" si="105"/>
        <v>10480</v>
      </c>
      <c r="AV215" s="23">
        <f t="shared" si="105"/>
        <v>10480</v>
      </c>
      <c r="AW215" s="23">
        <f t="shared" si="105"/>
        <v>10480</v>
      </c>
      <c r="AX215" s="23">
        <f t="shared" si="105"/>
        <v>10480</v>
      </c>
      <c r="AY215" s="23">
        <f t="shared" si="105"/>
        <v>10480</v>
      </c>
      <c r="AZ215" s="23">
        <f t="shared" si="105"/>
        <v>10480</v>
      </c>
      <c r="BA215" s="23">
        <f t="shared" si="105"/>
        <v>10480</v>
      </c>
      <c r="BB215" s="23">
        <f t="shared" si="105"/>
        <v>10480</v>
      </c>
      <c r="BC215" s="23">
        <f t="shared" si="105"/>
        <v>10480</v>
      </c>
      <c r="BD215" s="23">
        <f t="shared" si="105"/>
        <v>10480</v>
      </c>
      <c r="BE215" s="23">
        <f t="shared" si="105"/>
        <v>10480</v>
      </c>
      <c r="BF215" s="23">
        <f t="shared" si="105"/>
        <v>10480</v>
      </c>
      <c r="BG215" s="23">
        <f t="shared" si="105"/>
        <v>10480</v>
      </c>
      <c r="BH215" s="23">
        <f t="shared" si="105"/>
        <v>10480</v>
      </c>
      <c r="BI215" s="23">
        <f t="shared" si="105"/>
        <v>10480</v>
      </c>
      <c r="BJ215" s="23">
        <f t="shared" si="105"/>
        <v>10480</v>
      </c>
      <c r="BK215" s="23">
        <f t="shared" si="105"/>
        <v>10480</v>
      </c>
      <c r="BL215" s="23">
        <f t="shared" si="105"/>
        <v>10480</v>
      </c>
      <c r="BM215" s="23">
        <f t="shared" si="105"/>
        <v>10480</v>
      </c>
      <c r="BN215" s="23">
        <f t="shared" si="105"/>
        <v>10480</v>
      </c>
      <c r="BO215" s="23">
        <f t="shared" si="105"/>
        <v>10480</v>
      </c>
      <c r="BP215" s="23">
        <f t="shared" si="105"/>
        <v>10480</v>
      </c>
      <c r="BQ215" s="23">
        <f t="shared" si="105"/>
        <v>10480</v>
      </c>
      <c r="BR215" s="23">
        <f t="shared" si="105"/>
        <v>10480</v>
      </c>
      <c r="BS215" s="23">
        <f t="shared" si="105"/>
        <v>10480</v>
      </c>
      <c r="BT215" s="23">
        <f t="shared" si="105"/>
        <v>10480</v>
      </c>
      <c r="BU215" s="23">
        <f t="shared" si="105"/>
        <v>10480</v>
      </c>
      <c r="BV215" s="23">
        <f t="shared" si="105"/>
        <v>10480</v>
      </c>
      <c r="BW215" s="23">
        <f t="shared" si="105"/>
        <v>10480</v>
      </c>
      <c r="BX215" s="23">
        <f t="shared" si="105"/>
        <v>10480</v>
      </c>
      <c r="BY215" s="23">
        <f t="shared" si="105"/>
        <v>10480</v>
      </c>
      <c r="BZ215" s="23">
        <f t="shared" si="105"/>
        <v>10480</v>
      </c>
      <c r="CA215" s="23">
        <f t="shared" si="105"/>
        <v>10480</v>
      </c>
      <c r="CB215" s="23">
        <f t="shared" si="105"/>
        <v>10480</v>
      </c>
      <c r="CC215" s="23">
        <f t="shared" si="105"/>
        <v>10480</v>
      </c>
      <c r="CD215" s="23">
        <f t="shared" si="105"/>
        <v>10480</v>
      </c>
      <c r="CE215" s="23">
        <f t="shared" si="105"/>
        <v>10480</v>
      </c>
      <c r="CF215" s="23">
        <f t="shared" si="105"/>
        <v>10480</v>
      </c>
      <c r="CG215" s="23">
        <f t="shared" si="105"/>
        <v>10480</v>
      </c>
      <c r="CH215" s="23">
        <f t="shared" si="105"/>
        <v>10480</v>
      </c>
      <c r="CI215" s="23">
        <f t="shared" si="105"/>
        <v>10480</v>
      </c>
      <c r="CJ215" s="23">
        <f t="shared" si="105"/>
        <v>10480</v>
      </c>
      <c r="CK215" s="23">
        <f t="shared" si="105"/>
        <v>10480</v>
      </c>
      <c r="CL215" s="23">
        <f t="shared" si="105"/>
        <v>10480</v>
      </c>
      <c r="CM215" s="23">
        <f t="shared" si="105"/>
        <v>10480</v>
      </c>
      <c r="CN215" s="23">
        <f t="shared" si="105"/>
        <v>10480</v>
      </c>
      <c r="CO215" s="23">
        <f t="shared" si="105"/>
        <v>10480</v>
      </c>
      <c r="CP215" s="23">
        <f t="shared" si="105"/>
        <v>10480</v>
      </c>
      <c r="CQ215" s="23">
        <f t="shared" si="105"/>
        <v>10480</v>
      </c>
      <c r="CR215" s="23">
        <f t="shared" si="105"/>
        <v>10480</v>
      </c>
      <c r="CS215" s="23">
        <f t="shared" si="105"/>
        <v>10480</v>
      </c>
      <c r="CT215" s="23">
        <f t="shared" si="105"/>
        <v>10480</v>
      </c>
      <c r="CU215" s="23">
        <f t="shared" si="105"/>
        <v>10480</v>
      </c>
      <c r="CV215" s="23">
        <f t="shared" si="105"/>
        <v>10480</v>
      </c>
      <c r="CW215" s="23">
        <f t="shared" si="105"/>
        <v>10480</v>
      </c>
      <c r="CX215" s="23">
        <f t="shared" si="105"/>
        <v>10480</v>
      </c>
      <c r="CY215" s="23">
        <f t="shared" si="105"/>
        <v>10480</v>
      </c>
      <c r="CZ215" s="23">
        <f t="shared" si="105"/>
        <v>10480</v>
      </c>
      <c r="DA215" s="23">
        <f t="shared" si="105"/>
        <v>10480</v>
      </c>
      <c r="DB215" s="23">
        <f t="shared" si="105"/>
        <v>10480</v>
      </c>
      <c r="DC215" s="23">
        <f t="shared" si="105"/>
        <v>10480</v>
      </c>
      <c r="DD215" s="23">
        <f t="shared" si="105"/>
        <v>10480</v>
      </c>
      <c r="DE215" s="23">
        <f t="shared" si="105"/>
        <v>10480</v>
      </c>
      <c r="DF215" s="23">
        <f t="shared" si="105"/>
        <v>10480</v>
      </c>
      <c r="DG215" s="23">
        <f t="shared" si="105"/>
        <v>10480</v>
      </c>
      <c r="DH215" s="23">
        <f t="shared" si="105"/>
        <v>10480</v>
      </c>
      <c r="DI215" s="23">
        <f t="shared" si="105"/>
        <v>10480</v>
      </c>
      <c r="DJ215" s="23">
        <f t="shared" si="105"/>
        <v>10480</v>
      </c>
      <c r="DK215" s="23">
        <f t="shared" si="105"/>
        <v>10480</v>
      </c>
      <c r="DL215" s="23">
        <f t="shared" si="105"/>
        <v>10480</v>
      </c>
      <c r="DM215" s="23">
        <f t="shared" si="105"/>
        <v>10480</v>
      </c>
      <c r="DN215" s="23">
        <f t="shared" si="105"/>
        <v>10480</v>
      </c>
      <c r="DO215" s="23">
        <f t="shared" si="105"/>
        <v>10480</v>
      </c>
      <c r="DP215" s="23">
        <f t="shared" si="105"/>
        <v>10480</v>
      </c>
      <c r="DQ215" s="23">
        <f t="shared" si="105"/>
        <v>10480</v>
      </c>
      <c r="DR215" s="23">
        <f t="shared" si="105"/>
        <v>10480</v>
      </c>
      <c r="DS215" s="23">
        <f t="shared" si="105"/>
        <v>10480</v>
      </c>
      <c r="DT215" s="23">
        <f t="shared" si="105"/>
        <v>10480</v>
      </c>
      <c r="DU215" s="23">
        <f t="shared" si="105"/>
        <v>10480</v>
      </c>
      <c r="DV215" s="23">
        <f t="shared" si="105"/>
        <v>10480</v>
      </c>
      <c r="DW215" s="23">
        <f t="shared" si="105"/>
        <v>10480</v>
      </c>
      <c r="DX215" s="23">
        <f t="shared" si="105"/>
        <v>10480</v>
      </c>
      <c r="DY215" s="23">
        <f t="shared" si="105"/>
        <v>10480</v>
      </c>
      <c r="DZ215" s="23">
        <f t="shared" si="105"/>
        <v>10480</v>
      </c>
      <c r="EA215" s="23">
        <f t="shared" si="105"/>
        <v>10480</v>
      </c>
      <c r="EB215" s="23">
        <f t="shared" si="105"/>
        <v>10480</v>
      </c>
      <c r="EC215" s="23">
        <f t="shared" si="105"/>
        <v>10480</v>
      </c>
      <c r="ED215" s="23">
        <f t="shared" si="105"/>
        <v>10480</v>
      </c>
      <c r="EE215" s="23">
        <f t="shared" si="105"/>
        <v>10480</v>
      </c>
      <c r="EF215" s="23">
        <f t="shared" si="105"/>
        <v>10480</v>
      </c>
      <c r="EG215" s="23">
        <f t="shared" si="105"/>
        <v>10480</v>
      </c>
      <c r="EH215" s="23">
        <f t="shared" si="105"/>
        <v>10480</v>
      </c>
      <c r="EI215" s="23">
        <f t="shared" si="105"/>
        <v>10480</v>
      </c>
      <c r="EJ215" s="23">
        <f t="shared" si="105"/>
        <v>10480</v>
      </c>
      <c r="EK215" s="23">
        <f t="shared" si="105"/>
        <v>10480</v>
      </c>
      <c r="EL215" s="23">
        <f t="shared" si="105"/>
        <v>10480</v>
      </c>
      <c r="EM215" s="23">
        <f t="shared" si="105"/>
        <v>10480</v>
      </c>
      <c r="EN215" s="23">
        <f t="shared" si="105"/>
        <v>10480</v>
      </c>
      <c r="EO215" s="23">
        <f t="shared" si="105"/>
        <v>10480</v>
      </c>
      <c r="EP215" s="23">
        <f t="shared" si="105"/>
        <v>10480</v>
      </c>
      <c r="EQ215" s="23">
        <f t="shared" si="105"/>
        <v>10480</v>
      </c>
      <c r="ER215" s="23">
        <f t="shared" si="105"/>
        <v>10480</v>
      </c>
      <c r="ES215" s="23">
        <f t="shared" si="105"/>
        <v>10480</v>
      </c>
      <c r="ET215" s="23">
        <f t="shared" si="105"/>
        <v>10480</v>
      </c>
      <c r="EU215" s="23">
        <f t="shared" si="105"/>
        <v>10480</v>
      </c>
      <c r="EV215" s="23">
        <f t="shared" si="105"/>
        <v>10480</v>
      </c>
      <c r="EW215" s="23">
        <f t="shared" si="105"/>
        <v>10480</v>
      </c>
      <c r="EX215" s="23">
        <f t="shared" si="105"/>
        <v>10480</v>
      </c>
      <c r="EY215" s="23">
        <f t="shared" si="105"/>
        <v>10480</v>
      </c>
      <c r="EZ215" s="23">
        <f t="shared" si="105"/>
        <v>10480</v>
      </c>
      <c r="FA215" s="23">
        <f t="shared" si="105"/>
        <v>10480</v>
      </c>
      <c r="FB215" s="23">
        <f t="shared" si="105"/>
        <v>10480</v>
      </c>
      <c r="FC215" s="23">
        <f t="shared" si="105"/>
        <v>10480</v>
      </c>
      <c r="FD215" s="23">
        <f t="shared" si="105"/>
        <v>10480</v>
      </c>
      <c r="FE215" s="23">
        <f t="shared" si="105"/>
        <v>10480</v>
      </c>
      <c r="FF215" s="23">
        <f t="shared" si="105"/>
        <v>10480</v>
      </c>
      <c r="FG215" s="23">
        <f t="shared" si="105"/>
        <v>10480</v>
      </c>
      <c r="FH215" s="23">
        <f t="shared" si="105"/>
        <v>10480</v>
      </c>
      <c r="FI215" s="23">
        <f t="shared" si="105"/>
        <v>10480</v>
      </c>
      <c r="FJ215" s="23">
        <f t="shared" si="105"/>
        <v>10480</v>
      </c>
      <c r="FK215" s="23">
        <f t="shared" si="105"/>
        <v>10480</v>
      </c>
      <c r="FL215" s="23">
        <f t="shared" si="105"/>
        <v>10480</v>
      </c>
      <c r="FM215" s="23">
        <f t="shared" si="105"/>
        <v>10480</v>
      </c>
      <c r="FN215" s="23">
        <f t="shared" si="105"/>
        <v>10480</v>
      </c>
      <c r="FO215" s="23">
        <f t="shared" si="105"/>
        <v>10480</v>
      </c>
      <c r="FP215" s="23">
        <f t="shared" si="105"/>
        <v>10480</v>
      </c>
      <c r="FQ215" s="23">
        <f t="shared" si="105"/>
        <v>10480</v>
      </c>
      <c r="FR215" s="23">
        <f t="shared" si="105"/>
        <v>10480</v>
      </c>
      <c r="FS215" s="23">
        <f t="shared" si="105"/>
        <v>10480</v>
      </c>
      <c r="FT215" s="23">
        <f t="shared" si="105"/>
        <v>10480</v>
      </c>
      <c r="FU215" s="23">
        <f t="shared" si="105"/>
        <v>10480</v>
      </c>
      <c r="FV215" s="23">
        <f t="shared" si="105"/>
        <v>10480</v>
      </c>
      <c r="FW215" s="23">
        <f t="shared" si="105"/>
        <v>10480</v>
      </c>
      <c r="FX215" s="23">
        <f t="shared" si="105"/>
        <v>10480</v>
      </c>
      <c r="FY215" s="7"/>
      <c r="FZ215" s="7">
        <f t="shared" si="103"/>
        <v>1865440</v>
      </c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</row>
    <row r="216" spans="1:193" ht="15.5" x14ac:dyDescent="0.35">
      <c r="A216" s="12" t="s">
        <v>971</v>
      </c>
      <c r="B216" s="7" t="s">
        <v>972</v>
      </c>
      <c r="C216" s="50">
        <v>9588</v>
      </c>
      <c r="D216" s="50">
        <v>9588</v>
      </c>
      <c r="E216" s="50">
        <v>9588</v>
      </c>
      <c r="F216" s="50">
        <v>9588</v>
      </c>
      <c r="G216" s="50">
        <v>9588</v>
      </c>
      <c r="H216" s="50">
        <v>9588</v>
      </c>
      <c r="I216" s="50">
        <v>9588</v>
      </c>
      <c r="J216" s="50">
        <v>9588</v>
      </c>
      <c r="K216" s="50">
        <v>9588</v>
      </c>
      <c r="L216" s="50">
        <v>9588</v>
      </c>
      <c r="M216" s="50">
        <v>9588</v>
      </c>
      <c r="N216" s="50">
        <v>9588</v>
      </c>
      <c r="O216" s="50">
        <v>9588</v>
      </c>
      <c r="P216" s="50">
        <v>9588</v>
      </c>
      <c r="Q216" s="50">
        <v>9588</v>
      </c>
      <c r="R216" s="50">
        <v>9588</v>
      </c>
      <c r="S216" s="50">
        <v>9588</v>
      </c>
      <c r="T216" s="50">
        <v>9588</v>
      </c>
      <c r="U216" s="50">
        <v>9588</v>
      </c>
      <c r="V216" s="50">
        <v>9588</v>
      </c>
      <c r="W216" s="50">
        <v>9588</v>
      </c>
      <c r="X216" s="50">
        <v>9588</v>
      </c>
      <c r="Y216" s="50">
        <v>9588</v>
      </c>
      <c r="Z216" s="50">
        <v>9588</v>
      </c>
      <c r="AA216" s="50">
        <v>9588</v>
      </c>
      <c r="AB216" s="50">
        <v>9588</v>
      </c>
      <c r="AC216" s="50">
        <v>9588</v>
      </c>
      <c r="AD216" s="50">
        <v>9588</v>
      </c>
      <c r="AE216" s="50">
        <v>9588</v>
      </c>
      <c r="AF216" s="50">
        <v>9588</v>
      </c>
      <c r="AG216" s="50">
        <v>9588</v>
      </c>
      <c r="AH216" s="50">
        <v>9588</v>
      </c>
      <c r="AI216" s="50">
        <v>9588</v>
      </c>
      <c r="AJ216" s="50">
        <v>9588</v>
      </c>
      <c r="AK216" s="50">
        <v>9588</v>
      </c>
      <c r="AL216" s="50">
        <v>9588</v>
      </c>
      <c r="AM216" s="50">
        <v>9588</v>
      </c>
      <c r="AN216" s="50">
        <v>9588</v>
      </c>
      <c r="AO216" s="50">
        <v>9588</v>
      </c>
      <c r="AP216" s="50">
        <v>9588</v>
      </c>
      <c r="AQ216" s="50">
        <v>9588</v>
      </c>
      <c r="AR216" s="50">
        <v>9588</v>
      </c>
      <c r="AS216" s="50">
        <v>9588</v>
      </c>
      <c r="AT216" s="50">
        <v>9588</v>
      </c>
      <c r="AU216" s="50">
        <v>9588</v>
      </c>
      <c r="AV216" s="50">
        <v>9588</v>
      </c>
      <c r="AW216" s="50">
        <v>9588</v>
      </c>
      <c r="AX216" s="50">
        <v>9588</v>
      </c>
      <c r="AY216" s="50">
        <v>9588</v>
      </c>
      <c r="AZ216" s="50">
        <v>9588</v>
      </c>
      <c r="BA216" s="50">
        <v>9588</v>
      </c>
      <c r="BB216" s="50">
        <v>9588</v>
      </c>
      <c r="BC216" s="50">
        <v>9588</v>
      </c>
      <c r="BD216" s="50">
        <v>9588</v>
      </c>
      <c r="BE216" s="50">
        <v>9588</v>
      </c>
      <c r="BF216" s="50">
        <v>9588</v>
      </c>
      <c r="BG216" s="50">
        <v>9588</v>
      </c>
      <c r="BH216" s="50">
        <v>9588</v>
      </c>
      <c r="BI216" s="50">
        <v>9588</v>
      </c>
      <c r="BJ216" s="50">
        <v>9588</v>
      </c>
      <c r="BK216" s="50">
        <v>9588</v>
      </c>
      <c r="BL216" s="50">
        <v>9588</v>
      </c>
      <c r="BM216" s="50">
        <v>9588</v>
      </c>
      <c r="BN216" s="50">
        <v>9588</v>
      </c>
      <c r="BO216" s="50">
        <v>9588</v>
      </c>
      <c r="BP216" s="50">
        <v>9588</v>
      </c>
      <c r="BQ216" s="50">
        <v>9588</v>
      </c>
      <c r="BR216" s="50">
        <v>9588</v>
      </c>
      <c r="BS216" s="50">
        <v>9588</v>
      </c>
      <c r="BT216" s="50">
        <v>9588</v>
      </c>
      <c r="BU216" s="50">
        <v>9588</v>
      </c>
      <c r="BV216" s="50">
        <v>9588</v>
      </c>
      <c r="BW216" s="50">
        <v>9588</v>
      </c>
      <c r="BX216" s="50">
        <v>9588</v>
      </c>
      <c r="BY216" s="50">
        <v>9588</v>
      </c>
      <c r="BZ216" s="50">
        <v>9588</v>
      </c>
      <c r="CA216" s="50">
        <v>9588</v>
      </c>
      <c r="CB216" s="50">
        <v>9588</v>
      </c>
      <c r="CC216" s="50">
        <v>9588</v>
      </c>
      <c r="CD216" s="50">
        <v>9588</v>
      </c>
      <c r="CE216" s="50">
        <v>9588</v>
      </c>
      <c r="CF216" s="50">
        <v>9588</v>
      </c>
      <c r="CG216" s="50">
        <v>9588</v>
      </c>
      <c r="CH216" s="50">
        <v>9588</v>
      </c>
      <c r="CI216" s="50">
        <v>9588</v>
      </c>
      <c r="CJ216" s="50">
        <v>9588</v>
      </c>
      <c r="CK216" s="50">
        <v>9588</v>
      </c>
      <c r="CL216" s="50">
        <v>9588</v>
      </c>
      <c r="CM216" s="50">
        <v>9588</v>
      </c>
      <c r="CN216" s="50">
        <v>9588</v>
      </c>
      <c r="CO216" s="50">
        <v>9588</v>
      </c>
      <c r="CP216" s="50">
        <v>9588</v>
      </c>
      <c r="CQ216" s="50">
        <v>9588</v>
      </c>
      <c r="CR216" s="50">
        <v>9588</v>
      </c>
      <c r="CS216" s="50">
        <v>9588</v>
      </c>
      <c r="CT216" s="50">
        <v>9588</v>
      </c>
      <c r="CU216" s="50">
        <v>9588</v>
      </c>
      <c r="CV216" s="50">
        <v>9588</v>
      </c>
      <c r="CW216" s="50">
        <v>9588</v>
      </c>
      <c r="CX216" s="50">
        <v>9588</v>
      </c>
      <c r="CY216" s="50">
        <v>9588</v>
      </c>
      <c r="CZ216" s="50">
        <v>9588</v>
      </c>
      <c r="DA216" s="50">
        <v>9588</v>
      </c>
      <c r="DB216" s="50">
        <v>9588</v>
      </c>
      <c r="DC216" s="50">
        <v>9588</v>
      </c>
      <c r="DD216" s="50">
        <v>9588</v>
      </c>
      <c r="DE216" s="50">
        <v>9588</v>
      </c>
      <c r="DF216" s="50">
        <v>9588</v>
      </c>
      <c r="DG216" s="50">
        <v>9588</v>
      </c>
      <c r="DH216" s="50">
        <v>9588</v>
      </c>
      <c r="DI216" s="50">
        <v>9588</v>
      </c>
      <c r="DJ216" s="50">
        <v>9588</v>
      </c>
      <c r="DK216" s="50">
        <v>9588</v>
      </c>
      <c r="DL216" s="50">
        <v>9588</v>
      </c>
      <c r="DM216" s="50">
        <v>9588</v>
      </c>
      <c r="DN216" s="50">
        <v>9588</v>
      </c>
      <c r="DO216" s="50">
        <v>9588</v>
      </c>
      <c r="DP216" s="50">
        <v>9588</v>
      </c>
      <c r="DQ216" s="50">
        <v>9588</v>
      </c>
      <c r="DR216" s="50">
        <v>9588</v>
      </c>
      <c r="DS216" s="50">
        <v>9588</v>
      </c>
      <c r="DT216" s="50">
        <v>9588</v>
      </c>
      <c r="DU216" s="50">
        <v>9588</v>
      </c>
      <c r="DV216" s="50">
        <v>9588</v>
      </c>
      <c r="DW216" s="50">
        <v>9588</v>
      </c>
      <c r="DX216" s="50">
        <v>9588</v>
      </c>
      <c r="DY216" s="50">
        <v>9588</v>
      </c>
      <c r="DZ216" s="50">
        <v>9588</v>
      </c>
      <c r="EA216" s="50">
        <v>9588</v>
      </c>
      <c r="EB216" s="50">
        <v>9588</v>
      </c>
      <c r="EC216" s="50">
        <v>9588</v>
      </c>
      <c r="ED216" s="50">
        <v>9588</v>
      </c>
      <c r="EE216" s="50">
        <v>9588</v>
      </c>
      <c r="EF216" s="50">
        <v>9588</v>
      </c>
      <c r="EG216" s="50">
        <v>9588</v>
      </c>
      <c r="EH216" s="50">
        <v>9588</v>
      </c>
      <c r="EI216" s="50">
        <v>9588</v>
      </c>
      <c r="EJ216" s="50">
        <v>9588</v>
      </c>
      <c r="EK216" s="50">
        <v>9588</v>
      </c>
      <c r="EL216" s="50">
        <v>9588</v>
      </c>
      <c r="EM216" s="50">
        <v>9588</v>
      </c>
      <c r="EN216" s="50">
        <v>9588</v>
      </c>
      <c r="EO216" s="50">
        <v>9588</v>
      </c>
      <c r="EP216" s="50">
        <v>9588</v>
      </c>
      <c r="EQ216" s="50">
        <v>9588</v>
      </c>
      <c r="ER216" s="50">
        <v>9588</v>
      </c>
      <c r="ES216" s="50">
        <v>9588</v>
      </c>
      <c r="ET216" s="50">
        <v>9588</v>
      </c>
      <c r="EU216" s="50">
        <v>9588</v>
      </c>
      <c r="EV216" s="50">
        <v>9588</v>
      </c>
      <c r="EW216" s="50">
        <v>9588</v>
      </c>
      <c r="EX216" s="50">
        <v>9588</v>
      </c>
      <c r="EY216" s="50">
        <v>9588</v>
      </c>
      <c r="EZ216" s="50">
        <v>9588</v>
      </c>
      <c r="FA216" s="50">
        <v>9588</v>
      </c>
      <c r="FB216" s="50">
        <v>9588</v>
      </c>
      <c r="FC216" s="50">
        <v>9588</v>
      </c>
      <c r="FD216" s="50">
        <v>9588</v>
      </c>
      <c r="FE216" s="50">
        <v>9588</v>
      </c>
      <c r="FF216" s="50">
        <v>9588</v>
      </c>
      <c r="FG216" s="50">
        <v>9588</v>
      </c>
      <c r="FH216" s="50">
        <v>9588</v>
      </c>
      <c r="FI216" s="50">
        <v>9588</v>
      </c>
      <c r="FJ216" s="50">
        <v>9588</v>
      </c>
      <c r="FK216" s="50">
        <v>9588</v>
      </c>
      <c r="FL216" s="50">
        <v>9588</v>
      </c>
      <c r="FM216" s="50">
        <v>9588</v>
      </c>
      <c r="FN216" s="50">
        <v>9588</v>
      </c>
      <c r="FO216" s="50">
        <v>9588</v>
      </c>
      <c r="FP216" s="50">
        <v>9588</v>
      </c>
      <c r="FQ216" s="50">
        <v>9588</v>
      </c>
      <c r="FR216" s="50">
        <v>9588</v>
      </c>
      <c r="FS216" s="50">
        <v>9588</v>
      </c>
      <c r="FT216" s="50">
        <v>9588</v>
      </c>
      <c r="FU216" s="50">
        <v>9588</v>
      </c>
      <c r="FV216" s="50">
        <v>9588</v>
      </c>
      <c r="FW216" s="50">
        <v>9588</v>
      </c>
      <c r="FX216" s="50">
        <v>9588</v>
      </c>
      <c r="FY216" s="7"/>
      <c r="FZ216" s="7">
        <f t="shared" si="103"/>
        <v>1706664</v>
      </c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</row>
    <row r="217" spans="1:193" ht="15.5" x14ac:dyDescent="0.35">
      <c r="A217" s="12" t="s">
        <v>973</v>
      </c>
      <c r="B217" s="7" t="s">
        <v>974</v>
      </c>
      <c r="C217" s="23">
        <f t="shared" ref="C217:FX217" si="106">ROUND(C101+C102+C97+C100+C14,1)</f>
        <v>152</v>
      </c>
      <c r="D217" s="23">
        <f t="shared" si="106"/>
        <v>561.5</v>
      </c>
      <c r="E217" s="23">
        <f t="shared" si="106"/>
        <v>0</v>
      </c>
      <c r="F217" s="23">
        <f t="shared" si="106"/>
        <v>2034</v>
      </c>
      <c r="G217" s="23">
        <f t="shared" si="106"/>
        <v>0</v>
      </c>
      <c r="H217" s="23">
        <f t="shared" si="106"/>
        <v>0</v>
      </c>
      <c r="I217" s="23">
        <f t="shared" si="106"/>
        <v>6</v>
      </c>
      <c r="J217" s="23">
        <f t="shared" si="106"/>
        <v>0</v>
      </c>
      <c r="K217" s="23">
        <f t="shared" si="106"/>
        <v>0</v>
      </c>
      <c r="L217" s="23">
        <f t="shared" si="106"/>
        <v>0</v>
      </c>
      <c r="M217" s="23">
        <f t="shared" si="106"/>
        <v>0</v>
      </c>
      <c r="N217" s="23">
        <f t="shared" si="106"/>
        <v>35.5</v>
      </c>
      <c r="O217" s="23">
        <f t="shared" si="106"/>
        <v>8</v>
      </c>
      <c r="P217" s="23">
        <f t="shared" si="106"/>
        <v>0</v>
      </c>
      <c r="Q217" s="23">
        <f t="shared" si="106"/>
        <v>8.5</v>
      </c>
      <c r="R217" s="23">
        <f t="shared" si="106"/>
        <v>6618</v>
      </c>
      <c r="S217" s="23">
        <f t="shared" si="106"/>
        <v>14</v>
      </c>
      <c r="T217" s="23">
        <f t="shared" si="106"/>
        <v>0</v>
      </c>
      <c r="U217" s="23">
        <f t="shared" si="106"/>
        <v>0</v>
      </c>
      <c r="V217" s="23">
        <f t="shared" si="106"/>
        <v>0</v>
      </c>
      <c r="W217" s="23">
        <f t="shared" si="106"/>
        <v>0</v>
      </c>
      <c r="X217" s="23">
        <f t="shared" si="106"/>
        <v>0</v>
      </c>
      <c r="Y217" s="23">
        <f t="shared" si="106"/>
        <v>473.5</v>
      </c>
      <c r="Z217" s="23">
        <f t="shared" si="106"/>
        <v>0</v>
      </c>
      <c r="AA217" s="23">
        <f t="shared" si="106"/>
        <v>385</v>
      </c>
      <c r="AB217" s="23">
        <f t="shared" si="106"/>
        <v>226</v>
      </c>
      <c r="AC217" s="23">
        <f t="shared" si="106"/>
        <v>0</v>
      </c>
      <c r="AD217" s="23">
        <f t="shared" si="106"/>
        <v>0</v>
      </c>
      <c r="AE217" s="23">
        <f t="shared" si="106"/>
        <v>0</v>
      </c>
      <c r="AF217" s="23">
        <f t="shared" si="106"/>
        <v>0</v>
      </c>
      <c r="AG217" s="23">
        <f t="shared" si="106"/>
        <v>0</v>
      </c>
      <c r="AH217" s="23">
        <f t="shared" si="106"/>
        <v>0</v>
      </c>
      <c r="AI217" s="23">
        <f t="shared" si="106"/>
        <v>0</v>
      </c>
      <c r="AJ217" s="23">
        <f t="shared" si="106"/>
        <v>0</v>
      </c>
      <c r="AK217" s="23">
        <f t="shared" si="106"/>
        <v>0</v>
      </c>
      <c r="AL217" s="23">
        <f t="shared" si="106"/>
        <v>0</v>
      </c>
      <c r="AM217" s="23">
        <f t="shared" si="106"/>
        <v>0</v>
      </c>
      <c r="AN217" s="23">
        <f t="shared" si="106"/>
        <v>0</v>
      </c>
      <c r="AO217" s="23">
        <f t="shared" si="106"/>
        <v>370.5</v>
      </c>
      <c r="AP217" s="23">
        <f t="shared" si="106"/>
        <v>610</v>
      </c>
      <c r="AQ217" s="23">
        <f t="shared" si="106"/>
        <v>0.5</v>
      </c>
      <c r="AR217" s="23">
        <f t="shared" si="106"/>
        <v>1313</v>
      </c>
      <c r="AS217" s="23">
        <f t="shared" si="106"/>
        <v>1</v>
      </c>
      <c r="AT217" s="23">
        <f t="shared" si="106"/>
        <v>1</v>
      </c>
      <c r="AU217" s="23">
        <f t="shared" si="106"/>
        <v>0</v>
      </c>
      <c r="AV217" s="23">
        <f t="shared" si="106"/>
        <v>0</v>
      </c>
      <c r="AW217" s="23">
        <f t="shared" si="106"/>
        <v>0</v>
      </c>
      <c r="AX217" s="23">
        <f t="shared" si="106"/>
        <v>0</v>
      </c>
      <c r="AY217" s="23">
        <f t="shared" si="106"/>
        <v>0</v>
      </c>
      <c r="AZ217" s="23">
        <f t="shared" si="106"/>
        <v>98</v>
      </c>
      <c r="BA217" s="23">
        <f t="shared" si="106"/>
        <v>240</v>
      </c>
      <c r="BB217" s="23">
        <f t="shared" si="106"/>
        <v>1</v>
      </c>
      <c r="BC217" s="23">
        <f t="shared" si="106"/>
        <v>496.5</v>
      </c>
      <c r="BD217" s="23">
        <f t="shared" si="106"/>
        <v>0</v>
      </c>
      <c r="BE217" s="23">
        <f t="shared" si="106"/>
        <v>0</v>
      </c>
      <c r="BF217" s="23">
        <f t="shared" si="106"/>
        <v>1196.5</v>
      </c>
      <c r="BG217" s="23">
        <f t="shared" si="106"/>
        <v>0</v>
      </c>
      <c r="BH217" s="23">
        <f t="shared" si="106"/>
        <v>28</v>
      </c>
      <c r="BI217" s="23">
        <f t="shared" si="106"/>
        <v>0</v>
      </c>
      <c r="BJ217" s="23">
        <f t="shared" si="106"/>
        <v>2</v>
      </c>
      <c r="BK217" s="23">
        <f t="shared" si="106"/>
        <v>13201.5</v>
      </c>
      <c r="BL217" s="23">
        <f t="shared" si="106"/>
        <v>2</v>
      </c>
      <c r="BM217" s="23">
        <f t="shared" si="106"/>
        <v>0</v>
      </c>
      <c r="BN217" s="23">
        <f t="shared" si="106"/>
        <v>15</v>
      </c>
      <c r="BO217" s="23">
        <f t="shared" si="106"/>
        <v>0</v>
      </c>
      <c r="BP217" s="23">
        <f t="shared" si="106"/>
        <v>0</v>
      </c>
      <c r="BQ217" s="23">
        <f t="shared" si="106"/>
        <v>1</v>
      </c>
      <c r="BR217" s="23">
        <f t="shared" si="106"/>
        <v>0</v>
      </c>
      <c r="BS217" s="23">
        <f t="shared" si="106"/>
        <v>0</v>
      </c>
      <c r="BT217" s="23">
        <f t="shared" si="106"/>
        <v>0</v>
      </c>
      <c r="BU217" s="23">
        <f t="shared" si="106"/>
        <v>0</v>
      </c>
      <c r="BV217" s="23">
        <f t="shared" si="106"/>
        <v>0</v>
      </c>
      <c r="BW217" s="23">
        <f t="shared" si="106"/>
        <v>0</v>
      </c>
      <c r="BX217" s="23">
        <f t="shared" si="106"/>
        <v>0</v>
      </c>
      <c r="BY217" s="23">
        <f t="shared" si="106"/>
        <v>3</v>
      </c>
      <c r="BZ217" s="23">
        <f t="shared" si="106"/>
        <v>0</v>
      </c>
      <c r="CA217" s="23">
        <f t="shared" si="106"/>
        <v>0</v>
      </c>
      <c r="CB217" s="23">
        <f t="shared" si="106"/>
        <v>834</v>
      </c>
      <c r="CC217" s="23">
        <f t="shared" si="106"/>
        <v>0</v>
      </c>
      <c r="CD217" s="23">
        <f t="shared" si="106"/>
        <v>0</v>
      </c>
      <c r="CE217" s="23">
        <f t="shared" si="106"/>
        <v>0</v>
      </c>
      <c r="CF217" s="23">
        <f t="shared" si="106"/>
        <v>0</v>
      </c>
      <c r="CG217" s="23">
        <f t="shared" si="106"/>
        <v>0</v>
      </c>
      <c r="CH217" s="23">
        <f t="shared" si="106"/>
        <v>0</v>
      </c>
      <c r="CI217" s="23">
        <f t="shared" si="106"/>
        <v>0</v>
      </c>
      <c r="CJ217" s="23">
        <f t="shared" si="106"/>
        <v>1</v>
      </c>
      <c r="CK217" s="23">
        <f t="shared" si="106"/>
        <v>23.5</v>
      </c>
      <c r="CL217" s="23">
        <f t="shared" si="106"/>
        <v>5.5</v>
      </c>
      <c r="CM217" s="23">
        <f t="shared" si="106"/>
        <v>2</v>
      </c>
      <c r="CN217" s="23">
        <f t="shared" si="106"/>
        <v>692.5</v>
      </c>
      <c r="CO217" s="23">
        <f t="shared" si="106"/>
        <v>3</v>
      </c>
      <c r="CP217" s="23">
        <f t="shared" si="106"/>
        <v>2</v>
      </c>
      <c r="CQ217" s="23">
        <f t="shared" si="106"/>
        <v>0</v>
      </c>
      <c r="CR217" s="23">
        <f t="shared" si="106"/>
        <v>0</v>
      </c>
      <c r="CS217" s="23">
        <f t="shared" si="106"/>
        <v>0</v>
      </c>
      <c r="CT217" s="23">
        <f t="shared" si="106"/>
        <v>0</v>
      </c>
      <c r="CU217" s="23">
        <f t="shared" si="106"/>
        <v>396</v>
      </c>
      <c r="CV217" s="23">
        <f t="shared" si="106"/>
        <v>0</v>
      </c>
      <c r="CW217" s="23">
        <f t="shared" si="106"/>
        <v>0</v>
      </c>
      <c r="CX217" s="23">
        <f t="shared" si="106"/>
        <v>0</v>
      </c>
      <c r="CY217" s="23">
        <f t="shared" si="106"/>
        <v>0</v>
      </c>
      <c r="CZ217" s="23">
        <f t="shared" si="106"/>
        <v>0</v>
      </c>
      <c r="DA217" s="23">
        <f t="shared" si="106"/>
        <v>0</v>
      </c>
      <c r="DB217" s="23">
        <f t="shared" si="106"/>
        <v>0</v>
      </c>
      <c r="DC217" s="23">
        <f t="shared" si="106"/>
        <v>0</v>
      </c>
      <c r="DD217" s="23">
        <f t="shared" si="106"/>
        <v>0</v>
      </c>
      <c r="DE217" s="23">
        <f t="shared" si="106"/>
        <v>0</v>
      </c>
      <c r="DF217" s="23">
        <f t="shared" si="106"/>
        <v>30</v>
      </c>
      <c r="DG217" s="23">
        <f t="shared" si="106"/>
        <v>0</v>
      </c>
      <c r="DH217" s="23">
        <f t="shared" si="106"/>
        <v>0</v>
      </c>
      <c r="DI217" s="23">
        <f t="shared" si="106"/>
        <v>4</v>
      </c>
      <c r="DJ217" s="23">
        <f t="shared" si="106"/>
        <v>1</v>
      </c>
      <c r="DK217" s="23">
        <f t="shared" si="106"/>
        <v>1</v>
      </c>
      <c r="DL217" s="23">
        <f t="shared" si="106"/>
        <v>0</v>
      </c>
      <c r="DM217" s="23">
        <f t="shared" si="106"/>
        <v>0</v>
      </c>
      <c r="DN217" s="23">
        <f t="shared" si="106"/>
        <v>0.5</v>
      </c>
      <c r="DO217" s="23">
        <f t="shared" si="106"/>
        <v>1</v>
      </c>
      <c r="DP217" s="23">
        <f t="shared" si="106"/>
        <v>0</v>
      </c>
      <c r="DQ217" s="23">
        <f t="shared" si="106"/>
        <v>0</v>
      </c>
      <c r="DR217" s="23">
        <f t="shared" si="106"/>
        <v>0</v>
      </c>
      <c r="DS217" s="23">
        <f t="shared" si="106"/>
        <v>0</v>
      </c>
      <c r="DT217" s="23">
        <f t="shared" si="106"/>
        <v>0</v>
      </c>
      <c r="DU217" s="23">
        <f t="shared" si="106"/>
        <v>0</v>
      </c>
      <c r="DV217" s="23">
        <f t="shared" si="106"/>
        <v>0</v>
      </c>
      <c r="DW217" s="23">
        <f t="shared" si="106"/>
        <v>0</v>
      </c>
      <c r="DX217" s="23">
        <f t="shared" si="106"/>
        <v>0</v>
      </c>
      <c r="DY217" s="23">
        <f t="shared" si="106"/>
        <v>0</v>
      </c>
      <c r="DZ217" s="23">
        <f t="shared" si="106"/>
        <v>0</v>
      </c>
      <c r="EA217" s="23">
        <f t="shared" si="106"/>
        <v>0</v>
      </c>
      <c r="EB217" s="23">
        <f t="shared" si="106"/>
        <v>0</v>
      </c>
      <c r="EC217" s="23">
        <f t="shared" si="106"/>
        <v>0</v>
      </c>
      <c r="ED217" s="23">
        <f t="shared" si="106"/>
        <v>0</v>
      </c>
      <c r="EE217" s="23">
        <f t="shared" si="106"/>
        <v>0</v>
      </c>
      <c r="EF217" s="23">
        <f t="shared" si="106"/>
        <v>0</v>
      </c>
      <c r="EG217" s="23">
        <f t="shared" si="106"/>
        <v>0</v>
      </c>
      <c r="EH217" s="23">
        <f t="shared" si="106"/>
        <v>0</v>
      </c>
      <c r="EI217" s="23">
        <f t="shared" si="106"/>
        <v>1</v>
      </c>
      <c r="EJ217" s="23">
        <f t="shared" si="106"/>
        <v>210.5</v>
      </c>
      <c r="EK217" s="23">
        <f t="shared" si="106"/>
        <v>0</v>
      </c>
      <c r="EL217" s="23">
        <f t="shared" si="106"/>
        <v>0</v>
      </c>
      <c r="EM217" s="23">
        <f t="shared" si="106"/>
        <v>0</v>
      </c>
      <c r="EN217" s="23">
        <f t="shared" si="106"/>
        <v>43</v>
      </c>
      <c r="EO217" s="23">
        <f t="shared" si="106"/>
        <v>0</v>
      </c>
      <c r="EP217" s="23">
        <f t="shared" si="106"/>
        <v>0</v>
      </c>
      <c r="EQ217" s="23">
        <f t="shared" si="106"/>
        <v>0</v>
      </c>
      <c r="ER217" s="23">
        <f t="shared" si="106"/>
        <v>0</v>
      </c>
      <c r="ES217" s="23">
        <f t="shared" si="106"/>
        <v>0</v>
      </c>
      <c r="ET217" s="23">
        <f t="shared" si="106"/>
        <v>0</v>
      </c>
      <c r="EU217" s="23">
        <f t="shared" si="106"/>
        <v>0</v>
      </c>
      <c r="EV217" s="23">
        <f t="shared" si="106"/>
        <v>0</v>
      </c>
      <c r="EW217" s="23">
        <f t="shared" si="106"/>
        <v>0</v>
      </c>
      <c r="EX217" s="23">
        <f t="shared" si="106"/>
        <v>0</v>
      </c>
      <c r="EY217" s="23">
        <f t="shared" si="106"/>
        <v>450</v>
      </c>
      <c r="EZ217" s="23">
        <f t="shared" si="106"/>
        <v>0</v>
      </c>
      <c r="FA217" s="23">
        <f t="shared" si="106"/>
        <v>0</v>
      </c>
      <c r="FB217" s="23">
        <f t="shared" si="106"/>
        <v>0</v>
      </c>
      <c r="FC217" s="23">
        <f t="shared" si="106"/>
        <v>0</v>
      </c>
      <c r="FD217" s="23">
        <f t="shared" si="106"/>
        <v>0</v>
      </c>
      <c r="FE217" s="23">
        <f t="shared" si="106"/>
        <v>0</v>
      </c>
      <c r="FF217" s="23">
        <f t="shared" si="106"/>
        <v>0</v>
      </c>
      <c r="FG217" s="23">
        <f t="shared" si="106"/>
        <v>0</v>
      </c>
      <c r="FH217" s="23">
        <f t="shared" si="106"/>
        <v>0</v>
      </c>
      <c r="FI217" s="23">
        <f t="shared" si="106"/>
        <v>0</v>
      </c>
      <c r="FJ217" s="23">
        <f t="shared" si="106"/>
        <v>0</v>
      </c>
      <c r="FK217" s="23">
        <f t="shared" si="106"/>
        <v>0</v>
      </c>
      <c r="FL217" s="23">
        <f t="shared" si="106"/>
        <v>0</v>
      </c>
      <c r="FM217" s="23">
        <f t="shared" si="106"/>
        <v>0</v>
      </c>
      <c r="FN217" s="23">
        <f t="shared" si="106"/>
        <v>267.5</v>
      </c>
      <c r="FO217" s="23">
        <f t="shared" si="106"/>
        <v>2</v>
      </c>
      <c r="FP217" s="23">
        <f t="shared" si="106"/>
        <v>0</v>
      </c>
      <c r="FQ217" s="23">
        <f t="shared" si="106"/>
        <v>0</v>
      </c>
      <c r="FR217" s="23">
        <f t="shared" si="106"/>
        <v>0</v>
      </c>
      <c r="FS217" s="23">
        <f t="shared" si="106"/>
        <v>0</v>
      </c>
      <c r="FT217" s="23" t="e">
        <f t="shared" ca="1" si="106"/>
        <v>#NAME?</v>
      </c>
      <c r="FU217" s="23">
        <f t="shared" si="106"/>
        <v>0</v>
      </c>
      <c r="FV217" s="23">
        <f t="shared" si="106"/>
        <v>0</v>
      </c>
      <c r="FW217" s="23">
        <f t="shared" si="106"/>
        <v>0</v>
      </c>
      <c r="FX217" s="23">
        <f t="shared" si="106"/>
        <v>0</v>
      </c>
      <c r="FY217" s="23"/>
      <c r="FZ217" s="7" t="e">
        <f t="shared" ca="1" si="103"/>
        <v>#NAME?</v>
      </c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</row>
    <row r="218" spans="1:193" ht="15.5" x14ac:dyDescent="0.35">
      <c r="A218" s="12" t="s">
        <v>975</v>
      </c>
      <c r="B218" s="7" t="s">
        <v>976</v>
      </c>
      <c r="C218" s="23">
        <f t="shared" ref="C218:FX218" si="107">C15+C35</f>
        <v>4</v>
      </c>
      <c r="D218" s="23">
        <f t="shared" si="107"/>
        <v>81</v>
      </c>
      <c r="E218" s="23">
        <f t="shared" si="107"/>
        <v>11</v>
      </c>
      <c r="F218" s="23">
        <f t="shared" si="107"/>
        <v>11</v>
      </c>
      <c r="G218" s="23">
        <f t="shared" si="107"/>
        <v>1</v>
      </c>
      <c r="H218" s="23">
        <f t="shared" si="107"/>
        <v>1</v>
      </c>
      <c r="I218" s="23">
        <f t="shared" si="107"/>
        <v>9</v>
      </c>
      <c r="J218" s="23">
        <f t="shared" si="107"/>
        <v>0</v>
      </c>
      <c r="K218" s="23">
        <f t="shared" si="107"/>
        <v>0</v>
      </c>
      <c r="L218" s="23">
        <f t="shared" si="107"/>
        <v>23</v>
      </c>
      <c r="M218" s="23">
        <f t="shared" si="107"/>
        <v>14</v>
      </c>
      <c r="N218" s="23">
        <f t="shared" si="107"/>
        <v>159.5</v>
      </c>
      <c r="O218" s="23">
        <f t="shared" si="107"/>
        <v>98</v>
      </c>
      <c r="P218" s="23">
        <f t="shared" si="107"/>
        <v>0</v>
      </c>
      <c r="Q218" s="23">
        <f t="shared" si="107"/>
        <v>209</v>
      </c>
      <c r="R218" s="23">
        <f t="shared" si="107"/>
        <v>1</v>
      </c>
      <c r="S218" s="23">
        <f t="shared" si="107"/>
        <v>0</v>
      </c>
      <c r="T218" s="23">
        <f t="shared" si="107"/>
        <v>0</v>
      </c>
      <c r="U218" s="23">
        <f t="shared" si="107"/>
        <v>0</v>
      </c>
      <c r="V218" s="23">
        <f t="shared" si="107"/>
        <v>0</v>
      </c>
      <c r="W218" s="23">
        <f t="shared" si="107"/>
        <v>1</v>
      </c>
      <c r="X218" s="23">
        <f t="shared" si="107"/>
        <v>0</v>
      </c>
      <c r="Y218" s="23">
        <f t="shared" si="107"/>
        <v>0</v>
      </c>
      <c r="Z218" s="23">
        <f t="shared" si="107"/>
        <v>0</v>
      </c>
      <c r="AA218" s="23">
        <f t="shared" si="107"/>
        <v>37</v>
      </c>
      <c r="AB218" s="23">
        <f t="shared" si="107"/>
        <v>46.5</v>
      </c>
      <c r="AC218" s="23">
        <f t="shared" si="107"/>
        <v>0</v>
      </c>
      <c r="AD218" s="23">
        <f t="shared" si="107"/>
        <v>6.5</v>
      </c>
      <c r="AE218" s="23">
        <f t="shared" si="107"/>
        <v>0</v>
      </c>
      <c r="AF218" s="23">
        <f t="shared" si="107"/>
        <v>0</v>
      </c>
      <c r="AG218" s="23">
        <f t="shared" si="107"/>
        <v>0</v>
      </c>
      <c r="AH218" s="23">
        <f t="shared" si="107"/>
        <v>0</v>
      </c>
      <c r="AI218" s="23">
        <f t="shared" si="107"/>
        <v>0</v>
      </c>
      <c r="AJ218" s="23">
        <f t="shared" si="107"/>
        <v>0</v>
      </c>
      <c r="AK218" s="23">
        <f t="shared" si="107"/>
        <v>0</v>
      </c>
      <c r="AL218" s="23">
        <f t="shared" si="107"/>
        <v>0</v>
      </c>
      <c r="AM218" s="23">
        <f t="shared" si="107"/>
        <v>0</v>
      </c>
      <c r="AN218" s="23">
        <f t="shared" si="107"/>
        <v>1</v>
      </c>
      <c r="AO218" s="23">
        <f t="shared" si="107"/>
        <v>0</v>
      </c>
      <c r="AP218" s="23">
        <f t="shared" si="107"/>
        <v>191</v>
      </c>
      <c r="AQ218" s="23">
        <f t="shared" si="107"/>
        <v>0</v>
      </c>
      <c r="AR218" s="23">
        <f t="shared" si="107"/>
        <v>155</v>
      </c>
      <c r="AS218" s="23">
        <f t="shared" si="107"/>
        <v>16</v>
      </c>
      <c r="AT218" s="23">
        <f t="shared" si="107"/>
        <v>3</v>
      </c>
      <c r="AU218" s="23">
        <f t="shared" si="107"/>
        <v>0</v>
      </c>
      <c r="AV218" s="23">
        <f t="shared" si="107"/>
        <v>0</v>
      </c>
      <c r="AW218" s="23">
        <f t="shared" si="107"/>
        <v>2</v>
      </c>
      <c r="AX218" s="23">
        <f t="shared" si="107"/>
        <v>0</v>
      </c>
      <c r="AY218" s="23">
        <f t="shared" si="107"/>
        <v>0</v>
      </c>
      <c r="AZ218" s="23">
        <f t="shared" si="107"/>
        <v>1</v>
      </c>
      <c r="BA218" s="23">
        <f t="shared" si="107"/>
        <v>0.5</v>
      </c>
      <c r="BB218" s="23">
        <f t="shared" si="107"/>
        <v>9</v>
      </c>
      <c r="BC218" s="23">
        <f t="shared" si="107"/>
        <v>30</v>
      </c>
      <c r="BD218" s="23">
        <f t="shared" si="107"/>
        <v>4</v>
      </c>
      <c r="BE218" s="23">
        <f t="shared" si="107"/>
        <v>0</v>
      </c>
      <c r="BF218" s="23">
        <f t="shared" si="107"/>
        <v>31.5</v>
      </c>
      <c r="BG218" s="23">
        <f t="shared" si="107"/>
        <v>0</v>
      </c>
      <c r="BH218" s="23">
        <f t="shared" si="107"/>
        <v>12</v>
      </c>
      <c r="BI218" s="23">
        <f t="shared" si="107"/>
        <v>0</v>
      </c>
      <c r="BJ218" s="23">
        <f t="shared" si="107"/>
        <v>15.5</v>
      </c>
      <c r="BK218" s="23">
        <f t="shared" si="107"/>
        <v>83</v>
      </c>
      <c r="BL218" s="23">
        <f t="shared" si="107"/>
        <v>2.5</v>
      </c>
      <c r="BM218" s="23">
        <f t="shared" si="107"/>
        <v>18.5</v>
      </c>
      <c r="BN218" s="23">
        <f t="shared" si="107"/>
        <v>33.5</v>
      </c>
      <c r="BO218" s="23">
        <f t="shared" si="107"/>
        <v>3</v>
      </c>
      <c r="BP218" s="23">
        <f t="shared" si="107"/>
        <v>0</v>
      </c>
      <c r="BQ218" s="23">
        <f t="shared" si="107"/>
        <v>2</v>
      </c>
      <c r="BR218" s="23">
        <f t="shared" si="107"/>
        <v>0</v>
      </c>
      <c r="BS218" s="23">
        <f t="shared" si="107"/>
        <v>0</v>
      </c>
      <c r="BT218" s="23">
        <f t="shared" si="107"/>
        <v>0</v>
      </c>
      <c r="BU218" s="23">
        <f t="shared" si="107"/>
        <v>0</v>
      </c>
      <c r="BV218" s="23">
        <f t="shared" si="107"/>
        <v>0</v>
      </c>
      <c r="BW218" s="23">
        <f t="shared" si="107"/>
        <v>0</v>
      </c>
      <c r="BX218" s="23">
        <f t="shared" si="107"/>
        <v>0</v>
      </c>
      <c r="BY218" s="23">
        <f t="shared" si="107"/>
        <v>0</v>
      </c>
      <c r="BZ218" s="23">
        <f t="shared" si="107"/>
        <v>0</v>
      </c>
      <c r="CA218" s="23">
        <f t="shared" si="107"/>
        <v>0</v>
      </c>
      <c r="CB218" s="23">
        <f t="shared" si="107"/>
        <v>235</v>
      </c>
      <c r="CC218" s="23">
        <f t="shared" si="107"/>
        <v>0</v>
      </c>
      <c r="CD218" s="23">
        <f t="shared" si="107"/>
        <v>0</v>
      </c>
      <c r="CE218" s="23">
        <f t="shared" si="107"/>
        <v>0</v>
      </c>
      <c r="CF218" s="23">
        <f t="shared" si="107"/>
        <v>0</v>
      </c>
      <c r="CG218" s="23">
        <f t="shared" si="107"/>
        <v>0</v>
      </c>
      <c r="CH218" s="23">
        <f t="shared" si="107"/>
        <v>0</v>
      </c>
      <c r="CI218" s="23">
        <f t="shared" si="107"/>
        <v>0</v>
      </c>
      <c r="CJ218" s="23">
        <f t="shared" si="107"/>
        <v>0</v>
      </c>
      <c r="CK218" s="23">
        <f t="shared" si="107"/>
        <v>0</v>
      </c>
      <c r="CL218" s="23">
        <f t="shared" si="107"/>
        <v>4</v>
      </c>
      <c r="CM218" s="23">
        <f t="shared" si="107"/>
        <v>0</v>
      </c>
      <c r="CN218" s="23">
        <f t="shared" si="107"/>
        <v>232</v>
      </c>
      <c r="CO218" s="23">
        <f t="shared" si="107"/>
        <v>69.5</v>
      </c>
      <c r="CP218" s="23">
        <f t="shared" si="107"/>
        <v>3</v>
      </c>
      <c r="CQ218" s="23">
        <f t="shared" si="107"/>
        <v>0</v>
      </c>
      <c r="CR218" s="23">
        <f t="shared" si="107"/>
        <v>0</v>
      </c>
      <c r="CS218" s="23">
        <f t="shared" si="107"/>
        <v>0</v>
      </c>
      <c r="CT218" s="23">
        <f t="shared" si="107"/>
        <v>0</v>
      </c>
      <c r="CU218" s="23">
        <f t="shared" si="107"/>
        <v>2</v>
      </c>
      <c r="CV218" s="23">
        <f t="shared" si="107"/>
        <v>0</v>
      </c>
      <c r="CW218" s="23">
        <f t="shared" si="107"/>
        <v>0</v>
      </c>
      <c r="CX218" s="23">
        <f t="shared" si="107"/>
        <v>0</v>
      </c>
      <c r="CY218" s="23">
        <f t="shared" si="107"/>
        <v>0</v>
      </c>
      <c r="CZ218" s="23">
        <f t="shared" si="107"/>
        <v>0</v>
      </c>
      <c r="DA218" s="23">
        <f t="shared" si="107"/>
        <v>0</v>
      </c>
      <c r="DB218" s="23">
        <f t="shared" si="107"/>
        <v>0</v>
      </c>
      <c r="DC218" s="23">
        <f t="shared" si="107"/>
        <v>0</v>
      </c>
      <c r="DD218" s="23">
        <f t="shared" si="107"/>
        <v>0</v>
      </c>
      <c r="DE218" s="23">
        <f t="shared" si="107"/>
        <v>0</v>
      </c>
      <c r="DF218" s="23">
        <f t="shared" si="107"/>
        <v>18.5</v>
      </c>
      <c r="DG218" s="23">
        <f t="shared" si="107"/>
        <v>0</v>
      </c>
      <c r="DH218" s="23">
        <f t="shared" si="107"/>
        <v>0</v>
      </c>
      <c r="DI218" s="23">
        <f t="shared" si="107"/>
        <v>0</v>
      </c>
      <c r="DJ218" s="23">
        <f t="shared" si="107"/>
        <v>0</v>
      </c>
      <c r="DK218" s="23">
        <f t="shared" si="107"/>
        <v>0</v>
      </c>
      <c r="DL218" s="23">
        <f t="shared" si="107"/>
        <v>0</v>
      </c>
      <c r="DM218" s="23">
        <f t="shared" si="107"/>
        <v>0</v>
      </c>
      <c r="DN218" s="23">
        <f t="shared" si="107"/>
        <v>1</v>
      </c>
      <c r="DO218" s="23">
        <f t="shared" si="107"/>
        <v>0</v>
      </c>
      <c r="DP218" s="23">
        <f t="shared" si="107"/>
        <v>0</v>
      </c>
      <c r="DQ218" s="23">
        <f t="shared" si="107"/>
        <v>1</v>
      </c>
      <c r="DR218" s="23">
        <f t="shared" si="107"/>
        <v>0</v>
      </c>
      <c r="DS218" s="23">
        <f t="shared" si="107"/>
        <v>0</v>
      </c>
      <c r="DT218" s="23">
        <f t="shared" si="107"/>
        <v>0</v>
      </c>
      <c r="DU218" s="23">
        <f t="shared" si="107"/>
        <v>0</v>
      </c>
      <c r="DV218" s="23">
        <f t="shared" si="107"/>
        <v>0</v>
      </c>
      <c r="DW218" s="23">
        <f t="shared" si="107"/>
        <v>0</v>
      </c>
      <c r="DX218" s="23">
        <f t="shared" si="107"/>
        <v>0</v>
      </c>
      <c r="DY218" s="23">
        <f t="shared" si="107"/>
        <v>0</v>
      </c>
      <c r="DZ218" s="23">
        <f t="shared" si="107"/>
        <v>1</v>
      </c>
      <c r="EA218" s="23">
        <f t="shared" si="107"/>
        <v>0</v>
      </c>
      <c r="EB218" s="23">
        <f t="shared" si="107"/>
        <v>0</v>
      </c>
      <c r="EC218" s="23">
        <f t="shared" si="107"/>
        <v>0</v>
      </c>
      <c r="ED218" s="23">
        <f t="shared" si="107"/>
        <v>0</v>
      </c>
      <c r="EE218" s="23">
        <f t="shared" si="107"/>
        <v>0</v>
      </c>
      <c r="EF218" s="23">
        <f t="shared" si="107"/>
        <v>2</v>
      </c>
      <c r="EG218" s="23">
        <f t="shared" si="107"/>
        <v>0</v>
      </c>
      <c r="EH218" s="23">
        <f t="shared" si="107"/>
        <v>0</v>
      </c>
      <c r="EI218" s="23">
        <f t="shared" si="107"/>
        <v>24.5</v>
      </c>
      <c r="EJ218" s="23">
        <f t="shared" si="107"/>
        <v>26</v>
      </c>
      <c r="EK218" s="23">
        <f t="shared" si="107"/>
        <v>0</v>
      </c>
      <c r="EL218" s="23">
        <f t="shared" si="107"/>
        <v>0</v>
      </c>
      <c r="EM218" s="23">
        <f t="shared" si="107"/>
        <v>0</v>
      </c>
      <c r="EN218" s="23">
        <f t="shared" si="107"/>
        <v>0</v>
      </c>
      <c r="EO218" s="23">
        <f t="shared" si="107"/>
        <v>0</v>
      </c>
      <c r="EP218" s="23">
        <f t="shared" si="107"/>
        <v>0</v>
      </c>
      <c r="EQ218" s="23">
        <f t="shared" si="107"/>
        <v>2</v>
      </c>
      <c r="ER218" s="23">
        <f t="shared" si="107"/>
        <v>2</v>
      </c>
      <c r="ES218" s="23">
        <f t="shared" si="107"/>
        <v>0</v>
      </c>
      <c r="ET218" s="23">
        <f t="shared" si="107"/>
        <v>0</v>
      </c>
      <c r="EU218" s="23">
        <f t="shared" si="107"/>
        <v>0</v>
      </c>
      <c r="EV218" s="23">
        <f t="shared" si="107"/>
        <v>0</v>
      </c>
      <c r="EW218" s="23">
        <f t="shared" si="107"/>
        <v>0</v>
      </c>
      <c r="EX218" s="23">
        <f t="shared" si="107"/>
        <v>0</v>
      </c>
      <c r="EY218" s="23">
        <f t="shared" si="107"/>
        <v>0</v>
      </c>
      <c r="EZ218" s="23">
        <f t="shared" si="107"/>
        <v>0</v>
      </c>
      <c r="FA218" s="23">
        <f t="shared" si="107"/>
        <v>12</v>
      </c>
      <c r="FB218" s="23">
        <f t="shared" si="107"/>
        <v>0</v>
      </c>
      <c r="FC218" s="23">
        <f t="shared" si="107"/>
        <v>4</v>
      </c>
      <c r="FD218" s="23">
        <f t="shared" si="107"/>
        <v>0</v>
      </c>
      <c r="FE218" s="23">
        <f t="shared" si="107"/>
        <v>0</v>
      </c>
      <c r="FF218" s="23">
        <f t="shared" si="107"/>
        <v>0</v>
      </c>
      <c r="FG218" s="23">
        <f t="shared" si="107"/>
        <v>0</v>
      </c>
      <c r="FH218" s="23">
        <f t="shared" si="107"/>
        <v>0</v>
      </c>
      <c r="FI218" s="23">
        <f t="shared" si="107"/>
        <v>0</v>
      </c>
      <c r="FJ218" s="23">
        <f t="shared" si="107"/>
        <v>0</v>
      </c>
      <c r="FK218" s="23">
        <f t="shared" si="107"/>
        <v>0</v>
      </c>
      <c r="FL218" s="23">
        <f t="shared" si="107"/>
        <v>0</v>
      </c>
      <c r="FM218" s="23">
        <f t="shared" si="107"/>
        <v>0</v>
      </c>
      <c r="FN218" s="23">
        <f t="shared" si="107"/>
        <v>15.5</v>
      </c>
      <c r="FO218" s="23">
        <f t="shared" si="107"/>
        <v>0</v>
      </c>
      <c r="FP218" s="23">
        <f t="shared" si="107"/>
        <v>0</v>
      </c>
      <c r="FQ218" s="23">
        <f t="shared" si="107"/>
        <v>0</v>
      </c>
      <c r="FR218" s="23">
        <f t="shared" si="107"/>
        <v>0</v>
      </c>
      <c r="FS218" s="23">
        <f t="shared" si="107"/>
        <v>0</v>
      </c>
      <c r="FT218" s="23" t="e">
        <f t="shared" ca="1" si="107"/>
        <v>#NAME?</v>
      </c>
      <c r="FU218" s="23">
        <f t="shared" si="107"/>
        <v>0</v>
      </c>
      <c r="FV218" s="23">
        <f t="shared" si="107"/>
        <v>1</v>
      </c>
      <c r="FW218" s="23">
        <f t="shared" si="107"/>
        <v>2</v>
      </c>
      <c r="FX218" s="23">
        <f t="shared" si="107"/>
        <v>0</v>
      </c>
      <c r="FY218" s="23"/>
      <c r="FZ218" s="7" t="e">
        <f t="shared" ca="1" si="103"/>
        <v>#NAME?</v>
      </c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</row>
    <row r="219" spans="1:193" ht="15.5" x14ac:dyDescent="0.35">
      <c r="A219" s="12" t="s">
        <v>977</v>
      </c>
      <c r="B219" s="7" t="s">
        <v>978</v>
      </c>
      <c r="C219" s="7">
        <f t="shared" ref="C219:FX219" si="108">ROUND((C213*C214)+(C215*C217)+(C216*C218),2)</f>
        <v>72043727.930000007</v>
      </c>
      <c r="D219" s="7">
        <f t="shared" si="108"/>
        <v>426879181.75999999</v>
      </c>
      <c r="E219" s="7">
        <f t="shared" si="108"/>
        <v>63387861.700000003</v>
      </c>
      <c r="F219" s="7">
        <f t="shared" si="108"/>
        <v>268448107.88999999</v>
      </c>
      <c r="G219" s="7">
        <f t="shared" si="108"/>
        <v>20346418.600000001</v>
      </c>
      <c r="H219" s="7">
        <f t="shared" si="108"/>
        <v>12093679.810000001</v>
      </c>
      <c r="I219" s="7">
        <f t="shared" si="108"/>
        <v>88995976.400000006</v>
      </c>
      <c r="J219" s="7">
        <f t="shared" si="108"/>
        <v>22794013.82</v>
      </c>
      <c r="K219" s="7">
        <f t="shared" si="108"/>
        <v>2775911.21</v>
      </c>
      <c r="L219" s="7">
        <f t="shared" si="108"/>
        <v>23745737.32</v>
      </c>
      <c r="M219" s="7">
        <f t="shared" si="108"/>
        <v>10464768.460000001</v>
      </c>
      <c r="N219" s="7">
        <f t="shared" si="108"/>
        <v>558319878.66999996</v>
      </c>
      <c r="O219" s="7">
        <f t="shared" si="108"/>
        <v>142282824.66</v>
      </c>
      <c r="P219" s="7">
        <f t="shared" si="108"/>
        <v>3477333.35</v>
      </c>
      <c r="Q219" s="7">
        <f t="shared" si="108"/>
        <v>435748312.92000002</v>
      </c>
      <c r="R219" s="7">
        <f t="shared" si="108"/>
        <v>74679831.569999993</v>
      </c>
      <c r="S219" s="7">
        <f t="shared" si="108"/>
        <v>17697713.609999999</v>
      </c>
      <c r="T219" s="7">
        <f t="shared" si="108"/>
        <v>1776715.52</v>
      </c>
      <c r="U219" s="7">
        <f t="shared" si="108"/>
        <v>612090.07999999996</v>
      </c>
      <c r="V219" s="7">
        <f t="shared" si="108"/>
        <v>2827745.86</v>
      </c>
      <c r="W219" s="7">
        <f t="shared" si="108"/>
        <v>656969.76</v>
      </c>
      <c r="X219" s="7">
        <f t="shared" si="108"/>
        <v>551432.5</v>
      </c>
      <c r="Y219" s="7">
        <f t="shared" si="108"/>
        <v>9636221.8699999992</v>
      </c>
      <c r="Z219" s="7">
        <f t="shared" si="108"/>
        <v>2548721.02</v>
      </c>
      <c r="AA219" s="7">
        <f t="shared" si="108"/>
        <v>341330253.61000001</v>
      </c>
      <c r="AB219" s="7">
        <f t="shared" si="108"/>
        <v>300011073.61000001</v>
      </c>
      <c r="AC219" s="7">
        <f t="shared" si="108"/>
        <v>9995265.5</v>
      </c>
      <c r="AD219" s="7">
        <f t="shared" si="108"/>
        <v>15889537.619999999</v>
      </c>
      <c r="AE219" s="7">
        <f t="shared" si="108"/>
        <v>1069779.05</v>
      </c>
      <c r="AF219" s="7">
        <f t="shared" si="108"/>
        <v>1847298.88</v>
      </c>
      <c r="AG219" s="7">
        <f t="shared" si="108"/>
        <v>6629321.5199999996</v>
      </c>
      <c r="AH219" s="7">
        <f t="shared" si="108"/>
        <v>10562138.109999999</v>
      </c>
      <c r="AI219" s="7">
        <f t="shared" si="108"/>
        <v>4223972.95</v>
      </c>
      <c r="AJ219" s="7">
        <f t="shared" si="108"/>
        <v>2001699.98</v>
      </c>
      <c r="AK219" s="7">
        <f t="shared" si="108"/>
        <v>1827447.31</v>
      </c>
      <c r="AL219" s="7">
        <f t="shared" si="108"/>
        <v>3181765.53</v>
      </c>
      <c r="AM219" s="7">
        <f t="shared" si="108"/>
        <v>3888701.99</v>
      </c>
      <c r="AN219" s="7">
        <f t="shared" si="108"/>
        <v>3312668.68</v>
      </c>
      <c r="AO219" s="7">
        <f t="shared" si="108"/>
        <v>48394471.399999999</v>
      </c>
      <c r="AP219" s="7">
        <f t="shared" si="108"/>
        <v>934185150.53999996</v>
      </c>
      <c r="AQ219" s="7">
        <f t="shared" si="108"/>
        <v>2773431.15</v>
      </c>
      <c r="AR219" s="7">
        <f t="shared" si="108"/>
        <v>684631394.62</v>
      </c>
      <c r="AS219" s="7">
        <f t="shared" si="108"/>
        <v>71662625.950000003</v>
      </c>
      <c r="AT219" s="7">
        <f t="shared" si="108"/>
        <v>26069063.73</v>
      </c>
      <c r="AU219" s="7">
        <f t="shared" si="108"/>
        <v>2988764.15</v>
      </c>
      <c r="AV219" s="7">
        <f t="shared" si="108"/>
        <v>3368149.71</v>
      </c>
      <c r="AW219" s="7">
        <f t="shared" si="108"/>
        <v>2831481.75</v>
      </c>
      <c r="AX219" s="7">
        <f t="shared" si="108"/>
        <v>893320.65</v>
      </c>
      <c r="AY219" s="7">
        <f t="shared" si="108"/>
        <v>4486454.82</v>
      </c>
      <c r="AZ219" s="7">
        <f t="shared" si="108"/>
        <v>134741363.41</v>
      </c>
      <c r="BA219" s="7">
        <f t="shared" si="108"/>
        <v>100628658.67</v>
      </c>
      <c r="BB219" s="7">
        <f t="shared" si="108"/>
        <v>83410502.700000003</v>
      </c>
      <c r="BC219" s="7">
        <f t="shared" si="108"/>
        <v>272135042.50999999</v>
      </c>
      <c r="BD219" s="7">
        <f t="shared" si="108"/>
        <v>40110951.780000001</v>
      </c>
      <c r="BE219" s="7">
        <f t="shared" si="108"/>
        <v>13220042.76</v>
      </c>
      <c r="BF219" s="7">
        <f t="shared" si="108"/>
        <v>281789309.5</v>
      </c>
      <c r="BG219" s="7">
        <f t="shared" si="108"/>
        <v>10152975.189999999</v>
      </c>
      <c r="BH219" s="7">
        <f t="shared" si="108"/>
        <v>6402567.2800000003</v>
      </c>
      <c r="BI219" s="7">
        <f t="shared" si="108"/>
        <v>2838774.51</v>
      </c>
      <c r="BJ219" s="7">
        <f t="shared" si="108"/>
        <v>69621394.510000005</v>
      </c>
      <c r="BK219" s="7">
        <f t="shared" si="108"/>
        <v>380285647.66000003</v>
      </c>
      <c r="BL219" s="7">
        <f t="shared" si="108"/>
        <v>864358.7</v>
      </c>
      <c r="BM219" s="7">
        <f t="shared" si="108"/>
        <v>3935941.92</v>
      </c>
      <c r="BN219" s="7">
        <f t="shared" si="108"/>
        <v>34668315.869999997</v>
      </c>
      <c r="BO219" s="7">
        <f t="shared" si="108"/>
        <v>13861999.699999999</v>
      </c>
      <c r="BP219" s="7">
        <f t="shared" si="108"/>
        <v>1768995.46</v>
      </c>
      <c r="BQ219" s="7">
        <f t="shared" si="108"/>
        <v>64929952.659999996</v>
      </c>
      <c r="BR219" s="7">
        <f t="shared" si="108"/>
        <v>49500992.659999996</v>
      </c>
      <c r="BS219" s="7">
        <f t="shared" si="108"/>
        <v>12772279.57</v>
      </c>
      <c r="BT219" s="7">
        <f t="shared" si="108"/>
        <v>4108172.13</v>
      </c>
      <c r="BU219" s="7">
        <f t="shared" si="108"/>
        <v>4341979.51</v>
      </c>
      <c r="BV219" s="7">
        <f t="shared" si="108"/>
        <v>13733977.85</v>
      </c>
      <c r="BW219" s="7">
        <f t="shared" si="108"/>
        <v>22250301.379999999</v>
      </c>
      <c r="BX219" s="7">
        <f t="shared" si="108"/>
        <v>733405.23</v>
      </c>
      <c r="BY219" s="7">
        <f t="shared" si="108"/>
        <v>4781479.5599999996</v>
      </c>
      <c r="BZ219" s="7">
        <f t="shared" si="108"/>
        <v>2514532.2000000002</v>
      </c>
      <c r="CA219" s="7">
        <f t="shared" si="108"/>
        <v>1612388.63</v>
      </c>
      <c r="CB219" s="7">
        <f t="shared" si="108"/>
        <v>811402185.21000004</v>
      </c>
      <c r="CC219" s="7">
        <f t="shared" si="108"/>
        <v>2087723.45</v>
      </c>
      <c r="CD219" s="7">
        <f t="shared" si="108"/>
        <v>551432.5</v>
      </c>
      <c r="CE219" s="7">
        <f t="shared" si="108"/>
        <v>1745835.3</v>
      </c>
      <c r="CF219" s="7">
        <f t="shared" si="108"/>
        <v>1240723.1299999999</v>
      </c>
      <c r="CG219" s="7">
        <f t="shared" si="108"/>
        <v>2204627.14</v>
      </c>
      <c r="CH219" s="7">
        <f t="shared" si="108"/>
        <v>1064264.73</v>
      </c>
      <c r="CI219" s="7">
        <f t="shared" si="108"/>
        <v>7586608.3399999999</v>
      </c>
      <c r="CJ219" s="7">
        <f t="shared" si="108"/>
        <v>9630771.4000000004</v>
      </c>
      <c r="CK219" s="7">
        <f t="shared" si="108"/>
        <v>54154321.200000003</v>
      </c>
      <c r="CL219" s="7">
        <f t="shared" si="108"/>
        <v>13643585.66</v>
      </c>
      <c r="CM219" s="7">
        <f t="shared" si="108"/>
        <v>7579996.71</v>
      </c>
      <c r="CN219" s="7">
        <f t="shared" si="108"/>
        <v>347143787.31999999</v>
      </c>
      <c r="CO219" s="7">
        <f t="shared" si="108"/>
        <v>158674394.33000001</v>
      </c>
      <c r="CP219" s="7">
        <f t="shared" si="108"/>
        <v>10299751.310000001</v>
      </c>
      <c r="CQ219" s="7">
        <f t="shared" si="108"/>
        <v>8493163.3699999992</v>
      </c>
      <c r="CR219" s="7">
        <f t="shared" si="108"/>
        <v>2379982.67</v>
      </c>
      <c r="CS219" s="7">
        <f t="shared" si="108"/>
        <v>3148679.58</v>
      </c>
      <c r="CT219" s="7">
        <f t="shared" si="108"/>
        <v>1251751.78</v>
      </c>
      <c r="CU219" s="7">
        <f t="shared" si="108"/>
        <v>4961113.07</v>
      </c>
      <c r="CV219" s="7">
        <f t="shared" si="108"/>
        <v>551432.5</v>
      </c>
      <c r="CW219" s="7">
        <f t="shared" si="108"/>
        <v>2191392.7599999998</v>
      </c>
      <c r="CX219" s="7">
        <f t="shared" si="108"/>
        <v>5088619.1100000003</v>
      </c>
      <c r="CY219" s="7">
        <f t="shared" si="108"/>
        <v>551432.5</v>
      </c>
      <c r="CZ219" s="7">
        <f t="shared" si="108"/>
        <v>19926564.82</v>
      </c>
      <c r="DA219" s="7">
        <f t="shared" si="108"/>
        <v>2244330.2799999998</v>
      </c>
      <c r="DB219" s="7">
        <f t="shared" si="108"/>
        <v>3482847.67</v>
      </c>
      <c r="DC219" s="7">
        <f t="shared" si="108"/>
        <v>2128529.4500000002</v>
      </c>
      <c r="DD219" s="7">
        <f t="shared" si="108"/>
        <v>1924499.43</v>
      </c>
      <c r="DE219" s="7">
        <f t="shared" si="108"/>
        <v>3146473.85</v>
      </c>
      <c r="DF219" s="7">
        <f t="shared" si="108"/>
        <v>229778514.37</v>
      </c>
      <c r="DG219" s="7">
        <f t="shared" si="108"/>
        <v>1031178.78</v>
      </c>
      <c r="DH219" s="7">
        <f t="shared" si="108"/>
        <v>19911124.710000001</v>
      </c>
      <c r="DI219" s="7">
        <f t="shared" si="108"/>
        <v>27043363.800000001</v>
      </c>
      <c r="DJ219" s="7">
        <f t="shared" si="108"/>
        <v>6881328.9500000002</v>
      </c>
      <c r="DK219" s="7">
        <f t="shared" si="108"/>
        <v>5278866.1100000003</v>
      </c>
      <c r="DL219" s="7">
        <f t="shared" si="108"/>
        <v>62797133.100000001</v>
      </c>
      <c r="DM219" s="7">
        <f t="shared" si="108"/>
        <v>2591732.75</v>
      </c>
      <c r="DN219" s="7">
        <f t="shared" si="108"/>
        <v>14291415.43</v>
      </c>
      <c r="DO219" s="7">
        <f t="shared" si="108"/>
        <v>36294738.5</v>
      </c>
      <c r="DP219" s="7">
        <f t="shared" si="108"/>
        <v>2205730</v>
      </c>
      <c r="DQ219" s="7">
        <f t="shared" si="108"/>
        <v>9792000.5500000007</v>
      </c>
      <c r="DR219" s="7">
        <f t="shared" si="108"/>
        <v>14504880.48</v>
      </c>
      <c r="DS219" s="7">
        <f t="shared" si="108"/>
        <v>6616087.1399999997</v>
      </c>
      <c r="DT219" s="7">
        <f t="shared" si="108"/>
        <v>1946556.73</v>
      </c>
      <c r="DU219" s="7">
        <f t="shared" si="108"/>
        <v>3875467.61</v>
      </c>
      <c r="DV219" s="7">
        <f t="shared" si="108"/>
        <v>2293959.2000000002</v>
      </c>
      <c r="DW219" s="7">
        <f t="shared" si="108"/>
        <v>3310800.73</v>
      </c>
      <c r="DX219" s="7">
        <f t="shared" si="108"/>
        <v>1852813.2</v>
      </c>
      <c r="DY219" s="7">
        <f t="shared" si="108"/>
        <v>3271097.59</v>
      </c>
      <c r="DZ219" s="7">
        <f t="shared" si="108"/>
        <v>7517892.9199999999</v>
      </c>
      <c r="EA219" s="7">
        <f t="shared" si="108"/>
        <v>5851801.6900000004</v>
      </c>
      <c r="EB219" s="7">
        <f t="shared" si="108"/>
        <v>5893710.5599999996</v>
      </c>
      <c r="EC219" s="7">
        <f t="shared" si="108"/>
        <v>3144268.12</v>
      </c>
      <c r="ED219" s="7">
        <f t="shared" si="108"/>
        <v>17224545.57</v>
      </c>
      <c r="EE219" s="7">
        <f t="shared" si="108"/>
        <v>2113089.34</v>
      </c>
      <c r="EF219" s="7">
        <f t="shared" si="108"/>
        <v>14943145.18</v>
      </c>
      <c r="EG219" s="7">
        <f t="shared" si="108"/>
        <v>2795762.78</v>
      </c>
      <c r="EH219" s="7">
        <f t="shared" si="108"/>
        <v>2728488.01</v>
      </c>
      <c r="EI219" s="7">
        <f t="shared" si="108"/>
        <v>153166441.16999999</v>
      </c>
      <c r="EJ219" s="7">
        <f t="shared" si="108"/>
        <v>112188189.77</v>
      </c>
      <c r="EK219" s="7">
        <f t="shared" si="108"/>
        <v>7374858.2599999998</v>
      </c>
      <c r="EL219" s="7">
        <f t="shared" si="108"/>
        <v>5066561.8099999996</v>
      </c>
      <c r="EM219" s="7">
        <f t="shared" si="108"/>
        <v>4169932.57</v>
      </c>
      <c r="EN219" s="7">
        <f t="shared" si="108"/>
        <v>10342236.189999999</v>
      </c>
      <c r="EO219" s="7">
        <f t="shared" si="108"/>
        <v>3368149.71</v>
      </c>
      <c r="EP219" s="7">
        <f t="shared" si="108"/>
        <v>4725776.53</v>
      </c>
      <c r="EQ219" s="7">
        <f t="shared" si="108"/>
        <v>28852478.559999999</v>
      </c>
      <c r="ER219" s="7">
        <f t="shared" si="108"/>
        <v>3411588.74</v>
      </c>
      <c r="ES219" s="7">
        <f t="shared" si="108"/>
        <v>1797669.95</v>
      </c>
      <c r="ET219" s="7">
        <f t="shared" si="108"/>
        <v>2178158.38</v>
      </c>
      <c r="EU219" s="7">
        <f t="shared" si="108"/>
        <v>6344782.3499999996</v>
      </c>
      <c r="EV219" s="7">
        <f t="shared" si="108"/>
        <v>800679.99</v>
      </c>
      <c r="EW219" s="7">
        <f t="shared" si="108"/>
        <v>9036875.8100000005</v>
      </c>
      <c r="EX219" s="7">
        <f t="shared" si="108"/>
        <v>1913470.78</v>
      </c>
      <c r="EY219" s="7">
        <f t="shared" si="108"/>
        <v>6993416.2300000004</v>
      </c>
      <c r="EZ219" s="7">
        <f t="shared" si="108"/>
        <v>1426004.45</v>
      </c>
      <c r="FA219" s="7">
        <f t="shared" si="108"/>
        <v>37449241.979999997</v>
      </c>
      <c r="FB219" s="7">
        <f t="shared" si="108"/>
        <v>3177354.07</v>
      </c>
      <c r="FC219" s="7">
        <f t="shared" si="108"/>
        <v>20134758.030000001</v>
      </c>
      <c r="FD219" s="7">
        <f t="shared" si="108"/>
        <v>4433517.3</v>
      </c>
      <c r="FE219" s="7">
        <f t="shared" si="108"/>
        <v>871263.35</v>
      </c>
      <c r="FF219" s="7">
        <f t="shared" si="108"/>
        <v>2040300.25</v>
      </c>
      <c r="FG219" s="7">
        <f t="shared" si="108"/>
        <v>1332260.92</v>
      </c>
      <c r="FH219" s="7">
        <f t="shared" si="108"/>
        <v>772005.5</v>
      </c>
      <c r="FI219" s="7">
        <f t="shared" si="108"/>
        <v>18776276.629999999</v>
      </c>
      <c r="FJ219" s="7">
        <f t="shared" si="108"/>
        <v>22239272.73</v>
      </c>
      <c r="FK219" s="7">
        <f t="shared" si="108"/>
        <v>27892558.719999999</v>
      </c>
      <c r="FL219" s="7">
        <f t="shared" si="108"/>
        <v>94168128.030000001</v>
      </c>
      <c r="FM219" s="7">
        <f t="shared" si="108"/>
        <v>43910569.979999997</v>
      </c>
      <c r="FN219" s="7">
        <f t="shared" si="108"/>
        <v>250239712.90000001</v>
      </c>
      <c r="FO219" s="7">
        <f t="shared" si="108"/>
        <v>12342167.779999999</v>
      </c>
      <c r="FP219" s="7">
        <f t="shared" si="108"/>
        <v>25823583.98</v>
      </c>
      <c r="FQ219" s="7">
        <f t="shared" si="108"/>
        <v>10862117.390000001</v>
      </c>
      <c r="FR219" s="7">
        <f t="shared" si="108"/>
        <v>1853916.07</v>
      </c>
      <c r="FS219" s="7">
        <f t="shared" si="108"/>
        <v>1856121.8</v>
      </c>
      <c r="FT219" s="7" t="e">
        <f t="shared" ca="1" si="108"/>
        <v>#NAME?</v>
      </c>
      <c r="FU219" s="7">
        <f t="shared" si="108"/>
        <v>8724765.0199999996</v>
      </c>
      <c r="FV219" s="7">
        <f t="shared" si="108"/>
        <v>7649133.8600000003</v>
      </c>
      <c r="FW219" s="7">
        <f t="shared" si="108"/>
        <v>1645901.88</v>
      </c>
      <c r="FX219" s="7">
        <f t="shared" si="108"/>
        <v>711347.93</v>
      </c>
      <c r="FY219" s="23"/>
      <c r="FZ219" s="7" t="e">
        <f t="shared" ca="1" si="103"/>
        <v>#NAME?</v>
      </c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</row>
    <row r="220" spans="1:193" ht="15.5" x14ac:dyDescent="0.35">
      <c r="A220" s="12"/>
      <c r="B220" s="7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</row>
    <row r="221" spans="1:193" ht="15.5" x14ac:dyDescent="0.35">
      <c r="A221" s="12" t="s">
        <v>684</v>
      </c>
      <c r="B221" s="5" t="s">
        <v>979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</row>
    <row r="222" spans="1:193" ht="15.5" x14ac:dyDescent="0.35">
      <c r="A222" s="12" t="s">
        <v>980</v>
      </c>
      <c r="B222" s="7" t="s">
        <v>981</v>
      </c>
      <c r="C222" s="7">
        <f ca="1">IFERROR(__xludf.DUMMYFUNCTION("+C128"),68560651.52)</f>
        <v>68560651.519999996</v>
      </c>
      <c r="D222" s="7">
        <f ca="1">IFERROR(__xludf.DUMMYFUNCTION("+D128"),410762123.41)</f>
        <v>410762123.41000003</v>
      </c>
      <c r="E222" s="7">
        <f ca="1">IFERROR(__xludf.DUMMYFUNCTION("+E128"),61074431.97)</f>
        <v>61074431.969999999</v>
      </c>
      <c r="F222" s="7">
        <f ca="1">IFERROR(__xludf.DUMMYFUNCTION("+F128"),239436913.82)</f>
        <v>239436913.81999999</v>
      </c>
      <c r="G222" s="7">
        <f ca="1">IFERROR(__xludf.DUMMYFUNCTION("+G128"),20493814.84)</f>
        <v>20493814.84</v>
      </c>
      <c r="H222" s="7">
        <f ca="1">IFERROR(__xludf.DUMMYFUNCTION("+H128"),12515195.42)</f>
        <v>12515195.42</v>
      </c>
      <c r="I222" s="7">
        <f ca="1">IFERROR(__xludf.DUMMYFUNCTION("+I128"),85888223.75)</f>
        <v>85888223.75</v>
      </c>
      <c r="J222" s="7">
        <f ca="1">IFERROR(__xludf.DUMMYFUNCTION("+J128"),21318540.02)</f>
        <v>21318540.02</v>
      </c>
      <c r="K222" s="7">
        <f ca="1">IFERROR(__xludf.DUMMYFUNCTION("+K128"),3904376.22)</f>
        <v>3904376.22</v>
      </c>
      <c r="L222" s="7">
        <f ca="1">IFERROR(__xludf.DUMMYFUNCTION("+L128"),23804091.41)</f>
        <v>23804091.41</v>
      </c>
      <c r="M222" s="7">
        <f ca="1">IFERROR(__xludf.DUMMYFUNCTION("+M128"),11157191.87)</f>
        <v>11157191.869999999</v>
      </c>
      <c r="N222" s="7">
        <f ca="1">IFERROR(__xludf.DUMMYFUNCTION("+N128"),560243683.13)</f>
        <v>560243683.13</v>
      </c>
      <c r="O222" s="7">
        <f ca="1">IFERROR(__xludf.DUMMYFUNCTION("+O128"),138701501.91)</f>
        <v>138701501.91</v>
      </c>
      <c r="P222" s="7">
        <f ca="1">IFERROR(__xludf.DUMMYFUNCTION("+P128"),4770074.6)</f>
        <v>4770074.5999999996</v>
      </c>
      <c r="Q222" s="7">
        <f ca="1">IFERROR(__xludf.DUMMYFUNCTION("+Q128"),429948307.18)</f>
        <v>429948307.18000001</v>
      </c>
      <c r="R222" s="7">
        <f ca="1">IFERROR(__xludf.DUMMYFUNCTION("+R128"),5135823.37)</f>
        <v>5135823.37</v>
      </c>
      <c r="S222" s="7">
        <f ca="1">IFERROR(__xludf.DUMMYFUNCTION("+S128"),17466506.57)</f>
        <v>17466506.57</v>
      </c>
      <c r="T222" s="7">
        <f ca="1">IFERROR(__xludf.DUMMYFUNCTION("+T128"),2957132.03)</f>
        <v>2957132.03</v>
      </c>
      <c r="U222" s="7">
        <f ca="1">IFERROR(__xludf.DUMMYFUNCTION("+U128"),1214445.92)</f>
        <v>1214445.92</v>
      </c>
      <c r="V222" s="7">
        <f ca="1">IFERROR(__xludf.DUMMYFUNCTION("+V128"),3852307.62)</f>
        <v>3852307.62</v>
      </c>
      <c r="W222" s="7">
        <f ca="1">IFERROR(__xludf.DUMMYFUNCTION("+W128"),1275941.35)</f>
        <v>1275941.3500000001</v>
      </c>
      <c r="X222" s="7">
        <f ca="1">IFERROR(__xludf.DUMMYFUNCTION("+X128"),1102767.57)</f>
        <v>1102767.57</v>
      </c>
      <c r="Y222" s="7">
        <f ca="1">IFERROR(__xludf.DUMMYFUNCTION("+Y128"),4488443.19)</f>
        <v>4488443.1900000004</v>
      </c>
      <c r="Z222" s="7">
        <f ca="1">IFERROR(__xludf.DUMMYFUNCTION("+Z128"),3594866.71)</f>
        <v>3594866.71</v>
      </c>
      <c r="AA222" s="7">
        <f ca="1">IFERROR(__xludf.DUMMYFUNCTION("+AA128"),331585841.41)</f>
        <v>331585841.41000003</v>
      </c>
      <c r="AB222" s="7">
        <f ca="1">IFERROR(__xludf.DUMMYFUNCTION("+AB128"),298861796.91)</f>
        <v>298861796.91000003</v>
      </c>
      <c r="AC222" s="7">
        <f ca="1">IFERROR(__xludf.DUMMYFUNCTION("+AC128"),10371701.66)</f>
        <v>10371701.66</v>
      </c>
      <c r="AD222" s="7">
        <f ca="1">IFERROR(__xludf.DUMMYFUNCTION("+AD128"),15552768.96)</f>
        <v>15552768.960000001</v>
      </c>
      <c r="AE222" s="7">
        <f ca="1">IFERROR(__xludf.DUMMYFUNCTION("+AE128"),1971402.38)</f>
        <v>1971402.38</v>
      </c>
      <c r="AF222" s="7">
        <f ca="1">IFERROR(__xludf.DUMMYFUNCTION("+AF128"),3122144.31)</f>
        <v>3122144.31</v>
      </c>
      <c r="AG222" s="7">
        <f ca="1">IFERROR(__xludf.DUMMYFUNCTION("+AG128"),7449579.33)</f>
        <v>7449579.3300000001</v>
      </c>
      <c r="AH222" s="7">
        <f ca="1">IFERROR(__xludf.DUMMYFUNCTION("+AH128"),10336726.99)</f>
        <v>10336726.99</v>
      </c>
      <c r="AI222" s="7">
        <f ca="1">IFERROR(__xludf.DUMMYFUNCTION("+AI128"),4928292.28)</f>
        <v>4928292.28</v>
      </c>
      <c r="AJ222" s="7">
        <f ca="1">IFERROR(__xludf.DUMMYFUNCTION("+AJ128"),3277813.61)</f>
        <v>3277813.61</v>
      </c>
      <c r="AK222" s="7">
        <f ca="1">IFERROR(__xludf.DUMMYFUNCTION("+AK128"),3030979.96)</f>
        <v>3030979.96</v>
      </c>
      <c r="AL222" s="7">
        <f ca="1">IFERROR(__xludf.DUMMYFUNCTION("+AL128"),4144064.96)</f>
        <v>4144064.96</v>
      </c>
      <c r="AM222" s="7">
        <f ca="1">IFERROR(__xludf.DUMMYFUNCTION("+AM128"),4744764.83)</f>
        <v>4744764.83</v>
      </c>
      <c r="AN222" s="7">
        <f ca="1">IFERROR(__xludf.DUMMYFUNCTION("+AN128"),4382936.18)</f>
        <v>4382936.18</v>
      </c>
      <c r="AO222" s="7">
        <f ca="1">IFERROR(__xludf.DUMMYFUNCTION("+AO128"),42358751.14)</f>
        <v>42358751.140000001</v>
      </c>
      <c r="AP222" s="7">
        <f ca="1">IFERROR(__xludf.DUMMYFUNCTION("+AP128"),918725659.48)</f>
        <v>918725659.48000002</v>
      </c>
      <c r="AQ222" s="7">
        <f ca="1">IFERROR(__xludf.DUMMYFUNCTION("+AQ128"),4071100.81)</f>
        <v>4071100.81</v>
      </c>
      <c r="AR222" s="7">
        <f ca="1">IFERROR(__xludf.DUMMYFUNCTION("+AR128"),664154495.43)</f>
        <v>664154495.42999995</v>
      </c>
      <c r="AS222" s="7">
        <f ca="1">IFERROR(__xludf.DUMMYFUNCTION("+AS128"),74437765.24)</f>
        <v>74437765.239999995</v>
      </c>
      <c r="AT222" s="7">
        <f ca="1">IFERROR(__xludf.DUMMYFUNCTION("+AT128"),26209628.12)</f>
        <v>26209628.120000001</v>
      </c>
      <c r="AU222" s="7">
        <f ca="1">IFERROR(__xludf.DUMMYFUNCTION("+AU128"),4332524.76)</f>
        <v>4332524.76</v>
      </c>
      <c r="AV222" s="7">
        <f ca="1">IFERROR(__xludf.DUMMYFUNCTION("+AV128"),4629424.84)</f>
        <v>4629424.84</v>
      </c>
      <c r="AW222" s="7">
        <f ca="1">IFERROR(__xludf.DUMMYFUNCTION("+AW128"),4181325.89)</f>
        <v>4181325.89</v>
      </c>
      <c r="AX222" s="7">
        <f ca="1">IFERROR(__xludf.DUMMYFUNCTION("+AX128"),1828339.11)</f>
        <v>1828339.11</v>
      </c>
      <c r="AY222" s="7">
        <f ca="1">IFERROR(__xludf.DUMMYFUNCTION("+AY128"),5478975.74)</f>
        <v>5478975.7400000002</v>
      </c>
      <c r="AZ222" s="7">
        <f ca="1">IFERROR(__xludf.DUMMYFUNCTION("+AZ128"),128663891.91)</f>
        <v>128663891.91</v>
      </c>
      <c r="BA222" s="7">
        <f ca="1">IFERROR(__xludf.DUMMYFUNCTION("+BA128"),92317108.52)</f>
        <v>92317108.519999996</v>
      </c>
      <c r="BB222" s="7">
        <f ca="1">IFERROR(__xludf.DUMMYFUNCTION("+BB128"),78976730.46)</f>
        <v>78976730.459999993</v>
      </c>
      <c r="BC222" s="7">
        <f ca="1">IFERROR(__xludf.DUMMYFUNCTION("+BC128"),256902977.95)</f>
        <v>256902977.94999999</v>
      </c>
      <c r="BD222" s="7">
        <f ca="1">IFERROR(__xludf.DUMMYFUNCTION("+BD128"),38727104.41)</f>
        <v>38727104.409999996</v>
      </c>
      <c r="BE222" s="7">
        <f ca="1">IFERROR(__xludf.DUMMYFUNCTION("+BE128"),13641838.05)</f>
        <v>13641838.050000001</v>
      </c>
      <c r="BF222" s="7">
        <f ca="1">IFERROR(__xludf.DUMMYFUNCTION("+BF128"),261130259.94)</f>
        <v>261130259.94</v>
      </c>
      <c r="BG222" s="7">
        <f ca="1">IFERROR(__xludf.DUMMYFUNCTION("+BG128"),10654344.37)</f>
        <v>10654344.369999999</v>
      </c>
      <c r="BH222" s="7">
        <f ca="1">IFERROR(__xludf.DUMMYFUNCTION("+BH128"),6712970.58)</f>
        <v>6712970.5800000001</v>
      </c>
      <c r="BI222" s="7">
        <f ca="1">IFERROR(__xludf.DUMMYFUNCTION("+BI128"),4143414.11)</f>
        <v>4143414.11</v>
      </c>
      <c r="BJ222" s="7">
        <f ca="1">IFERROR(__xludf.DUMMYFUNCTION("+BJ128"),67810420.73)</f>
        <v>67810420.730000004</v>
      </c>
      <c r="BK222" s="7">
        <f ca="1">IFERROR(__xludf.DUMMYFUNCTION("+BK128"),232878378.69)</f>
        <v>232878378.69</v>
      </c>
      <c r="BL222" s="7">
        <f ca="1">IFERROR(__xludf.DUMMYFUNCTION("+BL128"),1676606.93)</f>
        <v>1676606.93</v>
      </c>
      <c r="BM222" s="7">
        <f ca="1">IFERROR(__xludf.DUMMYFUNCTION("+BM128"),4737511.43)</f>
        <v>4737511.43</v>
      </c>
      <c r="BN222" s="7">
        <f ca="1">IFERROR(__xludf.DUMMYFUNCTION("+BN128"),31839385.41)</f>
        <v>31839385.41</v>
      </c>
      <c r="BO222" s="7">
        <f ca="1">IFERROR(__xludf.DUMMYFUNCTION("+BO128"),13519994.7)</f>
        <v>13519994.699999999</v>
      </c>
      <c r="BP222" s="7">
        <f ca="1">IFERROR(__xludf.DUMMYFUNCTION("+BP128"),3041658.26)</f>
        <v>3041658.26</v>
      </c>
      <c r="BQ222" s="7">
        <f ca="1">IFERROR(__xludf.DUMMYFUNCTION("+BQ128"),67005438.83)</f>
        <v>67005438.829999998</v>
      </c>
      <c r="BR222" s="7">
        <f ca="1">IFERROR(__xludf.DUMMYFUNCTION("+BR128"),47513963.24)</f>
        <v>47513963.240000002</v>
      </c>
      <c r="BS222" s="7">
        <f ca="1">IFERROR(__xludf.DUMMYFUNCTION("+BS128"),13259805.26)</f>
        <v>13259805.26</v>
      </c>
      <c r="BT222" s="7">
        <f ca="1">IFERROR(__xludf.DUMMYFUNCTION("+BT128"),5346757.26)</f>
        <v>5346757.26</v>
      </c>
      <c r="BU222" s="7">
        <f ca="1">IFERROR(__xludf.DUMMYFUNCTION("+BU128"),5514765.7)</f>
        <v>5514765.7000000002</v>
      </c>
      <c r="BV222" s="7">
        <f ca="1">IFERROR(__xludf.DUMMYFUNCTION("+BV128"),13949960.89)</f>
        <v>13949960.890000001</v>
      </c>
      <c r="BW222" s="7">
        <f ca="1">IFERROR(__xludf.DUMMYFUNCTION("+BW128"),22264448.38)</f>
        <v>22264448.379999999</v>
      </c>
      <c r="BX222" s="7">
        <f ca="1">IFERROR(__xludf.DUMMYFUNCTION("+BX128"),1583212.45)</f>
        <v>1583212.45</v>
      </c>
      <c r="BY222" s="7">
        <f ca="1">IFERROR(__xludf.DUMMYFUNCTION("+BY128"),5464036.2)</f>
        <v>5464036.2000000002</v>
      </c>
      <c r="BZ222" s="7">
        <f ca="1">IFERROR(__xludf.DUMMYFUNCTION("+BZ128"),3606859.71)</f>
        <v>3606859.71</v>
      </c>
      <c r="CA222" s="7">
        <f ca="1">IFERROR(__xludf.DUMMYFUNCTION("+CA128"),2928169.23)</f>
        <v>2928169.23</v>
      </c>
      <c r="CB222" s="7">
        <f ca="1">IFERROR(__xludf.DUMMYFUNCTION("+CB128"),787100288.94)</f>
        <v>787100288.94000006</v>
      </c>
      <c r="CC222" s="7">
        <f ca="1">IFERROR(__xludf.DUMMYFUNCTION("+CC128"),3241550.71)</f>
        <v>3241550.71</v>
      </c>
      <c r="CD222" s="7">
        <f ca="1">IFERROR(__xludf.DUMMYFUNCTION("+CD128"),1078636.11)</f>
        <v>1078636.1100000001</v>
      </c>
      <c r="CE222" s="7">
        <f ca="1">IFERROR(__xludf.DUMMYFUNCTION("+CE128"),2903472.14)</f>
        <v>2903472.14</v>
      </c>
      <c r="CF222" s="7">
        <f ca="1">IFERROR(__xludf.DUMMYFUNCTION("+CF128"),2175580.67)</f>
        <v>2175580.67</v>
      </c>
      <c r="CG222" s="7">
        <f ca="1">IFERROR(__xludf.DUMMYFUNCTION("+CG128"),3381317.96)</f>
        <v>3381317.96</v>
      </c>
      <c r="CH222" s="7">
        <f ca="1">IFERROR(__xludf.DUMMYFUNCTION("+CH128"),1977863.19)</f>
        <v>1977863.19</v>
      </c>
      <c r="CI222" s="7">
        <f ca="1">IFERROR(__xludf.DUMMYFUNCTION("+CI128"),7585883.83)</f>
        <v>7585883.8300000001</v>
      </c>
      <c r="CJ222" s="7">
        <f ca="1">IFERROR(__xludf.DUMMYFUNCTION("+CJ128"),10129785.72)</f>
        <v>10129785.720000001</v>
      </c>
      <c r="CK222" s="7">
        <f ca="1">IFERROR(__xludf.DUMMYFUNCTION("+CK128"),53579867.02)</f>
        <v>53579867.020000003</v>
      </c>
      <c r="CL222" s="7">
        <f ca="1">IFERROR(__xludf.DUMMYFUNCTION("+CL128"),14228208.21)</f>
        <v>14228208.210000001</v>
      </c>
      <c r="CM222" s="7">
        <f ca="1">IFERROR(__xludf.DUMMYFUNCTION("+CM128"),8427295.46)</f>
        <v>8427295.4600000009</v>
      </c>
      <c r="CN222" s="7">
        <f ca="1">IFERROR(__xludf.DUMMYFUNCTION("+CN128"),320144292.04)</f>
        <v>320144292.04000002</v>
      </c>
      <c r="CO222" s="7">
        <f ca="1">IFERROR(__xludf.DUMMYFUNCTION("+CO128"),149561259.62)</f>
        <v>149561259.62</v>
      </c>
      <c r="CP222" s="7">
        <f ca="1">IFERROR(__xludf.DUMMYFUNCTION("+CP128"),10947438.14)</f>
        <v>10947438.140000001</v>
      </c>
      <c r="CQ222" s="7">
        <f ca="1">IFERROR(__xludf.DUMMYFUNCTION("+CQ128"),8924001.97)</f>
        <v>8924001.9700000007</v>
      </c>
      <c r="CR222" s="7">
        <f ca="1">IFERROR(__xludf.DUMMYFUNCTION("+CR128"),3628073.48)</f>
        <v>3628073.48</v>
      </c>
      <c r="CS222" s="7">
        <f ca="1">IFERROR(__xludf.DUMMYFUNCTION("+CS128"),4173345.51)</f>
        <v>4173345.51</v>
      </c>
      <c r="CT222" s="7">
        <f ca="1">IFERROR(__xludf.DUMMYFUNCTION("+CT128"),2252705.4)</f>
        <v>2252705.4</v>
      </c>
      <c r="CU222" s="7">
        <f ca="1">IFERROR(__xludf.DUMMYFUNCTION("+CU128"),781729.76)</f>
        <v>781729.76</v>
      </c>
      <c r="CV222" s="7">
        <f ca="1">IFERROR(__xludf.DUMMYFUNCTION("+CV128"),1053672.52)</f>
        <v>1053672.52</v>
      </c>
      <c r="CW222" s="7">
        <f ca="1">IFERROR(__xludf.DUMMYFUNCTION("+CW128"),3469285.94)</f>
        <v>3469285.94</v>
      </c>
      <c r="CX222" s="7">
        <f ca="1">IFERROR(__xludf.DUMMYFUNCTION("+CX128"),5563034.56)</f>
        <v>5563034.5599999996</v>
      </c>
      <c r="CY222" s="7">
        <f ca="1">IFERROR(__xludf.DUMMYFUNCTION("+CY128"),1112753.01)</f>
        <v>1112753.01</v>
      </c>
      <c r="CZ222" s="7">
        <f ca="1">IFERROR(__xludf.DUMMYFUNCTION("+CZ128"),19301767.42)</f>
        <v>19301767.420000002</v>
      </c>
      <c r="DA222" s="7">
        <f ca="1">IFERROR(__xludf.DUMMYFUNCTION("+DA128"),3533799.42)</f>
        <v>3533799.42</v>
      </c>
      <c r="DB222" s="7">
        <f ca="1">IFERROR(__xludf.DUMMYFUNCTION("+DB128"),4563006.42)</f>
        <v>4563006.42</v>
      </c>
      <c r="DC222" s="7">
        <f ca="1">IFERROR(__xludf.DUMMYFUNCTION("+DC128"),3451754.09)</f>
        <v>3451754.09</v>
      </c>
      <c r="DD222" s="7">
        <f ca="1">IFERROR(__xludf.DUMMYFUNCTION("+DD128"),3225534.29)</f>
        <v>3225534.29</v>
      </c>
      <c r="DE222" s="7">
        <f ca="1">IFERROR(__xludf.DUMMYFUNCTION("+DE128"),4245392.51)</f>
        <v>4245392.51</v>
      </c>
      <c r="DF222" s="7">
        <f ca="1">IFERROR(__xludf.DUMMYFUNCTION("+DF128"),210432984.9)</f>
        <v>210432984.90000001</v>
      </c>
      <c r="DG222" s="7">
        <f ca="1">IFERROR(__xludf.DUMMYFUNCTION("+DG128"),2036669.14)</f>
        <v>2036669.14</v>
      </c>
      <c r="DH222" s="7">
        <f ca="1">IFERROR(__xludf.DUMMYFUNCTION("+DH128"),18924106.59)</f>
        <v>18924106.59</v>
      </c>
      <c r="DI222" s="7">
        <f ca="1">IFERROR(__xludf.DUMMYFUNCTION("+DI128"),25266047.59)</f>
        <v>25266047.59</v>
      </c>
      <c r="DJ222" s="7">
        <f ca="1">IFERROR(__xludf.DUMMYFUNCTION("+DJ128"),7388839.24)</f>
        <v>7388839.2400000002</v>
      </c>
      <c r="DK222" s="7">
        <f ca="1">IFERROR(__xludf.DUMMYFUNCTION("+DK128"),5751651.14)</f>
        <v>5751651.1399999997</v>
      </c>
      <c r="DL222" s="7">
        <f ca="1">IFERROR(__xludf.DUMMYFUNCTION("+DL128"),61142120.35)</f>
        <v>61142120.350000001</v>
      </c>
      <c r="DM222" s="7">
        <f ca="1">IFERROR(__xludf.DUMMYFUNCTION("+DM128"),4043803.58)</f>
        <v>4043803.58</v>
      </c>
      <c r="DN222" s="7">
        <f ca="1">IFERROR(__xludf.DUMMYFUNCTION("+DN128"),14459006.78)</f>
        <v>14459006.779999999</v>
      </c>
      <c r="DO222" s="7">
        <f ca="1">IFERROR(__xludf.DUMMYFUNCTION("+DO128"),34789407.97)</f>
        <v>34789407.969999999</v>
      </c>
      <c r="DP222" s="7">
        <f ca="1">IFERROR(__xludf.DUMMYFUNCTION("+DP128"),3637215.93)</f>
        <v>3637215.93</v>
      </c>
      <c r="DQ222" s="7">
        <f ca="1">IFERROR(__xludf.DUMMYFUNCTION("+DQ128"),10145482.67)</f>
        <v>10145482.67</v>
      </c>
      <c r="DR222" s="7">
        <f ca="1">IFERROR(__xludf.DUMMYFUNCTION("+DR128"),14204579.3)</f>
        <v>14204579.300000001</v>
      </c>
      <c r="DS222" s="7">
        <f ca="1">IFERROR(__xludf.DUMMYFUNCTION("+DS128"),7007584.16)</f>
        <v>7007584.1600000001</v>
      </c>
      <c r="DT222" s="7">
        <f ca="1">IFERROR(__xludf.DUMMYFUNCTION("+DT128"),3261735.72)</f>
        <v>3261735.72</v>
      </c>
      <c r="DU222" s="7">
        <f ca="1">IFERROR(__xludf.DUMMYFUNCTION("+DU128"),4777813.73)</f>
        <v>4777813.7300000004</v>
      </c>
      <c r="DV222" s="7">
        <f ca="1">IFERROR(__xludf.DUMMYFUNCTION("+DV128"),3578492.63)</f>
        <v>3578492.63</v>
      </c>
      <c r="DW222" s="7">
        <f ca="1">IFERROR(__xludf.DUMMYFUNCTION("+DW128"),4353020.86)</f>
        <v>4353020.8600000003</v>
      </c>
      <c r="DX222" s="7">
        <f ca="1">IFERROR(__xludf.DUMMYFUNCTION("+DX128"),3565550.16)</f>
        <v>3565550.16</v>
      </c>
      <c r="DY222" s="7">
        <f ca="1">IFERROR(__xludf.DUMMYFUNCTION("+DY128"),4806797.22)</f>
        <v>4806797.22</v>
      </c>
      <c r="DZ222" s="7">
        <f ca="1">IFERROR(__xludf.DUMMYFUNCTION("+DZ128"),8460347.46)</f>
        <v>8460347.4600000009</v>
      </c>
      <c r="EA222" s="7">
        <f ca="1">IFERROR(__xludf.DUMMYFUNCTION("+EA128"),6648023.14)</f>
        <v>6648023.1399999997</v>
      </c>
      <c r="EB222" s="7">
        <f ca="1">IFERROR(__xludf.DUMMYFUNCTION("+EB128"),6235403.1)</f>
        <v>6235403.0999999996</v>
      </c>
      <c r="EC222" s="7">
        <f ca="1">IFERROR(__xludf.DUMMYFUNCTION("+EC128"),4023962.16)</f>
        <v>4023962.16</v>
      </c>
      <c r="ED222" s="7">
        <f ca="1">IFERROR(__xludf.DUMMYFUNCTION("+ED128"),23143767.77)</f>
        <v>23143767.77</v>
      </c>
      <c r="EE222" s="7">
        <f ca="1">IFERROR(__xludf.DUMMYFUNCTION("+EE128"),3288474.2)</f>
        <v>3288474.2</v>
      </c>
      <c r="EF222" s="7">
        <f ca="1">IFERROR(__xludf.DUMMYFUNCTION("+EF128"),14455304.53)</f>
        <v>14455304.529999999</v>
      </c>
      <c r="EG222" s="7">
        <f ca="1">IFERROR(__xludf.DUMMYFUNCTION("+EG128"),3717610.85)</f>
        <v>3717610.85</v>
      </c>
      <c r="EH222" s="7">
        <f ca="1">IFERROR(__xludf.DUMMYFUNCTION("+EH128"),3765860.53)</f>
        <v>3765860.53</v>
      </c>
      <c r="EI222" s="7">
        <f ca="1">IFERROR(__xludf.DUMMYFUNCTION("+EI128"),143768844.08)</f>
        <v>143768844.08000001</v>
      </c>
      <c r="EJ222" s="7">
        <f ca="1">IFERROR(__xludf.DUMMYFUNCTION("+EJ128"),102165059.96)</f>
        <v>102165059.95999999</v>
      </c>
      <c r="EK222" s="7">
        <f ca="1">IFERROR(__xludf.DUMMYFUNCTION("+EK128"),7686837.84)</f>
        <v>7686837.8399999999</v>
      </c>
      <c r="EL222" s="7">
        <f ca="1">IFERROR(__xludf.DUMMYFUNCTION("+EL128"),5373355.17)</f>
        <v>5373355.1699999999</v>
      </c>
      <c r="EM222" s="7">
        <f ca="1">IFERROR(__xludf.DUMMYFUNCTION("+EM128"),4968394.35)</f>
        <v>4968394.3499999996</v>
      </c>
      <c r="EN222" s="7">
        <f ca="1">IFERROR(__xludf.DUMMYFUNCTION("+EN128"),9800121.37)</f>
        <v>9800121.3699999992</v>
      </c>
      <c r="EO222" s="7">
        <f ca="1">IFERROR(__xludf.DUMMYFUNCTION("+EO128"),4337907.83)</f>
        <v>4337907.83</v>
      </c>
      <c r="EP222" s="7">
        <f ca="1">IFERROR(__xludf.DUMMYFUNCTION("+EP128"),5788231.39)</f>
        <v>5788231.3899999997</v>
      </c>
      <c r="EQ222" s="7">
        <f ca="1">IFERROR(__xludf.DUMMYFUNCTION("+EQ128"),29441000.54)</f>
        <v>29441000.539999999</v>
      </c>
      <c r="ER222" s="7">
        <f ca="1">IFERROR(__xludf.DUMMYFUNCTION("+ER128"),4787378.21)</f>
        <v>4787378.21</v>
      </c>
      <c r="ES222" s="7">
        <f ca="1">IFERROR(__xludf.DUMMYFUNCTION("+ES128"),2976788.15)</f>
        <v>2976788.15</v>
      </c>
      <c r="ET222" s="7">
        <f ca="1">IFERROR(__xludf.DUMMYFUNCTION("+ET128"),3886883.26)</f>
        <v>3886883.26</v>
      </c>
      <c r="EU222" s="7">
        <f ca="1">IFERROR(__xludf.DUMMYFUNCTION("+EU128"),6535982.92)</f>
        <v>6535982.9199999999</v>
      </c>
      <c r="EV222" s="7">
        <f ca="1">IFERROR(__xludf.DUMMYFUNCTION("+EV128"),1668332.3)</f>
        <v>1668332.3</v>
      </c>
      <c r="EW222" s="7">
        <f ca="1">IFERROR(__xludf.DUMMYFUNCTION("+EW128"),12425344.32)</f>
        <v>12425344.32</v>
      </c>
      <c r="EX222" s="7">
        <f ca="1">IFERROR(__xludf.DUMMYFUNCTION("+EX128"),3457801.82)</f>
        <v>3457801.82</v>
      </c>
      <c r="EY222" s="7">
        <f ca="1">IFERROR(__xludf.DUMMYFUNCTION("+EY128"),2358981.14)</f>
        <v>2358981.14</v>
      </c>
      <c r="EZ222" s="7">
        <f ca="1">IFERROR(__xludf.DUMMYFUNCTION("+EZ128"),2554454.27)</f>
        <v>2554454.27</v>
      </c>
      <c r="FA222" s="7">
        <f ca="1">IFERROR(__xludf.DUMMYFUNCTION("+FA128"),39064719.01)</f>
        <v>39064719.009999998</v>
      </c>
      <c r="FB222" s="7">
        <f ca="1">IFERROR(__xludf.DUMMYFUNCTION("+FB128"),4273945.01)</f>
        <v>4273945.01</v>
      </c>
      <c r="FC222" s="7">
        <f ca="1">IFERROR(__xludf.DUMMYFUNCTION("+FC128"),19946545.44)</f>
        <v>19946545.440000001</v>
      </c>
      <c r="FD222" s="7">
        <f ca="1">IFERROR(__xludf.DUMMYFUNCTION("+FD128"),5217274.11)</f>
        <v>5217274.1100000003</v>
      </c>
      <c r="FE222" s="7">
        <f ca="1">IFERROR(__xludf.DUMMYFUNCTION("+FE128"),1716079.49)</f>
        <v>1716079.49</v>
      </c>
      <c r="FF222" s="7">
        <f ca="1">IFERROR(__xludf.DUMMYFUNCTION("+FF128"),3364490.47)</f>
        <v>3364490.47</v>
      </c>
      <c r="FG222" s="7">
        <f ca="1">IFERROR(__xludf.DUMMYFUNCTION("+FG128"),2494678.04)</f>
        <v>2494678.04</v>
      </c>
      <c r="FH222" s="7">
        <f ca="1">IFERROR(__xludf.DUMMYFUNCTION("+FH128"),1533978.93)</f>
        <v>1533978.93</v>
      </c>
      <c r="FI222" s="7">
        <f ca="1">IFERROR(__xludf.DUMMYFUNCTION("+FI128"),18487763.83)</f>
        <v>18487763.829999998</v>
      </c>
      <c r="FJ222" s="7">
        <f ca="1">IFERROR(__xludf.DUMMYFUNCTION("+FJ128"),21416577.31)</f>
        <v>21416577.309999999</v>
      </c>
      <c r="FK222" s="7">
        <f ca="1">IFERROR(__xludf.DUMMYFUNCTION("+FK128"),26814210.04)</f>
        <v>26814210.039999999</v>
      </c>
      <c r="FL222" s="7">
        <f ca="1">IFERROR(__xludf.DUMMYFUNCTION("+FL128"),88263890.07)</f>
        <v>88263890.069999993</v>
      </c>
      <c r="FM222" s="7">
        <f ca="1">IFERROR(__xludf.DUMMYFUNCTION("+FM128"),41322719.22)</f>
        <v>41322719.219999999</v>
      </c>
      <c r="FN222" s="7">
        <f ca="1">IFERROR(__xludf.DUMMYFUNCTION("+FN128"),234031934.73)</f>
        <v>234031934.72999999</v>
      </c>
      <c r="FO222" s="7">
        <f ca="1">IFERROR(__xludf.DUMMYFUNCTION("+FO128"),12464447.46)</f>
        <v>12464447.460000001</v>
      </c>
      <c r="FP222" s="7">
        <f ca="1">IFERROR(__xludf.DUMMYFUNCTION("+FP128"),25232104.68)</f>
        <v>25232104.68</v>
      </c>
      <c r="FQ222" s="7">
        <f ca="1">IFERROR(__xludf.DUMMYFUNCTION("+FQ128"),11034628.32)</f>
        <v>11034628.32</v>
      </c>
      <c r="FR222" s="7">
        <f ca="1">IFERROR(__xludf.DUMMYFUNCTION("+FR128"),3194250.22)</f>
        <v>3194250.22</v>
      </c>
      <c r="FS222" s="7">
        <f ca="1">IFERROR(__xludf.DUMMYFUNCTION("+FS128"),3187530.27)</f>
        <v>3187530.27</v>
      </c>
      <c r="FT222" s="7">
        <f ca="1">IFERROR(__xludf.DUMMYFUNCTION("+FT128"),1300515.95)</f>
        <v>1300515.95</v>
      </c>
      <c r="FU222" s="7">
        <f ca="1">IFERROR(__xludf.DUMMYFUNCTION("+FU128"),9356374.13)</f>
        <v>9356374.1300000008</v>
      </c>
      <c r="FV222" s="7">
        <f ca="1">IFERROR(__xludf.DUMMYFUNCTION("+FV128"),8042815.79)</f>
        <v>8042815.79</v>
      </c>
      <c r="FW222" s="7">
        <f ca="1">IFERROR(__xludf.DUMMYFUNCTION("+FW128"),2898555.75)</f>
        <v>2898555.75</v>
      </c>
      <c r="FX222" s="7">
        <f ca="1">IFERROR(__xludf.DUMMYFUNCTION("+FX128"),1518420.79)</f>
        <v>1518420.79</v>
      </c>
      <c r="FY222" s="7"/>
      <c r="FZ222" s="7">
        <f t="shared" ref="FZ222:FZ228" ca="1" si="109">SUM(C222:FX222)</f>
        <v>8926862580.7700024</v>
      </c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</row>
    <row r="223" spans="1:193" ht="15.5" x14ac:dyDescent="0.35">
      <c r="A223" s="12" t="s">
        <v>982</v>
      </c>
      <c r="B223" s="7" t="s">
        <v>983</v>
      </c>
      <c r="C223" s="7">
        <f ca="1">IFERROR(__xludf.DUMMYFUNCTION("+C162"),7702524.55)</f>
        <v>7702524.5499999998</v>
      </c>
      <c r="D223" s="7">
        <f ca="1">IFERROR(__xludf.DUMMYFUNCTION("+D162"),25149309.99)</f>
        <v>25149309.989999998</v>
      </c>
      <c r="E223" s="7">
        <f ca="1">IFERROR(__xludf.DUMMYFUNCTION("+E162"),9000474.32)</f>
        <v>9000474.3200000003</v>
      </c>
      <c r="F223" s="7">
        <f ca="1">IFERROR(__xludf.DUMMYFUNCTION("+F162"),16283677.71)</f>
        <v>16283677.710000001</v>
      </c>
      <c r="G223" s="7">
        <f ca="1">IFERROR(__xludf.DUMMYFUNCTION("+G162"),1083193.69)</f>
        <v>1083193.69</v>
      </c>
      <c r="H223" s="7">
        <f ca="1">IFERROR(__xludf.DUMMYFUNCTION("+H162"),600619.73)</f>
        <v>600619.73</v>
      </c>
      <c r="I223" s="7">
        <f ca="1">IFERROR(__xludf.DUMMYFUNCTION("+I162"),11302227.64)</f>
        <v>11302227.640000001</v>
      </c>
      <c r="J223" s="7">
        <f ca="1">IFERROR(__xludf.DUMMYFUNCTION("+J162"),2620199.99)</f>
        <v>2620199.9900000002</v>
      </c>
      <c r="K223" s="7">
        <f ca="1">IFERROR(__xludf.DUMMYFUNCTION("+K162"),283125.45)</f>
        <v>283125.45</v>
      </c>
      <c r="L223" s="7">
        <f ca="1">IFERROR(__xludf.DUMMYFUNCTION("+L162"),2034225.27)</f>
        <v>2034225.27</v>
      </c>
      <c r="M223" s="7">
        <f ca="1">IFERROR(__xludf.DUMMYFUNCTION("+M162"),1515039.22)</f>
        <v>1515039.22</v>
      </c>
      <c r="N223" s="7">
        <f ca="1">IFERROR(__xludf.DUMMYFUNCTION("+N162"),25142156.91)</f>
        <v>25142156.91</v>
      </c>
      <c r="O223" s="7">
        <f ca="1">IFERROR(__xludf.DUMMYFUNCTION("+O162"),3936885.83)</f>
        <v>3936885.83</v>
      </c>
      <c r="P223" s="7">
        <f ca="1">IFERROR(__xludf.DUMMYFUNCTION("+P162"),297006.36)</f>
        <v>297006.36</v>
      </c>
      <c r="Q223" s="7">
        <f ca="1">IFERROR(__xludf.DUMMYFUNCTION("+Q162"),55064680.12)</f>
        <v>55064680.119999997</v>
      </c>
      <c r="R223" s="7">
        <f ca="1">IFERROR(__xludf.DUMMYFUNCTION("+R162"),5154876.45)</f>
        <v>5154876.45</v>
      </c>
      <c r="S223" s="7">
        <f ca="1">IFERROR(__xludf.DUMMYFUNCTION("+S162"),1320376.69)</f>
        <v>1320376.69</v>
      </c>
      <c r="T223" s="7">
        <f ca="1">IFERROR(__xludf.DUMMYFUNCTION("+T162"),261020.59)</f>
        <v>261020.59</v>
      </c>
      <c r="U223" s="7">
        <f ca="1">IFERROR(__xludf.DUMMYFUNCTION("+U162"),95842.76)</f>
        <v>95842.76</v>
      </c>
      <c r="V223" s="7">
        <f ca="1">IFERROR(__xludf.DUMMYFUNCTION("+V162"),340577.65)</f>
        <v>340577.65</v>
      </c>
      <c r="W223" s="7">
        <f ca="1">IFERROR(__xludf.DUMMYFUNCTION("+W162"),97032.41)</f>
        <v>97032.41</v>
      </c>
      <c r="X223" s="7">
        <f ca="1">IFERROR(__xludf.DUMMYFUNCTION("+X162"),59814.11)</f>
        <v>59814.11</v>
      </c>
      <c r="Y223" s="7">
        <f ca="1">IFERROR(__xludf.DUMMYFUNCTION("+Y162"),1327527.72)</f>
        <v>1327527.72</v>
      </c>
      <c r="Z223" s="7">
        <f ca="1">IFERROR(__xludf.DUMMYFUNCTION("+Z162"),168185.63)</f>
        <v>168185.63</v>
      </c>
      <c r="AA223" s="7">
        <f ca="1">IFERROR(__xludf.DUMMYFUNCTION("+AA162"),14756771.41)</f>
        <v>14756771.41</v>
      </c>
      <c r="AB223" s="7">
        <f ca="1">IFERROR(__xludf.DUMMYFUNCTION("+AB162"),9833669.59)</f>
        <v>9833669.5899999999</v>
      </c>
      <c r="AC223" s="7">
        <f ca="1">IFERROR(__xludf.DUMMYFUNCTION("+AC162"),428326.22)</f>
        <v>428326.22</v>
      </c>
      <c r="AD223" s="7">
        <f ca="1">IFERROR(__xludf.DUMMYFUNCTION("+AD162"),727363.7)</f>
        <v>727363.7</v>
      </c>
      <c r="AE223" s="7">
        <f ca="1">IFERROR(__xludf.DUMMYFUNCTION("+AE162"),165110.03)</f>
        <v>165110.03</v>
      </c>
      <c r="AF223" s="7">
        <f ca="1">IFERROR(__xludf.DUMMYFUNCTION("+AF162"),200413.71)</f>
        <v>200413.71</v>
      </c>
      <c r="AG223" s="7">
        <f ca="1">IFERROR(__xludf.DUMMYFUNCTION("+AG162"),279740.32)</f>
        <v>279740.32</v>
      </c>
      <c r="AH223" s="7">
        <f ca="1">IFERROR(__xludf.DUMMYFUNCTION("+AH162"),953247.2)</f>
        <v>953247.2</v>
      </c>
      <c r="AI223" s="7">
        <f ca="1">IFERROR(__xludf.DUMMYFUNCTION("+AI162"),361631.14)</f>
        <v>361631.14</v>
      </c>
      <c r="AJ223" s="7">
        <f ca="1">IFERROR(__xludf.DUMMYFUNCTION("+AJ162"),333090.88)</f>
        <v>333090.88</v>
      </c>
      <c r="AK223" s="7">
        <f ca="1">IFERROR(__xludf.DUMMYFUNCTION("+AK162"),325962.96)</f>
        <v>325962.96000000002</v>
      </c>
      <c r="AL223" s="7">
        <f ca="1">IFERROR(__xludf.DUMMYFUNCTION("+AL162"),410068.51)</f>
        <v>410068.51</v>
      </c>
      <c r="AM223" s="7">
        <f ca="1">IFERROR(__xludf.DUMMYFUNCTION("+AM162"),324570.98)</f>
        <v>324570.98</v>
      </c>
      <c r="AN223" s="7">
        <f ca="1">IFERROR(__xludf.DUMMYFUNCTION("+AN162"),245151.74)</f>
        <v>245151.74</v>
      </c>
      <c r="AO223" s="7">
        <f ca="1">IFERROR(__xludf.DUMMYFUNCTION("+AO162"),3392999.36)</f>
        <v>3392999.36</v>
      </c>
      <c r="AP223" s="7">
        <f ca="1">IFERROR(__xludf.DUMMYFUNCTION("+AP162"),78296235.93)</f>
        <v>78296235.930000007</v>
      </c>
      <c r="AQ223" s="7">
        <f ca="1">IFERROR(__xludf.DUMMYFUNCTION("+AQ162"),294870.97)</f>
        <v>294870.96999999997</v>
      </c>
      <c r="AR223" s="7">
        <f ca="1">IFERROR(__xludf.DUMMYFUNCTION("+AR162"),14101608.78)</f>
        <v>14101608.779999999</v>
      </c>
      <c r="AS223" s="7">
        <f ca="1">IFERROR(__xludf.DUMMYFUNCTION("+AS162"),3689853.5)</f>
        <v>3689853.5</v>
      </c>
      <c r="AT223" s="7">
        <f ca="1">IFERROR(__xludf.DUMMYFUNCTION("+AT162"),806477.43)</f>
        <v>806477.43</v>
      </c>
      <c r="AU223" s="7">
        <f ca="1">IFERROR(__xludf.DUMMYFUNCTION("+AU162"),207769.34)</f>
        <v>207769.34</v>
      </c>
      <c r="AV223" s="7">
        <f ca="1">IFERROR(__xludf.DUMMYFUNCTION("+AV162"),340340.03)</f>
        <v>340340.03</v>
      </c>
      <c r="AW223" s="7">
        <f ca="1">IFERROR(__xludf.DUMMYFUNCTION("+AW162"),173746.39)</f>
        <v>173746.39</v>
      </c>
      <c r="AX223" s="7">
        <f ca="1">IFERROR(__xludf.DUMMYFUNCTION("+AX162"),120264.08)</f>
        <v>120264.08</v>
      </c>
      <c r="AY223" s="7">
        <f ca="1">IFERROR(__xludf.DUMMYFUNCTION("+AY162"),340375.31)</f>
        <v>340375.31</v>
      </c>
      <c r="AZ223" s="7">
        <f ca="1">IFERROR(__xludf.DUMMYFUNCTION("+AZ162"),11966830.19)</f>
        <v>11966830.189999999</v>
      </c>
      <c r="BA223" s="7">
        <f ca="1">IFERROR(__xludf.DUMMYFUNCTION("+BA162"),5483637.6)</f>
        <v>5483637.5999999996</v>
      </c>
      <c r="BB223" s="7">
        <f ca="1">IFERROR(__xludf.DUMMYFUNCTION("+BB162"),4612477.33)</f>
        <v>4612477.33</v>
      </c>
      <c r="BC223" s="7">
        <f ca="1">IFERROR(__xludf.DUMMYFUNCTION("+BC162"),19124788.96)</f>
        <v>19124788.960000001</v>
      </c>
      <c r="BD223" s="7">
        <f ca="1">IFERROR(__xludf.DUMMYFUNCTION("+BD162"),1017062.12)</f>
        <v>1017062.12</v>
      </c>
      <c r="BE223" s="7">
        <f ca="1">IFERROR(__xludf.DUMMYFUNCTION("+BE162"),567159.96)</f>
        <v>567159.96</v>
      </c>
      <c r="BF223" s="7">
        <f ca="1">IFERROR(__xludf.DUMMYFUNCTION("+BF162"),7601617.59)</f>
        <v>7601617.5899999999</v>
      </c>
      <c r="BG223" s="7">
        <f ca="1">IFERROR(__xludf.DUMMYFUNCTION("+BG162"),822488.54)</f>
        <v>822488.54</v>
      </c>
      <c r="BH223" s="7">
        <f ca="1">IFERROR(__xludf.DUMMYFUNCTION("+BH162"),252560.85)</f>
        <v>252560.85</v>
      </c>
      <c r="BI223" s="7">
        <f ca="1">IFERROR(__xludf.DUMMYFUNCTION("+BI162"),368754.2)</f>
        <v>368754.2</v>
      </c>
      <c r="BJ223" s="7">
        <f ca="1">IFERROR(__xludf.DUMMYFUNCTION("+BJ162"),1422668.53)</f>
        <v>1422668.53</v>
      </c>
      <c r="BK223" s="7">
        <f ca="1">IFERROR(__xludf.DUMMYFUNCTION("+BK162"),18259110.43)</f>
        <v>18259110.43</v>
      </c>
      <c r="BL223" s="7">
        <f ca="1">IFERROR(__xludf.DUMMYFUNCTION("+BL162"),150826.93)</f>
        <v>150826.93</v>
      </c>
      <c r="BM223" s="7">
        <f ca="1">IFERROR(__xludf.DUMMYFUNCTION("+BM162"),382003.56)</f>
        <v>382003.56</v>
      </c>
      <c r="BN223" s="7">
        <f ca="1">IFERROR(__xludf.DUMMYFUNCTION("+BN162"),2381038.71)</f>
        <v>2381038.71</v>
      </c>
      <c r="BO223" s="7">
        <f ca="1">IFERROR(__xludf.DUMMYFUNCTION("+BO162"),929495.27)</f>
        <v>929495.27</v>
      </c>
      <c r="BP223" s="7">
        <f ca="1">IFERROR(__xludf.DUMMYFUNCTION("+BP162"),199338.6)</f>
        <v>199338.6</v>
      </c>
      <c r="BQ223" s="7">
        <f ca="1">IFERROR(__xludf.DUMMYFUNCTION("+BQ162"),4047062.13)</f>
        <v>4047062.13</v>
      </c>
      <c r="BR223" s="7">
        <f ca="1">IFERROR(__xludf.DUMMYFUNCTION("+BR162"),2861589.72)</f>
        <v>2861589.72</v>
      </c>
      <c r="BS223" s="7">
        <f ca="1">IFERROR(__xludf.DUMMYFUNCTION("+BS162"),1236615.1)</f>
        <v>1236615.1000000001</v>
      </c>
      <c r="BT223" s="7">
        <f ca="1">IFERROR(__xludf.DUMMYFUNCTION("+BT162"),280241.85)</f>
        <v>280241.84999999998</v>
      </c>
      <c r="BU223" s="7">
        <f ca="1">IFERROR(__xludf.DUMMYFUNCTION("+BU162"),280206.69)</f>
        <v>280206.69</v>
      </c>
      <c r="BV223" s="7">
        <f ca="1">IFERROR(__xludf.DUMMYFUNCTION("+BV162"),556116.48)</f>
        <v>556116.47999999998</v>
      </c>
      <c r="BW223" s="7">
        <f ca="1">IFERROR(__xludf.DUMMYFUNCTION("+BW162"),946859.81)</f>
        <v>946859.81</v>
      </c>
      <c r="BX223" s="7">
        <f ca="1">IFERROR(__xludf.DUMMYFUNCTION("+BX162"),64280.81)</f>
        <v>64280.81</v>
      </c>
      <c r="BY223" s="7">
        <f ca="1">IFERROR(__xludf.DUMMYFUNCTION("+BY162"),523542.71)</f>
        <v>523542.71</v>
      </c>
      <c r="BZ223" s="7">
        <f ca="1">IFERROR(__xludf.DUMMYFUNCTION("+BZ162"),310569.6)</f>
        <v>310569.59999999998</v>
      </c>
      <c r="CA223" s="7">
        <f ca="1">IFERROR(__xludf.DUMMYFUNCTION("+CA162"),109115.36)</f>
        <v>109115.36</v>
      </c>
      <c r="CB223" s="7">
        <f ca="1">IFERROR(__xludf.DUMMYFUNCTION("+CB162"),29316995.15)</f>
        <v>29316995.149999999</v>
      </c>
      <c r="CC223" s="7">
        <f ca="1">IFERROR(__xludf.DUMMYFUNCTION("+CC162"),249871.67)</f>
        <v>249871.67</v>
      </c>
      <c r="CD223" s="7">
        <f ca="1">IFERROR(__xludf.DUMMYFUNCTION("+CD162"),31582.47)</f>
        <v>31582.47</v>
      </c>
      <c r="CE223" s="7">
        <f ca="1">IFERROR(__xludf.DUMMYFUNCTION("+CE162"),162433.03)</f>
        <v>162433.03</v>
      </c>
      <c r="CF223" s="7">
        <f ca="1">IFERROR(__xludf.DUMMYFUNCTION("+CF162"),116030.97)</f>
        <v>116030.97</v>
      </c>
      <c r="CG223" s="7">
        <f ca="1">IFERROR(__xludf.DUMMYFUNCTION("+CG162"),176187.13)</f>
        <v>176187.13</v>
      </c>
      <c r="CH223" s="7">
        <f ca="1">IFERROR(__xludf.DUMMYFUNCTION("+CH162"),167247.29)</f>
        <v>167247.29</v>
      </c>
      <c r="CI223" s="7">
        <f ca="1">IFERROR(__xludf.DUMMYFUNCTION("+CI162"),631890.12)</f>
        <v>631890.12</v>
      </c>
      <c r="CJ223" s="7">
        <f ca="1">IFERROR(__xludf.DUMMYFUNCTION("+CJ162"),782829.8)</f>
        <v>782829.8</v>
      </c>
      <c r="CK223" s="7">
        <f ca="1">IFERROR(__xludf.DUMMYFUNCTION("+CK162"),2363477.21)</f>
        <v>2363477.21</v>
      </c>
      <c r="CL223" s="7">
        <f ca="1">IFERROR(__xludf.DUMMYFUNCTION("+CL162"),685928.44)</f>
        <v>685928.44</v>
      </c>
      <c r="CM223" s="7">
        <f ca="1">IFERROR(__xludf.DUMMYFUNCTION("+CM162"),545028.26)</f>
        <v>545028.26</v>
      </c>
      <c r="CN223" s="7">
        <f ca="1">IFERROR(__xludf.DUMMYFUNCTION("+CN162"),12268475.35)</f>
        <v>12268475.35</v>
      </c>
      <c r="CO223" s="7">
        <f ca="1">IFERROR(__xludf.DUMMYFUNCTION("+CO162"),5886809.36)</f>
        <v>5886809.3600000003</v>
      </c>
      <c r="CP223" s="7">
        <f ca="1">IFERROR(__xludf.DUMMYFUNCTION("+CP162"),603286.3)</f>
        <v>603286.30000000005</v>
      </c>
      <c r="CQ223" s="7">
        <f ca="1">IFERROR(__xludf.DUMMYFUNCTION("+CQ162"),1022295.94)</f>
        <v>1022295.94</v>
      </c>
      <c r="CR223" s="7">
        <f ca="1">IFERROR(__xludf.DUMMYFUNCTION("+CR162"),147880.14)</f>
        <v>147880.14000000001</v>
      </c>
      <c r="CS223" s="7">
        <f ca="1">IFERROR(__xludf.DUMMYFUNCTION("+CS162"),174535.01)</f>
        <v>174535.01</v>
      </c>
      <c r="CT223" s="7">
        <f ca="1">IFERROR(__xludf.DUMMYFUNCTION("+CT162"),215783.38)</f>
        <v>215783.38</v>
      </c>
      <c r="CU223" s="7">
        <f ca="1">IFERROR(__xludf.DUMMYFUNCTION("+CU162"),272669.08)</f>
        <v>272669.08</v>
      </c>
      <c r="CV223" s="7">
        <f ca="1">IFERROR(__xludf.DUMMYFUNCTION("+CV162"),23012.21)</f>
        <v>23012.21</v>
      </c>
      <c r="CW223" s="7">
        <f ca="1">IFERROR(__xludf.DUMMYFUNCTION("+CW162"),220414.02)</f>
        <v>220414.02</v>
      </c>
      <c r="CX223" s="7">
        <f ca="1">IFERROR(__xludf.DUMMYFUNCTION("+CX162"),337153.17)</f>
        <v>337153.17</v>
      </c>
      <c r="CY223" s="7">
        <f ca="1">IFERROR(__xludf.DUMMYFUNCTION("+CY162"),35252.02)</f>
        <v>35252.019999999997</v>
      </c>
      <c r="CZ223" s="7">
        <f ca="1">IFERROR(__xludf.DUMMYFUNCTION("+CZ162"),1344401.22)</f>
        <v>1344401.22</v>
      </c>
      <c r="DA223" s="7">
        <f ca="1">IFERROR(__xludf.DUMMYFUNCTION("+DA162"),105232.55)</f>
        <v>105232.55</v>
      </c>
      <c r="DB223" s="7">
        <f ca="1">IFERROR(__xludf.DUMMYFUNCTION("+DB162"),157783.5)</f>
        <v>157783.5</v>
      </c>
      <c r="DC223" s="7">
        <f ca="1">IFERROR(__xludf.DUMMYFUNCTION("+DC162"),108596.12)</f>
        <v>108596.12</v>
      </c>
      <c r="DD223" s="7">
        <f ca="1">IFERROR(__xludf.DUMMYFUNCTION("+DD162"),243550.94)</f>
        <v>243550.94</v>
      </c>
      <c r="DE223" s="7">
        <f ca="1">IFERROR(__xludf.DUMMYFUNCTION("+DE162"),231242.2)</f>
        <v>231242.2</v>
      </c>
      <c r="DF223" s="7">
        <f ca="1">IFERROR(__xludf.DUMMYFUNCTION("+DF162"),14838409.64)</f>
        <v>14838409.640000001</v>
      </c>
      <c r="DG223" s="7">
        <f ca="1">IFERROR(__xludf.DUMMYFUNCTION("+DG162"),98282.9)</f>
        <v>98282.9</v>
      </c>
      <c r="DH223" s="7">
        <f ca="1">IFERROR(__xludf.DUMMYFUNCTION("+DH162"),1297872.44)</f>
        <v>1297872.44</v>
      </c>
      <c r="DI223" s="7">
        <f ca="1">IFERROR(__xludf.DUMMYFUNCTION("+DI162"),2237974.71)</f>
        <v>2237974.71</v>
      </c>
      <c r="DJ223" s="7">
        <f ca="1">IFERROR(__xludf.DUMMYFUNCTION("+DJ162"),503211.97)</f>
        <v>503211.97</v>
      </c>
      <c r="DK223" s="7">
        <f ca="1">IFERROR(__xludf.DUMMYFUNCTION("+DK162"),284054.75)</f>
        <v>284054.75</v>
      </c>
      <c r="DL223" s="7">
        <f ca="1">IFERROR(__xludf.DUMMYFUNCTION("+DL162"),4289317.1)</f>
        <v>4289317.0999999996</v>
      </c>
      <c r="DM223" s="7">
        <f ca="1">IFERROR(__xludf.DUMMYFUNCTION("+DM162"),283100.67)</f>
        <v>283100.67</v>
      </c>
      <c r="DN223" s="7">
        <f ca="1">IFERROR(__xludf.DUMMYFUNCTION("+DN162"),1309224.69)</f>
        <v>1309224.69</v>
      </c>
      <c r="DO223" s="7">
        <f ca="1">IFERROR(__xludf.DUMMYFUNCTION("+DO162"),2781204.44)</f>
        <v>2781204.44</v>
      </c>
      <c r="DP223" s="7">
        <f ca="1">IFERROR(__xludf.DUMMYFUNCTION("+DP162"),144688.45)</f>
        <v>144688.45000000001</v>
      </c>
      <c r="DQ223" s="7">
        <f ca="1">IFERROR(__xludf.DUMMYFUNCTION("+DQ162"),512100.96)</f>
        <v>512100.96</v>
      </c>
      <c r="DR223" s="7">
        <f ca="1">IFERROR(__xludf.DUMMYFUNCTION("+DR162"),1667379.13)</f>
        <v>1667379.13</v>
      </c>
      <c r="DS223" s="7">
        <f ca="1">IFERROR(__xludf.DUMMYFUNCTION("+DS162"),894329.53)</f>
        <v>894329.53</v>
      </c>
      <c r="DT223" s="7">
        <f ca="1">IFERROR(__xludf.DUMMYFUNCTION("+DT162"),337520.35)</f>
        <v>337520.35</v>
      </c>
      <c r="DU223" s="7">
        <f ca="1">IFERROR(__xludf.DUMMYFUNCTION("+DU162"),338226.79)</f>
        <v>338226.79</v>
      </c>
      <c r="DV223" s="7">
        <f ca="1">IFERROR(__xludf.DUMMYFUNCTION("+DV162"),190141.83)</f>
        <v>190141.83</v>
      </c>
      <c r="DW223" s="7">
        <f ca="1">IFERROR(__xludf.DUMMYFUNCTION("+DW162"),263269.31)</f>
        <v>263269.31</v>
      </c>
      <c r="DX223" s="7">
        <f ca="1">IFERROR(__xludf.DUMMYFUNCTION("+DX162"),144404.78)</f>
        <v>144404.78</v>
      </c>
      <c r="DY223" s="7">
        <f ca="1">IFERROR(__xludf.DUMMYFUNCTION("+DY162"),138466.88)</f>
        <v>138466.88</v>
      </c>
      <c r="DZ223" s="7">
        <f ca="1">IFERROR(__xludf.DUMMYFUNCTION("+DZ162"),358197.79)</f>
        <v>358197.79</v>
      </c>
      <c r="EA223" s="7">
        <f ca="1">IFERROR(__xludf.DUMMYFUNCTION("+EA162"),334380.78)</f>
        <v>334380.78000000003</v>
      </c>
      <c r="EB223" s="7">
        <f ca="1">IFERROR(__xludf.DUMMYFUNCTION("+EB162"),488363.68)</f>
        <v>488363.68</v>
      </c>
      <c r="EC223" s="7">
        <f ca="1">IFERROR(__xludf.DUMMYFUNCTION("+EC162"),163611.96)</f>
        <v>163611.96</v>
      </c>
      <c r="ED223" s="7">
        <f ca="1">IFERROR(__xludf.DUMMYFUNCTION("+ED162"),183158.52)</f>
        <v>183158.52</v>
      </c>
      <c r="EE223" s="7">
        <f ca="1">IFERROR(__xludf.DUMMYFUNCTION("+EE162"),272483.38)</f>
        <v>272483.38</v>
      </c>
      <c r="EF223" s="7">
        <f ca="1">IFERROR(__xludf.DUMMYFUNCTION("+EF162"),1593783.85)</f>
        <v>1593783.85</v>
      </c>
      <c r="EG223" s="7">
        <f ca="1">IFERROR(__xludf.DUMMYFUNCTION("+EG162"),283858.29)</f>
        <v>283858.28999999998</v>
      </c>
      <c r="EH223" s="7">
        <f ca="1">IFERROR(__xludf.DUMMYFUNCTION("+EH162"),238737.9)</f>
        <v>238737.9</v>
      </c>
      <c r="EI223" s="7">
        <f ca="1">IFERROR(__xludf.DUMMYFUNCTION("+EI162"),18252061.22)</f>
        <v>18252061.219999999</v>
      </c>
      <c r="EJ223" s="7">
        <f ca="1">IFERROR(__xludf.DUMMYFUNCTION("+EJ162"),6552800.9)</f>
        <v>6552800.9000000004</v>
      </c>
      <c r="EK223" s="7">
        <f ca="1">IFERROR(__xludf.DUMMYFUNCTION("+EK162"),350649.47)</f>
        <v>350649.47</v>
      </c>
      <c r="EL223" s="7">
        <f ca="1">IFERROR(__xludf.DUMMYFUNCTION("+EL162"),303521.7)</f>
        <v>303521.7</v>
      </c>
      <c r="EM223" s="7">
        <f ca="1">IFERROR(__xludf.DUMMYFUNCTION("+EM162"),328773.41)</f>
        <v>328773.40999999997</v>
      </c>
      <c r="EN223" s="7">
        <f ca="1">IFERROR(__xludf.DUMMYFUNCTION("+EN162"),1117499.9)</f>
        <v>1117499.8999999999</v>
      </c>
      <c r="EO223" s="7">
        <f ca="1">IFERROR(__xludf.DUMMYFUNCTION("+EO162"),235559.47)</f>
        <v>235559.47</v>
      </c>
      <c r="EP223" s="7">
        <f ca="1">IFERROR(__xludf.DUMMYFUNCTION("+EP162"),191275.04)</f>
        <v>191275.04</v>
      </c>
      <c r="EQ223" s="7">
        <f ca="1">IFERROR(__xludf.DUMMYFUNCTION("+EQ162"),649179.47)</f>
        <v>649179.47</v>
      </c>
      <c r="ER223" s="7">
        <f ca="1">IFERROR(__xludf.DUMMYFUNCTION("+ER162"),163791.83)</f>
        <v>163791.82999999999</v>
      </c>
      <c r="ES223" s="7">
        <f ca="1">IFERROR(__xludf.DUMMYFUNCTION("+ES162"),272622.66)</f>
        <v>272622.65999999997</v>
      </c>
      <c r="ET223" s="7">
        <f ca="1">IFERROR(__xludf.DUMMYFUNCTION("+ET162"),361568.7)</f>
        <v>361568.7</v>
      </c>
      <c r="EU223" s="7">
        <f ca="1">IFERROR(__xludf.DUMMYFUNCTION("+EU162"),1158927.58)</f>
        <v>1158927.58</v>
      </c>
      <c r="EV223" s="7">
        <f ca="1">IFERROR(__xludf.DUMMYFUNCTION("+EV162"),111130.23)</f>
        <v>111130.23</v>
      </c>
      <c r="EW223" s="7">
        <f ca="1">IFERROR(__xludf.DUMMYFUNCTION("+EW162"),417797.27)</f>
        <v>417797.27</v>
      </c>
      <c r="EX223" s="7">
        <f ca="1">IFERROR(__xludf.DUMMYFUNCTION("+EX162"),220502.13)</f>
        <v>220502.13</v>
      </c>
      <c r="EY223" s="7">
        <f ca="1">IFERROR(__xludf.DUMMYFUNCTION("+EY162"),669249.91)</f>
        <v>669249.91</v>
      </c>
      <c r="EZ223" s="7">
        <f ca="1">IFERROR(__xludf.DUMMYFUNCTION("+EZ162"),165713.55)</f>
        <v>165713.54999999999</v>
      </c>
      <c r="FA223" s="7">
        <f ca="1">IFERROR(__xludf.DUMMYFUNCTION("+FA162"),1780553.55)</f>
        <v>1780553.55</v>
      </c>
      <c r="FB223" s="7">
        <f ca="1">IFERROR(__xludf.DUMMYFUNCTION("+FB162"),381139.17)</f>
        <v>381139.17</v>
      </c>
      <c r="FC223" s="7">
        <f ca="1">IFERROR(__xludf.DUMMYFUNCTION("+FC162"),812705.15)</f>
        <v>812705.15</v>
      </c>
      <c r="FD223" s="7">
        <f ca="1">IFERROR(__xludf.DUMMYFUNCTION("+FD162"),355086.12)</f>
        <v>355086.12</v>
      </c>
      <c r="FE223" s="7">
        <f ca="1">IFERROR(__xludf.DUMMYFUNCTION("+FE162"),124339.73)</f>
        <v>124339.73</v>
      </c>
      <c r="FF223" s="7">
        <f ca="1">IFERROR(__xludf.DUMMYFUNCTION("+FF162"),224347.86)</f>
        <v>224347.86</v>
      </c>
      <c r="FG223" s="7">
        <f ca="1">IFERROR(__xludf.DUMMYFUNCTION("+FG162"),130351.06)</f>
        <v>130351.06</v>
      </c>
      <c r="FH223" s="7">
        <f ca="1">IFERROR(__xludf.DUMMYFUNCTION("+FH162"),84412.67)</f>
        <v>84412.67</v>
      </c>
      <c r="FI223" s="7">
        <f ca="1">IFERROR(__xludf.DUMMYFUNCTION("+FI162"),1488162.37)</f>
        <v>1488162.37</v>
      </c>
      <c r="FJ223" s="7">
        <f ca="1">IFERROR(__xludf.DUMMYFUNCTION("+FJ162"),953056.28)</f>
        <v>953056.28</v>
      </c>
      <c r="FK223" s="7">
        <f ca="1">IFERROR(__xludf.DUMMYFUNCTION("+FK162"),1811742.16)</f>
        <v>1811742.16</v>
      </c>
      <c r="FL223" s="7">
        <f ca="1">IFERROR(__xludf.DUMMYFUNCTION("+FL162"),2694154.84)</f>
        <v>2694154.84</v>
      </c>
      <c r="FM223" s="7">
        <f ca="1">IFERROR(__xludf.DUMMYFUNCTION("+FM162"),1619323.36)</f>
        <v>1619323.36</v>
      </c>
      <c r="FN223" s="7">
        <f ca="1">IFERROR(__xludf.DUMMYFUNCTION("+FN162"),23696133.83)</f>
        <v>23696133.829999998</v>
      </c>
      <c r="FO223" s="7">
        <f ca="1">IFERROR(__xludf.DUMMYFUNCTION("+FO162"),784156.66)</f>
        <v>784156.66</v>
      </c>
      <c r="FP223" s="7">
        <f ca="1">IFERROR(__xludf.DUMMYFUNCTION("+FP162"),1825259.1)</f>
        <v>1825259.1</v>
      </c>
      <c r="FQ223" s="7">
        <f ca="1">IFERROR(__xludf.DUMMYFUNCTION("+FQ162"),475937.67)</f>
        <v>475937.67</v>
      </c>
      <c r="FR223" s="7">
        <f ca="1">IFERROR(__xludf.DUMMYFUNCTION("+FR162"),100787.05)</f>
        <v>100787.05</v>
      </c>
      <c r="FS223" s="7">
        <f ca="1">IFERROR(__xludf.DUMMYFUNCTION("+FS162"),102273.7)</f>
        <v>102273.7</v>
      </c>
      <c r="FT223" s="7">
        <f ca="1">IFERROR(__xludf.DUMMYFUNCTION("+FT162"),88665.26)</f>
        <v>88665.26</v>
      </c>
      <c r="FU223" s="7">
        <f ca="1">IFERROR(__xludf.DUMMYFUNCTION("+FU162"),769260.71)</f>
        <v>769260.71</v>
      </c>
      <c r="FV223" s="7">
        <f ca="1">IFERROR(__xludf.DUMMYFUNCTION("+FV162"),665564.09)</f>
        <v>665564.09</v>
      </c>
      <c r="FW223" s="7">
        <f ca="1">IFERROR(__xludf.DUMMYFUNCTION("+FW162"),192660.61)</f>
        <v>192660.61</v>
      </c>
      <c r="FX223" s="7">
        <f ca="1">IFERROR(__xludf.DUMMYFUNCTION("+FX162"),82771.59)</f>
        <v>82771.59</v>
      </c>
      <c r="FY223" s="7"/>
      <c r="FZ223" s="7">
        <f t="shared" ca="1" si="109"/>
        <v>556571420.48000002</v>
      </c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</row>
    <row r="224" spans="1:193" ht="15.5" x14ac:dyDescent="0.35">
      <c r="A224" s="12" t="s">
        <v>984</v>
      </c>
      <c r="B224" s="7" t="s">
        <v>985</v>
      </c>
      <c r="C224" s="7">
        <f ca="1">IFERROR(__xludf.DUMMYFUNCTION("+C222+C223"),76263176.07)</f>
        <v>76263176.069999993</v>
      </c>
      <c r="D224" s="7">
        <f ca="1">IFERROR(__xludf.DUMMYFUNCTION("+D222+D223"),435911433.4)</f>
        <v>435911433.39999998</v>
      </c>
      <c r="E224" s="7">
        <f ca="1">IFERROR(__xludf.DUMMYFUNCTION("+E222+E223"),70074906.2899999)</f>
        <v>70074906.289999902</v>
      </c>
      <c r="F224" s="7">
        <f ca="1">IFERROR(__xludf.DUMMYFUNCTION("+F222+F223"),255720591.53)</f>
        <v>255720591.53</v>
      </c>
      <c r="G224" s="7">
        <f ca="1">IFERROR(__xludf.DUMMYFUNCTION("+G222+G223"),21577008.53)</f>
        <v>21577008.530000001</v>
      </c>
      <c r="H224" s="7">
        <f ca="1">IFERROR(__xludf.DUMMYFUNCTION("+H222+H223"),13115815.15)</f>
        <v>13115815.15</v>
      </c>
      <c r="I224" s="7">
        <f ca="1">IFERROR(__xludf.DUMMYFUNCTION("+I222+I223"),97190451.39)</f>
        <v>97190451.390000001</v>
      </c>
      <c r="J224" s="7">
        <f ca="1">IFERROR(__xludf.DUMMYFUNCTION("+J222+J223"),23938740.0099999)</f>
        <v>23938740.009999901</v>
      </c>
      <c r="K224" s="7">
        <f ca="1">IFERROR(__xludf.DUMMYFUNCTION("+K222+K223"),4187501.67)</f>
        <v>4187501.67</v>
      </c>
      <c r="L224" s="7">
        <f ca="1">IFERROR(__xludf.DUMMYFUNCTION("+L222+L223"),25838316.68)</f>
        <v>25838316.68</v>
      </c>
      <c r="M224" s="7">
        <f ca="1">IFERROR(__xludf.DUMMYFUNCTION("+M222+M223"),12672231.09)</f>
        <v>12672231.09</v>
      </c>
      <c r="N224" s="7">
        <f ca="1">IFERROR(__xludf.DUMMYFUNCTION("+N222+N223"),585385840.04)</f>
        <v>585385840.03999996</v>
      </c>
      <c r="O224" s="7">
        <f ca="1">IFERROR(__xludf.DUMMYFUNCTION("+O222+O223"),142638387.74)</f>
        <v>142638387.74000001</v>
      </c>
      <c r="P224" s="7">
        <f ca="1">IFERROR(__xludf.DUMMYFUNCTION("+P222+P223"),5067080.96)</f>
        <v>5067080.96</v>
      </c>
      <c r="Q224" s="7">
        <f ca="1">IFERROR(__xludf.DUMMYFUNCTION("+Q222+Q223"),485012987.3)</f>
        <v>485012987.30000001</v>
      </c>
      <c r="R224" s="7">
        <f ca="1">IFERROR(__xludf.DUMMYFUNCTION("+R222+R223"),10290699.82)</f>
        <v>10290699.82</v>
      </c>
      <c r="S224" s="7">
        <f ca="1">IFERROR(__xludf.DUMMYFUNCTION("+S222+S223"),18786883.26)</f>
        <v>18786883.260000002</v>
      </c>
      <c r="T224" s="7">
        <f ca="1">IFERROR(__xludf.DUMMYFUNCTION("+T222+T223"),3218152.61999999)</f>
        <v>3218152.6199999899</v>
      </c>
      <c r="U224" s="7">
        <f ca="1">IFERROR(__xludf.DUMMYFUNCTION("+U222+U223"),1310288.68)</f>
        <v>1310288.68</v>
      </c>
      <c r="V224" s="7">
        <f ca="1">IFERROR(__xludf.DUMMYFUNCTION("+V222+V223"),4192885.27)</f>
        <v>4192885.27</v>
      </c>
      <c r="W224" s="7">
        <f ca="1">IFERROR(__xludf.DUMMYFUNCTION("+W222+W223"),1372973.76)</f>
        <v>1372973.76</v>
      </c>
      <c r="X224" s="7">
        <f ca="1">IFERROR(__xludf.DUMMYFUNCTION("+X222+X223"),1162581.68)</f>
        <v>1162581.68</v>
      </c>
      <c r="Y224" s="7">
        <f ca="1">IFERROR(__xludf.DUMMYFUNCTION("+Y222+Y223"),5815970.91)</f>
        <v>5815970.9100000001</v>
      </c>
      <c r="Z224" s="7">
        <f ca="1">IFERROR(__xludf.DUMMYFUNCTION("+Z222+Z223"),3763052.34)</f>
        <v>3763052.34</v>
      </c>
      <c r="AA224" s="7">
        <f ca="1">IFERROR(__xludf.DUMMYFUNCTION("+AA222+AA223"),346342612.82)</f>
        <v>346342612.81999999</v>
      </c>
      <c r="AB224" s="7">
        <f ca="1">IFERROR(__xludf.DUMMYFUNCTION("+AB222+AB223"),308695466.5)</f>
        <v>308695466.5</v>
      </c>
      <c r="AC224" s="7">
        <f ca="1">IFERROR(__xludf.DUMMYFUNCTION("+AC222+AC223"),10800027.88)</f>
        <v>10800027.880000001</v>
      </c>
      <c r="AD224" s="7">
        <f ca="1">IFERROR(__xludf.DUMMYFUNCTION("+AD222+AD223"),16280132.66)</f>
        <v>16280132.66</v>
      </c>
      <c r="AE224" s="7">
        <f ca="1">IFERROR(__xludf.DUMMYFUNCTION("+AE222+AE223"),2136512.40999999)</f>
        <v>2136512.4099999899</v>
      </c>
      <c r="AF224" s="7">
        <f ca="1">IFERROR(__xludf.DUMMYFUNCTION("+AF222+AF223"),3322558.02)</f>
        <v>3322558.02</v>
      </c>
      <c r="AG224" s="7">
        <f ca="1">IFERROR(__xludf.DUMMYFUNCTION("+AG222+AG223"),7729319.65)</f>
        <v>7729319.6500000004</v>
      </c>
      <c r="AH224" s="7">
        <f ca="1">IFERROR(__xludf.DUMMYFUNCTION("+AH222+AH223"),11289974.19)</f>
        <v>11289974.189999999</v>
      </c>
      <c r="AI224" s="7">
        <f ca="1">IFERROR(__xludf.DUMMYFUNCTION("+AI222+AI223"),5289923.42)</f>
        <v>5289923.42</v>
      </c>
      <c r="AJ224" s="7">
        <f ca="1">IFERROR(__xludf.DUMMYFUNCTION("+AJ222+AJ223"),3610904.48999999)</f>
        <v>3610904.48999999</v>
      </c>
      <c r="AK224" s="7">
        <f ca="1">IFERROR(__xludf.DUMMYFUNCTION("+AK222+AK223"),3356942.92)</f>
        <v>3356942.92</v>
      </c>
      <c r="AL224" s="7">
        <f ca="1">IFERROR(__xludf.DUMMYFUNCTION("+AL222+AL223"),4554133.47)</f>
        <v>4554133.47</v>
      </c>
      <c r="AM224" s="7">
        <f ca="1">IFERROR(__xludf.DUMMYFUNCTION("+AM222+AM223"),5069335.81)</f>
        <v>5069335.8099999996</v>
      </c>
      <c r="AN224" s="7">
        <f ca="1">IFERROR(__xludf.DUMMYFUNCTION("+AN222+AN223"),4628087.92)</f>
        <v>4628087.92</v>
      </c>
      <c r="AO224" s="7">
        <f ca="1">IFERROR(__xludf.DUMMYFUNCTION("+AO222+AO223"),45751750.5)</f>
        <v>45751750.5</v>
      </c>
      <c r="AP224" s="7">
        <f ca="1">IFERROR(__xludf.DUMMYFUNCTION("+AP222+AP223"),997021895.41)</f>
        <v>997021895.40999997</v>
      </c>
      <c r="AQ224" s="7">
        <f ca="1">IFERROR(__xludf.DUMMYFUNCTION("+AQ222+AQ223"),4365971.78)</f>
        <v>4365971.78</v>
      </c>
      <c r="AR224" s="7">
        <f ca="1">IFERROR(__xludf.DUMMYFUNCTION("+AR222+AR223"),678256104.209999)</f>
        <v>678256104.20999897</v>
      </c>
      <c r="AS224" s="7">
        <f ca="1">IFERROR(__xludf.DUMMYFUNCTION("+AS222+AS223"),78127618.74)</f>
        <v>78127618.739999995</v>
      </c>
      <c r="AT224" s="7">
        <f ca="1">IFERROR(__xludf.DUMMYFUNCTION("+AT222+AT223"),27016105.55)</f>
        <v>27016105.550000001</v>
      </c>
      <c r="AU224" s="7">
        <f ca="1">IFERROR(__xludf.DUMMYFUNCTION("+AU222+AU223"),4540294.1)</f>
        <v>4540294.0999999996</v>
      </c>
      <c r="AV224" s="7">
        <f ca="1">IFERROR(__xludf.DUMMYFUNCTION("+AV222+AV223"),4969764.87)</f>
        <v>4969764.87</v>
      </c>
      <c r="AW224" s="7">
        <f ca="1">IFERROR(__xludf.DUMMYFUNCTION("+AW222+AW223"),4355072.28)</f>
        <v>4355072.28</v>
      </c>
      <c r="AX224" s="7">
        <f ca="1">IFERROR(__xludf.DUMMYFUNCTION("+AX222+AX223"),1948603.19)</f>
        <v>1948603.19</v>
      </c>
      <c r="AY224" s="7">
        <f ca="1">IFERROR(__xludf.DUMMYFUNCTION("+AY222+AY223"),5819351.05)</f>
        <v>5819351.0499999998</v>
      </c>
      <c r="AZ224" s="7">
        <f ca="1">IFERROR(__xludf.DUMMYFUNCTION("+AZ222+AZ223"),140630722.1)</f>
        <v>140630722.09999999</v>
      </c>
      <c r="BA224" s="7">
        <f ca="1">IFERROR(__xludf.DUMMYFUNCTION("+BA222+BA223"),97800746.1199999)</f>
        <v>97800746.1199999</v>
      </c>
      <c r="BB224" s="7">
        <f ca="1">IFERROR(__xludf.DUMMYFUNCTION("+BB222+BB223"),83589207.7899999)</f>
        <v>83589207.789999902</v>
      </c>
      <c r="BC224" s="7">
        <f ca="1">IFERROR(__xludf.DUMMYFUNCTION("+BC222+BC223"),276027766.909999)</f>
        <v>276027766.90999901</v>
      </c>
      <c r="BD224" s="7">
        <f ca="1">IFERROR(__xludf.DUMMYFUNCTION("+BD222+BD223"),39744166.5299999)</f>
        <v>39744166.529999897</v>
      </c>
      <c r="BE224" s="7">
        <f ca="1">IFERROR(__xludf.DUMMYFUNCTION("+BE222+BE223"),14208998.01)</f>
        <v>14208998.01</v>
      </c>
      <c r="BF224" s="7">
        <f ca="1">IFERROR(__xludf.DUMMYFUNCTION("+BF222+BF223"),268731877.53)</f>
        <v>268731877.52999997</v>
      </c>
      <c r="BG224" s="7">
        <f ca="1">IFERROR(__xludf.DUMMYFUNCTION("+BG222+BG223"),11476832.91)</f>
        <v>11476832.91</v>
      </c>
      <c r="BH224" s="7">
        <f ca="1">IFERROR(__xludf.DUMMYFUNCTION("+BH222+BH223"),6965531.43)</f>
        <v>6965531.4299999997</v>
      </c>
      <c r="BI224" s="7">
        <f ca="1">IFERROR(__xludf.DUMMYFUNCTION("+BI222+BI223"),4512168.31)</f>
        <v>4512168.3099999996</v>
      </c>
      <c r="BJ224" s="7">
        <f ca="1">IFERROR(__xludf.DUMMYFUNCTION("+BJ222+BJ223"),69233089.26)</f>
        <v>69233089.260000005</v>
      </c>
      <c r="BK224" s="7">
        <f ca="1">IFERROR(__xludf.DUMMYFUNCTION("+BK222+BK223"),251137489.12)</f>
        <v>251137489.12</v>
      </c>
      <c r="BL224" s="7">
        <f ca="1">IFERROR(__xludf.DUMMYFUNCTION("+BL222+BL223"),1827433.85999999)</f>
        <v>1827433.8599999901</v>
      </c>
      <c r="BM224" s="7">
        <f ca="1">IFERROR(__xludf.DUMMYFUNCTION("+BM222+BM223"),5119514.98999999)</f>
        <v>5119514.98999999</v>
      </c>
      <c r="BN224" s="7">
        <f ca="1">IFERROR(__xludf.DUMMYFUNCTION("+BN222+BN223"),34220424.12)</f>
        <v>34220424.119999997</v>
      </c>
      <c r="BO224" s="7">
        <f ca="1">IFERROR(__xludf.DUMMYFUNCTION("+BO222+BO223"),14449489.9699999)</f>
        <v>14449489.9699999</v>
      </c>
      <c r="BP224" s="7">
        <f ca="1">IFERROR(__xludf.DUMMYFUNCTION("+BP222+BP223"),3240996.86)</f>
        <v>3240996.86</v>
      </c>
      <c r="BQ224" s="7">
        <f ca="1">IFERROR(__xludf.DUMMYFUNCTION("+BQ222+BQ223"),71052500.96)</f>
        <v>71052500.959999993</v>
      </c>
      <c r="BR224" s="7">
        <f ca="1">IFERROR(__xludf.DUMMYFUNCTION("+BR222+BR223"),50375552.96)</f>
        <v>50375552.960000001</v>
      </c>
      <c r="BS224" s="7">
        <f ca="1">IFERROR(__xludf.DUMMYFUNCTION("+BS222+BS223"),14496420.36)</f>
        <v>14496420.359999999</v>
      </c>
      <c r="BT224" s="7">
        <f ca="1">IFERROR(__xludf.DUMMYFUNCTION("+BT222+BT223"),5626999.10999999)</f>
        <v>5626999.1099999901</v>
      </c>
      <c r="BU224" s="7">
        <f ca="1">IFERROR(__xludf.DUMMYFUNCTION("+BU222+BU223"),5794972.39)</f>
        <v>5794972.3899999997</v>
      </c>
      <c r="BV224" s="7">
        <f ca="1">IFERROR(__xludf.DUMMYFUNCTION("+BV222+BV223"),14506077.37)</f>
        <v>14506077.369999999</v>
      </c>
      <c r="BW224" s="7">
        <f ca="1">IFERROR(__xludf.DUMMYFUNCTION("+BW222+BW223"),23211308.1899999)</f>
        <v>23211308.189999901</v>
      </c>
      <c r="BX224" s="7">
        <f ca="1">IFERROR(__xludf.DUMMYFUNCTION("+BX222+BX223"),1647493.26)</f>
        <v>1647493.26</v>
      </c>
      <c r="BY224" s="7">
        <f ca="1">IFERROR(__xludf.DUMMYFUNCTION("+BY222+BY223"),5987578.91)</f>
        <v>5987578.9100000001</v>
      </c>
      <c r="BZ224" s="7">
        <f ca="1">IFERROR(__xludf.DUMMYFUNCTION("+BZ222+BZ223"),3917429.31)</f>
        <v>3917429.31</v>
      </c>
      <c r="CA224" s="7">
        <f ca="1">IFERROR(__xludf.DUMMYFUNCTION("+CA222+CA223"),3037284.59)</f>
        <v>3037284.59</v>
      </c>
      <c r="CB224" s="7">
        <f ca="1">IFERROR(__xludf.DUMMYFUNCTION("+CB222+CB223"),816417284.09)</f>
        <v>816417284.09000003</v>
      </c>
      <c r="CC224" s="7">
        <f ca="1">IFERROR(__xludf.DUMMYFUNCTION("+CC222+CC223"),3491422.38)</f>
        <v>3491422.38</v>
      </c>
      <c r="CD224" s="7">
        <f ca="1">IFERROR(__xludf.DUMMYFUNCTION("+CD222+CD223"),1110218.58)</f>
        <v>1110218.58</v>
      </c>
      <c r="CE224" s="7">
        <f ca="1">IFERROR(__xludf.DUMMYFUNCTION("+CE222+CE223"),3065905.17)</f>
        <v>3065905.17</v>
      </c>
      <c r="CF224" s="7">
        <f ca="1">IFERROR(__xludf.DUMMYFUNCTION("+CF222+CF223"),2291611.64)</f>
        <v>2291611.64</v>
      </c>
      <c r="CG224" s="7">
        <f ca="1">IFERROR(__xludf.DUMMYFUNCTION("+CG222+CG223"),3557505.09)</f>
        <v>3557505.09</v>
      </c>
      <c r="CH224" s="7">
        <f ca="1">IFERROR(__xludf.DUMMYFUNCTION("+CH222+CH223"),2145110.48)</f>
        <v>2145110.48</v>
      </c>
      <c r="CI224" s="7">
        <f ca="1">IFERROR(__xludf.DUMMYFUNCTION("+CI222+CI223"),8217773.95)</f>
        <v>8217773.9500000002</v>
      </c>
      <c r="CJ224" s="7">
        <f ca="1">IFERROR(__xludf.DUMMYFUNCTION("+CJ222+CJ223"),10912615.52)</f>
        <v>10912615.52</v>
      </c>
      <c r="CK224" s="7">
        <f ca="1">IFERROR(__xludf.DUMMYFUNCTION("+CK222+CK223"),55943344.23)</f>
        <v>55943344.229999997</v>
      </c>
      <c r="CL224" s="7">
        <f ca="1">IFERROR(__xludf.DUMMYFUNCTION("+CL222+CL223"),14914136.65)</f>
        <v>14914136.65</v>
      </c>
      <c r="CM224" s="7">
        <f ca="1">IFERROR(__xludf.DUMMYFUNCTION("+CM222+CM223"),8972323.72)</f>
        <v>8972323.7200000007</v>
      </c>
      <c r="CN224" s="7">
        <f ca="1">IFERROR(__xludf.DUMMYFUNCTION("+CN222+CN223"),332412767.39)</f>
        <v>332412767.38999999</v>
      </c>
      <c r="CO224" s="7">
        <f ca="1">IFERROR(__xludf.DUMMYFUNCTION("+CO222+CO223"),155448068.98)</f>
        <v>155448068.97999999</v>
      </c>
      <c r="CP224" s="7">
        <f ca="1">IFERROR(__xludf.DUMMYFUNCTION("+CP222+CP223"),11550724.44)</f>
        <v>11550724.439999999</v>
      </c>
      <c r="CQ224" s="7">
        <f ca="1">IFERROR(__xludf.DUMMYFUNCTION("+CQ222+CQ223"),9946297.91)</f>
        <v>9946297.9100000001</v>
      </c>
      <c r="CR224" s="7">
        <f ca="1">IFERROR(__xludf.DUMMYFUNCTION("+CR222+CR223"),3775953.62)</f>
        <v>3775953.62</v>
      </c>
      <c r="CS224" s="7">
        <f ca="1">IFERROR(__xludf.DUMMYFUNCTION("+CS222+CS223"),4347880.52)</f>
        <v>4347880.5199999996</v>
      </c>
      <c r="CT224" s="7">
        <f ca="1">IFERROR(__xludf.DUMMYFUNCTION("+CT222+CT223"),2468488.78)</f>
        <v>2468488.7799999998</v>
      </c>
      <c r="CU224" s="7">
        <f ca="1">IFERROR(__xludf.DUMMYFUNCTION("+CU222+CU223"),1054398.84)</f>
        <v>1054398.8400000001</v>
      </c>
      <c r="CV224" s="7">
        <f ca="1">IFERROR(__xludf.DUMMYFUNCTION("+CV222+CV223"),1076684.73)</f>
        <v>1076684.73</v>
      </c>
      <c r="CW224" s="7">
        <f ca="1">IFERROR(__xludf.DUMMYFUNCTION("+CW222+CW223"),3689699.96)</f>
        <v>3689699.96</v>
      </c>
      <c r="CX224" s="7">
        <f ca="1">IFERROR(__xludf.DUMMYFUNCTION("+CX222+CX223"),5900187.72999999)</f>
        <v>5900187.7299999902</v>
      </c>
      <c r="CY224" s="7">
        <f ca="1">IFERROR(__xludf.DUMMYFUNCTION("+CY222+CY223"),1148005.03)</f>
        <v>1148005.03</v>
      </c>
      <c r="CZ224" s="7">
        <f ca="1">IFERROR(__xludf.DUMMYFUNCTION("+CZ222+CZ223"),20646168.64)</f>
        <v>20646168.640000001</v>
      </c>
      <c r="DA224" s="7">
        <f ca="1">IFERROR(__xludf.DUMMYFUNCTION("+DA222+DA223"),3639031.96999999)</f>
        <v>3639031.96999999</v>
      </c>
      <c r="DB224" s="7">
        <f ca="1">IFERROR(__xludf.DUMMYFUNCTION("+DB222+DB223"),4720789.92)</f>
        <v>4720789.92</v>
      </c>
      <c r="DC224" s="7">
        <f ca="1">IFERROR(__xludf.DUMMYFUNCTION("+DC222+DC223"),3560350.21)</f>
        <v>3560350.21</v>
      </c>
      <c r="DD224" s="7">
        <f ca="1">IFERROR(__xludf.DUMMYFUNCTION("+DD222+DD223"),3469085.23)</f>
        <v>3469085.23</v>
      </c>
      <c r="DE224" s="7">
        <f ca="1">IFERROR(__xludf.DUMMYFUNCTION("+DE222+DE223"),4476634.71)</f>
        <v>4476634.71</v>
      </c>
      <c r="DF224" s="7">
        <f ca="1">IFERROR(__xludf.DUMMYFUNCTION("+DF222+DF223"),225271394.54)</f>
        <v>225271394.53999999</v>
      </c>
      <c r="DG224" s="7">
        <f ca="1">IFERROR(__xludf.DUMMYFUNCTION("+DG222+DG223"),2134952.04)</f>
        <v>2134952.04</v>
      </c>
      <c r="DH224" s="7">
        <f ca="1">IFERROR(__xludf.DUMMYFUNCTION("+DH222+DH223"),20221979.03)</f>
        <v>20221979.030000001</v>
      </c>
      <c r="DI224" s="7">
        <f ca="1">IFERROR(__xludf.DUMMYFUNCTION("+DI222+DI223"),27504022.3)</f>
        <v>27504022.300000001</v>
      </c>
      <c r="DJ224" s="7">
        <f ca="1">IFERROR(__xludf.DUMMYFUNCTION("+DJ222+DJ223"),7892051.21)</f>
        <v>7892051.21</v>
      </c>
      <c r="DK224" s="7">
        <f ca="1">IFERROR(__xludf.DUMMYFUNCTION("+DK222+DK223"),6035705.89)</f>
        <v>6035705.8899999997</v>
      </c>
      <c r="DL224" s="7">
        <f ca="1">IFERROR(__xludf.DUMMYFUNCTION("+DL222+DL223"),65431437.45)</f>
        <v>65431437.450000003</v>
      </c>
      <c r="DM224" s="7">
        <f ca="1">IFERROR(__xludf.DUMMYFUNCTION("+DM222+DM223"),4326904.25)</f>
        <v>4326904.25</v>
      </c>
      <c r="DN224" s="7">
        <f ca="1">IFERROR(__xludf.DUMMYFUNCTION("+DN222+DN223"),15768231.4699999)</f>
        <v>15768231.4699999</v>
      </c>
      <c r="DO224" s="7">
        <f ca="1">IFERROR(__xludf.DUMMYFUNCTION("+DO222+DO223"),37570612.41)</f>
        <v>37570612.409999996</v>
      </c>
      <c r="DP224" s="7">
        <f ca="1">IFERROR(__xludf.DUMMYFUNCTION("+DP222+DP223"),3781904.38)</f>
        <v>3781904.38</v>
      </c>
      <c r="DQ224" s="7">
        <f ca="1">IFERROR(__xludf.DUMMYFUNCTION("+DQ222+DQ223"),10657583.63)</f>
        <v>10657583.630000001</v>
      </c>
      <c r="DR224" s="7">
        <f ca="1">IFERROR(__xludf.DUMMYFUNCTION("+DR222+DR223"),15871958.43)</f>
        <v>15871958.43</v>
      </c>
      <c r="DS224" s="7">
        <f ca="1">IFERROR(__xludf.DUMMYFUNCTION("+DS222+DS223"),7901913.69)</f>
        <v>7901913.6900000004</v>
      </c>
      <c r="DT224" s="7">
        <f ca="1">IFERROR(__xludf.DUMMYFUNCTION("+DT222+DT223"),3599256.07)</f>
        <v>3599256.07</v>
      </c>
      <c r="DU224" s="7">
        <f ca="1">IFERROR(__xludf.DUMMYFUNCTION("+DU222+DU223"),5116040.52)</f>
        <v>5116040.5199999996</v>
      </c>
      <c r="DV224" s="7">
        <f ca="1">IFERROR(__xludf.DUMMYFUNCTION("+DV222+DV223"),3768634.46)</f>
        <v>3768634.46</v>
      </c>
      <c r="DW224" s="7">
        <f ca="1">IFERROR(__xludf.DUMMYFUNCTION("+DW222+DW223"),4616290.17)</f>
        <v>4616290.17</v>
      </c>
      <c r="DX224" s="7">
        <f ca="1">IFERROR(__xludf.DUMMYFUNCTION("+DX222+DX223"),3709954.94)</f>
        <v>3709954.94</v>
      </c>
      <c r="DY224" s="7">
        <f ca="1">IFERROR(__xludf.DUMMYFUNCTION("+DY222+DY223"),4945264.1)</f>
        <v>4945264.0999999996</v>
      </c>
      <c r="DZ224" s="7">
        <f ca="1">IFERROR(__xludf.DUMMYFUNCTION("+DZ222+DZ223"),8818545.25)</f>
        <v>8818545.25</v>
      </c>
      <c r="EA224" s="7">
        <f ca="1">IFERROR(__xludf.DUMMYFUNCTION("+EA222+EA223"),6982403.92)</f>
        <v>6982403.9199999999</v>
      </c>
      <c r="EB224" s="7">
        <f ca="1">IFERROR(__xludf.DUMMYFUNCTION("+EB222+EB223"),6723766.77999999)</f>
        <v>6723766.77999999</v>
      </c>
      <c r="EC224" s="7">
        <f ca="1">IFERROR(__xludf.DUMMYFUNCTION("+EC222+EC223"),4187574.12)</f>
        <v>4187574.12</v>
      </c>
      <c r="ED224" s="7">
        <f ca="1">IFERROR(__xludf.DUMMYFUNCTION("+ED222+ED223"),23326926.29)</f>
        <v>23326926.289999999</v>
      </c>
      <c r="EE224" s="7">
        <f ca="1">IFERROR(__xludf.DUMMYFUNCTION("+EE222+EE223"),3560957.58)</f>
        <v>3560957.58</v>
      </c>
      <c r="EF224" s="7">
        <f ca="1">IFERROR(__xludf.DUMMYFUNCTION("+EF222+EF223"),16049088.3799999)</f>
        <v>16049088.3799999</v>
      </c>
      <c r="EG224" s="7">
        <f ca="1">IFERROR(__xludf.DUMMYFUNCTION("+EG222+EG223"),4001469.14)</f>
        <v>4001469.14</v>
      </c>
      <c r="EH224" s="7">
        <f ca="1">IFERROR(__xludf.DUMMYFUNCTION("+EH222+EH223"),4004598.42999999)</f>
        <v>4004598.4299999899</v>
      </c>
      <c r="EI224" s="7">
        <f ca="1">IFERROR(__xludf.DUMMYFUNCTION("+EI222+EI223"),162020905.3)</f>
        <v>162020905.30000001</v>
      </c>
      <c r="EJ224" s="7">
        <f ca="1">IFERROR(__xludf.DUMMYFUNCTION("+EJ222+EJ223"),108717860.86)</f>
        <v>108717860.86</v>
      </c>
      <c r="EK224" s="7">
        <f ca="1">IFERROR(__xludf.DUMMYFUNCTION("+EK222+EK223"),8037487.31)</f>
        <v>8037487.3099999996</v>
      </c>
      <c r="EL224" s="7">
        <f ca="1">IFERROR(__xludf.DUMMYFUNCTION("+EL222+EL223"),5676876.87)</f>
        <v>5676876.8700000001</v>
      </c>
      <c r="EM224" s="7">
        <f ca="1">IFERROR(__xludf.DUMMYFUNCTION("+EM222+EM223"),5297167.76)</f>
        <v>5297167.76</v>
      </c>
      <c r="EN224" s="7">
        <f ca="1">IFERROR(__xludf.DUMMYFUNCTION("+EN222+EN223"),10917621.27)</f>
        <v>10917621.27</v>
      </c>
      <c r="EO224" s="7">
        <f ca="1">IFERROR(__xludf.DUMMYFUNCTION("+EO222+EO223"),4573467.3)</f>
        <v>4573467.3</v>
      </c>
      <c r="EP224" s="7">
        <f ca="1">IFERROR(__xludf.DUMMYFUNCTION("+EP222+EP223"),5979506.43)</f>
        <v>5979506.4299999997</v>
      </c>
      <c r="EQ224" s="7">
        <f ca="1">IFERROR(__xludf.DUMMYFUNCTION("+EQ222+EQ223"),30090180.0099999)</f>
        <v>30090180.009999901</v>
      </c>
      <c r="ER224" s="7">
        <f ca="1">IFERROR(__xludf.DUMMYFUNCTION("+ER222+ER223"),4951170.04)</f>
        <v>4951170.04</v>
      </c>
      <c r="ES224" s="7">
        <f ca="1">IFERROR(__xludf.DUMMYFUNCTION("+ES222+ES223"),3249410.81)</f>
        <v>3249410.81</v>
      </c>
      <c r="ET224" s="7">
        <f ca="1">IFERROR(__xludf.DUMMYFUNCTION("+ET222+ET223"),4248451.96)</f>
        <v>4248451.96</v>
      </c>
      <c r="EU224" s="7">
        <f ca="1">IFERROR(__xludf.DUMMYFUNCTION("+EU222+EU223"),7694910.5)</f>
        <v>7694910.5</v>
      </c>
      <c r="EV224" s="7">
        <f ca="1">IFERROR(__xludf.DUMMYFUNCTION("+EV222+EV223"),1779462.53)</f>
        <v>1779462.53</v>
      </c>
      <c r="EW224" s="7">
        <f ca="1">IFERROR(__xludf.DUMMYFUNCTION("+EW222+EW223"),12843141.59)</f>
        <v>12843141.59</v>
      </c>
      <c r="EX224" s="7">
        <f ca="1">IFERROR(__xludf.DUMMYFUNCTION("+EX222+EX223"),3678303.94999999)</f>
        <v>3678303.9499999899</v>
      </c>
      <c r="EY224" s="7">
        <f ca="1">IFERROR(__xludf.DUMMYFUNCTION("+EY222+EY223"),3028231.05)</f>
        <v>3028231.05</v>
      </c>
      <c r="EZ224" s="7">
        <f ca="1">IFERROR(__xludf.DUMMYFUNCTION("+EZ222+EZ223"),2720167.82)</f>
        <v>2720167.82</v>
      </c>
      <c r="FA224" s="7">
        <f ca="1">IFERROR(__xludf.DUMMYFUNCTION("+FA222+FA223"),40845272.5599999)</f>
        <v>40845272.559999898</v>
      </c>
      <c r="FB224" s="7">
        <f ca="1">IFERROR(__xludf.DUMMYFUNCTION("+FB222+FB223"),4655084.18)</f>
        <v>4655084.18</v>
      </c>
      <c r="FC224" s="7">
        <f ca="1">IFERROR(__xludf.DUMMYFUNCTION("+FC222+FC223"),20759250.59)</f>
        <v>20759250.59</v>
      </c>
      <c r="FD224" s="7">
        <f ca="1">IFERROR(__xludf.DUMMYFUNCTION("+FD222+FD223"),5572360.23)</f>
        <v>5572360.2300000004</v>
      </c>
      <c r="FE224" s="7">
        <f ca="1">IFERROR(__xludf.DUMMYFUNCTION("+FE222+FE223"),1840419.22)</f>
        <v>1840419.22</v>
      </c>
      <c r="FF224" s="7">
        <f ca="1">IFERROR(__xludf.DUMMYFUNCTION("+FF222+FF223"),3588838.33)</f>
        <v>3588838.33</v>
      </c>
      <c r="FG224" s="7">
        <f ca="1">IFERROR(__xludf.DUMMYFUNCTION("+FG222+FG223"),2625029.1)</f>
        <v>2625029.1</v>
      </c>
      <c r="FH224" s="7">
        <f ca="1">IFERROR(__xludf.DUMMYFUNCTION("+FH222+FH223"),1618391.59999999)</f>
        <v>1618391.5999999901</v>
      </c>
      <c r="FI224" s="7">
        <f ca="1">IFERROR(__xludf.DUMMYFUNCTION("+FI222+FI223"),19975926.2)</f>
        <v>19975926.199999999</v>
      </c>
      <c r="FJ224" s="7">
        <f ca="1">IFERROR(__xludf.DUMMYFUNCTION("+FJ222+FJ223"),22369633.59)</f>
        <v>22369633.59</v>
      </c>
      <c r="FK224" s="7">
        <f ca="1">IFERROR(__xludf.DUMMYFUNCTION("+FK222+FK223"),28625952.2)</f>
        <v>28625952.199999999</v>
      </c>
      <c r="FL224" s="7">
        <f ca="1">IFERROR(__xludf.DUMMYFUNCTION("+FL222+FL223"),90958044.91)</f>
        <v>90958044.909999996</v>
      </c>
      <c r="FM224" s="7">
        <f ca="1">IFERROR(__xludf.DUMMYFUNCTION("+FM222+FM223"),42942042.58)</f>
        <v>42942042.579999998</v>
      </c>
      <c r="FN224" s="7">
        <f ca="1">IFERROR(__xludf.DUMMYFUNCTION("+FN222+FN223"),257728068.56)</f>
        <v>257728068.56</v>
      </c>
      <c r="FO224" s="7">
        <f ca="1">IFERROR(__xludf.DUMMYFUNCTION("+FO222+FO223"),13248604.12)</f>
        <v>13248604.119999999</v>
      </c>
      <c r="FP224" s="7">
        <f ca="1">IFERROR(__xludf.DUMMYFUNCTION("+FP222+FP223"),27057363.78)</f>
        <v>27057363.780000001</v>
      </c>
      <c r="FQ224" s="7">
        <f ca="1">IFERROR(__xludf.DUMMYFUNCTION("+FQ222+FQ223"),11510565.99)</f>
        <v>11510565.99</v>
      </c>
      <c r="FR224" s="7">
        <f ca="1">IFERROR(__xludf.DUMMYFUNCTION("+FR222+FR223"),3295037.27)</f>
        <v>3295037.27</v>
      </c>
      <c r="FS224" s="7">
        <f ca="1">IFERROR(__xludf.DUMMYFUNCTION("+FS222+FS223"),3289803.97)</f>
        <v>3289803.97</v>
      </c>
      <c r="FT224" s="7">
        <f ca="1">IFERROR(__xludf.DUMMYFUNCTION("+FT222+FT223"),1389181.21)</f>
        <v>1389181.21</v>
      </c>
      <c r="FU224" s="7">
        <f ca="1">IFERROR(__xludf.DUMMYFUNCTION("+FU222+FU223"),10125634.84)</f>
        <v>10125634.84</v>
      </c>
      <c r="FV224" s="7">
        <f ca="1">IFERROR(__xludf.DUMMYFUNCTION("+FV222+FV223"),8708379.88)</f>
        <v>8708379.8800000008</v>
      </c>
      <c r="FW224" s="7">
        <f ca="1">IFERROR(__xludf.DUMMYFUNCTION("+FW222+FW223"),3091216.36)</f>
        <v>3091216.36</v>
      </c>
      <c r="FX224" s="7">
        <f ca="1">IFERROR(__xludf.DUMMYFUNCTION("+FX222+FX223"),1601192.38)</f>
        <v>1601192.38</v>
      </c>
      <c r="FY224" s="7"/>
      <c r="FZ224" s="7">
        <f t="shared" ca="1" si="109"/>
        <v>9483434001.2499962</v>
      </c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</row>
    <row r="225" spans="1:193" ht="15.5" x14ac:dyDescent="0.35">
      <c r="A225" s="12" t="s">
        <v>986</v>
      </c>
      <c r="B225" s="7" t="s">
        <v>987</v>
      </c>
      <c r="C225" s="7">
        <f t="shared" ref="C225:FX225" ca="1" si="110">C169</f>
        <v>1167501.6100000001</v>
      </c>
      <c r="D225" s="7">
        <f t="shared" ca="1" si="110"/>
        <v>3850787.1</v>
      </c>
      <c r="E225" s="7">
        <f t="shared" ca="1" si="110"/>
        <v>1298550.1399999999</v>
      </c>
      <c r="F225" s="7">
        <f t="shared" ca="1" si="110"/>
        <v>2144804.69</v>
      </c>
      <c r="G225" s="7">
        <f t="shared" ca="1" si="110"/>
        <v>184044.24</v>
      </c>
      <c r="H225" s="7">
        <f t="shared" ca="1" si="110"/>
        <v>63049.99</v>
      </c>
      <c r="I225" s="7">
        <f t="shared" ca="1" si="110"/>
        <v>1565093.25</v>
      </c>
      <c r="J225" s="7">
        <f t="shared" ca="1" si="110"/>
        <v>152658.41</v>
      </c>
      <c r="K225" s="7">
        <f t="shared" ca="1" si="110"/>
        <v>3722.89</v>
      </c>
      <c r="L225" s="7">
        <f t="shared" ca="1" si="110"/>
        <v>164266.20000000001</v>
      </c>
      <c r="M225" s="7">
        <f t="shared" ca="1" si="110"/>
        <v>178191.09</v>
      </c>
      <c r="N225" s="7">
        <f t="shared" ca="1" si="110"/>
        <v>4843324.3600000003</v>
      </c>
      <c r="O225" s="7">
        <f t="shared" ca="1" si="110"/>
        <v>347392.66</v>
      </c>
      <c r="P225" s="7">
        <f t="shared" ca="1" si="110"/>
        <v>37519.14</v>
      </c>
      <c r="Q225" s="7">
        <f t="shared" ca="1" si="110"/>
        <v>10423519.42</v>
      </c>
      <c r="R225" s="7">
        <f t="shared" ca="1" si="110"/>
        <v>92099.45</v>
      </c>
      <c r="S225" s="7">
        <f t="shared" ca="1" si="110"/>
        <v>43902.239999999998</v>
      </c>
      <c r="T225" s="7">
        <f t="shared" ca="1" si="110"/>
        <v>0</v>
      </c>
      <c r="U225" s="7">
        <f t="shared" ca="1" si="110"/>
        <v>0</v>
      </c>
      <c r="V225" s="7">
        <f t="shared" ca="1" si="110"/>
        <v>0</v>
      </c>
      <c r="W225" s="7">
        <f t="shared" ca="1" si="110"/>
        <v>0</v>
      </c>
      <c r="X225" s="7">
        <f t="shared" ca="1" si="110"/>
        <v>0</v>
      </c>
      <c r="Y225" s="7">
        <f t="shared" ca="1" si="110"/>
        <v>3389.1</v>
      </c>
      <c r="Z225" s="7">
        <f t="shared" ca="1" si="110"/>
        <v>4977.75</v>
      </c>
      <c r="AA225" s="7">
        <f t="shared" ca="1" si="110"/>
        <v>1772139.29</v>
      </c>
      <c r="AB225" s="7">
        <f t="shared" ca="1" si="110"/>
        <v>1388522.84</v>
      </c>
      <c r="AC225" s="7">
        <f t="shared" ca="1" si="110"/>
        <v>29296.65</v>
      </c>
      <c r="AD225" s="7">
        <f t="shared" ca="1" si="110"/>
        <v>30344.75</v>
      </c>
      <c r="AE225" s="7">
        <f t="shared" ca="1" si="110"/>
        <v>4877.7</v>
      </c>
      <c r="AF225" s="7">
        <f t="shared" ca="1" si="110"/>
        <v>8947.0400000000009</v>
      </c>
      <c r="AG225" s="7">
        <f t="shared" ca="1" si="110"/>
        <v>11897.51</v>
      </c>
      <c r="AH225" s="7">
        <f t="shared" ca="1" si="110"/>
        <v>0</v>
      </c>
      <c r="AI225" s="7">
        <f t="shared" ca="1" si="110"/>
        <v>3088.22</v>
      </c>
      <c r="AJ225" s="7">
        <f t="shared" ca="1" si="110"/>
        <v>2889.53</v>
      </c>
      <c r="AK225" s="7">
        <f t="shared" ca="1" si="110"/>
        <v>1463.36</v>
      </c>
      <c r="AL225" s="7">
        <f t="shared" ca="1" si="110"/>
        <v>24131.82</v>
      </c>
      <c r="AM225" s="7">
        <f t="shared" ca="1" si="110"/>
        <v>1076.52</v>
      </c>
      <c r="AN225" s="7">
        <f t="shared" ca="1" si="110"/>
        <v>0</v>
      </c>
      <c r="AO225" s="7">
        <f t="shared" ca="1" si="110"/>
        <v>98235.36</v>
      </c>
      <c r="AP225" s="7">
        <f t="shared" ca="1" si="110"/>
        <v>14734696.5</v>
      </c>
      <c r="AQ225" s="7">
        <f t="shared" ca="1" si="110"/>
        <v>0</v>
      </c>
      <c r="AR225" s="7">
        <f t="shared" ca="1" si="110"/>
        <v>1501307.3</v>
      </c>
      <c r="AS225" s="7">
        <f t="shared" ca="1" si="110"/>
        <v>1048076.39</v>
      </c>
      <c r="AT225" s="7">
        <f t="shared" ca="1" si="110"/>
        <v>28428.37</v>
      </c>
      <c r="AU225" s="7">
        <f t="shared" ca="1" si="110"/>
        <v>5115.8999999999996</v>
      </c>
      <c r="AV225" s="7">
        <f t="shared" ca="1" si="110"/>
        <v>3638.05</v>
      </c>
      <c r="AW225" s="7">
        <f t="shared" ca="1" si="110"/>
        <v>1311.79</v>
      </c>
      <c r="AX225" s="7">
        <f t="shared" ca="1" si="110"/>
        <v>9028.84</v>
      </c>
      <c r="AY225" s="7">
        <f t="shared" ca="1" si="110"/>
        <v>5387.39</v>
      </c>
      <c r="AZ225" s="7">
        <f t="shared" ca="1" si="110"/>
        <v>961949.22</v>
      </c>
      <c r="BA225" s="7">
        <f t="shared" ca="1" si="110"/>
        <v>166871.91</v>
      </c>
      <c r="BB225" s="7">
        <f t="shared" ca="1" si="110"/>
        <v>153890.82999999999</v>
      </c>
      <c r="BC225" s="7">
        <f t="shared" ca="1" si="110"/>
        <v>1378797.16</v>
      </c>
      <c r="BD225" s="7">
        <f t="shared" ca="1" si="110"/>
        <v>45191.39</v>
      </c>
      <c r="BE225" s="7">
        <f t="shared" ca="1" si="110"/>
        <v>2731.33</v>
      </c>
      <c r="BF225" s="7">
        <f t="shared" ca="1" si="110"/>
        <v>383777.31</v>
      </c>
      <c r="BG225" s="7">
        <f t="shared" ca="1" si="110"/>
        <v>72217.149999999994</v>
      </c>
      <c r="BH225" s="7">
        <f t="shared" ca="1" si="110"/>
        <v>5928.66</v>
      </c>
      <c r="BI225" s="7">
        <f t="shared" ca="1" si="110"/>
        <v>19316.62</v>
      </c>
      <c r="BJ225" s="7">
        <f t="shared" ca="1" si="110"/>
        <v>58577.94</v>
      </c>
      <c r="BK225" s="7">
        <f t="shared" ca="1" si="110"/>
        <v>580260.15</v>
      </c>
      <c r="BL225" s="7">
        <f t="shared" ca="1" si="110"/>
        <v>1805.23</v>
      </c>
      <c r="BM225" s="7">
        <f t="shared" ca="1" si="110"/>
        <v>12233.01</v>
      </c>
      <c r="BN225" s="7">
        <f t="shared" ca="1" si="110"/>
        <v>9037.99</v>
      </c>
      <c r="BO225" s="7">
        <f t="shared" ca="1" si="110"/>
        <v>7760.82</v>
      </c>
      <c r="BP225" s="7">
        <f t="shared" ca="1" si="110"/>
        <v>1517.04</v>
      </c>
      <c r="BQ225" s="7">
        <f t="shared" ca="1" si="110"/>
        <v>1032061.61</v>
      </c>
      <c r="BR225" s="7">
        <f t="shared" ca="1" si="110"/>
        <v>647013.06000000006</v>
      </c>
      <c r="BS225" s="7">
        <f t="shared" ca="1" si="110"/>
        <v>189605.71</v>
      </c>
      <c r="BT225" s="7">
        <f t="shared" ca="1" si="110"/>
        <v>2296.59</v>
      </c>
      <c r="BU225" s="7">
        <f t="shared" ca="1" si="110"/>
        <v>47065.31</v>
      </c>
      <c r="BV225" s="7">
        <f t="shared" ca="1" si="110"/>
        <v>76174.2</v>
      </c>
      <c r="BW225" s="7">
        <f t="shared" ca="1" si="110"/>
        <v>188930.54</v>
      </c>
      <c r="BX225" s="7">
        <f t="shared" ca="1" si="110"/>
        <v>0</v>
      </c>
      <c r="BY225" s="7">
        <f t="shared" ca="1" si="110"/>
        <v>0</v>
      </c>
      <c r="BZ225" s="7">
        <f t="shared" ca="1" si="110"/>
        <v>0</v>
      </c>
      <c r="CA225" s="7">
        <f t="shared" ca="1" si="110"/>
        <v>8011.41</v>
      </c>
      <c r="CB225" s="7">
        <f t="shared" ca="1" si="110"/>
        <v>2498751.73</v>
      </c>
      <c r="CC225" s="7">
        <f t="shared" ca="1" si="110"/>
        <v>0</v>
      </c>
      <c r="CD225" s="7">
        <f t="shared" ca="1" si="110"/>
        <v>1725.82</v>
      </c>
      <c r="CE225" s="7">
        <f t="shared" ca="1" si="110"/>
        <v>0</v>
      </c>
      <c r="CF225" s="7">
        <f t="shared" ca="1" si="110"/>
        <v>0</v>
      </c>
      <c r="CG225" s="7">
        <f t="shared" ca="1" si="110"/>
        <v>14885.24</v>
      </c>
      <c r="CH225" s="7">
        <f t="shared" ca="1" si="110"/>
        <v>9838.08</v>
      </c>
      <c r="CI225" s="7">
        <f t="shared" ca="1" si="110"/>
        <v>55579.09</v>
      </c>
      <c r="CJ225" s="7">
        <f t="shared" ca="1" si="110"/>
        <v>146784.93</v>
      </c>
      <c r="CK225" s="7">
        <f t="shared" ca="1" si="110"/>
        <v>147322.71</v>
      </c>
      <c r="CL225" s="7">
        <f t="shared" ca="1" si="110"/>
        <v>20385.580000000002</v>
      </c>
      <c r="CM225" s="7">
        <f t="shared" ca="1" si="110"/>
        <v>7869.08</v>
      </c>
      <c r="CN225" s="7">
        <f t="shared" ca="1" si="110"/>
        <v>1002986.61</v>
      </c>
      <c r="CO225" s="7">
        <f t="shared" ca="1" si="110"/>
        <v>314905.38</v>
      </c>
      <c r="CP225" s="7">
        <f t="shared" ca="1" si="110"/>
        <v>130982.91</v>
      </c>
      <c r="CQ225" s="7">
        <f t="shared" ca="1" si="110"/>
        <v>2781.15</v>
      </c>
      <c r="CR225" s="7">
        <f t="shared" ca="1" si="110"/>
        <v>0</v>
      </c>
      <c r="CS225" s="7">
        <f t="shared" ca="1" si="110"/>
        <v>1169.4100000000001</v>
      </c>
      <c r="CT225" s="7">
        <f t="shared" ca="1" si="110"/>
        <v>1587.81</v>
      </c>
      <c r="CU225" s="7">
        <f t="shared" ca="1" si="110"/>
        <v>2613.02</v>
      </c>
      <c r="CV225" s="7">
        <f t="shared" ca="1" si="110"/>
        <v>0</v>
      </c>
      <c r="CW225" s="7">
        <f t="shared" ca="1" si="110"/>
        <v>1396.79</v>
      </c>
      <c r="CX225" s="7">
        <f t="shared" ca="1" si="110"/>
        <v>11574.58</v>
      </c>
      <c r="CY225" s="7">
        <f t="shared" ca="1" si="110"/>
        <v>0</v>
      </c>
      <c r="CZ225" s="7">
        <f t="shared" ca="1" si="110"/>
        <v>33330.480000000003</v>
      </c>
      <c r="DA225" s="7">
        <f t="shared" ca="1" si="110"/>
        <v>0</v>
      </c>
      <c r="DB225" s="7">
        <f t="shared" ca="1" si="110"/>
        <v>8091.46</v>
      </c>
      <c r="DC225" s="7">
        <f t="shared" ca="1" si="110"/>
        <v>0</v>
      </c>
      <c r="DD225" s="7">
        <f t="shared" ca="1" si="110"/>
        <v>10351.280000000001</v>
      </c>
      <c r="DE225" s="7">
        <f t="shared" ca="1" si="110"/>
        <v>1190.44</v>
      </c>
      <c r="DF225" s="7">
        <f t="shared" ca="1" si="110"/>
        <v>529571.94999999995</v>
      </c>
      <c r="DG225" s="7">
        <f t="shared" ca="1" si="110"/>
        <v>0</v>
      </c>
      <c r="DH225" s="7">
        <f t="shared" ca="1" si="110"/>
        <v>100626.69</v>
      </c>
      <c r="DI225" s="7">
        <f t="shared" ca="1" si="110"/>
        <v>51186.37</v>
      </c>
      <c r="DJ225" s="7">
        <f t="shared" ca="1" si="110"/>
        <v>8539.27</v>
      </c>
      <c r="DK225" s="7">
        <f t="shared" ca="1" si="110"/>
        <v>18301.259999999998</v>
      </c>
      <c r="DL225" s="7">
        <f t="shared" ca="1" si="110"/>
        <v>356501.3</v>
      </c>
      <c r="DM225" s="7">
        <f t="shared" ca="1" si="110"/>
        <v>0</v>
      </c>
      <c r="DN225" s="7">
        <f t="shared" ca="1" si="110"/>
        <v>58975.32</v>
      </c>
      <c r="DO225" s="7">
        <f t="shared" ca="1" si="110"/>
        <v>450887.65</v>
      </c>
      <c r="DP225" s="7">
        <f t="shared" ca="1" si="110"/>
        <v>0</v>
      </c>
      <c r="DQ225" s="7">
        <f t="shared" ca="1" si="110"/>
        <v>46666.93</v>
      </c>
      <c r="DR225" s="7">
        <f t="shared" ca="1" si="110"/>
        <v>14688.43</v>
      </c>
      <c r="DS225" s="7">
        <f t="shared" ca="1" si="110"/>
        <v>29904.01</v>
      </c>
      <c r="DT225" s="7">
        <f t="shared" ca="1" si="110"/>
        <v>8870.44</v>
      </c>
      <c r="DU225" s="7">
        <f t="shared" ca="1" si="110"/>
        <v>3263.16</v>
      </c>
      <c r="DV225" s="7">
        <f t="shared" ca="1" si="110"/>
        <v>1376.34</v>
      </c>
      <c r="DW225" s="7">
        <f t="shared" ca="1" si="110"/>
        <v>1160.03</v>
      </c>
      <c r="DX225" s="7">
        <f t="shared" ca="1" si="110"/>
        <v>1697.88</v>
      </c>
      <c r="DY225" s="7">
        <f t="shared" ca="1" si="110"/>
        <v>5186.03</v>
      </c>
      <c r="DZ225" s="7">
        <f t="shared" ca="1" si="110"/>
        <v>0</v>
      </c>
      <c r="EA225" s="7">
        <f t="shared" ca="1" si="110"/>
        <v>28065.53</v>
      </c>
      <c r="EB225" s="7">
        <f t="shared" ca="1" si="110"/>
        <v>57873.5</v>
      </c>
      <c r="EC225" s="7">
        <f t="shared" ca="1" si="110"/>
        <v>10162.23</v>
      </c>
      <c r="ED225" s="7">
        <f t="shared" ca="1" si="110"/>
        <v>78242.47</v>
      </c>
      <c r="EE225" s="7">
        <f t="shared" ca="1" si="110"/>
        <v>26088.1</v>
      </c>
      <c r="EF225" s="7">
        <f t="shared" ca="1" si="110"/>
        <v>60675.53</v>
      </c>
      <c r="EG225" s="7">
        <f t="shared" ca="1" si="110"/>
        <v>51621.26</v>
      </c>
      <c r="EH225" s="7">
        <f t="shared" ca="1" si="110"/>
        <v>17048.36</v>
      </c>
      <c r="EI225" s="7">
        <f t="shared" ca="1" si="110"/>
        <v>349214.23</v>
      </c>
      <c r="EJ225" s="7">
        <f t="shared" ca="1" si="110"/>
        <v>164288.82999999999</v>
      </c>
      <c r="EK225" s="7">
        <f t="shared" ca="1" si="110"/>
        <v>15633.47</v>
      </c>
      <c r="EL225" s="7">
        <f t="shared" ca="1" si="110"/>
        <v>935.72</v>
      </c>
      <c r="EM225" s="7">
        <f t="shared" ca="1" si="110"/>
        <v>6307.4</v>
      </c>
      <c r="EN225" s="7">
        <f t="shared" ca="1" si="110"/>
        <v>8741.33</v>
      </c>
      <c r="EO225" s="7">
        <f t="shared" ca="1" si="110"/>
        <v>5681.61</v>
      </c>
      <c r="EP225" s="7">
        <f t="shared" ca="1" si="110"/>
        <v>18371.05</v>
      </c>
      <c r="EQ225" s="7">
        <f t="shared" ca="1" si="110"/>
        <v>165763.28</v>
      </c>
      <c r="ER225" s="7">
        <f t="shared" ca="1" si="110"/>
        <v>17431.29</v>
      </c>
      <c r="ES225" s="7">
        <f t="shared" ca="1" si="110"/>
        <v>4383</v>
      </c>
      <c r="ET225" s="7">
        <f t="shared" ca="1" si="110"/>
        <v>7872.17</v>
      </c>
      <c r="EU225" s="7">
        <f t="shared" ca="1" si="110"/>
        <v>92705.75</v>
      </c>
      <c r="EV225" s="7">
        <f t="shared" ca="1" si="110"/>
        <v>11030.3</v>
      </c>
      <c r="EW225" s="7">
        <f t="shared" ca="1" si="110"/>
        <v>71573.87</v>
      </c>
      <c r="EX225" s="7">
        <f t="shared" ca="1" si="110"/>
        <v>12755</v>
      </c>
      <c r="EY225" s="7">
        <f t="shared" ca="1" si="110"/>
        <v>15536.15</v>
      </c>
      <c r="EZ225" s="7">
        <f t="shared" ca="1" si="110"/>
        <v>0</v>
      </c>
      <c r="FA225" s="7">
        <f t="shared" ca="1" si="110"/>
        <v>564068.14</v>
      </c>
      <c r="FB225" s="7">
        <f t="shared" ca="1" si="110"/>
        <v>3560.38</v>
      </c>
      <c r="FC225" s="7">
        <f t="shared" ca="1" si="110"/>
        <v>28022.81</v>
      </c>
      <c r="FD225" s="7">
        <f t="shared" ca="1" si="110"/>
        <v>4153.05</v>
      </c>
      <c r="FE225" s="7">
        <f t="shared" ca="1" si="110"/>
        <v>22591.43</v>
      </c>
      <c r="FF225" s="7">
        <f t="shared" ca="1" si="110"/>
        <v>2909.83</v>
      </c>
      <c r="FG225" s="7">
        <f t="shared" ca="1" si="110"/>
        <v>4956.3100000000004</v>
      </c>
      <c r="FH225" s="7">
        <f t="shared" ca="1" si="110"/>
        <v>0</v>
      </c>
      <c r="FI225" s="7">
        <f t="shared" ca="1" si="110"/>
        <v>158109.75</v>
      </c>
      <c r="FJ225" s="7">
        <f t="shared" ca="1" si="110"/>
        <v>61175.05</v>
      </c>
      <c r="FK225" s="7">
        <f t="shared" ca="1" si="110"/>
        <v>208652.74</v>
      </c>
      <c r="FL225" s="7">
        <f t="shared" ca="1" si="110"/>
        <v>161259.79</v>
      </c>
      <c r="FM225" s="7">
        <f t="shared" ca="1" si="110"/>
        <v>77217.39</v>
      </c>
      <c r="FN225" s="7">
        <f t="shared" ca="1" si="110"/>
        <v>2840660.03</v>
      </c>
      <c r="FO225" s="7">
        <f t="shared" ca="1" si="110"/>
        <v>49090.2</v>
      </c>
      <c r="FP225" s="7">
        <f t="shared" ca="1" si="110"/>
        <v>280177.12</v>
      </c>
      <c r="FQ225" s="7">
        <f t="shared" ca="1" si="110"/>
        <v>53778.27</v>
      </c>
      <c r="FR225" s="7">
        <f t="shared" ca="1" si="110"/>
        <v>1520.17</v>
      </c>
      <c r="FS225" s="7">
        <f t="shared" ca="1" si="110"/>
        <v>0</v>
      </c>
      <c r="FT225" s="7" t="e">
        <f t="shared" ca="1" si="110"/>
        <v>#NAME?</v>
      </c>
      <c r="FU225" s="7">
        <f t="shared" ca="1" si="110"/>
        <v>129624.4</v>
      </c>
      <c r="FV225" s="7">
        <f t="shared" ca="1" si="110"/>
        <v>81740.179999999993</v>
      </c>
      <c r="FW225" s="7">
        <f t="shared" ca="1" si="110"/>
        <v>7860.49</v>
      </c>
      <c r="FX225" s="7">
        <f t="shared" ca="1" si="110"/>
        <v>0</v>
      </c>
      <c r="FY225" s="7"/>
      <c r="FZ225" s="7" t="e">
        <f t="shared" ca="1" si="109"/>
        <v>#NAME?</v>
      </c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</row>
    <row r="226" spans="1:193" ht="15.5" x14ac:dyDescent="0.35">
      <c r="A226" s="12" t="s">
        <v>988</v>
      </c>
      <c r="B226" s="7" t="s">
        <v>989</v>
      </c>
      <c r="C226" s="7">
        <f t="shared" ref="C226:FX226" si="111">C182</f>
        <v>1631312</v>
      </c>
      <c r="D226" s="7">
        <f t="shared" si="111"/>
        <v>6420108</v>
      </c>
      <c r="E226" s="7">
        <f t="shared" si="111"/>
        <v>105468</v>
      </c>
      <c r="F226" s="7">
        <f t="shared" si="111"/>
        <v>21421788</v>
      </c>
      <c r="G226" s="7">
        <f t="shared" si="111"/>
        <v>9588</v>
      </c>
      <c r="H226" s="7">
        <f t="shared" si="111"/>
        <v>9588</v>
      </c>
      <c r="I226" s="7">
        <f t="shared" si="111"/>
        <v>149172</v>
      </c>
      <c r="J226" s="7">
        <f t="shared" si="111"/>
        <v>0</v>
      </c>
      <c r="K226" s="7">
        <f t="shared" si="111"/>
        <v>0</v>
      </c>
      <c r="L226" s="7">
        <f t="shared" si="111"/>
        <v>220524</v>
      </c>
      <c r="M226" s="7">
        <f t="shared" si="111"/>
        <v>134232</v>
      </c>
      <c r="N226" s="7">
        <f t="shared" si="111"/>
        <v>1901326</v>
      </c>
      <c r="O226" s="7">
        <f t="shared" si="111"/>
        <v>1023464</v>
      </c>
      <c r="P226" s="7">
        <f t="shared" si="111"/>
        <v>0</v>
      </c>
      <c r="Q226" s="7">
        <f t="shared" si="111"/>
        <v>2103452</v>
      </c>
      <c r="R226" s="7">
        <f t="shared" si="111"/>
        <v>69366228</v>
      </c>
      <c r="S226" s="7">
        <f t="shared" si="111"/>
        <v>146720</v>
      </c>
      <c r="T226" s="7">
        <f t="shared" si="111"/>
        <v>0</v>
      </c>
      <c r="U226" s="7">
        <f t="shared" si="111"/>
        <v>0</v>
      </c>
      <c r="V226" s="7">
        <f t="shared" si="111"/>
        <v>0</v>
      </c>
      <c r="W226" s="7">
        <f t="shared" si="111"/>
        <v>9588</v>
      </c>
      <c r="X226" s="7">
        <f t="shared" si="111"/>
        <v>0</v>
      </c>
      <c r="Y226" s="7">
        <f t="shared" si="111"/>
        <v>4962280</v>
      </c>
      <c r="Z226" s="7">
        <f t="shared" si="111"/>
        <v>0</v>
      </c>
      <c r="AA226" s="7">
        <f t="shared" si="111"/>
        <v>4389556</v>
      </c>
      <c r="AB226" s="7">
        <f t="shared" si="111"/>
        <v>2814322</v>
      </c>
      <c r="AC226" s="7">
        <f t="shared" si="111"/>
        <v>0</v>
      </c>
      <c r="AD226" s="7">
        <f t="shared" si="111"/>
        <v>62322</v>
      </c>
      <c r="AE226" s="7">
        <f t="shared" si="111"/>
        <v>0</v>
      </c>
      <c r="AF226" s="7">
        <f t="shared" si="111"/>
        <v>0</v>
      </c>
      <c r="AG226" s="7">
        <f t="shared" si="111"/>
        <v>0</v>
      </c>
      <c r="AH226" s="7">
        <f t="shared" si="111"/>
        <v>0</v>
      </c>
      <c r="AI226" s="7">
        <f t="shared" si="111"/>
        <v>0</v>
      </c>
      <c r="AJ226" s="7">
        <f t="shared" si="111"/>
        <v>0</v>
      </c>
      <c r="AK226" s="7">
        <f t="shared" si="111"/>
        <v>0</v>
      </c>
      <c r="AL226" s="7">
        <f t="shared" si="111"/>
        <v>0</v>
      </c>
      <c r="AM226" s="7">
        <f t="shared" si="111"/>
        <v>0</v>
      </c>
      <c r="AN226" s="7">
        <f t="shared" si="111"/>
        <v>9588</v>
      </c>
      <c r="AO226" s="7">
        <f t="shared" si="111"/>
        <v>3882840</v>
      </c>
      <c r="AP226" s="7">
        <f t="shared" si="111"/>
        <v>8224108</v>
      </c>
      <c r="AQ226" s="7">
        <f t="shared" si="111"/>
        <v>5240</v>
      </c>
      <c r="AR226" s="7">
        <f t="shared" si="111"/>
        <v>15246380</v>
      </c>
      <c r="AS226" s="7">
        <f t="shared" si="111"/>
        <v>163888</v>
      </c>
      <c r="AT226" s="7">
        <f t="shared" si="111"/>
        <v>39244</v>
      </c>
      <c r="AU226" s="7">
        <f t="shared" si="111"/>
        <v>0</v>
      </c>
      <c r="AV226" s="7">
        <f t="shared" si="111"/>
        <v>0</v>
      </c>
      <c r="AW226" s="7">
        <f t="shared" si="111"/>
        <v>19176</v>
      </c>
      <c r="AX226" s="7">
        <f t="shared" si="111"/>
        <v>0</v>
      </c>
      <c r="AY226" s="7">
        <f t="shared" si="111"/>
        <v>0</v>
      </c>
      <c r="AZ226" s="7">
        <f t="shared" si="111"/>
        <v>1036628</v>
      </c>
      <c r="BA226" s="7">
        <f t="shared" si="111"/>
        <v>2519994</v>
      </c>
      <c r="BB226" s="7">
        <f t="shared" si="111"/>
        <v>96772</v>
      </c>
      <c r="BC226" s="7">
        <f t="shared" si="111"/>
        <v>5490960</v>
      </c>
      <c r="BD226" s="7">
        <f t="shared" si="111"/>
        <v>38352</v>
      </c>
      <c r="BE226" s="7">
        <f t="shared" si="111"/>
        <v>0</v>
      </c>
      <c r="BF226" s="7">
        <f t="shared" si="111"/>
        <v>12841342</v>
      </c>
      <c r="BG226" s="7">
        <f t="shared" si="111"/>
        <v>0</v>
      </c>
      <c r="BH226" s="7">
        <f t="shared" si="111"/>
        <v>408496</v>
      </c>
      <c r="BI226" s="7">
        <f t="shared" si="111"/>
        <v>0</v>
      </c>
      <c r="BJ226" s="7">
        <f t="shared" si="111"/>
        <v>169574</v>
      </c>
      <c r="BK226" s="7">
        <f t="shared" si="111"/>
        <v>139147524</v>
      </c>
      <c r="BL226" s="7">
        <f t="shared" si="111"/>
        <v>44930</v>
      </c>
      <c r="BM226" s="7">
        <f t="shared" si="111"/>
        <v>177378</v>
      </c>
      <c r="BN226" s="7">
        <f t="shared" si="111"/>
        <v>478398</v>
      </c>
      <c r="BO226" s="7">
        <f t="shared" si="111"/>
        <v>28764</v>
      </c>
      <c r="BP226" s="7">
        <f t="shared" si="111"/>
        <v>0</v>
      </c>
      <c r="BQ226" s="7">
        <f t="shared" si="111"/>
        <v>29656</v>
      </c>
      <c r="BR226" s="7">
        <f t="shared" si="111"/>
        <v>0</v>
      </c>
      <c r="BS226" s="7">
        <f t="shared" si="111"/>
        <v>0</v>
      </c>
      <c r="BT226" s="7">
        <f t="shared" si="111"/>
        <v>0</v>
      </c>
      <c r="BU226" s="7">
        <f t="shared" si="111"/>
        <v>0</v>
      </c>
      <c r="BV226" s="7">
        <f t="shared" si="111"/>
        <v>0</v>
      </c>
      <c r="BW226" s="7">
        <f t="shared" si="111"/>
        <v>0</v>
      </c>
      <c r="BX226" s="7">
        <f t="shared" si="111"/>
        <v>0</v>
      </c>
      <c r="BY226" s="7">
        <f t="shared" si="111"/>
        <v>31440</v>
      </c>
      <c r="BZ226" s="7">
        <f t="shared" si="111"/>
        <v>0</v>
      </c>
      <c r="CA226" s="7">
        <f t="shared" si="111"/>
        <v>0</v>
      </c>
      <c r="CB226" s="7">
        <f t="shared" si="111"/>
        <v>10993500</v>
      </c>
      <c r="CC226" s="7">
        <f t="shared" si="111"/>
        <v>0</v>
      </c>
      <c r="CD226" s="7">
        <f t="shared" si="111"/>
        <v>0</v>
      </c>
      <c r="CE226" s="7">
        <f t="shared" si="111"/>
        <v>0</v>
      </c>
      <c r="CF226" s="7">
        <f t="shared" si="111"/>
        <v>0</v>
      </c>
      <c r="CG226" s="7">
        <f t="shared" si="111"/>
        <v>0</v>
      </c>
      <c r="CH226" s="7">
        <f t="shared" si="111"/>
        <v>0</v>
      </c>
      <c r="CI226" s="7">
        <f t="shared" si="111"/>
        <v>0</v>
      </c>
      <c r="CJ226" s="7">
        <f t="shared" si="111"/>
        <v>10480</v>
      </c>
      <c r="CK226" s="7">
        <f t="shared" si="111"/>
        <v>246280</v>
      </c>
      <c r="CL226" s="7">
        <f t="shared" si="111"/>
        <v>95992</v>
      </c>
      <c r="CM226" s="7">
        <f t="shared" si="111"/>
        <v>20960</v>
      </c>
      <c r="CN226" s="7">
        <f t="shared" si="111"/>
        <v>9481816</v>
      </c>
      <c r="CO226" s="7">
        <f t="shared" si="111"/>
        <v>697806</v>
      </c>
      <c r="CP226" s="7">
        <f t="shared" si="111"/>
        <v>49724</v>
      </c>
      <c r="CQ226" s="7">
        <f t="shared" si="111"/>
        <v>0</v>
      </c>
      <c r="CR226" s="7">
        <f t="shared" si="111"/>
        <v>0</v>
      </c>
      <c r="CS226" s="7">
        <f t="shared" si="111"/>
        <v>0</v>
      </c>
      <c r="CT226" s="7">
        <f t="shared" si="111"/>
        <v>0</v>
      </c>
      <c r="CU226" s="7">
        <f t="shared" si="111"/>
        <v>4169256</v>
      </c>
      <c r="CV226" s="7">
        <f t="shared" si="111"/>
        <v>0</v>
      </c>
      <c r="CW226" s="7">
        <f t="shared" si="111"/>
        <v>0</v>
      </c>
      <c r="CX226" s="7">
        <f t="shared" si="111"/>
        <v>0</v>
      </c>
      <c r="CY226" s="7">
        <f t="shared" si="111"/>
        <v>0</v>
      </c>
      <c r="CZ226" s="7">
        <f t="shared" si="111"/>
        <v>0</v>
      </c>
      <c r="DA226" s="7">
        <f t="shared" si="111"/>
        <v>0</v>
      </c>
      <c r="DB226" s="7">
        <f t="shared" si="111"/>
        <v>0</v>
      </c>
      <c r="DC226" s="7">
        <f t="shared" si="111"/>
        <v>0</v>
      </c>
      <c r="DD226" s="7">
        <f t="shared" si="111"/>
        <v>0</v>
      </c>
      <c r="DE226" s="7">
        <f t="shared" si="111"/>
        <v>0</v>
      </c>
      <c r="DF226" s="7">
        <f t="shared" si="111"/>
        <v>491778</v>
      </c>
      <c r="DG226" s="7">
        <f t="shared" si="111"/>
        <v>0</v>
      </c>
      <c r="DH226" s="7">
        <f t="shared" si="111"/>
        <v>0</v>
      </c>
      <c r="DI226" s="7">
        <f t="shared" si="111"/>
        <v>41920</v>
      </c>
      <c r="DJ226" s="7">
        <f t="shared" si="111"/>
        <v>10480</v>
      </c>
      <c r="DK226" s="7">
        <f t="shared" si="111"/>
        <v>10480</v>
      </c>
      <c r="DL226" s="7">
        <f t="shared" si="111"/>
        <v>0</v>
      </c>
      <c r="DM226" s="7">
        <f t="shared" si="111"/>
        <v>0</v>
      </c>
      <c r="DN226" s="7">
        <f t="shared" si="111"/>
        <v>14828</v>
      </c>
      <c r="DO226" s="7">
        <f t="shared" si="111"/>
        <v>10480</v>
      </c>
      <c r="DP226" s="7">
        <f t="shared" si="111"/>
        <v>0</v>
      </c>
      <c r="DQ226" s="7">
        <f t="shared" si="111"/>
        <v>9588</v>
      </c>
      <c r="DR226" s="7">
        <f t="shared" si="111"/>
        <v>0</v>
      </c>
      <c r="DS226" s="7">
        <f t="shared" si="111"/>
        <v>0</v>
      </c>
      <c r="DT226" s="7">
        <f t="shared" si="111"/>
        <v>0</v>
      </c>
      <c r="DU226" s="7">
        <f t="shared" si="111"/>
        <v>0</v>
      </c>
      <c r="DV226" s="7">
        <f t="shared" si="111"/>
        <v>0</v>
      </c>
      <c r="DW226" s="7">
        <f t="shared" si="111"/>
        <v>0</v>
      </c>
      <c r="DX226" s="7">
        <f t="shared" si="111"/>
        <v>0</v>
      </c>
      <c r="DY226" s="7">
        <f t="shared" si="111"/>
        <v>0</v>
      </c>
      <c r="DZ226" s="7">
        <f t="shared" si="111"/>
        <v>9588</v>
      </c>
      <c r="EA226" s="7">
        <f t="shared" si="111"/>
        <v>0</v>
      </c>
      <c r="EB226" s="7">
        <f t="shared" si="111"/>
        <v>0</v>
      </c>
      <c r="EC226" s="7">
        <f t="shared" si="111"/>
        <v>0</v>
      </c>
      <c r="ED226" s="7">
        <f t="shared" si="111"/>
        <v>0</v>
      </c>
      <c r="EE226" s="7">
        <f t="shared" si="111"/>
        <v>0</v>
      </c>
      <c r="EF226" s="7">
        <f t="shared" si="111"/>
        <v>19176</v>
      </c>
      <c r="EG226" s="7">
        <f t="shared" si="111"/>
        <v>0</v>
      </c>
      <c r="EH226" s="7">
        <f t="shared" si="111"/>
        <v>0</v>
      </c>
      <c r="EI226" s="7">
        <f t="shared" si="111"/>
        <v>245386</v>
      </c>
      <c r="EJ226" s="7">
        <f t="shared" si="111"/>
        <v>2455328</v>
      </c>
      <c r="EK226" s="7">
        <f t="shared" si="111"/>
        <v>0</v>
      </c>
      <c r="EL226" s="7">
        <f t="shared" si="111"/>
        <v>0</v>
      </c>
      <c r="EM226" s="7">
        <f t="shared" si="111"/>
        <v>0</v>
      </c>
      <c r="EN226" s="7">
        <f t="shared" si="111"/>
        <v>450640</v>
      </c>
      <c r="EO226" s="7">
        <f t="shared" si="111"/>
        <v>0</v>
      </c>
      <c r="EP226" s="7">
        <f t="shared" si="111"/>
        <v>0</v>
      </c>
      <c r="EQ226" s="7">
        <f t="shared" si="111"/>
        <v>19176</v>
      </c>
      <c r="ER226" s="7">
        <f t="shared" si="111"/>
        <v>19176</v>
      </c>
      <c r="ES226" s="7">
        <f t="shared" si="111"/>
        <v>0</v>
      </c>
      <c r="ET226" s="7">
        <f t="shared" si="111"/>
        <v>0</v>
      </c>
      <c r="EU226" s="7">
        <f t="shared" si="111"/>
        <v>0</v>
      </c>
      <c r="EV226" s="7">
        <f t="shared" si="111"/>
        <v>0</v>
      </c>
      <c r="EW226" s="7">
        <f t="shared" si="111"/>
        <v>0</v>
      </c>
      <c r="EX226" s="7">
        <f t="shared" si="111"/>
        <v>0</v>
      </c>
      <c r="EY226" s="7">
        <f t="shared" si="111"/>
        <v>4716000</v>
      </c>
      <c r="EZ226" s="7">
        <f t="shared" si="111"/>
        <v>0</v>
      </c>
      <c r="FA226" s="7">
        <f t="shared" si="111"/>
        <v>115056</v>
      </c>
      <c r="FB226" s="7">
        <f t="shared" si="111"/>
        <v>0</v>
      </c>
      <c r="FC226" s="7">
        <f t="shared" si="111"/>
        <v>38352</v>
      </c>
      <c r="FD226" s="7">
        <f t="shared" si="111"/>
        <v>0</v>
      </c>
      <c r="FE226" s="7">
        <f t="shared" si="111"/>
        <v>0</v>
      </c>
      <c r="FF226" s="7">
        <f t="shared" si="111"/>
        <v>0</v>
      </c>
      <c r="FG226" s="7">
        <f t="shared" si="111"/>
        <v>0</v>
      </c>
      <c r="FH226" s="7">
        <f t="shared" si="111"/>
        <v>0</v>
      </c>
      <c r="FI226" s="7">
        <f t="shared" si="111"/>
        <v>0</v>
      </c>
      <c r="FJ226" s="7">
        <f t="shared" si="111"/>
        <v>0</v>
      </c>
      <c r="FK226" s="7">
        <f t="shared" si="111"/>
        <v>0</v>
      </c>
      <c r="FL226" s="7">
        <f t="shared" si="111"/>
        <v>0</v>
      </c>
      <c r="FM226" s="7">
        <f t="shared" si="111"/>
        <v>0</v>
      </c>
      <c r="FN226" s="7">
        <f t="shared" si="111"/>
        <v>2952014</v>
      </c>
      <c r="FO226" s="7">
        <f t="shared" si="111"/>
        <v>20960</v>
      </c>
      <c r="FP226" s="7">
        <f t="shared" si="111"/>
        <v>0</v>
      </c>
      <c r="FQ226" s="7">
        <f t="shared" si="111"/>
        <v>0</v>
      </c>
      <c r="FR226" s="7">
        <f t="shared" si="111"/>
        <v>0</v>
      </c>
      <c r="FS226" s="7">
        <f t="shared" si="111"/>
        <v>0</v>
      </c>
      <c r="FT226" s="7" t="e">
        <f t="shared" ca="1" si="111"/>
        <v>#NAME?</v>
      </c>
      <c r="FU226" s="7">
        <f t="shared" si="111"/>
        <v>0</v>
      </c>
      <c r="FV226" s="7">
        <f t="shared" si="111"/>
        <v>9588</v>
      </c>
      <c r="FW226" s="7">
        <f t="shared" si="111"/>
        <v>19176</v>
      </c>
      <c r="FX226" s="7">
        <f t="shared" si="111"/>
        <v>0</v>
      </c>
      <c r="FY226" s="7"/>
      <c r="FZ226" s="7" t="e">
        <f t="shared" ca="1" si="109"/>
        <v>#NAME?</v>
      </c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</row>
    <row r="227" spans="1:193" ht="15.5" x14ac:dyDescent="0.35">
      <c r="A227" s="12" t="s">
        <v>990</v>
      </c>
      <c r="B227" s="7" t="s">
        <v>991</v>
      </c>
      <c r="C227" s="7">
        <f t="shared" ref="C227:FX227" ca="1" si="112">C224+C225+C226</f>
        <v>79061989.679999992</v>
      </c>
      <c r="D227" s="7">
        <f t="shared" ca="1" si="112"/>
        <v>446182328.5</v>
      </c>
      <c r="E227" s="7">
        <f t="shared" ca="1" si="112"/>
        <v>71478924.429999903</v>
      </c>
      <c r="F227" s="7">
        <f t="shared" ca="1" si="112"/>
        <v>279287184.22000003</v>
      </c>
      <c r="G227" s="7">
        <f t="shared" ca="1" si="112"/>
        <v>21770640.77</v>
      </c>
      <c r="H227" s="7">
        <f t="shared" ca="1" si="112"/>
        <v>13188453.140000001</v>
      </c>
      <c r="I227" s="7">
        <f t="shared" ca="1" si="112"/>
        <v>98904716.640000001</v>
      </c>
      <c r="J227" s="7">
        <f t="shared" ca="1" si="112"/>
        <v>24091398.419999901</v>
      </c>
      <c r="K227" s="7">
        <f t="shared" ca="1" si="112"/>
        <v>4191224.56</v>
      </c>
      <c r="L227" s="7">
        <f t="shared" ca="1" si="112"/>
        <v>26223106.879999999</v>
      </c>
      <c r="M227" s="7">
        <f t="shared" ca="1" si="112"/>
        <v>12984654.18</v>
      </c>
      <c r="N227" s="7">
        <f t="shared" ca="1" si="112"/>
        <v>592130490.39999998</v>
      </c>
      <c r="O227" s="7">
        <f t="shared" ca="1" si="112"/>
        <v>144009244.40000001</v>
      </c>
      <c r="P227" s="7">
        <f t="shared" ca="1" si="112"/>
        <v>5104600.0999999996</v>
      </c>
      <c r="Q227" s="7">
        <f t="shared" ca="1" si="112"/>
        <v>497539958.72000003</v>
      </c>
      <c r="R227" s="7">
        <f t="shared" ca="1" si="112"/>
        <v>79749027.269999996</v>
      </c>
      <c r="S227" s="7">
        <f t="shared" ca="1" si="112"/>
        <v>18977505.5</v>
      </c>
      <c r="T227" s="7">
        <f t="shared" ca="1" si="112"/>
        <v>3218152.6199999899</v>
      </c>
      <c r="U227" s="7">
        <f t="shared" ca="1" si="112"/>
        <v>1310288.68</v>
      </c>
      <c r="V227" s="7">
        <f t="shared" ca="1" si="112"/>
        <v>4192885.27</v>
      </c>
      <c r="W227" s="7">
        <f t="shared" ca="1" si="112"/>
        <v>1382561.76</v>
      </c>
      <c r="X227" s="7">
        <f t="shared" ca="1" si="112"/>
        <v>1162581.68</v>
      </c>
      <c r="Y227" s="7">
        <f t="shared" ca="1" si="112"/>
        <v>10781640.01</v>
      </c>
      <c r="Z227" s="7">
        <f t="shared" ca="1" si="112"/>
        <v>3768030.09</v>
      </c>
      <c r="AA227" s="7">
        <f t="shared" ca="1" si="112"/>
        <v>352504308.11000001</v>
      </c>
      <c r="AB227" s="7">
        <f t="shared" ca="1" si="112"/>
        <v>312898311.33999997</v>
      </c>
      <c r="AC227" s="7">
        <f t="shared" ca="1" si="112"/>
        <v>10829324.530000001</v>
      </c>
      <c r="AD227" s="7">
        <f t="shared" ca="1" si="112"/>
        <v>16372799.41</v>
      </c>
      <c r="AE227" s="7">
        <f t="shared" ca="1" si="112"/>
        <v>2141390.1099999901</v>
      </c>
      <c r="AF227" s="7">
        <f t="shared" ca="1" si="112"/>
        <v>3331505.06</v>
      </c>
      <c r="AG227" s="7">
        <f t="shared" ca="1" si="112"/>
        <v>7741217.1600000001</v>
      </c>
      <c r="AH227" s="7">
        <f t="shared" ca="1" si="112"/>
        <v>11289974.189999999</v>
      </c>
      <c r="AI227" s="7">
        <f t="shared" ca="1" si="112"/>
        <v>5293011.6399999997</v>
      </c>
      <c r="AJ227" s="7">
        <f t="shared" ca="1" si="112"/>
        <v>3613794.0199999898</v>
      </c>
      <c r="AK227" s="7">
        <f t="shared" ca="1" si="112"/>
        <v>3358406.28</v>
      </c>
      <c r="AL227" s="7">
        <f t="shared" ca="1" si="112"/>
        <v>4578265.29</v>
      </c>
      <c r="AM227" s="7">
        <f t="shared" ca="1" si="112"/>
        <v>5070412.3299999991</v>
      </c>
      <c r="AN227" s="7">
        <f t="shared" ca="1" si="112"/>
        <v>4637675.92</v>
      </c>
      <c r="AO227" s="7">
        <f t="shared" ca="1" si="112"/>
        <v>49732825.859999999</v>
      </c>
      <c r="AP227" s="7">
        <f t="shared" ca="1" si="112"/>
        <v>1019980699.91</v>
      </c>
      <c r="AQ227" s="7">
        <f t="shared" ca="1" si="112"/>
        <v>4371211.78</v>
      </c>
      <c r="AR227" s="7">
        <f t="shared" ca="1" si="112"/>
        <v>695003791.50999892</v>
      </c>
      <c r="AS227" s="7">
        <f t="shared" ca="1" si="112"/>
        <v>79339583.129999995</v>
      </c>
      <c r="AT227" s="7">
        <f t="shared" ca="1" si="112"/>
        <v>27083777.920000002</v>
      </c>
      <c r="AU227" s="7">
        <f t="shared" ca="1" si="112"/>
        <v>4545410</v>
      </c>
      <c r="AV227" s="7">
        <f t="shared" ca="1" si="112"/>
        <v>4973402.92</v>
      </c>
      <c r="AW227" s="7">
        <f t="shared" ca="1" si="112"/>
        <v>4375560.07</v>
      </c>
      <c r="AX227" s="7">
        <f t="shared" ca="1" si="112"/>
        <v>1957632.03</v>
      </c>
      <c r="AY227" s="7">
        <f t="shared" ca="1" si="112"/>
        <v>5824738.4399999995</v>
      </c>
      <c r="AZ227" s="7">
        <f t="shared" ca="1" si="112"/>
        <v>142629299.31999999</v>
      </c>
      <c r="BA227" s="7">
        <f t="shared" ca="1" si="112"/>
        <v>100487612.0299999</v>
      </c>
      <c r="BB227" s="7">
        <f t="shared" ca="1" si="112"/>
        <v>83839870.6199999</v>
      </c>
      <c r="BC227" s="7">
        <f t="shared" ca="1" si="112"/>
        <v>282897524.06999904</v>
      </c>
      <c r="BD227" s="7">
        <f t="shared" ca="1" si="112"/>
        <v>39827709.919999897</v>
      </c>
      <c r="BE227" s="7">
        <f t="shared" ca="1" si="112"/>
        <v>14211729.34</v>
      </c>
      <c r="BF227" s="7">
        <f t="shared" ca="1" si="112"/>
        <v>281956996.83999997</v>
      </c>
      <c r="BG227" s="7">
        <f t="shared" ca="1" si="112"/>
        <v>11549050.060000001</v>
      </c>
      <c r="BH227" s="7">
        <f t="shared" ca="1" si="112"/>
        <v>7379956.0899999999</v>
      </c>
      <c r="BI227" s="7">
        <f t="shared" ca="1" si="112"/>
        <v>4531484.93</v>
      </c>
      <c r="BJ227" s="7">
        <f t="shared" ca="1" si="112"/>
        <v>69461241.200000003</v>
      </c>
      <c r="BK227" s="7">
        <f t="shared" ca="1" si="112"/>
        <v>390865273.26999998</v>
      </c>
      <c r="BL227" s="7">
        <f t="shared" ca="1" si="112"/>
        <v>1874169.0899999901</v>
      </c>
      <c r="BM227" s="7">
        <f t="shared" ca="1" si="112"/>
        <v>5309125.9999999898</v>
      </c>
      <c r="BN227" s="7">
        <f t="shared" ca="1" si="112"/>
        <v>34707860.109999999</v>
      </c>
      <c r="BO227" s="7">
        <f t="shared" ca="1" si="112"/>
        <v>14486014.7899999</v>
      </c>
      <c r="BP227" s="7">
        <f t="shared" ca="1" si="112"/>
        <v>3242513.9</v>
      </c>
      <c r="BQ227" s="7">
        <f t="shared" ca="1" si="112"/>
        <v>72114218.569999993</v>
      </c>
      <c r="BR227" s="7">
        <f t="shared" ca="1" si="112"/>
        <v>51022566.020000003</v>
      </c>
      <c r="BS227" s="7">
        <f t="shared" ca="1" si="112"/>
        <v>14686026.07</v>
      </c>
      <c r="BT227" s="7">
        <f t="shared" ca="1" si="112"/>
        <v>5629295.6999999899</v>
      </c>
      <c r="BU227" s="7">
        <f t="shared" ca="1" si="112"/>
        <v>5842037.6999999993</v>
      </c>
      <c r="BV227" s="7">
        <f t="shared" ca="1" si="112"/>
        <v>14582251.569999998</v>
      </c>
      <c r="BW227" s="7">
        <f t="shared" ca="1" si="112"/>
        <v>23400238.7299999</v>
      </c>
      <c r="BX227" s="7">
        <f t="shared" ca="1" si="112"/>
        <v>1647493.26</v>
      </c>
      <c r="BY227" s="7">
        <f t="shared" ca="1" si="112"/>
        <v>6019018.9100000001</v>
      </c>
      <c r="BZ227" s="7">
        <f t="shared" ca="1" si="112"/>
        <v>3917429.31</v>
      </c>
      <c r="CA227" s="7">
        <f t="shared" ca="1" si="112"/>
        <v>3045296</v>
      </c>
      <c r="CB227" s="7">
        <f t="shared" ca="1" si="112"/>
        <v>829909535.82000005</v>
      </c>
      <c r="CC227" s="7">
        <f t="shared" ca="1" si="112"/>
        <v>3491422.38</v>
      </c>
      <c r="CD227" s="7">
        <f t="shared" ca="1" si="112"/>
        <v>1111944.4000000001</v>
      </c>
      <c r="CE227" s="7">
        <f t="shared" ca="1" si="112"/>
        <v>3065905.17</v>
      </c>
      <c r="CF227" s="7">
        <f t="shared" ca="1" si="112"/>
        <v>2291611.64</v>
      </c>
      <c r="CG227" s="7">
        <f t="shared" ca="1" si="112"/>
        <v>3572390.33</v>
      </c>
      <c r="CH227" s="7">
        <f t="shared" ca="1" si="112"/>
        <v>2154948.56</v>
      </c>
      <c r="CI227" s="7">
        <f t="shared" ca="1" si="112"/>
        <v>8273353.04</v>
      </c>
      <c r="CJ227" s="7">
        <f t="shared" ca="1" si="112"/>
        <v>11069880.449999999</v>
      </c>
      <c r="CK227" s="7">
        <f t="shared" ca="1" si="112"/>
        <v>56336946.939999998</v>
      </c>
      <c r="CL227" s="7">
        <f t="shared" ca="1" si="112"/>
        <v>15030514.23</v>
      </c>
      <c r="CM227" s="7">
        <f t="shared" ca="1" si="112"/>
        <v>9001152.8000000007</v>
      </c>
      <c r="CN227" s="7">
        <f t="shared" ca="1" si="112"/>
        <v>342897570</v>
      </c>
      <c r="CO227" s="7">
        <f t="shared" ca="1" si="112"/>
        <v>156460780.35999998</v>
      </c>
      <c r="CP227" s="7">
        <f t="shared" ca="1" si="112"/>
        <v>11731431.35</v>
      </c>
      <c r="CQ227" s="7">
        <f t="shared" ca="1" si="112"/>
        <v>9949079.0600000005</v>
      </c>
      <c r="CR227" s="7">
        <f t="shared" ca="1" si="112"/>
        <v>3775953.62</v>
      </c>
      <c r="CS227" s="7">
        <f t="shared" ca="1" si="112"/>
        <v>4349049.93</v>
      </c>
      <c r="CT227" s="7">
        <f t="shared" ca="1" si="112"/>
        <v>2470076.59</v>
      </c>
      <c r="CU227" s="7">
        <f t="shared" ca="1" si="112"/>
        <v>5226267.8600000003</v>
      </c>
      <c r="CV227" s="7">
        <f t="shared" ca="1" si="112"/>
        <v>1076684.73</v>
      </c>
      <c r="CW227" s="7">
        <f t="shared" ca="1" si="112"/>
        <v>3691096.75</v>
      </c>
      <c r="CX227" s="7">
        <f t="shared" ca="1" si="112"/>
        <v>5911762.3099999903</v>
      </c>
      <c r="CY227" s="7">
        <f t="shared" ca="1" si="112"/>
        <v>1148005.03</v>
      </c>
      <c r="CZ227" s="7">
        <f t="shared" ca="1" si="112"/>
        <v>20679499.120000001</v>
      </c>
      <c r="DA227" s="7">
        <f t="shared" ca="1" si="112"/>
        <v>3639031.96999999</v>
      </c>
      <c r="DB227" s="7">
        <f t="shared" ca="1" si="112"/>
        <v>4728881.38</v>
      </c>
      <c r="DC227" s="7">
        <f t="shared" ca="1" si="112"/>
        <v>3560350.21</v>
      </c>
      <c r="DD227" s="7">
        <f t="shared" ca="1" si="112"/>
        <v>3479436.51</v>
      </c>
      <c r="DE227" s="7">
        <f t="shared" ca="1" si="112"/>
        <v>4477825.1500000004</v>
      </c>
      <c r="DF227" s="7">
        <f t="shared" ca="1" si="112"/>
        <v>226292744.48999998</v>
      </c>
      <c r="DG227" s="7">
        <f t="shared" ca="1" si="112"/>
        <v>2134952.04</v>
      </c>
      <c r="DH227" s="7">
        <f t="shared" ca="1" si="112"/>
        <v>20322605.720000003</v>
      </c>
      <c r="DI227" s="7">
        <f t="shared" ca="1" si="112"/>
        <v>27597128.670000002</v>
      </c>
      <c r="DJ227" s="7">
        <f t="shared" ca="1" si="112"/>
        <v>7911070.4799999995</v>
      </c>
      <c r="DK227" s="7">
        <f t="shared" ca="1" si="112"/>
        <v>6064487.1499999994</v>
      </c>
      <c r="DL227" s="7">
        <f t="shared" ca="1" si="112"/>
        <v>65787938.75</v>
      </c>
      <c r="DM227" s="7">
        <f t="shared" ca="1" si="112"/>
        <v>4326904.25</v>
      </c>
      <c r="DN227" s="7">
        <f t="shared" ca="1" si="112"/>
        <v>15842034.7899999</v>
      </c>
      <c r="DO227" s="7">
        <f t="shared" ca="1" si="112"/>
        <v>38031980.059999995</v>
      </c>
      <c r="DP227" s="7">
        <f t="shared" ca="1" si="112"/>
        <v>3781904.38</v>
      </c>
      <c r="DQ227" s="7">
        <f t="shared" ca="1" si="112"/>
        <v>10713838.560000001</v>
      </c>
      <c r="DR227" s="7">
        <f t="shared" ca="1" si="112"/>
        <v>15886646.859999999</v>
      </c>
      <c r="DS227" s="7">
        <f t="shared" ca="1" si="112"/>
        <v>7931817.7000000002</v>
      </c>
      <c r="DT227" s="7">
        <f t="shared" ca="1" si="112"/>
        <v>3608126.51</v>
      </c>
      <c r="DU227" s="7">
        <f t="shared" ca="1" si="112"/>
        <v>5119303.6799999997</v>
      </c>
      <c r="DV227" s="7">
        <f t="shared" ca="1" si="112"/>
        <v>3770010.8</v>
      </c>
      <c r="DW227" s="7">
        <f t="shared" ca="1" si="112"/>
        <v>4617450.2</v>
      </c>
      <c r="DX227" s="7">
        <f t="shared" ca="1" si="112"/>
        <v>3711652.82</v>
      </c>
      <c r="DY227" s="7">
        <f t="shared" ca="1" si="112"/>
        <v>4950450.13</v>
      </c>
      <c r="DZ227" s="7">
        <f t="shared" ca="1" si="112"/>
        <v>8828133.25</v>
      </c>
      <c r="EA227" s="7">
        <f t="shared" ca="1" si="112"/>
        <v>7010469.4500000002</v>
      </c>
      <c r="EB227" s="7">
        <f t="shared" ca="1" si="112"/>
        <v>6781640.27999999</v>
      </c>
      <c r="EC227" s="7">
        <f t="shared" ca="1" si="112"/>
        <v>4197736.3500000006</v>
      </c>
      <c r="ED227" s="7">
        <f t="shared" ca="1" si="112"/>
        <v>23405168.759999998</v>
      </c>
      <c r="EE227" s="7">
        <f t="shared" ca="1" si="112"/>
        <v>3587045.68</v>
      </c>
      <c r="EF227" s="7">
        <f t="shared" ca="1" si="112"/>
        <v>16128939.9099999</v>
      </c>
      <c r="EG227" s="7">
        <f t="shared" ca="1" si="112"/>
        <v>4053090.4</v>
      </c>
      <c r="EH227" s="7">
        <f t="shared" ca="1" si="112"/>
        <v>4021646.7899999898</v>
      </c>
      <c r="EI227" s="7">
        <f t="shared" ca="1" si="112"/>
        <v>162615505.53</v>
      </c>
      <c r="EJ227" s="7">
        <f t="shared" ca="1" si="112"/>
        <v>111337477.69</v>
      </c>
      <c r="EK227" s="7">
        <f t="shared" ca="1" si="112"/>
        <v>8053120.7799999993</v>
      </c>
      <c r="EL227" s="7">
        <f t="shared" ca="1" si="112"/>
        <v>5677812.5899999999</v>
      </c>
      <c r="EM227" s="7">
        <f t="shared" ca="1" si="112"/>
        <v>5303475.16</v>
      </c>
      <c r="EN227" s="7">
        <f t="shared" ca="1" si="112"/>
        <v>11377002.6</v>
      </c>
      <c r="EO227" s="7">
        <f t="shared" ca="1" si="112"/>
        <v>4579148.91</v>
      </c>
      <c r="EP227" s="7">
        <f t="shared" ca="1" si="112"/>
        <v>5997877.4799999995</v>
      </c>
      <c r="EQ227" s="7">
        <f t="shared" ca="1" si="112"/>
        <v>30275119.289999902</v>
      </c>
      <c r="ER227" s="7">
        <f t="shared" ca="1" si="112"/>
        <v>4987777.33</v>
      </c>
      <c r="ES227" s="7">
        <f t="shared" ca="1" si="112"/>
        <v>3253793.81</v>
      </c>
      <c r="ET227" s="7">
        <f t="shared" ca="1" si="112"/>
        <v>4256324.13</v>
      </c>
      <c r="EU227" s="7">
        <f t="shared" ca="1" si="112"/>
        <v>7787616.25</v>
      </c>
      <c r="EV227" s="7">
        <f t="shared" ca="1" si="112"/>
        <v>1790492.83</v>
      </c>
      <c r="EW227" s="7">
        <f t="shared" ca="1" si="112"/>
        <v>12914715.459999999</v>
      </c>
      <c r="EX227" s="7">
        <f t="shared" ca="1" si="112"/>
        <v>3691058.9499999899</v>
      </c>
      <c r="EY227" s="7">
        <f t="shared" ca="1" si="112"/>
        <v>7759767.1999999993</v>
      </c>
      <c r="EZ227" s="7">
        <f t="shared" ca="1" si="112"/>
        <v>2720167.82</v>
      </c>
      <c r="FA227" s="7">
        <f t="shared" ca="1" si="112"/>
        <v>41524396.699999899</v>
      </c>
      <c r="FB227" s="7">
        <f t="shared" ca="1" si="112"/>
        <v>4658644.5599999996</v>
      </c>
      <c r="FC227" s="7">
        <f t="shared" ca="1" si="112"/>
        <v>20825625.399999999</v>
      </c>
      <c r="FD227" s="7">
        <f t="shared" ca="1" si="112"/>
        <v>5576513.2800000003</v>
      </c>
      <c r="FE227" s="7">
        <f t="shared" ca="1" si="112"/>
        <v>1863010.65</v>
      </c>
      <c r="FF227" s="7">
        <f t="shared" ca="1" si="112"/>
        <v>3591748.16</v>
      </c>
      <c r="FG227" s="7">
        <f t="shared" ca="1" si="112"/>
        <v>2629985.41</v>
      </c>
      <c r="FH227" s="7">
        <f t="shared" ca="1" si="112"/>
        <v>1618391.5999999901</v>
      </c>
      <c r="FI227" s="7">
        <f t="shared" ca="1" si="112"/>
        <v>20134035.949999999</v>
      </c>
      <c r="FJ227" s="7">
        <f t="shared" ca="1" si="112"/>
        <v>22430808.640000001</v>
      </c>
      <c r="FK227" s="7">
        <f t="shared" ca="1" si="112"/>
        <v>28834604.939999998</v>
      </c>
      <c r="FL227" s="7">
        <f t="shared" ca="1" si="112"/>
        <v>91119304.700000003</v>
      </c>
      <c r="FM227" s="7">
        <f t="shared" ca="1" si="112"/>
        <v>43019259.969999999</v>
      </c>
      <c r="FN227" s="7">
        <f t="shared" ca="1" si="112"/>
        <v>263520742.59</v>
      </c>
      <c r="FO227" s="7">
        <f t="shared" ca="1" si="112"/>
        <v>13318654.319999998</v>
      </c>
      <c r="FP227" s="7">
        <f t="shared" ca="1" si="112"/>
        <v>27337540.900000002</v>
      </c>
      <c r="FQ227" s="7">
        <f t="shared" ca="1" si="112"/>
        <v>11564344.26</v>
      </c>
      <c r="FR227" s="7">
        <f t="shared" ca="1" si="112"/>
        <v>3296557.44</v>
      </c>
      <c r="FS227" s="7">
        <f t="shared" ca="1" si="112"/>
        <v>3289803.97</v>
      </c>
      <c r="FT227" s="7" t="e">
        <f t="shared" ca="1" si="112"/>
        <v>#NAME?</v>
      </c>
      <c r="FU227" s="7">
        <f t="shared" ca="1" si="112"/>
        <v>10255259.24</v>
      </c>
      <c r="FV227" s="7">
        <f t="shared" ca="1" si="112"/>
        <v>8799708.0600000005</v>
      </c>
      <c r="FW227" s="7">
        <f t="shared" ca="1" si="112"/>
        <v>3118252.85</v>
      </c>
      <c r="FX227" s="7">
        <f t="shared" ca="1" si="112"/>
        <v>1601192.38</v>
      </c>
      <c r="FY227" s="7"/>
      <c r="FZ227" s="7" t="e">
        <f t="shared" ca="1" si="109"/>
        <v>#NAME?</v>
      </c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</row>
    <row r="228" spans="1:193" ht="15.5" x14ac:dyDescent="0.35">
      <c r="A228" s="12" t="s">
        <v>992</v>
      </c>
      <c r="B228" s="7" t="s">
        <v>993</v>
      </c>
      <c r="C228" s="7">
        <f t="shared" ref="C228:FX228" si="113">C219</f>
        <v>72043727.930000007</v>
      </c>
      <c r="D228" s="7">
        <f t="shared" si="113"/>
        <v>426879181.75999999</v>
      </c>
      <c r="E228" s="7">
        <f t="shared" si="113"/>
        <v>63387861.700000003</v>
      </c>
      <c r="F228" s="7">
        <f t="shared" si="113"/>
        <v>268448107.88999999</v>
      </c>
      <c r="G228" s="7">
        <f t="shared" si="113"/>
        <v>20346418.600000001</v>
      </c>
      <c r="H228" s="7">
        <f t="shared" si="113"/>
        <v>12093679.810000001</v>
      </c>
      <c r="I228" s="7">
        <f t="shared" si="113"/>
        <v>88995976.400000006</v>
      </c>
      <c r="J228" s="7">
        <f t="shared" si="113"/>
        <v>22794013.82</v>
      </c>
      <c r="K228" s="7">
        <f t="shared" si="113"/>
        <v>2775911.21</v>
      </c>
      <c r="L228" s="7">
        <f t="shared" si="113"/>
        <v>23745737.32</v>
      </c>
      <c r="M228" s="7">
        <f t="shared" si="113"/>
        <v>10464768.460000001</v>
      </c>
      <c r="N228" s="7">
        <f t="shared" si="113"/>
        <v>558319878.66999996</v>
      </c>
      <c r="O228" s="7">
        <f t="shared" si="113"/>
        <v>142282824.66</v>
      </c>
      <c r="P228" s="7">
        <f t="shared" si="113"/>
        <v>3477333.35</v>
      </c>
      <c r="Q228" s="7">
        <f t="shared" si="113"/>
        <v>435748312.92000002</v>
      </c>
      <c r="R228" s="7">
        <f t="shared" si="113"/>
        <v>74679831.569999993</v>
      </c>
      <c r="S228" s="7">
        <f t="shared" si="113"/>
        <v>17697713.609999999</v>
      </c>
      <c r="T228" s="7">
        <f t="shared" si="113"/>
        <v>1776715.52</v>
      </c>
      <c r="U228" s="7">
        <f t="shared" si="113"/>
        <v>612090.07999999996</v>
      </c>
      <c r="V228" s="7">
        <f t="shared" si="113"/>
        <v>2827745.86</v>
      </c>
      <c r="W228" s="7">
        <f t="shared" si="113"/>
        <v>656969.76</v>
      </c>
      <c r="X228" s="7">
        <f t="shared" si="113"/>
        <v>551432.5</v>
      </c>
      <c r="Y228" s="7">
        <f t="shared" si="113"/>
        <v>9636221.8699999992</v>
      </c>
      <c r="Z228" s="7">
        <f t="shared" si="113"/>
        <v>2548721.02</v>
      </c>
      <c r="AA228" s="7">
        <f t="shared" si="113"/>
        <v>341330253.61000001</v>
      </c>
      <c r="AB228" s="7">
        <f t="shared" si="113"/>
        <v>300011073.61000001</v>
      </c>
      <c r="AC228" s="7">
        <f t="shared" si="113"/>
        <v>9995265.5</v>
      </c>
      <c r="AD228" s="7">
        <f t="shared" si="113"/>
        <v>15889537.619999999</v>
      </c>
      <c r="AE228" s="7">
        <f t="shared" si="113"/>
        <v>1069779.05</v>
      </c>
      <c r="AF228" s="7">
        <f t="shared" si="113"/>
        <v>1847298.88</v>
      </c>
      <c r="AG228" s="7">
        <f t="shared" si="113"/>
        <v>6629321.5199999996</v>
      </c>
      <c r="AH228" s="7">
        <f t="shared" si="113"/>
        <v>10562138.109999999</v>
      </c>
      <c r="AI228" s="7">
        <f t="shared" si="113"/>
        <v>4223972.95</v>
      </c>
      <c r="AJ228" s="7">
        <f t="shared" si="113"/>
        <v>2001699.98</v>
      </c>
      <c r="AK228" s="7">
        <f t="shared" si="113"/>
        <v>1827447.31</v>
      </c>
      <c r="AL228" s="7">
        <f t="shared" si="113"/>
        <v>3181765.53</v>
      </c>
      <c r="AM228" s="7">
        <f t="shared" si="113"/>
        <v>3888701.99</v>
      </c>
      <c r="AN228" s="7">
        <f t="shared" si="113"/>
        <v>3312668.68</v>
      </c>
      <c r="AO228" s="7">
        <f t="shared" si="113"/>
        <v>48394471.399999999</v>
      </c>
      <c r="AP228" s="7">
        <f t="shared" si="113"/>
        <v>934185150.53999996</v>
      </c>
      <c r="AQ228" s="7">
        <f t="shared" si="113"/>
        <v>2773431.15</v>
      </c>
      <c r="AR228" s="7">
        <f t="shared" si="113"/>
        <v>684631394.62</v>
      </c>
      <c r="AS228" s="7">
        <f t="shared" si="113"/>
        <v>71662625.950000003</v>
      </c>
      <c r="AT228" s="7">
        <f t="shared" si="113"/>
        <v>26069063.73</v>
      </c>
      <c r="AU228" s="7">
        <f t="shared" si="113"/>
        <v>2988764.15</v>
      </c>
      <c r="AV228" s="7">
        <f t="shared" si="113"/>
        <v>3368149.71</v>
      </c>
      <c r="AW228" s="7">
        <f t="shared" si="113"/>
        <v>2831481.75</v>
      </c>
      <c r="AX228" s="7">
        <f t="shared" si="113"/>
        <v>893320.65</v>
      </c>
      <c r="AY228" s="7">
        <f t="shared" si="113"/>
        <v>4486454.82</v>
      </c>
      <c r="AZ228" s="7">
        <f t="shared" si="113"/>
        <v>134741363.41</v>
      </c>
      <c r="BA228" s="7">
        <f t="shared" si="113"/>
        <v>100628658.67</v>
      </c>
      <c r="BB228" s="7">
        <f t="shared" si="113"/>
        <v>83410502.700000003</v>
      </c>
      <c r="BC228" s="7">
        <f t="shared" si="113"/>
        <v>272135042.50999999</v>
      </c>
      <c r="BD228" s="7">
        <f t="shared" si="113"/>
        <v>40110951.780000001</v>
      </c>
      <c r="BE228" s="7">
        <f t="shared" si="113"/>
        <v>13220042.76</v>
      </c>
      <c r="BF228" s="7">
        <f t="shared" si="113"/>
        <v>281789309.5</v>
      </c>
      <c r="BG228" s="7">
        <f t="shared" si="113"/>
        <v>10152975.189999999</v>
      </c>
      <c r="BH228" s="7">
        <f t="shared" si="113"/>
        <v>6402567.2800000003</v>
      </c>
      <c r="BI228" s="7">
        <f t="shared" si="113"/>
        <v>2838774.51</v>
      </c>
      <c r="BJ228" s="7">
        <f t="shared" si="113"/>
        <v>69621394.510000005</v>
      </c>
      <c r="BK228" s="7">
        <f t="shared" si="113"/>
        <v>380285647.66000003</v>
      </c>
      <c r="BL228" s="7">
        <f t="shared" si="113"/>
        <v>864358.7</v>
      </c>
      <c r="BM228" s="7">
        <f t="shared" si="113"/>
        <v>3935941.92</v>
      </c>
      <c r="BN228" s="7">
        <f t="shared" si="113"/>
        <v>34668315.869999997</v>
      </c>
      <c r="BO228" s="7">
        <f t="shared" si="113"/>
        <v>13861999.699999999</v>
      </c>
      <c r="BP228" s="7">
        <f t="shared" si="113"/>
        <v>1768995.46</v>
      </c>
      <c r="BQ228" s="7">
        <f t="shared" si="113"/>
        <v>64929952.659999996</v>
      </c>
      <c r="BR228" s="7">
        <f t="shared" si="113"/>
        <v>49500992.659999996</v>
      </c>
      <c r="BS228" s="7">
        <f t="shared" si="113"/>
        <v>12772279.57</v>
      </c>
      <c r="BT228" s="7">
        <f t="shared" si="113"/>
        <v>4108172.13</v>
      </c>
      <c r="BU228" s="7">
        <f t="shared" si="113"/>
        <v>4341979.51</v>
      </c>
      <c r="BV228" s="7">
        <f t="shared" si="113"/>
        <v>13733977.85</v>
      </c>
      <c r="BW228" s="7">
        <f t="shared" si="113"/>
        <v>22250301.379999999</v>
      </c>
      <c r="BX228" s="7">
        <f t="shared" si="113"/>
        <v>733405.23</v>
      </c>
      <c r="BY228" s="7">
        <f t="shared" si="113"/>
        <v>4781479.5599999996</v>
      </c>
      <c r="BZ228" s="7">
        <f t="shared" si="113"/>
        <v>2514532.2000000002</v>
      </c>
      <c r="CA228" s="7">
        <f t="shared" si="113"/>
        <v>1612388.63</v>
      </c>
      <c r="CB228" s="7">
        <f t="shared" si="113"/>
        <v>811402185.21000004</v>
      </c>
      <c r="CC228" s="7">
        <f t="shared" si="113"/>
        <v>2087723.45</v>
      </c>
      <c r="CD228" s="7">
        <f t="shared" si="113"/>
        <v>551432.5</v>
      </c>
      <c r="CE228" s="7">
        <f t="shared" si="113"/>
        <v>1745835.3</v>
      </c>
      <c r="CF228" s="7">
        <f t="shared" si="113"/>
        <v>1240723.1299999999</v>
      </c>
      <c r="CG228" s="7">
        <f t="shared" si="113"/>
        <v>2204627.14</v>
      </c>
      <c r="CH228" s="7">
        <f t="shared" si="113"/>
        <v>1064264.73</v>
      </c>
      <c r="CI228" s="7">
        <f t="shared" si="113"/>
        <v>7586608.3399999999</v>
      </c>
      <c r="CJ228" s="7">
        <f t="shared" si="113"/>
        <v>9630771.4000000004</v>
      </c>
      <c r="CK228" s="7">
        <f t="shared" si="113"/>
        <v>54154321.200000003</v>
      </c>
      <c r="CL228" s="7">
        <f t="shared" si="113"/>
        <v>13643585.66</v>
      </c>
      <c r="CM228" s="7">
        <f t="shared" si="113"/>
        <v>7579996.71</v>
      </c>
      <c r="CN228" s="7">
        <f t="shared" si="113"/>
        <v>347143787.31999999</v>
      </c>
      <c r="CO228" s="7">
        <f t="shared" si="113"/>
        <v>158674394.33000001</v>
      </c>
      <c r="CP228" s="7">
        <f t="shared" si="113"/>
        <v>10299751.310000001</v>
      </c>
      <c r="CQ228" s="7">
        <f t="shared" si="113"/>
        <v>8493163.3699999992</v>
      </c>
      <c r="CR228" s="7">
        <f t="shared" si="113"/>
        <v>2379982.67</v>
      </c>
      <c r="CS228" s="7">
        <f t="shared" si="113"/>
        <v>3148679.58</v>
      </c>
      <c r="CT228" s="7">
        <f t="shared" si="113"/>
        <v>1251751.78</v>
      </c>
      <c r="CU228" s="7">
        <f t="shared" si="113"/>
        <v>4961113.07</v>
      </c>
      <c r="CV228" s="7">
        <f t="shared" si="113"/>
        <v>551432.5</v>
      </c>
      <c r="CW228" s="7">
        <f t="shared" si="113"/>
        <v>2191392.7599999998</v>
      </c>
      <c r="CX228" s="7">
        <f t="shared" si="113"/>
        <v>5088619.1100000003</v>
      </c>
      <c r="CY228" s="7">
        <f t="shared" si="113"/>
        <v>551432.5</v>
      </c>
      <c r="CZ228" s="7">
        <f t="shared" si="113"/>
        <v>19926564.82</v>
      </c>
      <c r="DA228" s="7">
        <f t="shared" si="113"/>
        <v>2244330.2799999998</v>
      </c>
      <c r="DB228" s="7">
        <f t="shared" si="113"/>
        <v>3482847.67</v>
      </c>
      <c r="DC228" s="7">
        <f t="shared" si="113"/>
        <v>2128529.4500000002</v>
      </c>
      <c r="DD228" s="7">
        <f t="shared" si="113"/>
        <v>1924499.43</v>
      </c>
      <c r="DE228" s="7">
        <f t="shared" si="113"/>
        <v>3146473.85</v>
      </c>
      <c r="DF228" s="7">
        <f t="shared" si="113"/>
        <v>229778514.37</v>
      </c>
      <c r="DG228" s="7">
        <f t="shared" si="113"/>
        <v>1031178.78</v>
      </c>
      <c r="DH228" s="7">
        <f t="shared" si="113"/>
        <v>19911124.710000001</v>
      </c>
      <c r="DI228" s="7">
        <f t="shared" si="113"/>
        <v>27043363.800000001</v>
      </c>
      <c r="DJ228" s="7">
        <f t="shared" si="113"/>
        <v>6881328.9500000002</v>
      </c>
      <c r="DK228" s="7">
        <f t="shared" si="113"/>
        <v>5278866.1100000003</v>
      </c>
      <c r="DL228" s="7">
        <f t="shared" si="113"/>
        <v>62797133.100000001</v>
      </c>
      <c r="DM228" s="7">
        <f t="shared" si="113"/>
        <v>2591732.75</v>
      </c>
      <c r="DN228" s="7">
        <f t="shared" si="113"/>
        <v>14291415.43</v>
      </c>
      <c r="DO228" s="7">
        <f t="shared" si="113"/>
        <v>36294738.5</v>
      </c>
      <c r="DP228" s="7">
        <f t="shared" si="113"/>
        <v>2205730</v>
      </c>
      <c r="DQ228" s="7">
        <f t="shared" si="113"/>
        <v>9792000.5500000007</v>
      </c>
      <c r="DR228" s="7">
        <f t="shared" si="113"/>
        <v>14504880.48</v>
      </c>
      <c r="DS228" s="7">
        <f t="shared" si="113"/>
        <v>6616087.1399999997</v>
      </c>
      <c r="DT228" s="7">
        <f t="shared" si="113"/>
        <v>1946556.73</v>
      </c>
      <c r="DU228" s="7">
        <f t="shared" si="113"/>
        <v>3875467.61</v>
      </c>
      <c r="DV228" s="7">
        <f t="shared" si="113"/>
        <v>2293959.2000000002</v>
      </c>
      <c r="DW228" s="7">
        <f t="shared" si="113"/>
        <v>3310800.73</v>
      </c>
      <c r="DX228" s="7">
        <f t="shared" si="113"/>
        <v>1852813.2</v>
      </c>
      <c r="DY228" s="7">
        <f t="shared" si="113"/>
        <v>3271097.59</v>
      </c>
      <c r="DZ228" s="7">
        <f t="shared" si="113"/>
        <v>7517892.9199999999</v>
      </c>
      <c r="EA228" s="7">
        <f t="shared" si="113"/>
        <v>5851801.6900000004</v>
      </c>
      <c r="EB228" s="7">
        <f t="shared" si="113"/>
        <v>5893710.5599999996</v>
      </c>
      <c r="EC228" s="7">
        <f t="shared" si="113"/>
        <v>3144268.12</v>
      </c>
      <c r="ED228" s="7">
        <f t="shared" si="113"/>
        <v>17224545.57</v>
      </c>
      <c r="EE228" s="7">
        <f t="shared" si="113"/>
        <v>2113089.34</v>
      </c>
      <c r="EF228" s="7">
        <f t="shared" si="113"/>
        <v>14943145.18</v>
      </c>
      <c r="EG228" s="7">
        <f t="shared" si="113"/>
        <v>2795762.78</v>
      </c>
      <c r="EH228" s="7">
        <f t="shared" si="113"/>
        <v>2728488.01</v>
      </c>
      <c r="EI228" s="7">
        <f t="shared" si="113"/>
        <v>153166441.16999999</v>
      </c>
      <c r="EJ228" s="7">
        <f t="shared" si="113"/>
        <v>112188189.77</v>
      </c>
      <c r="EK228" s="7">
        <f t="shared" si="113"/>
        <v>7374858.2599999998</v>
      </c>
      <c r="EL228" s="7">
        <f t="shared" si="113"/>
        <v>5066561.8099999996</v>
      </c>
      <c r="EM228" s="7">
        <f t="shared" si="113"/>
        <v>4169932.57</v>
      </c>
      <c r="EN228" s="7">
        <f t="shared" si="113"/>
        <v>10342236.189999999</v>
      </c>
      <c r="EO228" s="7">
        <f t="shared" si="113"/>
        <v>3368149.71</v>
      </c>
      <c r="EP228" s="7">
        <f t="shared" si="113"/>
        <v>4725776.53</v>
      </c>
      <c r="EQ228" s="7">
        <f t="shared" si="113"/>
        <v>28852478.559999999</v>
      </c>
      <c r="ER228" s="7">
        <f t="shared" si="113"/>
        <v>3411588.74</v>
      </c>
      <c r="ES228" s="7">
        <f t="shared" si="113"/>
        <v>1797669.95</v>
      </c>
      <c r="ET228" s="7">
        <f t="shared" si="113"/>
        <v>2178158.38</v>
      </c>
      <c r="EU228" s="7">
        <f t="shared" si="113"/>
        <v>6344782.3499999996</v>
      </c>
      <c r="EV228" s="7">
        <f t="shared" si="113"/>
        <v>800679.99</v>
      </c>
      <c r="EW228" s="7">
        <f t="shared" si="113"/>
        <v>9036875.8100000005</v>
      </c>
      <c r="EX228" s="7">
        <f t="shared" si="113"/>
        <v>1913470.78</v>
      </c>
      <c r="EY228" s="7">
        <f t="shared" si="113"/>
        <v>6993416.2300000004</v>
      </c>
      <c r="EZ228" s="7">
        <f t="shared" si="113"/>
        <v>1426004.45</v>
      </c>
      <c r="FA228" s="7">
        <f t="shared" si="113"/>
        <v>37449241.979999997</v>
      </c>
      <c r="FB228" s="7">
        <f t="shared" si="113"/>
        <v>3177354.07</v>
      </c>
      <c r="FC228" s="7">
        <f t="shared" si="113"/>
        <v>20134758.030000001</v>
      </c>
      <c r="FD228" s="7">
        <f t="shared" si="113"/>
        <v>4433517.3</v>
      </c>
      <c r="FE228" s="7">
        <f t="shared" si="113"/>
        <v>871263.35</v>
      </c>
      <c r="FF228" s="7">
        <f t="shared" si="113"/>
        <v>2040300.25</v>
      </c>
      <c r="FG228" s="7">
        <f t="shared" si="113"/>
        <v>1332260.92</v>
      </c>
      <c r="FH228" s="7">
        <f t="shared" si="113"/>
        <v>772005.5</v>
      </c>
      <c r="FI228" s="7">
        <f t="shared" si="113"/>
        <v>18776276.629999999</v>
      </c>
      <c r="FJ228" s="7">
        <f t="shared" si="113"/>
        <v>22239272.73</v>
      </c>
      <c r="FK228" s="7">
        <f t="shared" si="113"/>
        <v>27892558.719999999</v>
      </c>
      <c r="FL228" s="7">
        <f t="shared" si="113"/>
        <v>94168128.030000001</v>
      </c>
      <c r="FM228" s="7">
        <f t="shared" si="113"/>
        <v>43910569.979999997</v>
      </c>
      <c r="FN228" s="7">
        <f t="shared" si="113"/>
        <v>250239712.90000001</v>
      </c>
      <c r="FO228" s="7">
        <f t="shared" si="113"/>
        <v>12342167.779999999</v>
      </c>
      <c r="FP228" s="7">
        <f t="shared" si="113"/>
        <v>25823583.98</v>
      </c>
      <c r="FQ228" s="7">
        <f t="shared" si="113"/>
        <v>10862117.390000001</v>
      </c>
      <c r="FR228" s="7">
        <f t="shared" si="113"/>
        <v>1853916.07</v>
      </c>
      <c r="FS228" s="7">
        <f t="shared" si="113"/>
        <v>1856121.8</v>
      </c>
      <c r="FT228" s="7" t="e">
        <f t="shared" ca="1" si="113"/>
        <v>#NAME?</v>
      </c>
      <c r="FU228" s="7">
        <f t="shared" si="113"/>
        <v>8724765.0199999996</v>
      </c>
      <c r="FV228" s="7">
        <f t="shared" si="113"/>
        <v>7649133.8600000003</v>
      </c>
      <c r="FW228" s="7">
        <f t="shared" si="113"/>
        <v>1645901.88</v>
      </c>
      <c r="FX228" s="7">
        <f t="shared" si="113"/>
        <v>711347.93</v>
      </c>
      <c r="FY228" s="7"/>
      <c r="FZ228" s="7" t="e">
        <f t="shared" ca="1" si="109"/>
        <v>#NAME?</v>
      </c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</row>
    <row r="229" spans="1:193" ht="15.5" x14ac:dyDescent="0.35">
      <c r="A229" s="12" t="s">
        <v>994</v>
      </c>
      <c r="B229" s="7" t="s">
        <v>995</v>
      </c>
      <c r="C229" s="7" t="e">
        <f t="shared" ref="C229:FX229" ca="1" si="114">IF(C201&gt;0,C201+C225+C226,999999999.99)</f>
        <v>#NAME?</v>
      </c>
      <c r="D229" s="7" t="e">
        <f t="shared" ca="1" si="114"/>
        <v>#NAME?</v>
      </c>
      <c r="E229" s="7" t="e">
        <f t="shared" ca="1" si="114"/>
        <v>#NAME?</v>
      </c>
      <c r="F229" s="7" t="e">
        <f t="shared" ca="1" si="114"/>
        <v>#NAME?</v>
      </c>
      <c r="G229" s="7" t="e">
        <f t="shared" ca="1" si="114"/>
        <v>#NAME?</v>
      </c>
      <c r="H229" s="7" t="e">
        <f t="shared" ca="1" si="114"/>
        <v>#NAME?</v>
      </c>
      <c r="I229" s="7" t="e">
        <f t="shared" ca="1" si="114"/>
        <v>#NAME?</v>
      </c>
      <c r="J229" s="7" t="e">
        <f t="shared" ca="1" si="114"/>
        <v>#NAME?</v>
      </c>
      <c r="K229" s="7" t="e">
        <f t="shared" ca="1" si="114"/>
        <v>#NAME?</v>
      </c>
      <c r="L229" s="7" t="e">
        <f t="shared" ca="1" si="114"/>
        <v>#NAME?</v>
      </c>
      <c r="M229" s="7" t="e">
        <f t="shared" ca="1" si="114"/>
        <v>#NAME?</v>
      </c>
      <c r="N229" s="7" t="e">
        <f t="shared" ca="1" si="114"/>
        <v>#NAME?</v>
      </c>
      <c r="O229" s="7" t="e">
        <f t="shared" ca="1" si="114"/>
        <v>#NAME?</v>
      </c>
      <c r="P229" s="7" t="e">
        <f t="shared" ca="1" si="114"/>
        <v>#NAME?</v>
      </c>
      <c r="Q229" s="7" t="e">
        <f t="shared" ca="1" si="114"/>
        <v>#NAME?</v>
      </c>
      <c r="R229" s="7" t="e">
        <f t="shared" ca="1" si="114"/>
        <v>#NAME?</v>
      </c>
      <c r="S229" s="7" t="e">
        <f t="shared" ca="1" si="114"/>
        <v>#NAME?</v>
      </c>
      <c r="T229" s="7" t="e">
        <f t="shared" ca="1" si="114"/>
        <v>#NAME?</v>
      </c>
      <c r="U229" s="7" t="e">
        <f t="shared" ca="1" si="114"/>
        <v>#NAME?</v>
      </c>
      <c r="V229" s="7" t="e">
        <f t="shared" ca="1" si="114"/>
        <v>#NAME?</v>
      </c>
      <c r="W229" s="7" t="e">
        <f t="shared" ca="1" si="114"/>
        <v>#NAME?</v>
      </c>
      <c r="X229" s="7" t="e">
        <f t="shared" ca="1" si="114"/>
        <v>#NAME?</v>
      </c>
      <c r="Y229" s="7" t="e">
        <f t="shared" ca="1" si="114"/>
        <v>#NAME?</v>
      </c>
      <c r="Z229" s="7" t="e">
        <f t="shared" ca="1" si="114"/>
        <v>#NAME?</v>
      </c>
      <c r="AA229" s="7" t="e">
        <f t="shared" ca="1" si="114"/>
        <v>#NAME?</v>
      </c>
      <c r="AB229" s="7" t="e">
        <f t="shared" ca="1" si="114"/>
        <v>#NAME?</v>
      </c>
      <c r="AC229" s="7" t="e">
        <f t="shared" ca="1" si="114"/>
        <v>#NAME?</v>
      </c>
      <c r="AD229" s="7" t="e">
        <f t="shared" ca="1" si="114"/>
        <v>#NAME?</v>
      </c>
      <c r="AE229" s="7" t="e">
        <f t="shared" ca="1" si="114"/>
        <v>#NAME?</v>
      </c>
      <c r="AF229" s="7" t="e">
        <f t="shared" ca="1" si="114"/>
        <v>#NAME?</v>
      </c>
      <c r="AG229" s="7" t="e">
        <f t="shared" ca="1" si="114"/>
        <v>#NAME?</v>
      </c>
      <c r="AH229" s="7" t="e">
        <f t="shared" ca="1" si="114"/>
        <v>#NAME?</v>
      </c>
      <c r="AI229" s="7" t="e">
        <f t="shared" ca="1" si="114"/>
        <v>#NAME?</v>
      </c>
      <c r="AJ229" s="7" t="e">
        <f t="shared" ca="1" si="114"/>
        <v>#NAME?</v>
      </c>
      <c r="AK229" s="7" t="e">
        <f t="shared" ca="1" si="114"/>
        <v>#NAME?</v>
      </c>
      <c r="AL229" s="7" t="e">
        <f t="shared" ca="1" si="114"/>
        <v>#NAME?</v>
      </c>
      <c r="AM229" s="7" t="e">
        <f t="shared" ca="1" si="114"/>
        <v>#NAME?</v>
      </c>
      <c r="AN229" s="7" t="e">
        <f t="shared" ca="1" si="114"/>
        <v>#NAME?</v>
      </c>
      <c r="AO229" s="7" t="e">
        <f t="shared" ca="1" si="114"/>
        <v>#NAME?</v>
      </c>
      <c r="AP229" s="7" t="e">
        <f t="shared" ca="1" si="114"/>
        <v>#NAME?</v>
      </c>
      <c r="AQ229" s="7" t="e">
        <f t="shared" ca="1" si="114"/>
        <v>#NAME?</v>
      </c>
      <c r="AR229" s="7" t="e">
        <f t="shared" ca="1" si="114"/>
        <v>#NAME?</v>
      </c>
      <c r="AS229" s="7" t="e">
        <f t="shared" ca="1" si="114"/>
        <v>#NAME?</v>
      </c>
      <c r="AT229" s="7" t="e">
        <f t="shared" ca="1" si="114"/>
        <v>#NAME?</v>
      </c>
      <c r="AU229" s="7" t="e">
        <f t="shared" ca="1" si="114"/>
        <v>#NAME?</v>
      </c>
      <c r="AV229" s="7" t="e">
        <f t="shared" ca="1" si="114"/>
        <v>#NAME?</v>
      </c>
      <c r="AW229" s="7" t="e">
        <f t="shared" ca="1" si="114"/>
        <v>#NAME?</v>
      </c>
      <c r="AX229" s="7" t="e">
        <f t="shared" ca="1" si="114"/>
        <v>#NAME?</v>
      </c>
      <c r="AY229" s="7" t="e">
        <f t="shared" ca="1" si="114"/>
        <v>#NAME?</v>
      </c>
      <c r="AZ229" s="7" t="e">
        <f t="shared" ca="1" si="114"/>
        <v>#NAME?</v>
      </c>
      <c r="BA229" s="7" t="e">
        <f t="shared" ca="1" si="114"/>
        <v>#NAME?</v>
      </c>
      <c r="BB229" s="7" t="e">
        <f t="shared" ca="1" si="114"/>
        <v>#NAME?</v>
      </c>
      <c r="BC229" s="7" t="e">
        <f t="shared" ca="1" si="114"/>
        <v>#NAME?</v>
      </c>
      <c r="BD229" s="7" t="e">
        <f t="shared" ca="1" si="114"/>
        <v>#NAME?</v>
      </c>
      <c r="BE229" s="7" t="e">
        <f t="shared" ca="1" si="114"/>
        <v>#NAME?</v>
      </c>
      <c r="BF229" s="7" t="e">
        <f t="shared" ca="1" si="114"/>
        <v>#NAME?</v>
      </c>
      <c r="BG229" s="7" t="e">
        <f t="shared" ca="1" si="114"/>
        <v>#NAME?</v>
      </c>
      <c r="BH229" s="7" t="e">
        <f t="shared" ca="1" si="114"/>
        <v>#NAME?</v>
      </c>
      <c r="BI229" s="7" t="e">
        <f t="shared" ca="1" si="114"/>
        <v>#NAME?</v>
      </c>
      <c r="BJ229" s="7" t="e">
        <f t="shared" ca="1" si="114"/>
        <v>#NAME?</v>
      </c>
      <c r="BK229" s="7" t="e">
        <f t="shared" ca="1" si="114"/>
        <v>#NAME?</v>
      </c>
      <c r="BL229" s="7" t="e">
        <f t="shared" ca="1" si="114"/>
        <v>#NAME?</v>
      </c>
      <c r="BM229" s="7" t="e">
        <f t="shared" ca="1" si="114"/>
        <v>#NAME?</v>
      </c>
      <c r="BN229" s="7" t="e">
        <f t="shared" ca="1" si="114"/>
        <v>#NAME?</v>
      </c>
      <c r="BO229" s="7" t="e">
        <f t="shared" ca="1" si="114"/>
        <v>#NAME?</v>
      </c>
      <c r="BP229" s="7" t="e">
        <f t="shared" ca="1" si="114"/>
        <v>#NAME?</v>
      </c>
      <c r="BQ229" s="7" t="e">
        <f t="shared" ca="1" si="114"/>
        <v>#NAME?</v>
      </c>
      <c r="BR229" s="7" t="e">
        <f t="shared" ca="1" si="114"/>
        <v>#NAME?</v>
      </c>
      <c r="BS229" s="7" t="e">
        <f t="shared" ca="1" si="114"/>
        <v>#NAME?</v>
      </c>
      <c r="BT229" s="7" t="e">
        <f t="shared" ca="1" si="114"/>
        <v>#NAME?</v>
      </c>
      <c r="BU229" s="7" t="e">
        <f t="shared" ca="1" si="114"/>
        <v>#NAME?</v>
      </c>
      <c r="BV229" s="7" t="e">
        <f t="shared" ca="1" si="114"/>
        <v>#NAME?</v>
      </c>
      <c r="BW229" s="7" t="e">
        <f t="shared" ca="1" si="114"/>
        <v>#NAME?</v>
      </c>
      <c r="BX229" s="7" t="e">
        <f t="shared" ca="1" si="114"/>
        <v>#NAME?</v>
      </c>
      <c r="BY229" s="7" t="e">
        <f t="shared" ca="1" si="114"/>
        <v>#NAME?</v>
      </c>
      <c r="BZ229" s="7" t="e">
        <f t="shared" ca="1" si="114"/>
        <v>#NAME?</v>
      </c>
      <c r="CA229" s="7" t="e">
        <f t="shared" ca="1" si="114"/>
        <v>#NAME?</v>
      </c>
      <c r="CB229" s="7" t="e">
        <f t="shared" ca="1" si="114"/>
        <v>#NAME?</v>
      </c>
      <c r="CC229" s="7" t="e">
        <f t="shared" ca="1" si="114"/>
        <v>#NAME?</v>
      </c>
      <c r="CD229" s="7" t="e">
        <f t="shared" ca="1" si="114"/>
        <v>#NAME?</v>
      </c>
      <c r="CE229" s="7" t="e">
        <f t="shared" ca="1" si="114"/>
        <v>#NAME?</v>
      </c>
      <c r="CF229" s="7" t="e">
        <f t="shared" ca="1" si="114"/>
        <v>#NAME?</v>
      </c>
      <c r="CG229" s="7" t="e">
        <f t="shared" ca="1" si="114"/>
        <v>#NAME?</v>
      </c>
      <c r="CH229" s="7" t="e">
        <f t="shared" ca="1" si="114"/>
        <v>#NAME?</v>
      </c>
      <c r="CI229" s="7" t="e">
        <f t="shared" ca="1" si="114"/>
        <v>#NAME?</v>
      </c>
      <c r="CJ229" s="7" t="e">
        <f t="shared" ca="1" si="114"/>
        <v>#NAME?</v>
      </c>
      <c r="CK229" s="7" t="e">
        <f t="shared" ca="1" si="114"/>
        <v>#NAME?</v>
      </c>
      <c r="CL229" s="7" t="e">
        <f t="shared" ca="1" si="114"/>
        <v>#NAME?</v>
      </c>
      <c r="CM229" s="7" t="e">
        <f t="shared" ca="1" si="114"/>
        <v>#NAME?</v>
      </c>
      <c r="CN229" s="7" t="e">
        <f t="shared" ca="1" si="114"/>
        <v>#NAME?</v>
      </c>
      <c r="CO229" s="7" t="e">
        <f t="shared" ca="1" si="114"/>
        <v>#NAME?</v>
      </c>
      <c r="CP229" s="7" t="e">
        <f t="shared" ca="1" si="114"/>
        <v>#NAME?</v>
      </c>
      <c r="CQ229" s="7" t="e">
        <f t="shared" ca="1" si="114"/>
        <v>#NAME?</v>
      </c>
      <c r="CR229" s="7" t="e">
        <f t="shared" ca="1" si="114"/>
        <v>#NAME?</v>
      </c>
      <c r="CS229" s="7" t="e">
        <f t="shared" ca="1" si="114"/>
        <v>#NAME?</v>
      </c>
      <c r="CT229" s="7" t="e">
        <f t="shared" ca="1" si="114"/>
        <v>#NAME?</v>
      </c>
      <c r="CU229" s="7" t="e">
        <f t="shared" ca="1" si="114"/>
        <v>#NAME?</v>
      </c>
      <c r="CV229" s="7" t="e">
        <f t="shared" ca="1" si="114"/>
        <v>#NAME?</v>
      </c>
      <c r="CW229" s="7" t="e">
        <f t="shared" ca="1" si="114"/>
        <v>#NAME?</v>
      </c>
      <c r="CX229" s="7" t="e">
        <f t="shared" ca="1" si="114"/>
        <v>#NAME?</v>
      </c>
      <c r="CY229" s="7" t="e">
        <f t="shared" ca="1" si="114"/>
        <v>#NAME?</v>
      </c>
      <c r="CZ229" s="7" t="e">
        <f t="shared" ca="1" si="114"/>
        <v>#NAME?</v>
      </c>
      <c r="DA229" s="7" t="e">
        <f t="shared" ca="1" si="114"/>
        <v>#NAME?</v>
      </c>
      <c r="DB229" s="7" t="e">
        <f t="shared" ca="1" si="114"/>
        <v>#NAME?</v>
      </c>
      <c r="DC229" s="7" t="e">
        <f t="shared" ca="1" si="114"/>
        <v>#NAME?</v>
      </c>
      <c r="DD229" s="7" t="e">
        <f t="shared" ca="1" si="114"/>
        <v>#NAME?</v>
      </c>
      <c r="DE229" s="7" t="e">
        <f t="shared" ca="1" si="114"/>
        <v>#NAME?</v>
      </c>
      <c r="DF229" s="7" t="e">
        <f t="shared" ca="1" si="114"/>
        <v>#NAME?</v>
      </c>
      <c r="DG229" s="7" t="e">
        <f t="shared" ca="1" si="114"/>
        <v>#NAME?</v>
      </c>
      <c r="DH229" s="7" t="e">
        <f t="shared" ca="1" si="114"/>
        <v>#NAME?</v>
      </c>
      <c r="DI229" s="7" t="e">
        <f t="shared" ca="1" si="114"/>
        <v>#NAME?</v>
      </c>
      <c r="DJ229" s="7" t="e">
        <f t="shared" ca="1" si="114"/>
        <v>#NAME?</v>
      </c>
      <c r="DK229" s="7" t="e">
        <f t="shared" ca="1" si="114"/>
        <v>#NAME?</v>
      </c>
      <c r="DL229" s="7" t="e">
        <f t="shared" ca="1" si="114"/>
        <v>#NAME?</v>
      </c>
      <c r="DM229" s="7" t="e">
        <f t="shared" ca="1" si="114"/>
        <v>#NAME?</v>
      </c>
      <c r="DN229" s="7" t="e">
        <f t="shared" ca="1" si="114"/>
        <v>#NAME?</v>
      </c>
      <c r="DO229" s="7" t="e">
        <f t="shared" ca="1" si="114"/>
        <v>#NAME?</v>
      </c>
      <c r="DP229" s="7" t="e">
        <f t="shared" ca="1" si="114"/>
        <v>#NAME?</v>
      </c>
      <c r="DQ229" s="7" t="e">
        <f t="shared" ca="1" si="114"/>
        <v>#NAME?</v>
      </c>
      <c r="DR229" s="7" t="e">
        <f t="shared" ca="1" si="114"/>
        <v>#NAME?</v>
      </c>
      <c r="DS229" s="7" t="e">
        <f t="shared" ca="1" si="114"/>
        <v>#NAME?</v>
      </c>
      <c r="DT229" s="7" t="e">
        <f t="shared" ca="1" si="114"/>
        <v>#NAME?</v>
      </c>
      <c r="DU229" s="7" t="e">
        <f t="shared" ca="1" si="114"/>
        <v>#NAME?</v>
      </c>
      <c r="DV229" s="7" t="e">
        <f t="shared" ca="1" si="114"/>
        <v>#NAME?</v>
      </c>
      <c r="DW229" s="7" t="e">
        <f t="shared" ca="1" si="114"/>
        <v>#NAME?</v>
      </c>
      <c r="DX229" s="7" t="e">
        <f t="shared" ca="1" si="114"/>
        <v>#NAME?</v>
      </c>
      <c r="DY229" s="7" t="e">
        <f t="shared" ca="1" si="114"/>
        <v>#NAME?</v>
      </c>
      <c r="DZ229" s="7" t="e">
        <f t="shared" ca="1" si="114"/>
        <v>#NAME?</v>
      </c>
      <c r="EA229" s="7" t="e">
        <f t="shared" ca="1" si="114"/>
        <v>#NAME?</v>
      </c>
      <c r="EB229" s="7" t="e">
        <f t="shared" ca="1" si="114"/>
        <v>#NAME?</v>
      </c>
      <c r="EC229" s="7" t="e">
        <f t="shared" ca="1" si="114"/>
        <v>#NAME?</v>
      </c>
      <c r="ED229" s="7" t="e">
        <f t="shared" ca="1" si="114"/>
        <v>#NAME?</v>
      </c>
      <c r="EE229" s="7" t="e">
        <f t="shared" ca="1" si="114"/>
        <v>#NAME?</v>
      </c>
      <c r="EF229" s="7" t="e">
        <f t="shared" ca="1" si="114"/>
        <v>#NAME?</v>
      </c>
      <c r="EG229" s="7" t="e">
        <f t="shared" ca="1" si="114"/>
        <v>#NAME?</v>
      </c>
      <c r="EH229" s="7" t="e">
        <f t="shared" ca="1" si="114"/>
        <v>#NAME?</v>
      </c>
      <c r="EI229" s="7" t="e">
        <f t="shared" ca="1" si="114"/>
        <v>#NAME?</v>
      </c>
      <c r="EJ229" s="7" t="e">
        <f t="shared" ca="1" si="114"/>
        <v>#NAME?</v>
      </c>
      <c r="EK229" s="7" t="e">
        <f t="shared" ca="1" si="114"/>
        <v>#NAME?</v>
      </c>
      <c r="EL229" s="7" t="e">
        <f t="shared" ca="1" si="114"/>
        <v>#NAME?</v>
      </c>
      <c r="EM229" s="7" t="e">
        <f t="shared" ca="1" si="114"/>
        <v>#NAME?</v>
      </c>
      <c r="EN229" s="7" t="e">
        <f t="shared" ca="1" si="114"/>
        <v>#NAME?</v>
      </c>
      <c r="EO229" s="7" t="e">
        <f t="shared" ca="1" si="114"/>
        <v>#NAME?</v>
      </c>
      <c r="EP229" s="7" t="e">
        <f t="shared" ca="1" si="114"/>
        <v>#NAME?</v>
      </c>
      <c r="EQ229" s="7" t="e">
        <f t="shared" ca="1" si="114"/>
        <v>#NAME?</v>
      </c>
      <c r="ER229" s="7" t="e">
        <f t="shared" ca="1" si="114"/>
        <v>#NAME?</v>
      </c>
      <c r="ES229" s="7" t="e">
        <f t="shared" ca="1" si="114"/>
        <v>#NAME?</v>
      </c>
      <c r="ET229" s="7" t="e">
        <f t="shared" ca="1" si="114"/>
        <v>#NAME?</v>
      </c>
      <c r="EU229" s="7" t="e">
        <f t="shared" ca="1" si="114"/>
        <v>#NAME?</v>
      </c>
      <c r="EV229" s="7" t="e">
        <f t="shared" ca="1" si="114"/>
        <v>#NAME?</v>
      </c>
      <c r="EW229" s="7" t="e">
        <f t="shared" ca="1" si="114"/>
        <v>#NAME?</v>
      </c>
      <c r="EX229" s="7" t="e">
        <f t="shared" ca="1" si="114"/>
        <v>#NAME?</v>
      </c>
      <c r="EY229" s="7" t="e">
        <f t="shared" ca="1" si="114"/>
        <v>#NAME?</v>
      </c>
      <c r="EZ229" s="7" t="e">
        <f t="shared" ca="1" si="114"/>
        <v>#NAME?</v>
      </c>
      <c r="FA229" s="7" t="e">
        <f t="shared" ca="1" si="114"/>
        <v>#NAME?</v>
      </c>
      <c r="FB229" s="7" t="e">
        <f t="shared" ca="1" si="114"/>
        <v>#NAME?</v>
      </c>
      <c r="FC229" s="7" t="e">
        <f t="shared" ca="1" si="114"/>
        <v>#NAME?</v>
      </c>
      <c r="FD229" s="7" t="e">
        <f t="shared" ca="1" si="114"/>
        <v>#NAME?</v>
      </c>
      <c r="FE229" s="7" t="e">
        <f t="shared" ca="1" si="114"/>
        <v>#NAME?</v>
      </c>
      <c r="FF229" s="7" t="e">
        <f t="shared" ca="1" si="114"/>
        <v>#NAME?</v>
      </c>
      <c r="FG229" s="7" t="e">
        <f t="shared" ca="1" si="114"/>
        <v>#NAME?</v>
      </c>
      <c r="FH229" s="7" t="e">
        <f t="shared" ca="1" si="114"/>
        <v>#NAME?</v>
      </c>
      <c r="FI229" s="7" t="e">
        <f t="shared" ca="1" si="114"/>
        <v>#NAME?</v>
      </c>
      <c r="FJ229" s="7" t="e">
        <f t="shared" ca="1" si="114"/>
        <v>#NAME?</v>
      </c>
      <c r="FK229" s="7" t="e">
        <f t="shared" ca="1" si="114"/>
        <v>#NAME?</v>
      </c>
      <c r="FL229" s="7" t="e">
        <f t="shared" ca="1" si="114"/>
        <v>#NAME?</v>
      </c>
      <c r="FM229" s="7" t="e">
        <f t="shared" ca="1" si="114"/>
        <v>#NAME?</v>
      </c>
      <c r="FN229" s="7" t="e">
        <f t="shared" ca="1" si="114"/>
        <v>#NAME?</v>
      </c>
      <c r="FO229" s="7" t="e">
        <f t="shared" ca="1" si="114"/>
        <v>#NAME?</v>
      </c>
      <c r="FP229" s="7" t="e">
        <f t="shared" ca="1" si="114"/>
        <v>#NAME?</v>
      </c>
      <c r="FQ229" s="7" t="e">
        <f t="shared" ca="1" si="114"/>
        <v>#NAME?</v>
      </c>
      <c r="FR229" s="7" t="e">
        <f t="shared" ca="1" si="114"/>
        <v>#NAME?</v>
      </c>
      <c r="FS229" s="7" t="e">
        <f t="shared" ca="1" si="114"/>
        <v>#NAME?</v>
      </c>
      <c r="FT229" s="7" t="e">
        <f t="shared" ca="1" si="114"/>
        <v>#NAME?</v>
      </c>
      <c r="FU229" s="7" t="e">
        <f t="shared" ca="1" si="114"/>
        <v>#NAME?</v>
      </c>
      <c r="FV229" s="7" t="e">
        <f t="shared" ca="1" si="114"/>
        <v>#NAME?</v>
      </c>
      <c r="FW229" s="7" t="e">
        <f t="shared" ca="1" si="114"/>
        <v>#NAME?</v>
      </c>
      <c r="FX229" s="7" t="e">
        <f t="shared" ca="1" si="114"/>
        <v>#NAME?</v>
      </c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</row>
    <row r="230" spans="1:193" ht="15.5" x14ac:dyDescent="0.35">
      <c r="A230" s="7"/>
      <c r="B230" s="7" t="s">
        <v>996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</row>
    <row r="231" spans="1:193" ht="15.5" x14ac:dyDescent="0.35">
      <c r="A231" s="7"/>
      <c r="B231" s="7" t="s">
        <v>997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</row>
    <row r="232" spans="1:193" ht="15.5" x14ac:dyDescent="0.35">
      <c r="A232" s="12" t="s">
        <v>998</v>
      </c>
      <c r="B232" s="7" t="s">
        <v>999</v>
      </c>
      <c r="C232" s="7" t="e">
        <f t="shared" ref="C232:FX232" ca="1" si="115">MIN(C229,MAX(C227,C228))</f>
        <v>#NAME?</v>
      </c>
      <c r="D232" s="7" t="e">
        <f t="shared" ca="1" si="115"/>
        <v>#NAME?</v>
      </c>
      <c r="E232" s="7" t="e">
        <f t="shared" ca="1" si="115"/>
        <v>#NAME?</v>
      </c>
      <c r="F232" s="7" t="e">
        <f t="shared" ca="1" si="115"/>
        <v>#NAME?</v>
      </c>
      <c r="G232" s="7" t="e">
        <f t="shared" ca="1" si="115"/>
        <v>#NAME?</v>
      </c>
      <c r="H232" s="7" t="e">
        <f t="shared" ca="1" si="115"/>
        <v>#NAME?</v>
      </c>
      <c r="I232" s="7" t="e">
        <f t="shared" ca="1" si="115"/>
        <v>#NAME?</v>
      </c>
      <c r="J232" s="7" t="e">
        <f t="shared" ca="1" si="115"/>
        <v>#NAME?</v>
      </c>
      <c r="K232" s="7" t="e">
        <f t="shared" ca="1" si="115"/>
        <v>#NAME?</v>
      </c>
      <c r="L232" s="7" t="e">
        <f t="shared" ca="1" si="115"/>
        <v>#NAME?</v>
      </c>
      <c r="M232" s="7" t="e">
        <f t="shared" ca="1" si="115"/>
        <v>#NAME?</v>
      </c>
      <c r="N232" s="7" t="e">
        <f t="shared" ca="1" si="115"/>
        <v>#NAME?</v>
      </c>
      <c r="O232" s="7" t="e">
        <f t="shared" ca="1" si="115"/>
        <v>#NAME?</v>
      </c>
      <c r="P232" s="7" t="e">
        <f t="shared" ca="1" si="115"/>
        <v>#NAME?</v>
      </c>
      <c r="Q232" s="7" t="e">
        <f t="shared" ca="1" si="115"/>
        <v>#NAME?</v>
      </c>
      <c r="R232" s="7" t="e">
        <f t="shared" ca="1" si="115"/>
        <v>#NAME?</v>
      </c>
      <c r="S232" s="7" t="e">
        <f t="shared" ca="1" si="115"/>
        <v>#NAME?</v>
      </c>
      <c r="T232" s="7" t="e">
        <f t="shared" ca="1" si="115"/>
        <v>#NAME?</v>
      </c>
      <c r="U232" s="7" t="e">
        <f t="shared" ca="1" si="115"/>
        <v>#NAME?</v>
      </c>
      <c r="V232" s="7" t="e">
        <f t="shared" ca="1" si="115"/>
        <v>#NAME?</v>
      </c>
      <c r="W232" s="7" t="e">
        <f t="shared" ca="1" si="115"/>
        <v>#NAME?</v>
      </c>
      <c r="X232" s="7" t="e">
        <f t="shared" ca="1" si="115"/>
        <v>#NAME?</v>
      </c>
      <c r="Y232" s="7" t="e">
        <f t="shared" ca="1" si="115"/>
        <v>#NAME?</v>
      </c>
      <c r="Z232" s="7" t="e">
        <f t="shared" ca="1" si="115"/>
        <v>#NAME?</v>
      </c>
      <c r="AA232" s="7" t="e">
        <f t="shared" ca="1" si="115"/>
        <v>#NAME?</v>
      </c>
      <c r="AB232" s="7" t="e">
        <f t="shared" ca="1" si="115"/>
        <v>#NAME?</v>
      </c>
      <c r="AC232" s="7" t="e">
        <f t="shared" ca="1" si="115"/>
        <v>#NAME?</v>
      </c>
      <c r="AD232" s="7" t="e">
        <f t="shared" ca="1" si="115"/>
        <v>#NAME?</v>
      </c>
      <c r="AE232" s="7" t="e">
        <f t="shared" ca="1" si="115"/>
        <v>#NAME?</v>
      </c>
      <c r="AF232" s="7" t="e">
        <f t="shared" ca="1" si="115"/>
        <v>#NAME?</v>
      </c>
      <c r="AG232" s="7" t="e">
        <f t="shared" ca="1" si="115"/>
        <v>#NAME?</v>
      </c>
      <c r="AH232" s="7" t="e">
        <f t="shared" ca="1" si="115"/>
        <v>#NAME?</v>
      </c>
      <c r="AI232" s="7" t="e">
        <f t="shared" ca="1" si="115"/>
        <v>#NAME?</v>
      </c>
      <c r="AJ232" s="7" t="e">
        <f t="shared" ca="1" si="115"/>
        <v>#NAME?</v>
      </c>
      <c r="AK232" s="7" t="e">
        <f t="shared" ca="1" si="115"/>
        <v>#NAME?</v>
      </c>
      <c r="AL232" s="7" t="e">
        <f t="shared" ca="1" si="115"/>
        <v>#NAME?</v>
      </c>
      <c r="AM232" s="7" t="e">
        <f t="shared" ca="1" si="115"/>
        <v>#NAME?</v>
      </c>
      <c r="AN232" s="7" t="e">
        <f t="shared" ca="1" si="115"/>
        <v>#NAME?</v>
      </c>
      <c r="AO232" s="7" t="e">
        <f t="shared" ca="1" si="115"/>
        <v>#NAME?</v>
      </c>
      <c r="AP232" s="7" t="e">
        <f t="shared" ca="1" si="115"/>
        <v>#NAME?</v>
      </c>
      <c r="AQ232" s="7" t="e">
        <f t="shared" ca="1" si="115"/>
        <v>#NAME?</v>
      </c>
      <c r="AR232" s="7" t="e">
        <f t="shared" ca="1" si="115"/>
        <v>#NAME?</v>
      </c>
      <c r="AS232" s="7" t="e">
        <f t="shared" ca="1" si="115"/>
        <v>#NAME?</v>
      </c>
      <c r="AT232" s="7" t="e">
        <f t="shared" ca="1" si="115"/>
        <v>#NAME?</v>
      </c>
      <c r="AU232" s="7" t="e">
        <f t="shared" ca="1" si="115"/>
        <v>#NAME?</v>
      </c>
      <c r="AV232" s="7" t="e">
        <f t="shared" ca="1" si="115"/>
        <v>#NAME?</v>
      </c>
      <c r="AW232" s="7" t="e">
        <f t="shared" ca="1" si="115"/>
        <v>#NAME?</v>
      </c>
      <c r="AX232" s="7" t="e">
        <f t="shared" ca="1" si="115"/>
        <v>#NAME?</v>
      </c>
      <c r="AY232" s="7" t="e">
        <f t="shared" ca="1" si="115"/>
        <v>#NAME?</v>
      </c>
      <c r="AZ232" s="7" t="e">
        <f t="shared" ca="1" si="115"/>
        <v>#NAME?</v>
      </c>
      <c r="BA232" s="7" t="e">
        <f t="shared" ca="1" si="115"/>
        <v>#NAME?</v>
      </c>
      <c r="BB232" s="7" t="e">
        <f t="shared" ca="1" si="115"/>
        <v>#NAME?</v>
      </c>
      <c r="BC232" s="7" t="e">
        <f t="shared" ca="1" si="115"/>
        <v>#NAME?</v>
      </c>
      <c r="BD232" s="7" t="e">
        <f t="shared" ca="1" si="115"/>
        <v>#NAME?</v>
      </c>
      <c r="BE232" s="7" t="e">
        <f t="shared" ca="1" si="115"/>
        <v>#NAME?</v>
      </c>
      <c r="BF232" s="7" t="e">
        <f t="shared" ca="1" si="115"/>
        <v>#NAME?</v>
      </c>
      <c r="BG232" s="7" t="e">
        <f t="shared" ca="1" si="115"/>
        <v>#NAME?</v>
      </c>
      <c r="BH232" s="7" t="e">
        <f t="shared" ca="1" si="115"/>
        <v>#NAME?</v>
      </c>
      <c r="BI232" s="7" t="e">
        <f t="shared" ca="1" si="115"/>
        <v>#NAME?</v>
      </c>
      <c r="BJ232" s="7" t="e">
        <f t="shared" ca="1" si="115"/>
        <v>#NAME?</v>
      </c>
      <c r="BK232" s="7" t="e">
        <f t="shared" ca="1" si="115"/>
        <v>#NAME?</v>
      </c>
      <c r="BL232" s="7" t="e">
        <f t="shared" ca="1" si="115"/>
        <v>#NAME?</v>
      </c>
      <c r="BM232" s="7" t="e">
        <f t="shared" ca="1" si="115"/>
        <v>#NAME?</v>
      </c>
      <c r="BN232" s="7" t="e">
        <f t="shared" ca="1" si="115"/>
        <v>#NAME?</v>
      </c>
      <c r="BO232" s="7" t="e">
        <f t="shared" ca="1" si="115"/>
        <v>#NAME?</v>
      </c>
      <c r="BP232" s="7" t="e">
        <f t="shared" ca="1" si="115"/>
        <v>#NAME?</v>
      </c>
      <c r="BQ232" s="7" t="e">
        <f t="shared" ca="1" si="115"/>
        <v>#NAME?</v>
      </c>
      <c r="BR232" s="7" t="e">
        <f t="shared" ca="1" si="115"/>
        <v>#NAME?</v>
      </c>
      <c r="BS232" s="7" t="e">
        <f t="shared" ca="1" si="115"/>
        <v>#NAME?</v>
      </c>
      <c r="BT232" s="7" t="e">
        <f t="shared" ca="1" si="115"/>
        <v>#NAME?</v>
      </c>
      <c r="BU232" s="7" t="e">
        <f t="shared" ca="1" si="115"/>
        <v>#NAME?</v>
      </c>
      <c r="BV232" s="7" t="e">
        <f t="shared" ca="1" si="115"/>
        <v>#NAME?</v>
      </c>
      <c r="BW232" s="7" t="e">
        <f t="shared" ca="1" si="115"/>
        <v>#NAME?</v>
      </c>
      <c r="BX232" s="7" t="e">
        <f t="shared" ca="1" si="115"/>
        <v>#NAME?</v>
      </c>
      <c r="BY232" s="7" t="e">
        <f t="shared" ca="1" si="115"/>
        <v>#NAME?</v>
      </c>
      <c r="BZ232" s="7" t="e">
        <f t="shared" ca="1" si="115"/>
        <v>#NAME?</v>
      </c>
      <c r="CA232" s="7" t="e">
        <f t="shared" ca="1" si="115"/>
        <v>#NAME?</v>
      </c>
      <c r="CB232" s="7" t="e">
        <f t="shared" ca="1" si="115"/>
        <v>#NAME?</v>
      </c>
      <c r="CC232" s="7" t="e">
        <f t="shared" ca="1" si="115"/>
        <v>#NAME?</v>
      </c>
      <c r="CD232" s="7" t="e">
        <f t="shared" ca="1" si="115"/>
        <v>#NAME?</v>
      </c>
      <c r="CE232" s="7" t="e">
        <f t="shared" ca="1" si="115"/>
        <v>#NAME?</v>
      </c>
      <c r="CF232" s="7" t="e">
        <f t="shared" ca="1" si="115"/>
        <v>#NAME?</v>
      </c>
      <c r="CG232" s="7" t="e">
        <f t="shared" ca="1" si="115"/>
        <v>#NAME?</v>
      </c>
      <c r="CH232" s="7" t="e">
        <f t="shared" ca="1" si="115"/>
        <v>#NAME?</v>
      </c>
      <c r="CI232" s="7" t="e">
        <f t="shared" ca="1" si="115"/>
        <v>#NAME?</v>
      </c>
      <c r="CJ232" s="7" t="e">
        <f t="shared" ca="1" si="115"/>
        <v>#NAME?</v>
      </c>
      <c r="CK232" s="7" t="e">
        <f t="shared" ca="1" si="115"/>
        <v>#NAME?</v>
      </c>
      <c r="CL232" s="7" t="e">
        <f t="shared" ca="1" si="115"/>
        <v>#NAME?</v>
      </c>
      <c r="CM232" s="7" t="e">
        <f t="shared" ca="1" si="115"/>
        <v>#NAME?</v>
      </c>
      <c r="CN232" s="7" t="e">
        <f t="shared" ca="1" si="115"/>
        <v>#NAME?</v>
      </c>
      <c r="CO232" s="7" t="e">
        <f t="shared" ca="1" si="115"/>
        <v>#NAME?</v>
      </c>
      <c r="CP232" s="7" t="e">
        <f t="shared" ca="1" si="115"/>
        <v>#NAME?</v>
      </c>
      <c r="CQ232" s="7" t="e">
        <f t="shared" ca="1" si="115"/>
        <v>#NAME?</v>
      </c>
      <c r="CR232" s="7" t="e">
        <f t="shared" ca="1" si="115"/>
        <v>#NAME?</v>
      </c>
      <c r="CS232" s="7" t="e">
        <f t="shared" ca="1" si="115"/>
        <v>#NAME?</v>
      </c>
      <c r="CT232" s="7" t="e">
        <f t="shared" ca="1" si="115"/>
        <v>#NAME?</v>
      </c>
      <c r="CU232" s="7" t="e">
        <f t="shared" ca="1" si="115"/>
        <v>#NAME?</v>
      </c>
      <c r="CV232" s="7" t="e">
        <f t="shared" ca="1" si="115"/>
        <v>#NAME?</v>
      </c>
      <c r="CW232" s="7" t="e">
        <f t="shared" ca="1" si="115"/>
        <v>#NAME?</v>
      </c>
      <c r="CX232" s="7" t="e">
        <f t="shared" ca="1" si="115"/>
        <v>#NAME?</v>
      </c>
      <c r="CY232" s="7" t="e">
        <f t="shared" ca="1" si="115"/>
        <v>#NAME?</v>
      </c>
      <c r="CZ232" s="7" t="e">
        <f t="shared" ca="1" si="115"/>
        <v>#NAME?</v>
      </c>
      <c r="DA232" s="7" t="e">
        <f t="shared" ca="1" si="115"/>
        <v>#NAME?</v>
      </c>
      <c r="DB232" s="7" t="e">
        <f t="shared" ca="1" si="115"/>
        <v>#NAME?</v>
      </c>
      <c r="DC232" s="7" t="e">
        <f t="shared" ca="1" si="115"/>
        <v>#NAME?</v>
      </c>
      <c r="DD232" s="7" t="e">
        <f t="shared" ca="1" si="115"/>
        <v>#NAME?</v>
      </c>
      <c r="DE232" s="7" t="e">
        <f t="shared" ca="1" si="115"/>
        <v>#NAME?</v>
      </c>
      <c r="DF232" s="7" t="e">
        <f t="shared" ca="1" si="115"/>
        <v>#NAME?</v>
      </c>
      <c r="DG232" s="7" t="e">
        <f t="shared" ca="1" si="115"/>
        <v>#NAME?</v>
      </c>
      <c r="DH232" s="7" t="e">
        <f t="shared" ca="1" si="115"/>
        <v>#NAME?</v>
      </c>
      <c r="DI232" s="7" t="e">
        <f t="shared" ca="1" si="115"/>
        <v>#NAME?</v>
      </c>
      <c r="DJ232" s="7" t="e">
        <f t="shared" ca="1" si="115"/>
        <v>#NAME?</v>
      </c>
      <c r="DK232" s="7" t="e">
        <f t="shared" ca="1" si="115"/>
        <v>#NAME?</v>
      </c>
      <c r="DL232" s="7" t="e">
        <f t="shared" ca="1" si="115"/>
        <v>#NAME?</v>
      </c>
      <c r="DM232" s="7" t="e">
        <f t="shared" ca="1" si="115"/>
        <v>#NAME?</v>
      </c>
      <c r="DN232" s="7" t="e">
        <f t="shared" ca="1" si="115"/>
        <v>#NAME?</v>
      </c>
      <c r="DO232" s="7" t="e">
        <f t="shared" ca="1" si="115"/>
        <v>#NAME?</v>
      </c>
      <c r="DP232" s="7" t="e">
        <f t="shared" ca="1" si="115"/>
        <v>#NAME?</v>
      </c>
      <c r="DQ232" s="7" t="e">
        <f t="shared" ca="1" si="115"/>
        <v>#NAME?</v>
      </c>
      <c r="DR232" s="7" t="e">
        <f t="shared" ca="1" si="115"/>
        <v>#NAME?</v>
      </c>
      <c r="DS232" s="7" t="e">
        <f t="shared" ca="1" si="115"/>
        <v>#NAME?</v>
      </c>
      <c r="DT232" s="7" t="e">
        <f t="shared" ca="1" si="115"/>
        <v>#NAME?</v>
      </c>
      <c r="DU232" s="7" t="e">
        <f t="shared" ca="1" si="115"/>
        <v>#NAME?</v>
      </c>
      <c r="DV232" s="7" t="e">
        <f t="shared" ca="1" si="115"/>
        <v>#NAME?</v>
      </c>
      <c r="DW232" s="7" t="e">
        <f t="shared" ca="1" si="115"/>
        <v>#NAME?</v>
      </c>
      <c r="DX232" s="7" t="e">
        <f t="shared" ca="1" si="115"/>
        <v>#NAME?</v>
      </c>
      <c r="DY232" s="7" t="e">
        <f t="shared" ca="1" si="115"/>
        <v>#NAME?</v>
      </c>
      <c r="DZ232" s="7" t="e">
        <f t="shared" ca="1" si="115"/>
        <v>#NAME?</v>
      </c>
      <c r="EA232" s="7" t="e">
        <f t="shared" ca="1" si="115"/>
        <v>#NAME?</v>
      </c>
      <c r="EB232" s="7" t="e">
        <f t="shared" ca="1" si="115"/>
        <v>#NAME?</v>
      </c>
      <c r="EC232" s="7" t="e">
        <f t="shared" ca="1" si="115"/>
        <v>#NAME?</v>
      </c>
      <c r="ED232" s="7" t="e">
        <f t="shared" ca="1" si="115"/>
        <v>#NAME?</v>
      </c>
      <c r="EE232" s="7" t="e">
        <f t="shared" ca="1" si="115"/>
        <v>#NAME?</v>
      </c>
      <c r="EF232" s="7" t="e">
        <f t="shared" ca="1" si="115"/>
        <v>#NAME?</v>
      </c>
      <c r="EG232" s="7" t="e">
        <f t="shared" ca="1" si="115"/>
        <v>#NAME?</v>
      </c>
      <c r="EH232" s="7" t="e">
        <f t="shared" ca="1" si="115"/>
        <v>#NAME?</v>
      </c>
      <c r="EI232" s="7" t="e">
        <f t="shared" ca="1" si="115"/>
        <v>#NAME?</v>
      </c>
      <c r="EJ232" s="7" t="e">
        <f t="shared" ca="1" si="115"/>
        <v>#NAME?</v>
      </c>
      <c r="EK232" s="7" t="e">
        <f t="shared" ca="1" si="115"/>
        <v>#NAME?</v>
      </c>
      <c r="EL232" s="7" t="e">
        <f t="shared" ca="1" si="115"/>
        <v>#NAME?</v>
      </c>
      <c r="EM232" s="7" t="e">
        <f t="shared" ca="1" si="115"/>
        <v>#NAME?</v>
      </c>
      <c r="EN232" s="7" t="e">
        <f t="shared" ca="1" si="115"/>
        <v>#NAME?</v>
      </c>
      <c r="EO232" s="7" t="e">
        <f t="shared" ca="1" si="115"/>
        <v>#NAME?</v>
      </c>
      <c r="EP232" s="7" t="e">
        <f t="shared" ca="1" si="115"/>
        <v>#NAME?</v>
      </c>
      <c r="EQ232" s="7" t="e">
        <f t="shared" ca="1" si="115"/>
        <v>#NAME?</v>
      </c>
      <c r="ER232" s="7" t="e">
        <f t="shared" ca="1" si="115"/>
        <v>#NAME?</v>
      </c>
      <c r="ES232" s="7" t="e">
        <f t="shared" ca="1" si="115"/>
        <v>#NAME?</v>
      </c>
      <c r="ET232" s="7" t="e">
        <f t="shared" ca="1" si="115"/>
        <v>#NAME?</v>
      </c>
      <c r="EU232" s="7" t="e">
        <f t="shared" ca="1" si="115"/>
        <v>#NAME?</v>
      </c>
      <c r="EV232" s="7" t="e">
        <f t="shared" ca="1" si="115"/>
        <v>#NAME?</v>
      </c>
      <c r="EW232" s="7" t="e">
        <f t="shared" ca="1" si="115"/>
        <v>#NAME?</v>
      </c>
      <c r="EX232" s="7" t="e">
        <f t="shared" ca="1" si="115"/>
        <v>#NAME?</v>
      </c>
      <c r="EY232" s="7" t="e">
        <f t="shared" ca="1" si="115"/>
        <v>#NAME?</v>
      </c>
      <c r="EZ232" s="7" t="e">
        <f t="shared" ca="1" si="115"/>
        <v>#NAME?</v>
      </c>
      <c r="FA232" s="7" t="e">
        <f t="shared" ca="1" si="115"/>
        <v>#NAME?</v>
      </c>
      <c r="FB232" s="7" t="e">
        <f t="shared" ca="1" si="115"/>
        <v>#NAME?</v>
      </c>
      <c r="FC232" s="7" t="e">
        <f t="shared" ca="1" si="115"/>
        <v>#NAME?</v>
      </c>
      <c r="FD232" s="7" t="e">
        <f t="shared" ca="1" si="115"/>
        <v>#NAME?</v>
      </c>
      <c r="FE232" s="7" t="e">
        <f t="shared" ca="1" si="115"/>
        <v>#NAME?</v>
      </c>
      <c r="FF232" s="7" t="e">
        <f t="shared" ca="1" si="115"/>
        <v>#NAME?</v>
      </c>
      <c r="FG232" s="7" t="e">
        <f t="shared" ca="1" si="115"/>
        <v>#NAME?</v>
      </c>
      <c r="FH232" s="7" t="e">
        <f t="shared" ca="1" si="115"/>
        <v>#NAME?</v>
      </c>
      <c r="FI232" s="7" t="e">
        <f t="shared" ca="1" si="115"/>
        <v>#NAME?</v>
      </c>
      <c r="FJ232" s="7" t="e">
        <f t="shared" ca="1" si="115"/>
        <v>#NAME?</v>
      </c>
      <c r="FK232" s="7" t="e">
        <f t="shared" ca="1" si="115"/>
        <v>#NAME?</v>
      </c>
      <c r="FL232" s="7" t="e">
        <f t="shared" ca="1" si="115"/>
        <v>#NAME?</v>
      </c>
      <c r="FM232" s="7" t="e">
        <f t="shared" ca="1" si="115"/>
        <v>#NAME?</v>
      </c>
      <c r="FN232" s="7" t="e">
        <f t="shared" ca="1" si="115"/>
        <v>#NAME?</v>
      </c>
      <c r="FO232" s="7" t="e">
        <f t="shared" ca="1" si="115"/>
        <v>#NAME?</v>
      </c>
      <c r="FP232" s="7" t="e">
        <f t="shared" ca="1" si="115"/>
        <v>#NAME?</v>
      </c>
      <c r="FQ232" s="7" t="e">
        <f t="shared" ca="1" si="115"/>
        <v>#NAME?</v>
      </c>
      <c r="FR232" s="7" t="e">
        <f t="shared" ca="1" si="115"/>
        <v>#NAME?</v>
      </c>
      <c r="FS232" s="7" t="e">
        <f t="shared" ca="1" si="115"/>
        <v>#NAME?</v>
      </c>
      <c r="FT232" s="7" t="e">
        <f t="shared" ca="1" si="115"/>
        <v>#NAME?</v>
      </c>
      <c r="FU232" s="7" t="e">
        <f t="shared" ca="1" si="115"/>
        <v>#NAME?</v>
      </c>
      <c r="FV232" s="7" t="e">
        <f t="shared" ca="1" si="115"/>
        <v>#NAME?</v>
      </c>
      <c r="FW232" s="7" t="e">
        <f t="shared" ca="1" si="115"/>
        <v>#NAME?</v>
      </c>
      <c r="FX232" s="7" t="e">
        <f t="shared" ca="1" si="115"/>
        <v>#NAME?</v>
      </c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</row>
    <row r="233" spans="1:193" ht="15.5" x14ac:dyDescent="0.35">
      <c r="A233" s="7"/>
      <c r="B233" s="7" t="s">
        <v>1000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</row>
    <row r="234" spans="1:193" ht="15.5" x14ac:dyDescent="0.35">
      <c r="A234" s="110" t="s">
        <v>1001</v>
      </c>
      <c r="B234" s="111" t="s">
        <v>1002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7">
        <v>0</v>
      </c>
      <c r="AM234" s="7">
        <v>0</v>
      </c>
      <c r="AN234" s="7">
        <v>0</v>
      </c>
      <c r="AO234" s="7">
        <v>0</v>
      </c>
      <c r="AP234" s="7">
        <v>0</v>
      </c>
      <c r="AQ234" s="7">
        <v>0</v>
      </c>
      <c r="AR234" s="7">
        <v>0</v>
      </c>
      <c r="AS234" s="7">
        <v>0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0</v>
      </c>
      <c r="BX234" s="7">
        <v>0</v>
      </c>
      <c r="BY234" s="7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0</v>
      </c>
      <c r="EY234" s="7">
        <v>0</v>
      </c>
      <c r="EZ234" s="7">
        <v>0</v>
      </c>
      <c r="FA234" s="7">
        <v>0</v>
      </c>
      <c r="FB234" s="7">
        <v>0</v>
      </c>
      <c r="FC234" s="7">
        <v>0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  <c r="FJ234" s="7">
        <v>0</v>
      </c>
      <c r="FK234" s="7">
        <v>0</v>
      </c>
      <c r="FL234" s="7">
        <v>0</v>
      </c>
      <c r="FM234" s="7">
        <v>0</v>
      </c>
      <c r="FN234" s="7">
        <v>0</v>
      </c>
      <c r="FO234" s="7">
        <v>0</v>
      </c>
      <c r="FP234" s="7">
        <v>0</v>
      </c>
      <c r="FQ234" s="7">
        <v>0</v>
      </c>
      <c r="FR234" s="7">
        <v>0</v>
      </c>
      <c r="FS234" s="7">
        <v>0</v>
      </c>
      <c r="FT234" s="7">
        <v>0</v>
      </c>
      <c r="FU234" s="7">
        <v>0</v>
      </c>
      <c r="FV234" s="7">
        <v>0</v>
      </c>
      <c r="FW234" s="7">
        <v>0</v>
      </c>
      <c r="FX234" s="7">
        <v>0</v>
      </c>
      <c r="FY234" s="7"/>
      <c r="FZ234" s="7">
        <f>SUM(C234:FX234)</f>
        <v>0</v>
      </c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</row>
    <row r="235" spans="1:193" ht="15.5" x14ac:dyDescent="0.35">
      <c r="A235" s="111"/>
      <c r="B235" s="111" t="s">
        <v>1003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</row>
    <row r="236" spans="1:193" ht="15.5" x14ac:dyDescent="0.35">
      <c r="A236" s="12" t="s">
        <v>1004</v>
      </c>
      <c r="B236" s="7" t="s">
        <v>1005</v>
      </c>
      <c r="C236" s="7">
        <f ca="1">IFERROR(__xludf.DUMMYFUNCTION("+C209"),79892844.24)</f>
        <v>79892844.239999995</v>
      </c>
      <c r="D236" s="7">
        <f ca="1">IFERROR(__xludf.DUMMYFUNCTION("+D209"),446149224.8)</f>
        <v>446149224.80000001</v>
      </c>
      <c r="E236" s="7">
        <f ca="1">IFERROR(__xludf.DUMMYFUNCTION("+E209"),71070893.15)</f>
        <v>71070893.150000006</v>
      </c>
      <c r="F236" s="7">
        <f ca="1">IFERROR(__xludf.DUMMYFUNCTION("+F209"),278971081.16)</f>
        <v>278971081.16000003</v>
      </c>
      <c r="G236" s="7">
        <f ca="1">IFERROR(__xludf.DUMMYFUNCTION("+G209"),22158445.7)</f>
        <v>22158445.699999999</v>
      </c>
      <c r="H236" s="7">
        <f ca="1">IFERROR(__xludf.DUMMYFUNCTION("+H209"),13402209.5)</f>
        <v>13402209.5</v>
      </c>
      <c r="I236" s="7">
        <f ca="1">IFERROR(__xludf.DUMMYFUNCTION("+I209"),98385570.3)</f>
        <v>98385570.299999997</v>
      </c>
      <c r="J236" s="7">
        <f ca="1">IFERROR(__xludf.DUMMYFUNCTION("+J209"),24176449.86)</f>
        <v>24176449.859999999</v>
      </c>
      <c r="K236" s="7">
        <f ca="1">IFERROR(__xludf.DUMMYFUNCTION("+K209"),4180082.5)</f>
        <v>4180082.5</v>
      </c>
      <c r="L236" s="7">
        <f ca="1">IFERROR(__xludf.DUMMYFUNCTION("+L209"),26348010.95)</f>
        <v>26348010.949999999</v>
      </c>
      <c r="M236" s="7">
        <f ca="1">IFERROR(__xludf.DUMMYFUNCTION("+M209"),13026777.33)</f>
        <v>13026777.33</v>
      </c>
      <c r="N236" s="7">
        <f ca="1">IFERROR(__xludf.DUMMYFUNCTION("+N209"),591751802.49)</f>
        <v>591751802.49000001</v>
      </c>
      <c r="O236" s="7">
        <f ca="1">IFERROR(__xludf.DUMMYFUNCTION("+O209"),143830443.02)</f>
        <v>143830443.02000001</v>
      </c>
      <c r="P236" s="7">
        <f ca="1">IFERROR(__xludf.DUMMYFUNCTION("+P209"),5111517.33)</f>
        <v>5111517.33</v>
      </c>
      <c r="Q236" s="7">
        <f ca="1">IFERROR(__xludf.DUMMYFUNCTION("+Q209"),499104989.02)</f>
        <v>499104989.01999998</v>
      </c>
      <c r="R236" s="7">
        <f ca="1">IFERROR(__xludf.DUMMYFUNCTION("+R209"),81014908.28)</f>
        <v>81014908.280000001</v>
      </c>
      <c r="S236" s="7">
        <f ca="1">IFERROR(__xludf.DUMMYFUNCTION("+S209"),19348798.51)</f>
        <v>19348798.510000002</v>
      </c>
      <c r="T236" s="7">
        <f ca="1">IFERROR(__xludf.DUMMYFUNCTION("+T209"),3321906.67)</f>
        <v>3321906.67</v>
      </c>
      <c r="U236" s="7">
        <f ca="1">IFERROR(__xludf.DUMMYFUNCTION("+U209"),1436808.71)</f>
        <v>1436808.71</v>
      </c>
      <c r="V236" s="7">
        <f ca="1">IFERROR(__xludf.DUMMYFUNCTION("+V209"),4263145.18)</f>
        <v>4263145.18</v>
      </c>
      <c r="W236" s="7">
        <f ca="1">IFERROR(__xludf.DUMMYFUNCTION("+W209"),1138970.21)</f>
        <v>1138970.21</v>
      </c>
      <c r="X236" s="7">
        <f ca="1">IFERROR(__xludf.DUMMYFUNCTION("+X209"),1247148.75)</f>
        <v>1247148.75</v>
      </c>
      <c r="Y236" s="7">
        <f ca="1">IFERROR(__xludf.DUMMYFUNCTION("+Y209"),11143848.4)</f>
        <v>11143848.4</v>
      </c>
      <c r="Z236" s="7">
        <f ca="1">IFERROR(__xludf.DUMMYFUNCTION("+Z209"),3909475.96)</f>
        <v>3909475.96</v>
      </c>
      <c r="AA236" s="7">
        <f ca="1">IFERROR(__xludf.DUMMYFUNCTION("+AA209"),351337009.87)</f>
        <v>351337009.87</v>
      </c>
      <c r="AB236" s="7">
        <f ca="1">IFERROR(__xludf.DUMMYFUNCTION("+AB209"),312259192.83)</f>
        <v>312259192.82999998</v>
      </c>
      <c r="AC236" s="7">
        <f ca="1">IFERROR(__xludf.DUMMYFUNCTION("+AC209"),11230256.01)</f>
        <v>11230256.01</v>
      </c>
      <c r="AD236" s="7">
        <f ca="1">IFERROR(__xludf.DUMMYFUNCTION("+AD209"),16617727.34)</f>
        <v>16617727.34</v>
      </c>
      <c r="AE236" s="7">
        <f ca="1">IFERROR(__xludf.DUMMYFUNCTION("+AE209"),2217949.87)</f>
        <v>2217949.87</v>
      </c>
      <c r="AF236" s="7">
        <f ca="1">IFERROR(__xludf.DUMMYFUNCTION("+AF209"),3406764.92)</f>
        <v>3406764.92</v>
      </c>
      <c r="AG236" s="7">
        <f ca="1">IFERROR(__xludf.DUMMYFUNCTION("+AG209"),8004804.58)</f>
        <v>8004804.5800000001</v>
      </c>
      <c r="AH236" s="7">
        <f ca="1">IFERROR(__xludf.DUMMYFUNCTION("+AH209"),11704502.95)</f>
        <v>11704502.949999999</v>
      </c>
      <c r="AI236" s="7">
        <f ca="1">IFERROR(__xludf.DUMMYFUNCTION("+AI209"),5396951.28)</f>
        <v>5396951.2800000003</v>
      </c>
      <c r="AJ236" s="7">
        <f ca="1">IFERROR(__xludf.DUMMYFUNCTION("+AJ209"),3819386.31)</f>
        <v>3819386.31</v>
      </c>
      <c r="AK236" s="7">
        <f ca="1">IFERROR(__xludf.DUMMYFUNCTION("+AK209"),3421452.84)</f>
        <v>3421452.84</v>
      </c>
      <c r="AL236" s="7">
        <f ca="1">IFERROR(__xludf.DUMMYFUNCTION("+AL209"),4739993.63)</f>
        <v>4739993.63</v>
      </c>
      <c r="AM236" s="7">
        <f ca="1">IFERROR(__xludf.DUMMYFUNCTION("+AM209"),5174447.97)</f>
        <v>5174447.97</v>
      </c>
      <c r="AN236" s="7">
        <f ca="1">IFERROR(__xludf.DUMMYFUNCTION("+AN209"),4752383.36)</f>
        <v>4752383.3600000003</v>
      </c>
      <c r="AO236" s="7">
        <f ca="1">IFERROR(__xludf.DUMMYFUNCTION("+AO209"),50912803.68)</f>
        <v>50912803.68</v>
      </c>
      <c r="AP236" s="7">
        <f ca="1">IFERROR(__xludf.DUMMYFUNCTION("+AP209"),1017751648.26)</f>
        <v>1017751648.26</v>
      </c>
      <c r="AQ236" s="7">
        <f ca="1">IFERROR(__xludf.DUMMYFUNCTION("+AQ209"),4587976.95)</f>
        <v>4587976.95</v>
      </c>
      <c r="AR236" s="7">
        <f ca="1">IFERROR(__xludf.DUMMYFUNCTION("+AR209"),695012706.02)</f>
        <v>695012706.01999998</v>
      </c>
      <c r="AS236" s="7">
        <f ca="1">IFERROR(__xludf.DUMMYFUNCTION("+AS209"),79204693.69)</f>
        <v>79204693.689999998</v>
      </c>
      <c r="AT236" s="7">
        <f ca="1">IFERROR(__xludf.DUMMYFUNCTION("+AT209"),27425004.8)</f>
        <v>27425004.800000001</v>
      </c>
      <c r="AU236" s="7">
        <f ca="1">IFERROR(__xludf.DUMMYFUNCTION("+AU209"),4496406.44)</f>
        <v>4496406.4400000004</v>
      </c>
      <c r="AV236" s="7">
        <f ca="1">IFERROR(__xludf.DUMMYFUNCTION("+AV209"),5081527.08)</f>
        <v>5081527.08</v>
      </c>
      <c r="AW236" s="7">
        <f ca="1">IFERROR(__xludf.DUMMYFUNCTION("+AW209"),4538303.89)</f>
        <v>4538303.8899999997</v>
      </c>
      <c r="AX236" s="7">
        <f ca="1">IFERROR(__xludf.DUMMYFUNCTION("+AX209"),2112998.34)</f>
        <v>2112998.34</v>
      </c>
      <c r="AY236" s="7">
        <f ca="1">IFERROR(__xludf.DUMMYFUNCTION("+AY209"),5948291.49)</f>
        <v>5948291.4900000002</v>
      </c>
      <c r="AZ236" s="7">
        <f ca="1">IFERROR(__xludf.DUMMYFUNCTION("+AZ209"),143592147.08)</f>
        <v>143592147.08000001</v>
      </c>
      <c r="BA236" s="7">
        <f ca="1">IFERROR(__xludf.DUMMYFUNCTION("+BA209"),101048941.24)</f>
        <v>101048941.23999999</v>
      </c>
      <c r="BB236" s="7">
        <f ca="1">IFERROR(__xludf.DUMMYFUNCTION("+BB209"),84270980.62)</f>
        <v>84270980.620000005</v>
      </c>
      <c r="BC236" s="7">
        <f ca="1">IFERROR(__xludf.DUMMYFUNCTION("+BC209"),284254225.43)</f>
        <v>284254225.43000001</v>
      </c>
      <c r="BD236" s="7">
        <f ca="1">IFERROR(__xludf.DUMMYFUNCTION("+BD209"),40151219.28)</f>
        <v>40151219.280000001</v>
      </c>
      <c r="BE236" s="7">
        <f ca="1">IFERROR(__xludf.DUMMYFUNCTION("+BE209"),14287161.88)</f>
        <v>14287161.880000001</v>
      </c>
      <c r="BF236" s="7">
        <f ca="1">IFERROR(__xludf.DUMMYFUNCTION("+BF209"),282106949.62)</f>
        <v>282106949.62</v>
      </c>
      <c r="BG236" s="7">
        <f ca="1">IFERROR(__xludf.DUMMYFUNCTION("+BG209"),12106170.33)</f>
        <v>12106170.33</v>
      </c>
      <c r="BH236" s="7">
        <f ca="1">IFERROR(__xludf.DUMMYFUNCTION("+BH209"),7749300.03)</f>
        <v>7749300.0300000003</v>
      </c>
      <c r="BI236" s="7">
        <f ca="1">IFERROR(__xludf.DUMMYFUNCTION("+BI209"),4643913.23)</f>
        <v>4643913.2300000004</v>
      </c>
      <c r="BJ236" s="7">
        <f ca="1">IFERROR(__xludf.DUMMYFUNCTION("+BJ209"),69681782.91)</f>
        <v>69681782.909999996</v>
      </c>
      <c r="BK236" s="7">
        <f ca="1">IFERROR(__xludf.DUMMYFUNCTION("+BK209"),390364211.15)</f>
        <v>390364211.14999998</v>
      </c>
      <c r="BL236" s="7">
        <f ca="1">IFERROR(__xludf.DUMMYFUNCTION("+BL209"),1810659.96)</f>
        <v>1810659.96</v>
      </c>
      <c r="BM236" s="7">
        <f ca="1">IFERROR(__xludf.DUMMYFUNCTION("+BM209"),5212266.43)</f>
        <v>5212266.43</v>
      </c>
      <c r="BN236" s="7">
        <f ca="1">IFERROR(__xludf.DUMMYFUNCTION("+BN209"),35601199.27)</f>
        <v>35601199.270000003</v>
      </c>
      <c r="BO236" s="7">
        <f ca="1">IFERROR(__xludf.DUMMYFUNCTION("+BO209"),14735305.76)</f>
        <v>14735305.76</v>
      </c>
      <c r="BP236" s="7">
        <f ca="1">IFERROR(__xludf.DUMMYFUNCTION("+BP209"),3320121.35)</f>
        <v>3320121.35</v>
      </c>
      <c r="BQ236" s="7">
        <f ca="1">IFERROR(__xludf.DUMMYFUNCTION("+BQ209"),73344008.8)</f>
        <v>73344008.799999997</v>
      </c>
      <c r="BR236" s="7">
        <f ca="1">IFERROR(__xludf.DUMMYFUNCTION("+BR209"),50925019.04)</f>
        <v>50925019.039999999</v>
      </c>
      <c r="BS236" s="7">
        <f ca="1">IFERROR(__xludf.DUMMYFUNCTION("+BS209"),14984991.43)</f>
        <v>14984991.43</v>
      </c>
      <c r="BT236" s="7">
        <f ca="1">IFERROR(__xludf.DUMMYFUNCTION("+BT209"),5691086.58)</f>
        <v>5691086.5800000001</v>
      </c>
      <c r="BU236" s="7">
        <f ca="1">IFERROR(__xludf.DUMMYFUNCTION("+BU209"),5850450.25)</f>
        <v>5850450.25</v>
      </c>
      <c r="BV236" s="7">
        <f ca="1">IFERROR(__xludf.DUMMYFUNCTION("+BV209"),14829848.7)</f>
        <v>14829848.699999999</v>
      </c>
      <c r="BW236" s="7">
        <f ca="1">IFERROR(__xludf.DUMMYFUNCTION("+BW209"),23679761.04)</f>
        <v>23679761.039999999</v>
      </c>
      <c r="BX236" s="7">
        <f ca="1">IFERROR(__xludf.DUMMYFUNCTION("+BX209"),1765109.81)</f>
        <v>1765109.81</v>
      </c>
      <c r="BY236" s="7">
        <f ca="1">IFERROR(__xludf.DUMMYFUNCTION("+BY209"),5665481.88)</f>
        <v>5665481.8799999999</v>
      </c>
      <c r="BZ236" s="7">
        <f ca="1">IFERROR(__xludf.DUMMYFUNCTION("+BZ209"),4192494.85)</f>
        <v>4192494.85</v>
      </c>
      <c r="CA236" s="7">
        <f ca="1">IFERROR(__xludf.DUMMYFUNCTION("+CA209"),3135898.29)</f>
        <v>3135898.29</v>
      </c>
      <c r="CB236" s="7">
        <f ca="1">IFERROR(__xludf.DUMMYFUNCTION("+CB209"),831038363.82)</f>
        <v>831038363.82000005</v>
      </c>
      <c r="CC236" s="7">
        <f ca="1">IFERROR(__xludf.DUMMYFUNCTION("+CC209"),3607781.46)</f>
        <v>3607781.46</v>
      </c>
      <c r="CD236" s="7">
        <f ca="1">IFERROR(__xludf.DUMMYFUNCTION("+CD209"),902113.67)</f>
        <v>902113.67</v>
      </c>
      <c r="CE236" s="7">
        <f ca="1">IFERROR(__xludf.DUMMYFUNCTION("+CE209"),3231151.65)</f>
        <v>3231151.65</v>
      </c>
      <c r="CF236" s="7">
        <f ca="1">IFERROR(__xludf.DUMMYFUNCTION("+CF209"),2342459.99)</f>
        <v>2342459.9900000002</v>
      </c>
      <c r="CG236" s="7">
        <f ca="1">IFERROR(__xludf.DUMMYFUNCTION("+CG209"),3718378.13)</f>
        <v>3718378.13</v>
      </c>
      <c r="CH236" s="7">
        <f ca="1">IFERROR(__xludf.DUMMYFUNCTION("+CH209"),2280500)</f>
        <v>2280500</v>
      </c>
      <c r="CI236" s="7">
        <f ca="1">IFERROR(__xludf.DUMMYFUNCTION("+CI209"),8673463.91)</f>
        <v>8673463.9100000001</v>
      </c>
      <c r="CJ236" s="7">
        <f ca="1">IFERROR(__xludf.DUMMYFUNCTION("+CJ209"),11322944.41)</f>
        <v>11322944.41</v>
      </c>
      <c r="CK236" s="7">
        <f ca="1">IFERROR(__xludf.DUMMYFUNCTION("+CK209"),57283210.73)</f>
        <v>57283210.729999997</v>
      </c>
      <c r="CL236" s="7">
        <f ca="1">IFERROR(__xludf.DUMMYFUNCTION("+CL209"),15271591.55)</f>
        <v>15271591.550000001</v>
      </c>
      <c r="CM236" s="7">
        <f ca="1">IFERROR(__xludf.DUMMYFUNCTION("+CM209"),9338955.16)</f>
        <v>9338955.1600000001</v>
      </c>
      <c r="CN236" s="7">
        <f ca="1">IFERROR(__xludf.DUMMYFUNCTION("+CN209"),347862107.9)</f>
        <v>347862107.89999998</v>
      </c>
      <c r="CO236" s="7">
        <f ca="1">IFERROR(__xludf.DUMMYFUNCTION("+CO209"),158889013.74)</f>
        <v>158889013.74000001</v>
      </c>
      <c r="CP236" s="7">
        <f ca="1">IFERROR(__xludf.DUMMYFUNCTION("+CP209"),12160270.61)</f>
        <v>12160270.609999999</v>
      </c>
      <c r="CQ236" s="7">
        <f ca="1">IFERROR(__xludf.DUMMYFUNCTION("+CQ209"),10512140.11)</f>
        <v>10512140.109999999</v>
      </c>
      <c r="CR236" s="7">
        <f ca="1">IFERROR(__xludf.DUMMYFUNCTION("+CR209"),3847380.87)</f>
        <v>3847380.87</v>
      </c>
      <c r="CS236" s="7">
        <f ca="1">IFERROR(__xludf.DUMMYFUNCTION("+CS209"),4454653.43)</f>
        <v>4454653.43</v>
      </c>
      <c r="CT236" s="7">
        <f ca="1">IFERROR(__xludf.DUMMYFUNCTION("+CT209"),2614394.41)</f>
        <v>2614394.41</v>
      </c>
      <c r="CU236" s="7">
        <f ca="1">IFERROR(__xludf.DUMMYFUNCTION("+CU209"),5526791.86)</f>
        <v>5526791.8600000003</v>
      </c>
      <c r="CV236" s="7">
        <f ca="1">IFERROR(__xludf.DUMMYFUNCTION("+CV209"),1174685.34)</f>
        <v>1174685.3400000001</v>
      </c>
      <c r="CW236" s="7">
        <f ca="1">IFERROR(__xludf.DUMMYFUNCTION("+CW209"),3740394.99)</f>
        <v>3740394.99</v>
      </c>
      <c r="CX236" s="7">
        <f ca="1">IFERROR(__xludf.DUMMYFUNCTION("+CX209"),6160390.47)</f>
        <v>6160390.4699999997</v>
      </c>
      <c r="CY236" s="7">
        <f ca="1">IFERROR(__xludf.DUMMYFUNCTION("+CY209"),1268197.65)</f>
        <v>1268197.6499999999</v>
      </c>
      <c r="CZ236" s="7">
        <f ca="1">IFERROR(__xludf.DUMMYFUNCTION("+CZ209"),21124739.66)</f>
        <v>21124739.66</v>
      </c>
      <c r="DA236" s="7">
        <f ca="1">IFERROR(__xludf.DUMMYFUNCTION("+DA209"),3768061.84)</f>
        <v>3768061.84</v>
      </c>
      <c r="DB236" s="7">
        <f ca="1">IFERROR(__xludf.DUMMYFUNCTION("+DB209"),4879970.99)</f>
        <v>4879970.99</v>
      </c>
      <c r="DC236" s="7">
        <f ca="1">IFERROR(__xludf.DUMMYFUNCTION("+DC209"),3731605.1)</f>
        <v>3731605.1</v>
      </c>
      <c r="DD236" s="7">
        <f ca="1">IFERROR(__xludf.DUMMYFUNCTION("+DD209"),3735137.3)</f>
        <v>3735137.3</v>
      </c>
      <c r="DE236" s="7">
        <f ca="1">IFERROR(__xludf.DUMMYFUNCTION("+DE209"),4529019.48)</f>
        <v>4529019.4800000004</v>
      </c>
      <c r="DF236" s="7">
        <f ca="1">IFERROR(__xludf.DUMMYFUNCTION("+DF209"),230016429.23)</f>
        <v>230016429.22999999</v>
      </c>
      <c r="DG236" s="7">
        <f ca="1">IFERROR(__xludf.DUMMYFUNCTION("+DG209"),2234535.13)</f>
        <v>2234535.13</v>
      </c>
      <c r="DH236" s="7">
        <f ca="1">IFERROR(__xludf.DUMMYFUNCTION("+DH209"),20746897.59)</f>
        <v>20746897.59</v>
      </c>
      <c r="DI236" s="7">
        <f ca="1">IFERROR(__xludf.DUMMYFUNCTION("+DI209"),27962122.11)</f>
        <v>27962122.109999999</v>
      </c>
      <c r="DJ236" s="7">
        <f ca="1">IFERROR(__xludf.DUMMYFUNCTION("+DJ209"),8139837.12)</f>
        <v>8139837.1200000001</v>
      </c>
      <c r="DK236" s="7">
        <f ca="1">IFERROR(__xludf.DUMMYFUNCTION("+DK209"),6404481.04)</f>
        <v>6404481.04</v>
      </c>
      <c r="DL236" s="7">
        <f ca="1">IFERROR(__xludf.DUMMYFUNCTION("+DL209"),67273741.51)</f>
        <v>67273741.510000005</v>
      </c>
      <c r="DM236" s="7">
        <f ca="1">IFERROR(__xludf.DUMMYFUNCTION("+DM209"),4465517.29)</f>
        <v>4465517.29</v>
      </c>
      <c r="DN236" s="7">
        <f ca="1">IFERROR(__xludf.DUMMYFUNCTION("+DN209"),16131691.48)</f>
        <v>16131691.48</v>
      </c>
      <c r="DO236" s="7">
        <f ca="1">IFERROR(__xludf.DUMMYFUNCTION("+DO209"),39148585.71)</f>
        <v>39148585.710000001</v>
      </c>
      <c r="DP236" s="7">
        <f ca="1">IFERROR(__xludf.DUMMYFUNCTION("+DP209"),3944329.92)</f>
        <v>3944329.92</v>
      </c>
      <c r="DQ236" s="7">
        <f ca="1">IFERROR(__xludf.DUMMYFUNCTION("+DQ209"),11206156.21)</f>
        <v>11206156.210000001</v>
      </c>
      <c r="DR236" s="7">
        <f ca="1">IFERROR(__xludf.DUMMYFUNCTION("+DR209"),16298866.67)</f>
        <v>16298866.67</v>
      </c>
      <c r="DS236" s="7">
        <f ca="1">IFERROR(__xludf.DUMMYFUNCTION("+DS209"),8168663.33)</f>
        <v>8168663.3300000001</v>
      </c>
      <c r="DT236" s="7">
        <f ca="1">IFERROR(__xludf.DUMMYFUNCTION("+DT209"),3719142.57)</f>
        <v>3719142.57</v>
      </c>
      <c r="DU236" s="7">
        <f ca="1">IFERROR(__xludf.DUMMYFUNCTION("+DU209"),5232054.13)</f>
        <v>5232054.13</v>
      </c>
      <c r="DV236" s="7">
        <f ca="1">IFERROR(__xludf.DUMMYFUNCTION("+DV209"),3859097.36)</f>
        <v>3859097.36</v>
      </c>
      <c r="DW236" s="7">
        <f ca="1">IFERROR(__xludf.DUMMYFUNCTION("+DW209"),4744760.09)</f>
        <v>4744760.09</v>
      </c>
      <c r="DX236" s="7">
        <f ca="1">IFERROR(__xludf.DUMMYFUNCTION("+DX209"),3840661.72)</f>
        <v>3840661.72</v>
      </c>
      <c r="DY236" s="7">
        <f ca="1">IFERROR(__xludf.DUMMYFUNCTION("+DY209"),5057136.27)</f>
        <v>5057136.2699999996</v>
      </c>
      <c r="DZ236" s="7">
        <f ca="1">IFERROR(__xludf.DUMMYFUNCTION("+DZ209"),9110888.59)</f>
        <v>9110888.5899999999</v>
      </c>
      <c r="EA236" s="7">
        <f ca="1">IFERROR(__xludf.DUMMYFUNCTION("+EA209"),7254323.72)</f>
        <v>7254323.7199999997</v>
      </c>
      <c r="EB236" s="7">
        <f ca="1">IFERROR(__xludf.DUMMYFUNCTION("+EB209"),7058255.53)</f>
        <v>7058255.5300000003</v>
      </c>
      <c r="EC236" s="7">
        <f ca="1">IFERROR(__xludf.DUMMYFUNCTION("+EC209"),4262123.83)</f>
        <v>4262123.83</v>
      </c>
      <c r="ED236" s="7">
        <f ca="1">IFERROR(__xludf.DUMMYFUNCTION("+ED209"),23670186.3)</f>
        <v>23670186.300000001</v>
      </c>
      <c r="EE236" s="7">
        <f ca="1">IFERROR(__xludf.DUMMYFUNCTION("+EE209"),3697798.33)</f>
        <v>3697798.33</v>
      </c>
      <c r="EF236" s="7">
        <f ca="1">IFERROR(__xludf.DUMMYFUNCTION("+EF209"),16437407.48)</f>
        <v>16437407.48</v>
      </c>
      <c r="EG236" s="7">
        <f ca="1">IFERROR(__xludf.DUMMYFUNCTION("+EG209"),4201462.91)</f>
        <v>4201462.91</v>
      </c>
      <c r="EH236" s="7">
        <f ca="1">IFERROR(__xludf.DUMMYFUNCTION("+EH209"),4139475.05)</f>
        <v>4139475.05</v>
      </c>
      <c r="EI236" s="7">
        <f ca="1">IFERROR(__xludf.DUMMYFUNCTION("+EI209"),165036105.41)</f>
        <v>165036105.41</v>
      </c>
      <c r="EJ236" s="7">
        <f ca="1">IFERROR(__xludf.DUMMYFUNCTION("+EJ209"),112321724.82)</f>
        <v>112321724.81999999</v>
      </c>
      <c r="EK236" s="7">
        <f ca="1">IFERROR(__xludf.DUMMYFUNCTION("+EK209"),8377510.43)</f>
        <v>8377510.4299999997</v>
      </c>
      <c r="EL236" s="7">
        <f ca="1">IFERROR(__xludf.DUMMYFUNCTION("+EL209"),5920711.12)</f>
        <v>5920711.1200000001</v>
      </c>
      <c r="EM236" s="7">
        <f ca="1">IFERROR(__xludf.DUMMYFUNCTION("+EM209"),5568998.7)</f>
        <v>5568998.7000000002</v>
      </c>
      <c r="EN236" s="7">
        <f ca="1">IFERROR(__xludf.DUMMYFUNCTION("+EN209"),11739524.15)</f>
        <v>11739524.15</v>
      </c>
      <c r="EO236" s="7">
        <f ca="1">IFERROR(__xludf.DUMMYFUNCTION("+EO209"),4697206.25)</f>
        <v>4697206.25</v>
      </c>
      <c r="EP236" s="7">
        <f ca="1">IFERROR(__xludf.DUMMYFUNCTION("+EP209"),6266634.35)</f>
        <v>6266634.3499999996</v>
      </c>
      <c r="EQ236" s="7">
        <f ca="1">IFERROR(__xludf.DUMMYFUNCTION("+EQ209"),30779418.77)</f>
        <v>30779418.77</v>
      </c>
      <c r="ER236" s="7">
        <f ca="1">IFERROR(__xludf.DUMMYFUNCTION("+ER209"),5098535.12)</f>
        <v>5098535.12</v>
      </c>
      <c r="ES236" s="7">
        <f ca="1">IFERROR(__xludf.DUMMYFUNCTION("+ES209"),3233873.99)</f>
        <v>3233873.99</v>
      </c>
      <c r="ET236" s="7">
        <f ca="1">IFERROR(__xludf.DUMMYFUNCTION("+ET209"),4323984.95)</f>
        <v>4323984.95</v>
      </c>
      <c r="EU236" s="7">
        <f ca="1">IFERROR(__xludf.DUMMYFUNCTION("+EU209"),7937465.63)</f>
        <v>7937465.6299999999</v>
      </c>
      <c r="EV236" s="7">
        <f ca="1">IFERROR(__xludf.DUMMYFUNCTION("+EV209"),1820825.07)</f>
        <v>1820825.07</v>
      </c>
      <c r="EW236" s="7">
        <f ca="1">IFERROR(__xludf.DUMMYFUNCTION("+EW209"),13213331.52)</f>
        <v>13213331.52</v>
      </c>
      <c r="EX236" s="7">
        <f ca="1">IFERROR(__xludf.DUMMYFUNCTION("+EX209"),3796255.38)</f>
        <v>3796255.38</v>
      </c>
      <c r="EY236" s="7">
        <f ca="1">IFERROR(__xludf.DUMMYFUNCTION("+EY209"),7789479.54)</f>
        <v>7789479.54</v>
      </c>
      <c r="EZ236" s="7">
        <f ca="1">IFERROR(__xludf.DUMMYFUNCTION("+EZ209"),2832075.44)</f>
        <v>2832075.44</v>
      </c>
      <c r="FA236" s="7">
        <f ca="1">IFERROR(__xludf.DUMMYFUNCTION("+FA209"),42371307.01)</f>
        <v>42371307.009999998</v>
      </c>
      <c r="FB236" s="7">
        <f ca="1">IFERROR(__xludf.DUMMYFUNCTION("+FB209"),4725642.22)</f>
        <v>4725642.22</v>
      </c>
      <c r="FC236" s="7">
        <f ca="1">IFERROR(__xludf.DUMMYFUNCTION("+FC209"),21034174.36)</f>
        <v>21034174.359999999</v>
      </c>
      <c r="FD236" s="7">
        <f ca="1">IFERROR(__xludf.DUMMYFUNCTION("+FD209"),5756293.11)</f>
        <v>5756293.1100000003</v>
      </c>
      <c r="FE236" s="7">
        <f ca="1">IFERROR(__xludf.DUMMYFUNCTION("+FE209"),1943548.82)</f>
        <v>1943548.82</v>
      </c>
      <c r="FF236" s="7">
        <f ca="1">IFERROR(__xludf.DUMMYFUNCTION("+FF209"),3626088.86)</f>
        <v>3626088.86</v>
      </c>
      <c r="FG236" s="7">
        <f ca="1">IFERROR(__xludf.DUMMYFUNCTION("+FG209"),2723830.37)</f>
        <v>2723830.37</v>
      </c>
      <c r="FH236" s="7">
        <f ca="1">IFERROR(__xludf.DUMMYFUNCTION("+FH209"),1733713.75)</f>
        <v>1733713.75</v>
      </c>
      <c r="FI236" s="7">
        <f ca="1">IFERROR(__xludf.DUMMYFUNCTION("+FI209"),20113339.56)</f>
        <v>20113339.559999999</v>
      </c>
      <c r="FJ236" s="7">
        <f ca="1">IFERROR(__xludf.DUMMYFUNCTION("+FJ209"),22788809.45)</f>
        <v>22788809.449999999</v>
      </c>
      <c r="FK236" s="7">
        <f ca="1">IFERROR(__xludf.DUMMYFUNCTION("+FK209"),29364064.73)</f>
        <v>29364064.73</v>
      </c>
      <c r="FL236" s="7">
        <f ca="1">IFERROR(__xludf.DUMMYFUNCTION("+FL209"),94205094.51)</f>
        <v>94205094.510000005</v>
      </c>
      <c r="FM236" s="7">
        <f ca="1">IFERROR(__xludf.DUMMYFUNCTION("+FM209"),44650077.3)</f>
        <v>44650077.299999997</v>
      </c>
      <c r="FN236" s="7">
        <f ca="1">IFERROR(__xludf.DUMMYFUNCTION("+FN209"),265890615.19)</f>
        <v>265890615.19</v>
      </c>
      <c r="FO236" s="7">
        <f ca="1">IFERROR(__xludf.DUMMYFUNCTION("+FO209"),13577166.73)</f>
        <v>13577166.73</v>
      </c>
      <c r="FP236" s="7">
        <f ca="1">IFERROR(__xludf.DUMMYFUNCTION("+FP209"),27744967.73)</f>
        <v>27744967.73</v>
      </c>
      <c r="FQ236" s="7">
        <f ca="1">IFERROR(__xludf.DUMMYFUNCTION("+FQ209"),12182410.7)</f>
        <v>12182410.699999999</v>
      </c>
      <c r="FR236" s="7">
        <f ca="1">IFERROR(__xludf.DUMMYFUNCTION("+FR209"),3435866.08)</f>
        <v>3435866.08</v>
      </c>
      <c r="FS236" s="7">
        <f ca="1">IFERROR(__xludf.DUMMYFUNCTION("+FS209"),3314210.28)</f>
        <v>3314210.28</v>
      </c>
      <c r="FT236" s="7">
        <f ca="1">IFERROR(__xludf.DUMMYFUNCTION("+FT209"),1501251.86)</f>
        <v>1501251.86</v>
      </c>
      <c r="FU236" s="7">
        <f ca="1">IFERROR(__xludf.DUMMYFUNCTION("+FU209"),10744488.05)</f>
        <v>10744488.050000001</v>
      </c>
      <c r="FV236" s="7">
        <f ca="1">IFERROR(__xludf.DUMMYFUNCTION("+FV209"),8988907.52)</f>
        <v>8988907.5199999996</v>
      </c>
      <c r="FW236" s="7">
        <f ca="1">IFERROR(__xludf.DUMMYFUNCTION("+FW209"),3182002.66)</f>
        <v>3182002.66</v>
      </c>
      <c r="FX236" s="7">
        <f ca="1">IFERROR(__xludf.DUMMYFUNCTION("+FX209"),1733886.38)</f>
        <v>1733886.38</v>
      </c>
      <c r="FY236" s="7"/>
      <c r="FZ236" s="7">
        <f t="shared" ref="FZ236:FZ237" ca="1" si="116">SUM(C236:FX236)</f>
        <v>9950043158.9799995</v>
      </c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</row>
    <row r="237" spans="1:193" ht="15.5" x14ac:dyDescent="0.35">
      <c r="A237" s="110" t="s">
        <v>1006</v>
      </c>
      <c r="B237" s="111" t="s">
        <v>979</v>
      </c>
      <c r="C237" s="7" t="e">
        <f t="shared" ref="C237:FX237" ca="1" si="117">MIN(C232,C236)</f>
        <v>#NAME?</v>
      </c>
      <c r="D237" s="7" t="e">
        <f t="shared" ca="1" si="117"/>
        <v>#NAME?</v>
      </c>
      <c r="E237" s="7" t="e">
        <f t="shared" ca="1" si="117"/>
        <v>#NAME?</v>
      </c>
      <c r="F237" s="7" t="e">
        <f t="shared" ca="1" si="117"/>
        <v>#NAME?</v>
      </c>
      <c r="G237" s="7" t="e">
        <f t="shared" ca="1" si="117"/>
        <v>#NAME?</v>
      </c>
      <c r="H237" s="7" t="e">
        <f t="shared" ca="1" si="117"/>
        <v>#NAME?</v>
      </c>
      <c r="I237" s="7" t="e">
        <f t="shared" ca="1" si="117"/>
        <v>#NAME?</v>
      </c>
      <c r="J237" s="7" t="e">
        <f t="shared" ca="1" si="117"/>
        <v>#NAME?</v>
      </c>
      <c r="K237" s="7" t="e">
        <f t="shared" ca="1" si="117"/>
        <v>#NAME?</v>
      </c>
      <c r="L237" s="7" t="e">
        <f t="shared" ca="1" si="117"/>
        <v>#NAME?</v>
      </c>
      <c r="M237" s="7" t="e">
        <f t="shared" ca="1" si="117"/>
        <v>#NAME?</v>
      </c>
      <c r="N237" s="7" t="e">
        <f t="shared" ca="1" si="117"/>
        <v>#NAME?</v>
      </c>
      <c r="O237" s="7" t="e">
        <f t="shared" ca="1" si="117"/>
        <v>#NAME?</v>
      </c>
      <c r="P237" s="7" t="e">
        <f t="shared" ca="1" si="117"/>
        <v>#NAME?</v>
      </c>
      <c r="Q237" s="7" t="e">
        <f t="shared" ca="1" si="117"/>
        <v>#NAME?</v>
      </c>
      <c r="R237" s="7" t="e">
        <f t="shared" ca="1" si="117"/>
        <v>#NAME?</v>
      </c>
      <c r="S237" s="7" t="e">
        <f t="shared" ca="1" si="117"/>
        <v>#NAME?</v>
      </c>
      <c r="T237" s="7" t="e">
        <f t="shared" ca="1" si="117"/>
        <v>#NAME?</v>
      </c>
      <c r="U237" s="7" t="e">
        <f t="shared" ca="1" si="117"/>
        <v>#NAME?</v>
      </c>
      <c r="V237" s="7" t="e">
        <f t="shared" ca="1" si="117"/>
        <v>#NAME?</v>
      </c>
      <c r="W237" s="7" t="e">
        <f t="shared" ca="1" si="117"/>
        <v>#NAME?</v>
      </c>
      <c r="X237" s="7" t="e">
        <f t="shared" ca="1" si="117"/>
        <v>#NAME?</v>
      </c>
      <c r="Y237" s="7" t="e">
        <f t="shared" ca="1" si="117"/>
        <v>#NAME?</v>
      </c>
      <c r="Z237" s="7" t="e">
        <f t="shared" ca="1" si="117"/>
        <v>#NAME?</v>
      </c>
      <c r="AA237" s="7" t="e">
        <f t="shared" ca="1" si="117"/>
        <v>#NAME?</v>
      </c>
      <c r="AB237" s="7" t="e">
        <f t="shared" ca="1" si="117"/>
        <v>#NAME?</v>
      </c>
      <c r="AC237" s="7" t="e">
        <f t="shared" ca="1" si="117"/>
        <v>#NAME?</v>
      </c>
      <c r="AD237" s="7" t="e">
        <f t="shared" ca="1" si="117"/>
        <v>#NAME?</v>
      </c>
      <c r="AE237" s="7" t="e">
        <f t="shared" ca="1" si="117"/>
        <v>#NAME?</v>
      </c>
      <c r="AF237" s="7" t="e">
        <f t="shared" ca="1" si="117"/>
        <v>#NAME?</v>
      </c>
      <c r="AG237" s="7" t="e">
        <f t="shared" ca="1" si="117"/>
        <v>#NAME?</v>
      </c>
      <c r="AH237" s="7" t="e">
        <f t="shared" ca="1" si="117"/>
        <v>#NAME?</v>
      </c>
      <c r="AI237" s="7" t="e">
        <f t="shared" ca="1" si="117"/>
        <v>#NAME?</v>
      </c>
      <c r="AJ237" s="7" t="e">
        <f t="shared" ca="1" si="117"/>
        <v>#NAME?</v>
      </c>
      <c r="AK237" s="7" t="e">
        <f t="shared" ca="1" si="117"/>
        <v>#NAME?</v>
      </c>
      <c r="AL237" s="7" t="e">
        <f t="shared" ca="1" si="117"/>
        <v>#NAME?</v>
      </c>
      <c r="AM237" s="7" t="e">
        <f t="shared" ca="1" si="117"/>
        <v>#NAME?</v>
      </c>
      <c r="AN237" s="7" t="e">
        <f t="shared" ca="1" si="117"/>
        <v>#NAME?</v>
      </c>
      <c r="AO237" s="7" t="e">
        <f t="shared" ca="1" si="117"/>
        <v>#NAME?</v>
      </c>
      <c r="AP237" s="7" t="e">
        <f t="shared" ca="1" si="117"/>
        <v>#NAME?</v>
      </c>
      <c r="AQ237" s="7" t="e">
        <f t="shared" ca="1" si="117"/>
        <v>#NAME?</v>
      </c>
      <c r="AR237" s="7" t="e">
        <f t="shared" ca="1" si="117"/>
        <v>#NAME?</v>
      </c>
      <c r="AS237" s="7" t="e">
        <f t="shared" ca="1" si="117"/>
        <v>#NAME?</v>
      </c>
      <c r="AT237" s="7" t="e">
        <f t="shared" ca="1" si="117"/>
        <v>#NAME?</v>
      </c>
      <c r="AU237" s="7" t="e">
        <f t="shared" ca="1" si="117"/>
        <v>#NAME?</v>
      </c>
      <c r="AV237" s="7" t="e">
        <f t="shared" ca="1" si="117"/>
        <v>#NAME?</v>
      </c>
      <c r="AW237" s="7" t="e">
        <f t="shared" ca="1" si="117"/>
        <v>#NAME?</v>
      </c>
      <c r="AX237" s="7" t="e">
        <f t="shared" ca="1" si="117"/>
        <v>#NAME?</v>
      </c>
      <c r="AY237" s="7" t="e">
        <f t="shared" ca="1" si="117"/>
        <v>#NAME?</v>
      </c>
      <c r="AZ237" s="7" t="e">
        <f t="shared" ca="1" si="117"/>
        <v>#NAME?</v>
      </c>
      <c r="BA237" s="7" t="e">
        <f t="shared" ca="1" si="117"/>
        <v>#NAME?</v>
      </c>
      <c r="BB237" s="7" t="e">
        <f t="shared" ca="1" si="117"/>
        <v>#NAME?</v>
      </c>
      <c r="BC237" s="7" t="e">
        <f t="shared" ca="1" si="117"/>
        <v>#NAME?</v>
      </c>
      <c r="BD237" s="7" t="e">
        <f t="shared" ca="1" si="117"/>
        <v>#NAME?</v>
      </c>
      <c r="BE237" s="7" t="e">
        <f t="shared" ca="1" si="117"/>
        <v>#NAME?</v>
      </c>
      <c r="BF237" s="7" t="e">
        <f t="shared" ca="1" si="117"/>
        <v>#NAME?</v>
      </c>
      <c r="BG237" s="7" t="e">
        <f t="shared" ca="1" si="117"/>
        <v>#NAME?</v>
      </c>
      <c r="BH237" s="7" t="e">
        <f t="shared" ca="1" si="117"/>
        <v>#NAME?</v>
      </c>
      <c r="BI237" s="7" t="e">
        <f t="shared" ca="1" si="117"/>
        <v>#NAME?</v>
      </c>
      <c r="BJ237" s="7" t="e">
        <f t="shared" ca="1" si="117"/>
        <v>#NAME?</v>
      </c>
      <c r="BK237" s="7" t="e">
        <f t="shared" ca="1" si="117"/>
        <v>#NAME?</v>
      </c>
      <c r="BL237" s="7" t="e">
        <f t="shared" ca="1" si="117"/>
        <v>#NAME?</v>
      </c>
      <c r="BM237" s="7" t="e">
        <f t="shared" ca="1" si="117"/>
        <v>#NAME?</v>
      </c>
      <c r="BN237" s="7" t="e">
        <f t="shared" ca="1" si="117"/>
        <v>#NAME?</v>
      </c>
      <c r="BO237" s="7" t="e">
        <f t="shared" ca="1" si="117"/>
        <v>#NAME?</v>
      </c>
      <c r="BP237" s="7" t="e">
        <f t="shared" ca="1" si="117"/>
        <v>#NAME?</v>
      </c>
      <c r="BQ237" s="7" t="e">
        <f t="shared" ca="1" si="117"/>
        <v>#NAME?</v>
      </c>
      <c r="BR237" s="7" t="e">
        <f t="shared" ca="1" si="117"/>
        <v>#NAME?</v>
      </c>
      <c r="BS237" s="7" t="e">
        <f t="shared" ca="1" si="117"/>
        <v>#NAME?</v>
      </c>
      <c r="BT237" s="7" t="e">
        <f t="shared" ca="1" si="117"/>
        <v>#NAME?</v>
      </c>
      <c r="BU237" s="7" t="e">
        <f t="shared" ca="1" si="117"/>
        <v>#NAME?</v>
      </c>
      <c r="BV237" s="7" t="e">
        <f t="shared" ca="1" si="117"/>
        <v>#NAME?</v>
      </c>
      <c r="BW237" s="7" t="e">
        <f t="shared" ca="1" si="117"/>
        <v>#NAME?</v>
      </c>
      <c r="BX237" s="7" t="e">
        <f t="shared" ca="1" si="117"/>
        <v>#NAME?</v>
      </c>
      <c r="BY237" s="7" t="e">
        <f t="shared" ca="1" si="117"/>
        <v>#NAME?</v>
      </c>
      <c r="BZ237" s="7" t="e">
        <f t="shared" ca="1" si="117"/>
        <v>#NAME?</v>
      </c>
      <c r="CA237" s="7" t="e">
        <f t="shared" ca="1" si="117"/>
        <v>#NAME?</v>
      </c>
      <c r="CB237" s="7" t="e">
        <f t="shared" ca="1" si="117"/>
        <v>#NAME?</v>
      </c>
      <c r="CC237" s="7" t="e">
        <f t="shared" ca="1" si="117"/>
        <v>#NAME?</v>
      </c>
      <c r="CD237" s="7" t="e">
        <f t="shared" ca="1" si="117"/>
        <v>#NAME?</v>
      </c>
      <c r="CE237" s="7" t="e">
        <f t="shared" ca="1" si="117"/>
        <v>#NAME?</v>
      </c>
      <c r="CF237" s="7" t="e">
        <f t="shared" ca="1" si="117"/>
        <v>#NAME?</v>
      </c>
      <c r="CG237" s="7" t="e">
        <f t="shared" ca="1" si="117"/>
        <v>#NAME?</v>
      </c>
      <c r="CH237" s="7" t="e">
        <f t="shared" ca="1" si="117"/>
        <v>#NAME?</v>
      </c>
      <c r="CI237" s="7" t="e">
        <f t="shared" ca="1" si="117"/>
        <v>#NAME?</v>
      </c>
      <c r="CJ237" s="7" t="e">
        <f t="shared" ca="1" si="117"/>
        <v>#NAME?</v>
      </c>
      <c r="CK237" s="7" t="e">
        <f t="shared" ca="1" si="117"/>
        <v>#NAME?</v>
      </c>
      <c r="CL237" s="7" t="e">
        <f t="shared" ca="1" si="117"/>
        <v>#NAME?</v>
      </c>
      <c r="CM237" s="7" t="e">
        <f t="shared" ca="1" si="117"/>
        <v>#NAME?</v>
      </c>
      <c r="CN237" s="7" t="e">
        <f t="shared" ca="1" si="117"/>
        <v>#NAME?</v>
      </c>
      <c r="CO237" s="7" t="e">
        <f t="shared" ca="1" si="117"/>
        <v>#NAME?</v>
      </c>
      <c r="CP237" s="7" t="e">
        <f t="shared" ca="1" si="117"/>
        <v>#NAME?</v>
      </c>
      <c r="CQ237" s="7" t="e">
        <f t="shared" ca="1" si="117"/>
        <v>#NAME?</v>
      </c>
      <c r="CR237" s="7" t="e">
        <f t="shared" ca="1" si="117"/>
        <v>#NAME?</v>
      </c>
      <c r="CS237" s="7" t="e">
        <f t="shared" ca="1" si="117"/>
        <v>#NAME?</v>
      </c>
      <c r="CT237" s="7" t="e">
        <f t="shared" ca="1" si="117"/>
        <v>#NAME?</v>
      </c>
      <c r="CU237" s="7" t="e">
        <f t="shared" ca="1" si="117"/>
        <v>#NAME?</v>
      </c>
      <c r="CV237" s="7" t="e">
        <f t="shared" ca="1" si="117"/>
        <v>#NAME?</v>
      </c>
      <c r="CW237" s="7" t="e">
        <f t="shared" ca="1" si="117"/>
        <v>#NAME?</v>
      </c>
      <c r="CX237" s="7" t="e">
        <f t="shared" ca="1" si="117"/>
        <v>#NAME?</v>
      </c>
      <c r="CY237" s="7" t="e">
        <f t="shared" ca="1" si="117"/>
        <v>#NAME?</v>
      </c>
      <c r="CZ237" s="7" t="e">
        <f t="shared" ca="1" si="117"/>
        <v>#NAME?</v>
      </c>
      <c r="DA237" s="7" t="e">
        <f t="shared" ca="1" si="117"/>
        <v>#NAME?</v>
      </c>
      <c r="DB237" s="7" t="e">
        <f t="shared" ca="1" si="117"/>
        <v>#NAME?</v>
      </c>
      <c r="DC237" s="7" t="e">
        <f t="shared" ca="1" si="117"/>
        <v>#NAME?</v>
      </c>
      <c r="DD237" s="7" t="e">
        <f t="shared" ca="1" si="117"/>
        <v>#NAME?</v>
      </c>
      <c r="DE237" s="7" t="e">
        <f t="shared" ca="1" si="117"/>
        <v>#NAME?</v>
      </c>
      <c r="DF237" s="7" t="e">
        <f t="shared" ca="1" si="117"/>
        <v>#NAME?</v>
      </c>
      <c r="DG237" s="7" t="e">
        <f t="shared" ca="1" si="117"/>
        <v>#NAME?</v>
      </c>
      <c r="DH237" s="7" t="e">
        <f t="shared" ca="1" si="117"/>
        <v>#NAME?</v>
      </c>
      <c r="DI237" s="7" t="e">
        <f t="shared" ca="1" si="117"/>
        <v>#NAME?</v>
      </c>
      <c r="DJ237" s="7" t="e">
        <f t="shared" ca="1" si="117"/>
        <v>#NAME?</v>
      </c>
      <c r="DK237" s="7" t="e">
        <f t="shared" ca="1" si="117"/>
        <v>#NAME?</v>
      </c>
      <c r="DL237" s="7" t="e">
        <f t="shared" ca="1" si="117"/>
        <v>#NAME?</v>
      </c>
      <c r="DM237" s="7" t="e">
        <f t="shared" ca="1" si="117"/>
        <v>#NAME?</v>
      </c>
      <c r="DN237" s="7" t="e">
        <f t="shared" ca="1" si="117"/>
        <v>#NAME?</v>
      </c>
      <c r="DO237" s="7" t="e">
        <f t="shared" ca="1" si="117"/>
        <v>#NAME?</v>
      </c>
      <c r="DP237" s="7" t="e">
        <f t="shared" ca="1" si="117"/>
        <v>#NAME?</v>
      </c>
      <c r="DQ237" s="7" t="e">
        <f t="shared" ca="1" si="117"/>
        <v>#NAME?</v>
      </c>
      <c r="DR237" s="7" t="e">
        <f t="shared" ca="1" si="117"/>
        <v>#NAME?</v>
      </c>
      <c r="DS237" s="7" t="e">
        <f t="shared" ca="1" si="117"/>
        <v>#NAME?</v>
      </c>
      <c r="DT237" s="7" t="e">
        <f t="shared" ca="1" si="117"/>
        <v>#NAME?</v>
      </c>
      <c r="DU237" s="7" t="e">
        <f t="shared" ca="1" si="117"/>
        <v>#NAME?</v>
      </c>
      <c r="DV237" s="7" t="e">
        <f t="shared" ca="1" si="117"/>
        <v>#NAME?</v>
      </c>
      <c r="DW237" s="7" t="e">
        <f t="shared" ca="1" si="117"/>
        <v>#NAME?</v>
      </c>
      <c r="DX237" s="7" t="e">
        <f t="shared" ca="1" si="117"/>
        <v>#NAME?</v>
      </c>
      <c r="DY237" s="7" t="e">
        <f t="shared" ca="1" si="117"/>
        <v>#NAME?</v>
      </c>
      <c r="DZ237" s="7" t="e">
        <f t="shared" ca="1" si="117"/>
        <v>#NAME?</v>
      </c>
      <c r="EA237" s="7" t="e">
        <f t="shared" ca="1" si="117"/>
        <v>#NAME?</v>
      </c>
      <c r="EB237" s="7" t="e">
        <f t="shared" ca="1" si="117"/>
        <v>#NAME?</v>
      </c>
      <c r="EC237" s="7" t="e">
        <f t="shared" ca="1" si="117"/>
        <v>#NAME?</v>
      </c>
      <c r="ED237" s="7" t="e">
        <f t="shared" ca="1" si="117"/>
        <v>#NAME?</v>
      </c>
      <c r="EE237" s="7" t="e">
        <f t="shared" ca="1" si="117"/>
        <v>#NAME?</v>
      </c>
      <c r="EF237" s="7" t="e">
        <f t="shared" ca="1" si="117"/>
        <v>#NAME?</v>
      </c>
      <c r="EG237" s="7" t="e">
        <f t="shared" ca="1" si="117"/>
        <v>#NAME?</v>
      </c>
      <c r="EH237" s="7" t="e">
        <f t="shared" ca="1" si="117"/>
        <v>#NAME?</v>
      </c>
      <c r="EI237" s="7" t="e">
        <f t="shared" ca="1" si="117"/>
        <v>#NAME?</v>
      </c>
      <c r="EJ237" s="7" t="e">
        <f t="shared" ca="1" si="117"/>
        <v>#NAME?</v>
      </c>
      <c r="EK237" s="7" t="e">
        <f t="shared" ca="1" si="117"/>
        <v>#NAME?</v>
      </c>
      <c r="EL237" s="7" t="e">
        <f t="shared" ca="1" si="117"/>
        <v>#NAME?</v>
      </c>
      <c r="EM237" s="7" t="e">
        <f t="shared" ca="1" si="117"/>
        <v>#NAME?</v>
      </c>
      <c r="EN237" s="7" t="e">
        <f t="shared" ca="1" si="117"/>
        <v>#NAME?</v>
      </c>
      <c r="EO237" s="7" t="e">
        <f t="shared" ca="1" si="117"/>
        <v>#NAME?</v>
      </c>
      <c r="EP237" s="7" t="e">
        <f t="shared" ca="1" si="117"/>
        <v>#NAME?</v>
      </c>
      <c r="EQ237" s="7" t="e">
        <f t="shared" ca="1" si="117"/>
        <v>#NAME?</v>
      </c>
      <c r="ER237" s="7" t="e">
        <f t="shared" ca="1" si="117"/>
        <v>#NAME?</v>
      </c>
      <c r="ES237" s="7" t="e">
        <f t="shared" ca="1" si="117"/>
        <v>#NAME?</v>
      </c>
      <c r="ET237" s="7" t="e">
        <f t="shared" ca="1" si="117"/>
        <v>#NAME?</v>
      </c>
      <c r="EU237" s="7" t="e">
        <f t="shared" ca="1" si="117"/>
        <v>#NAME?</v>
      </c>
      <c r="EV237" s="7" t="e">
        <f t="shared" ca="1" si="117"/>
        <v>#NAME?</v>
      </c>
      <c r="EW237" s="7" t="e">
        <f t="shared" ca="1" si="117"/>
        <v>#NAME?</v>
      </c>
      <c r="EX237" s="7" t="e">
        <f t="shared" ca="1" si="117"/>
        <v>#NAME?</v>
      </c>
      <c r="EY237" s="7" t="e">
        <f t="shared" ca="1" si="117"/>
        <v>#NAME?</v>
      </c>
      <c r="EZ237" s="7" t="e">
        <f t="shared" ca="1" si="117"/>
        <v>#NAME?</v>
      </c>
      <c r="FA237" s="7" t="e">
        <f t="shared" ca="1" si="117"/>
        <v>#NAME?</v>
      </c>
      <c r="FB237" s="7" t="e">
        <f t="shared" ca="1" si="117"/>
        <v>#NAME?</v>
      </c>
      <c r="FC237" s="7" t="e">
        <f t="shared" ca="1" si="117"/>
        <v>#NAME?</v>
      </c>
      <c r="FD237" s="7" t="e">
        <f t="shared" ca="1" si="117"/>
        <v>#NAME?</v>
      </c>
      <c r="FE237" s="7" t="e">
        <f t="shared" ca="1" si="117"/>
        <v>#NAME?</v>
      </c>
      <c r="FF237" s="7" t="e">
        <f t="shared" ca="1" si="117"/>
        <v>#NAME?</v>
      </c>
      <c r="FG237" s="7" t="e">
        <f t="shared" ca="1" si="117"/>
        <v>#NAME?</v>
      </c>
      <c r="FH237" s="7" t="e">
        <f t="shared" ca="1" si="117"/>
        <v>#NAME?</v>
      </c>
      <c r="FI237" s="7" t="e">
        <f t="shared" ca="1" si="117"/>
        <v>#NAME?</v>
      </c>
      <c r="FJ237" s="7" t="e">
        <f t="shared" ca="1" si="117"/>
        <v>#NAME?</v>
      </c>
      <c r="FK237" s="7" t="e">
        <f t="shared" ca="1" si="117"/>
        <v>#NAME?</v>
      </c>
      <c r="FL237" s="7" t="e">
        <f t="shared" ca="1" si="117"/>
        <v>#NAME?</v>
      </c>
      <c r="FM237" s="7" t="e">
        <f t="shared" ca="1" si="117"/>
        <v>#NAME?</v>
      </c>
      <c r="FN237" s="7" t="e">
        <f t="shared" ca="1" si="117"/>
        <v>#NAME?</v>
      </c>
      <c r="FO237" s="7" t="e">
        <f t="shared" ca="1" si="117"/>
        <v>#NAME?</v>
      </c>
      <c r="FP237" s="7" t="e">
        <f t="shared" ca="1" si="117"/>
        <v>#NAME?</v>
      </c>
      <c r="FQ237" s="7" t="e">
        <f t="shared" ca="1" si="117"/>
        <v>#NAME?</v>
      </c>
      <c r="FR237" s="7" t="e">
        <f t="shared" ca="1" si="117"/>
        <v>#NAME?</v>
      </c>
      <c r="FS237" s="7" t="e">
        <f t="shared" ca="1" si="117"/>
        <v>#NAME?</v>
      </c>
      <c r="FT237" s="7" t="e">
        <f t="shared" ca="1" si="117"/>
        <v>#NAME?</v>
      </c>
      <c r="FU237" s="7" t="e">
        <f t="shared" ca="1" si="117"/>
        <v>#NAME?</v>
      </c>
      <c r="FV237" s="7" t="e">
        <f t="shared" ca="1" si="117"/>
        <v>#NAME?</v>
      </c>
      <c r="FW237" s="7" t="e">
        <f t="shared" ca="1" si="117"/>
        <v>#NAME?</v>
      </c>
      <c r="FX237" s="7" t="e">
        <f t="shared" ca="1" si="117"/>
        <v>#NAME?</v>
      </c>
      <c r="FY237" s="7"/>
      <c r="FZ237" s="7" t="e">
        <f t="shared" ca="1" si="116"/>
        <v>#NAME?</v>
      </c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</row>
    <row r="238" spans="1:193" ht="15.5" x14ac:dyDescent="0.35">
      <c r="A238" s="7"/>
      <c r="B238" s="7" t="s">
        <v>1007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</row>
    <row r="239" spans="1:193" ht="15.5" x14ac:dyDescent="0.35">
      <c r="A239" s="12" t="s">
        <v>1008</v>
      </c>
      <c r="B239" s="7" t="s">
        <v>1009</v>
      </c>
      <c r="C239" s="7" t="e">
        <f t="shared" ref="C239:FX239" ca="1" si="118">ROUND(C237/C103,2)</f>
        <v>#NAME?</v>
      </c>
      <c r="D239" s="7" t="e">
        <f t="shared" ca="1" si="118"/>
        <v>#NAME?</v>
      </c>
      <c r="E239" s="7" t="e">
        <f t="shared" ca="1" si="118"/>
        <v>#NAME?</v>
      </c>
      <c r="F239" s="7" t="e">
        <f t="shared" ca="1" si="118"/>
        <v>#NAME?</v>
      </c>
      <c r="G239" s="7" t="e">
        <f t="shared" ca="1" si="118"/>
        <v>#NAME?</v>
      </c>
      <c r="H239" s="7" t="e">
        <f t="shared" ca="1" si="118"/>
        <v>#NAME?</v>
      </c>
      <c r="I239" s="7" t="e">
        <f t="shared" ca="1" si="118"/>
        <v>#NAME?</v>
      </c>
      <c r="J239" s="7" t="e">
        <f t="shared" ca="1" si="118"/>
        <v>#NAME?</v>
      </c>
      <c r="K239" s="7" t="e">
        <f t="shared" ca="1" si="118"/>
        <v>#NAME?</v>
      </c>
      <c r="L239" s="7" t="e">
        <f t="shared" ca="1" si="118"/>
        <v>#NAME?</v>
      </c>
      <c r="M239" s="7" t="e">
        <f t="shared" ca="1" si="118"/>
        <v>#NAME?</v>
      </c>
      <c r="N239" s="7" t="e">
        <f t="shared" ca="1" si="118"/>
        <v>#NAME?</v>
      </c>
      <c r="O239" s="7" t="e">
        <f t="shared" ca="1" si="118"/>
        <v>#NAME?</v>
      </c>
      <c r="P239" s="7" t="e">
        <f t="shared" ca="1" si="118"/>
        <v>#NAME?</v>
      </c>
      <c r="Q239" s="7" t="e">
        <f t="shared" ca="1" si="118"/>
        <v>#NAME?</v>
      </c>
      <c r="R239" s="7" t="e">
        <f t="shared" ca="1" si="118"/>
        <v>#NAME?</v>
      </c>
      <c r="S239" s="7" t="e">
        <f t="shared" ca="1" si="118"/>
        <v>#NAME?</v>
      </c>
      <c r="T239" s="7" t="e">
        <f t="shared" ca="1" si="118"/>
        <v>#NAME?</v>
      </c>
      <c r="U239" s="7" t="e">
        <f t="shared" ca="1" si="118"/>
        <v>#NAME?</v>
      </c>
      <c r="V239" s="7" t="e">
        <f t="shared" ca="1" si="118"/>
        <v>#NAME?</v>
      </c>
      <c r="W239" s="7" t="e">
        <f t="shared" ca="1" si="118"/>
        <v>#NAME?</v>
      </c>
      <c r="X239" s="7" t="e">
        <f t="shared" ca="1" si="118"/>
        <v>#NAME?</v>
      </c>
      <c r="Y239" s="7" t="e">
        <f t="shared" ca="1" si="118"/>
        <v>#NAME?</v>
      </c>
      <c r="Z239" s="7" t="e">
        <f t="shared" ca="1" si="118"/>
        <v>#NAME?</v>
      </c>
      <c r="AA239" s="7" t="e">
        <f t="shared" ca="1" si="118"/>
        <v>#NAME?</v>
      </c>
      <c r="AB239" s="7" t="e">
        <f t="shared" ca="1" si="118"/>
        <v>#NAME?</v>
      </c>
      <c r="AC239" s="7" t="e">
        <f t="shared" ca="1" si="118"/>
        <v>#NAME?</v>
      </c>
      <c r="AD239" s="7" t="e">
        <f t="shared" ca="1" si="118"/>
        <v>#NAME?</v>
      </c>
      <c r="AE239" s="7" t="e">
        <f t="shared" ca="1" si="118"/>
        <v>#NAME?</v>
      </c>
      <c r="AF239" s="7" t="e">
        <f t="shared" ca="1" si="118"/>
        <v>#NAME?</v>
      </c>
      <c r="AG239" s="7" t="e">
        <f t="shared" ca="1" si="118"/>
        <v>#NAME?</v>
      </c>
      <c r="AH239" s="7" t="e">
        <f t="shared" ca="1" si="118"/>
        <v>#NAME?</v>
      </c>
      <c r="AI239" s="7" t="e">
        <f t="shared" ca="1" si="118"/>
        <v>#NAME?</v>
      </c>
      <c r="AJ239" s="7" t="e">
        <f t="shared" ca="1" si="118"/>
        <v>#NAME?</v>
      </c>
      <c r="AK239" s="7" t="e">
        <f t="shared" ca="1" si="118"/>
        <v>#NAME?</v>
      </c>
      <c r="AL239" s="7" t="e">
        <f t="shared" ca="1" si="118"/>
        <v>#NAME?</v>
      </c>
      <c r="AM239" s="7" t="e">
        <f t="shared" ca="1" si="118"/>
        <v>#NAME?</v>
      </c>
      <c r="AN239" s="7" t="e">
        <f t="shared" ca="1" si="118"/>
        <v>#NAME?</v>
      </c>
      <c r="AO239" s="7" t="e">
        <f t="shared" ca="1" si="118"/>
        <v>#NAME?</v>
      </c>
      <c r="AP239" s="7" t="e">
        <f t="shared" ca="1" si="118"/>
        <v>#NAME?</v>
      </c>
      <c r="AQ239" s="7" t="e">
        <f t="shared" ca="1" si="118"/>
        <v>#NAME?</v>
      </c>
      <c r="AR239" s="7" t="e">
        <f t="shared" ca="1" si="118"/>
        <v>#NAME?</v>
      </c>
      <c r="AS239" s="7" t="e">
        <f t="shared" ca="1" si="118"/>
        <v>#NAME?</v>
      </c>
      <c r="AT239" s="7" t="e">
        <f t="shared" ca="1" si="118"/>
        <v>#NAME?</v>
      </c>
      <c r="AU239" s="7" t="e">
        <f t="shared" ca="1" si="118"/>
        <v>#NAME?</v>
      </c>
      <c r="AV239" s="7" t="e">
        <f t="shared" ca="1" si="118"/>
        <v>#NAME?</v>
      </c>
      <c r="AW239" s="7" t="e">
        <f t="shared" ca="1" si="118"/>
        <v>#NAME?</v>
      </c>
      <c r="AX239" s="7" t="e">
        <f t="shared" ca="1" si="118"/>
        <v>#NAME?</v>
      </c>
      <c r="AY239" s="7" t="e">
        <f t="shared" ca="1" si="118"/>
        <v>#NAME?</v>
      </c>
      <c r="AZ239" s="7" t="e">
        <f t="shared" ca="1" si="118"/>
        <v>#NAME?</v>
      </c>
      <c r="BA239" s="7" t="e">
        <f t="shared" ca="1" si="118"/>
        <v>#NAME?</v>
      </c>
      <c r="BB239" s="7" t="e">
        <f t="shared" ca="1" si="118"/>
        <v>#NAME?</v>
      </c>
      <c r="BC239" s="7" t="e">
        <f t="shared" ca="1" si="118"/>
        <v>#NAME?</v>
      </c>
      <c r="BD239" s="7" t="e">
        <f t="shared" ca="1" si="118"/>
        <v>#NAME?</v>
      </c>
      <c r="BE239" s="7" t="e">
        <f t="shared" ca="1" si="118"/>
        <v>#NAME?</v>
      </c>
      <c r="BF239" s="7" t="e">
        <f t="shared" ca="1" si="118"/>
        <v>#NAME?</v>
      </c>
      <c r="BG239" s="7" t="e">
        <f t="shared" ca="1" si="118"/>
        <v>#NAME?</v>
      </c>
      <c r="BH239" s="7" t="e">
        <f t="shared" ca="1" si="118"/>
        <v>#NAME?</v>
      </c>
      <c r="BI239" s="7" t="e">
        <f t="shared" ca="1" si="118"/>
        <v>#NAME?</v>
      </c>
      <c r="BJ239" s="7" t="e">
        <f t="shared" ca="1" si="118"/>
        <v>#NAME?</v>
      </c>
      <c r="BK239" s="7" t="e">
        <f t="shared" ca="1" si="118"/>
        <v>#NAME?</v>
      </c>
      <c r="BL239" s="7" t="e">
        <f t="shared" ca="1" si="118"/>
        <v>#NAME?</v>
      </c>
      <c r="BM239" s="7" t="e">
        <f t="shared" ca="1" si="118"/>
        <v>#NAME?</v>
      </c>
      <c r="BN239" s="7" t="e">
        <f t="shared" ca="1" si="118"/>
        <v>#NAME?</v>
      </c>
      <c r="BO239" s="7" t="e">
        <f t="shared" ca="1" si="118"/>
        <v>#NAME?</v>
      </c>
      <c r="BP239" s="7" t="e">
        <f t="shared" ca="1" si="118"/>
        <v>#NAME?</v>
      </c>
      <c r="BQ239" s="7" t="e">
        <f t="shared" ca="1" si="118"/>
        <v>#NAME?</v>
      </c>
      <c r="BR239" s="7" t="e">
        <f t="shared" ca="1" si="118"/>
        <v>#NAME?</v>
      </c>
      <c r="BS239" s="7" t="e">
        <f t="shared" ca="1" si="118"/>
        <v>#NAME?</v>
      </c>
      <c r="BT239" s="7" t="e">
        <f t="shared" ca="1" si="118"/>
        <v>#NAME?</v>
      </c>
      <c r="BU239" s="7" t="e">
        <f t="shared" ca="1" si="118"/>
        <v>#NAME?</v>
      </c>
      <c r="BV239" s="7" t="e">
        <f t="shared" ca="1" si="118"/>
        <v>#NAME?</v>
      </c>
      <c r="BW239" s="7" t="e">
        <f t="shared" ca="1" si="118"/>
        <v>#NAME?</v>
      </c>
      <c r="BX239" s="7" t="e">
        <f t="shared" ca="1" si="118"/>
        <v>#NAME?</v>
      </c>
      <c r="BY239" s="7" t="e">
        <f t="shared" ca="1" si="118"/>
        <v>#NAME?</v>
      </c>
      <c r="BZ239" s="7" t="e">
        <f t="shared" ca="1" si="118"/>
        <v>#NAME?</v>
      </c>
      <c r="CA239" s="7" t="e">
        <f t="shared" ca="1" si="118"/>
        <v>#NAME?</v>
      </c>
      <c r="CB239" s="7" t="e">
        <f t="shared" ca="1" si="118"/>
        <v>#NAME?</v>
      </c>
      <c r="CC239" s="7" t="e">
        <f t="shared" ca="1" si="118"/>
        <v>#NAME?</v>
      </c>
      <c r="CD239" s="7" t="e">
        <f t="shared" ca="1" si="118"/>
        <v>#NAME?</v>
      </c>
      <c r="CE239" s="7" t="e">
        <f t="shared" ca="1" si="118"/>
        <v>#NAME?</v>
      </c>
      <c r="CF239" s="7" t="e">
        <f t="shared" ca="1" si="118"/>
        <v>#NAME?</v>
      </c>
      <c r="CG239" s="7" t="e">
        <f t="shared" ca="1" si="118"/>
        <v>#NAME?</v>
      </c>
      <c r="CH239" s="7" t="e">
        <f t="shared" ca="1" si="118"/>
        <v>#NAME?</v>
      </c>
      <c r="CI239" s="7" t="e">
        <f t="shared" ca="1" si="118"/>
        <v>#NAME?</v>
      </c>
      <c r="CJ239" s="7" t="e">
        <f t="shared" ca="1" si="118"/>
        <v>#NAME?</v>
      </c>
      <c r="CK239" s="7" t="e">
        <f t="shared" ca="1" si="118"/>
        <v>#NAME?</v>
      </c>
      <c r="CL239" s="7" t="e">
        <f t="shared" ca="1" si="118"/>
        <v>#NAME?</v>
      </c>
      <c r="CM239" s="7" t="e">
        <f t="shared" ca="1" si="118"/>
        <v>#NAME?</v>
      </c>
      <c r="CN239" s="7" t="e">
        <f t="shared" ca="1" si="118"/>
        <v>#NAME?</v>
      </c>
      <c r="CO239" s="7" t="e">
        <f t="shared" ca="1" si="118"/>
        <v>#NAME?</v>
      </c>
      <c r="CP239" s="7" t="e">
        <f t="shared" ca="1" si="118"/>
        <v>#NAME?</v>
      </c>
      <c r="CQ239" s="7" t="e">
        <f t="shared" ca="1" si="118"/>
        <v>#NAME?</v>
      </c>
      <c r="CR239" s="7" t="e">
        <f t="shared" ca="1" si="118"/>
        <v>#NAME?</v>
      </c>
      <c r="CS239" s="7" t="e">
        <f t="shared" ca="1" si="118"/>
        <v>#NAME?</v>
      </c>
      <c r="CT239" s="7" t="e">
        <f t="shared" ca="1" si="118"/>
        <v>#NAME?</v>
      </c>
      <c r="CU239" s="7" t="e">
        <f t="shared" ca="1" si="118"/>
        <v>#NAME?</v>
      </c>
      <c r="CV239" s="7" t="e">
        <f t="shared" ca="1" si="118"/>
        <v>#NAME?</v>
      </c>
      <c r="CW239" s="7" t="e">
        <f t="shared" ca="1" si="118"/>
        <v>#NAME?</v>
      </c>
      <c r="CX239" s="7" t="e">
        <f t="shared" ca="1" si="118"/>
        <v>#NAME?</v>
      </c>
      <c r="CY239" s="7" t="e">
        <f t="shared" ca="1" si="118"/>
        <v>#NAME?</v>
      </c>
      <c r="CZ239" s="7" t="e">
        <f t="shared" ca="1" si="118"/>
        <v>#NAME?</v>
      </c>
      <c r="DA239" s="7" t="e">
        <f t="shared" ca="1" si="118"/>
        <v>#NAME?</v>
      </c>
      <c r="DB239" s="7" t="e">
        <f t="shared" ca="1" si="118"/>
        <v>#NAME?</v>
      </c>
      <c r="DC239" s="7" t="e">
        <f t="shared" ca="1" si="118"/>
        <v>#NAME?</v>
      </c>
      <c r="DD239" s="7" t="e">
        <f t="shared" ca="1" si="118"/>
        <v>#NAME?</v>
      </c>
      <c r="DE239" s="7" t="e">
        <f t="shared" ca="1" si="118"/>
        <v>#NAME?</v>
      </c>
      <c r="DF239" s="7" t="e">
        <f t="shared" ca="1" si="118"/>
        <v>#NAME?</v>
      </c>
      <c r="DG239" s="7" t="e">
        <f t="shared" ca="1" si="118"/>
        <v>#NAME?</v>
      </c>
      <c r="DH239" s="7" t="e">
        <f t="shared" ca="1" si="118"/>
        <v>#NAME?</v>
      </c>
      <c r="DI239" s="7" t="e">
        <f t="shared" ca="1" si="118"/>
        <v>#NAME?</v>
      </c>
      <c r="DJ239" s="7" t="e">
        <f t="shared" ca="1" si="118"/>
        <v>#NAME?</v>
      </c>
      <c r="DK239" s="7" t="e">
        <f t="shared" ca="1" si="118"/>
        <v>#NAME?</v>
      </c>
      <c r="DL239" s="7" t="e">
        <f t="shared" ca="1" si="118"/>
        <v>#NAME?</v>
      </c>
      <c r="DM239" s="7" t="e">
        <f t="shared" ca="1" si="118"/>
        <v>#NAME?</v>
      </c>
      <c r="DN239" s="7" t="e">
        <f t="shared" ca="1" si="118"/>
        <v>#NAME?</v>
      </c>
      <c r="DO239" s="7" t="e">
        <f t="shared" ca="1" si="118"/>
        <v>#NAME?</v>
      </c>
      <c r="DP239" s="7" t="e">
        <f t="shared" ca="1" si="118"/>
        <v>#NAME?</v>
      </c>
      <c r="DQ239" s="7" t="e">
        <f t="shared" ca="1" si="118"/>
        <v>#NAME?</v>
      </c>
      <c r="DR239" s="7" t="e">
        <f t="shared" ca="1" si="118"/>
        <v>#NAME?</v>
      </c>
      <c r="DS239" s="7" t="e">
        <f t="shared" ca="1" si="118"/>
        <v>#NAME?</v>
      </c>
      <c r="DT239" s="7" t="e">
        <f t="shared" ca="1" si="118"/>
        <v>#NAME?</v>
      </c>
      <c r="DU239" s="7" t="e">
        <f t="shared" ca="1" si="118"/>
        <v>#NAME?</v>
      </c>
      <c r="DV239" s="7" t="e">
        <f t="shared" ca="1" si="118"/>
        <v>#NAME?</v>
      </c>
      <c r="DW239" s="7" t="e">
        <f t="shared" ca="1" si="118"/>
        <v>#NAME?</v>
      </c>
      <c r="DX239" s="7" t="e">
        <f t="shared" ca="1" si="118"/>
        <v>#NAME?</v>
      </c>
      <c r="DY239" s="7" t="e">
        <f t="shared" ca="1" si="118"/>
        <v>#NAME?</v>
      </c>
      <c r="DZ239" s="7" t="e">
        <f t="shared" ca="1" si="118"/>
        <v>#NAME?</v>
      </c>
      <c r="EA239" s="7" t="e">
        <f t="shared" ca="1" si="118"/>
        <v>#NAME?</v>
      </c>
      <c r="EB239" s="7" t="e">
        <f t="shared" ca="1" si="118"/>
        <v>#NAME?</v>
      </c>
      <c r="EC239" s="7" t="e">
        <f t="shared" ca="1" si="118"/>
        <v>#NAME?</v>
      </c>
      <c r="ED239" s="7" t="e">
        <f t="shared" ca="1" si="118"/>
        <v>#NAME?</v>
      </c>
      <c r="EE239" s="7" t="e">
        <f t="shared" ca="1" si="118"/>
        <v>#NAME?</v>
      </c>
      <c r="EF239" s="7" t="e">
        <f t="shared" ca="1" si="118"/>
        <v>#NAME?</v>
      </c>
      <c r="EG239" s="7" t="e">
        <f t="shared" ca="1" si="118"/>
        <v>#NAME?</v>
      </c>
      <c r="EH239" s="7" t="e">
        <f t="shared" ca="1" si="118"/>
        <v>#NAME?</v>
      </c>
      <c r="EI239" s="7" t="e">
        <f t="shared" ca="1" si="118"/>
        <v>#NAME?</v>
      </c>
      <c r="EJ239" s="7" t="e">
        <f t="shared" ca="1" si="118"/>
        <v>#NAME?</v>
      </c>
      <c r="EK239" s="7" t="e">
        <f t="shared" ca="1" si="118"/>
        <v>#NAME?</v>
      </c>
      <c r="EL239" s="7" t="e">
        <f t="shared" ca="1" si="118"/>
        <v>#NAME?</v>
      </c>
      <c r="EM239" s="7" t="e">
        <f t="shared" ca="1" si="118"/>
        <v>#NAME?</v>
      </c>
      <c r="EN239" s="7" t="e">
        <f t="shared" ca="1" si="118"/>
        <v>#NAME?</v>
      </c>
      <c r="EO239" s="7" t="e">
        <f t="shared" ca="1" si="118"/>
        <v>#NAME?</v>
      </c>
      <c r="EP239" s="7" t="e">
        <f t="shared" ca="1" si="118"/>
        <v>#NAME?</v>
      </c>
      <c r="EQ239" s="7" t="e">
        <f t="shared" ca="1" si="118"/>
        <v>#NAME?</v>
      </c>
      <c r="ER239" s="7" t="e">
        <f t="shared" ca="1" si="118"/>
        <v>#NAME?</v>
      </c>
      <c r="ES239" s="7" t="e">
        <f t="shared" ca="1" si="118"/>
        <v>#NAME?</v>
      </c>
      <c r="ET239" s="7" t="e">
        <f t="shared" ca="1" si="118"/>
        <v>#NAME?</v>
      </c>
      <c r="EU239" s="7" t="e">
        <f t="shared" ca="1" si="118"/>
        <v>#NAME?</v>
      </c>
      <c r="EV239" s="7" t="e">
        <f t="shared" ca="1" si="118"/>
        <v>#NAME?</v>
      </c>
      <c r="EW239" s="7" t="e">
        <f t="shared" ca="1" si="118"/>
        <v>#NAME?</v>
      </c>
      <c r="EX239" s="7" t="e">
        <f t="shared" ca="1" si="118"/>
        <v>#NAME?</v>
      </c>
      <c r="EY239" s="7" t="e">
        <f t="shared" ca="1" si="118"/>
        <v>#NAME?</v>
      </c>
      <c r="EZ239" s="7" t="e">
        <f t="shared" ca="1" si="118"/>
        <v>#NAME?</v>
      </c>
      <c r="FA239" s="7" t="e">
        <f t="shared" ca="1" si="118"/>
        <v>#NAME?</v>
      </c>
      <c r="FB239" s="7" t="e">
        <f t="shared" ca="1" si="118"/>
        <v>#NAME?</v>
      </c>
      <c r="FC239" s="7" t="e">
        <f t="shared" ca="1" si="118"/>
        <v>#NAME?</v>
      </c>
      <c r="FD239" s="7" t="e">
        <f t="shared" ca="1" si="118"/>
        <v>#NAME?</v>
      </c>
      <c r="FE239" s="7" t="e">
        <f t="shared" ca="1" si="118"/>
        <v>#NAME?</v>
      </c>
      <c r="FF239" s="7" t="e">
        <f t="shared" ca="1" si="118"/>
        <v>#NAME?</v>
      </c>
      <c r="FG239" s="7" t="e">
        <f t="shared" ca="1" si="118"/>
        <v>#NAME?</v>
      </c>
      <c r="FH239" s="7" t="e">
        <f t="shared" ca="1" si="118"/>
        <v>#NAME?</v>
      </c>
      <c r="FI239" s="7" t="e">
        <f t="shared" ca="1" si="118"/>
        <v>#NAME?</v>
      </c>
      <c r="FJ239" s="7" t="e">
        <f t="shared" ca="1" si="118"/>
        <v>#NAME?</v>
      </c>
      <c r="FK239" s="7" t="e">
        <f t="shared" ca="1" si="118"/>
        <v>#NAME?</v>
      </c>
      <c r="FL239" s="7" t="e">
        <f t="shared" ca="1" si="118"/>
        <v>#NAME?</v>
      </c>
      <c r="FM239" s="7" t="e">
        <f t="shared" ca="1" si="118"/>
        <v>#NAME?</v>
      </c>
      <c r="FN239" s="7" t="e">
        <f t="shared" ca="1" si="118"/>
        <v>#NAME?</v>
      </c>
      <c r="FO239" s="7" t="e">
        <f t="shared" ca="1" si="118"/>
        <v>#NAME?</v>
      </c>
      <c r="FP239" s="7" t="e">
        <f t="shared" ca="1" si="118"/>
        <v>#NAME?</v>
      </c>
      <c r="FQ239" s="7" t="e">
        <f t="shared" ca="1" si="118"/>
        <v>#NAME?</v>
      </c>
      <c r="FR239" s="7" t="e">
        <f t="shared" ca="1" si="118"/>
        <v>#NAME?</v>
      </c>
      <c r="FS239" s="7" t="e">
        <f t="shared" ca="1" si="118"/>
        <v>#NAME?</v>
      </c>
      <c r="FT239" s="7" t="e">
        <f t="shared" ca="1" si="118"/>
        <v>#NAME?</v>
      </c>
      <c r="FU239" s="7" t="e">
        <f t="shared" ca="1" si="118"/>
        <v>#NAME?</v>
      </c>
      <c r="FV239" s="7" t="e">
        <f t="shared" ca="1" si="118"/>
        <v>#NAME?</v>
      </c>
      <c r="FW239" s="7" t="e">
        <f t="shared" ca="1" si="118"/>
        <v>#NAME?</v>
      </c>
      <c r="FX239" s="7" t="e">
        <f t="shared" ca="1" si="118"/>
        <v>#NAME?</v>
      </c>
      <c r="FY239" s="7"/>
      <c r="FZ239" s="7" t="e">
        <f ca="1">FZ237/FZ103</f>
        <v>#NAME?</v>
      </c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</row>
    <row r="240" spans="1:193" ht="15.5" x14ac:dyDescent="0.35">
      <c r="A240" s="7"/>
      <c r="B240" s="7" t="s">
        <v>1010</v>
      </c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 t="e">
        <f ca="1">DK237-DK226</f>
        <v>#NAME?</v>
      </c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</row>
    <row r="241" spans="1:193" ht="15.5" x14ac:dyDescent="0.35">
      <c r="A241" s="12" t="s">
        <v>684</v>
      </c>
      <c r="B241" s="7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  <c r="FM241" s="63"/>
      <c r="FN241" s="63"/>
      <c r="FO241" s="63"/>
      <c r="FP241" s="63"/>
      <c r="FQ241" s="63"/>
      <c r="FR241" s="63"/>
      <c r="FS241" s="63"/>
      <c r="FT241" s="63"/>
      <c r="FU241" s="63"/>
      <c r="FV241" s="63"/>
      <c r="FW241" s="63"/>
      <c r="FX241" s="63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</row>
    <row r="242" spans="1:193" ht="31" x14ac:dyDescent="0.35">
      <c r="A242" s="12" t="s">
        <v>684</v>
      </c>
      <c r="B242" s="19" t="s">
        <v>1011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</row>
    <row r="243" spans="1:193" ht="15.5" x14ac:dyDescent="0.35">
      <c r="A243" s="12" t="s">
        <v>1012</v>
      </c>
      <c r="B243" s="7" t="s">
        <v>1013</v>
      </c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63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</row>
    <row r="244" spans="1:193" ht="15.5" x14ac:dyDescent="0.35">
      <c r="A244" s="7"/>
      <c r="B244" s="7" t="s">
        <v>1014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>
        <f>SUM(C242:FX242)</f>
        <v>0</v>
      </c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</row>
    <row r="245" spans="1:193" ht="15.5" x14ac:dyDescent="0.35">
      <c r="A245" s="110" t="s">
        <v>1015</v>
      </c>
      <c r="B245" s="111" t="s">
        <v>1016</v>
      </c>
      <c r="C245" s="7" t="e">
        <f t="shared" ref="C245:FX245" ca="1" si="119">IF((AND(C$209=C$237,C$73&lt;&gt;888888888.88))=TRUE(),C232,0)</f>
        <v>#NAME?</v>
      </c>
      <c r="D245" s="7" t="e">
        <f t="shared" ca="1" si="119"/>
        <v>#NAME?</v>
      </c>
      <c r="E245" s="7" t="e">
        <f t="shared" ca="1" si="119"/>
        <v>#NAME?</v>
      </c>
      <c r="F245" s="7" t="e">
        <f t="shared" ca="1" si="119"/>
        <v>#NAME?</v>
      </c>
      <c r="G245" s="7" t="e">
        <f t="shared" ca="1" si="119"/>
        <v>#NAME?</v>
      </c>
      <c r="H245" s="7" t="e">
        <f t="shared" ca="1" si="119"/>
        <v>#NAME?</v>
      </c>
      <c r="I245" s="7" t="e">
        <f t="shared" ca="1" si="119"/>
        <v>#NAME?</v>
      </c>
      <c r="J245" s="7" t="e">
        <f t="shared" ca="1" si="119"/>
        <v>#NAME?</v>
      </c>
      <c r="K245" s="7" t="e">
        <f t="shared" ca="1" si="119"/>
        <v>#NAME?</v>
      </c>
      <c r="L245" s="7" t="e">
        <f t="shared" ca="1" si="119"/>
        <v>#NAME?</v>
      </c>
      <c r="M245" s="7" t="e">
        <f t="shared" ca="1" si="119"/>
        <v>#NAME?</v>
      </c>
      <c r="N245" s="7" t="e">
        <f t="shared" ca="1" si="119"/>
        <v>#NAME?</v>
      </c>
      <c r="O245" s="7" t="e">
        <f t="shared" ca="1" si="119"/>
        <v>#NAME?</v>
      </c>
      <c r="P245" s="7" t="e">
        <f t="shared" ca="1" si="119"/>
        <v>#NAME?</v>
      </c>
      <c r="Q245" s="7" t="e">
        <f t="shared" ca="1" si="119"/>
        <v>#NAME?</v>
      </c>
      <c r="R245" s="7" t="e">
        <f t="shared" ca="1" si="119"/>
        <v>#NAME?</v>
      </c>
      <c r="S245" s="7" t="e">
        <f t="shared" ca="1" si="119"/>
        <v>#NAME?</v>
      </c>
      <c r="T245" s="7" t="e">
        <f t="shared" ca="1" si="119"/>
        <v>#NAME?</v>
      </c>
      <c r="U245" s="7" t="e">
        <f t="shared" ca="1" si="119"/>
        <v>#NAME?</v>
      </c>
      <c r="V245" s="7" t="e">
        <f t="shared" ca="1" si="119"/>
        <v>#NAME?</v>
      </c>
      <c r="W245" s="7" t="e">
        <f t="shared" ca="1" si="119"/>
        <v>#NAME?</v>
      </c>
      <c r="X245" s="7" t="e">
        <f t="shared" ca="1" si="119"/>
        <v>#NAME?</v>
      </c>
      <c r="Y245" s="7" t="e">
        <f t="shared" ca="1" si="119"/>
        <v>#NAME?</v>
      </c>
      <c r="Z245" s="7" t="e">
        <f t="shared" ca="1" si="119"/>
        <v>#NAME?</v>
      </c>
      <c r="AA245" s="7" t="e">
        <f t="shared" ca="1" si="119"/>
        <v>#NAME?</v>
      </c>
      <c r="AB245" s="7" t="e">
        <f t="shared" ca="1" si="119"/>
        <v>#NAME?</v>
      </c>
      <c r="AC245" s="7" t="e">
        <f t="shared" ca="1" si="119"/>
        <v>#NAME?</v>
      </c>
      <c r="AD245" s="7" t="e">
        <f t="shared" ca="1" si="119"/>
        <v>#NAME?</v>
      </c>
      <c r="AE245" s="7" t="e">
        <f t="shared" ca="1" si="119"/>
        <v>#NAME?</v>
      </c>
      <c r="AF245" s="7" t="e">
        <f t="shared" ca="1" si="119"/>
        <v>#NAME?</v>
      </c>
      <c r="AG245" s="7" t="e">
        <f t="shared" ca="1" si="119"/>
        <v>#NAME?</v>
      </c>
      <c r="AH245" s="7" t="e">
        <f t="shared" ca="1" si="119"/>
        <v>#NAME?</v>
      </c>
      <c r="AI245" s="7" t="e">
        <f t="shared" ca="1" si="119"/>
        <v>#NAME?</v>
      </c>
      <c r="AJ245" s="7" t="e">
        <f t="shared" ca="1" si="119"/>
        <v>#NAME?</v>
      </c>
      <c r="AK245" s="7" t="e">
        <f t="shared" ca="1" si="119"/>
        <v>#NAME?</v>
      </c>
      <c r="AL245" s="7" t="e">
        <f t="shared" ca="1" si="119"/>
        <v>#NAME?</v>
      </c>
      <c r="AM245" s="7" t="e">
        <f t="shared" ca="1" si="119"/>
        <v>#NAME?</v>
      </c>
      <c r="AN245" s="7" t="e">
        <f t="shared" ca="1" si="119"/>
        <v>#NAME?</v>
      </c>
      <c r="AO245" s="7" t="e">
        <f t="shared" ca="1" si="119"/>
        <v>#NAME?</v>
      </c>
      <c r="AP245" s="7" t="e">
        <f t="shared" ca="1" si="119"/>
        <v>#NAME?</v>
      </c>
      <c r="AQ245" s="7" t="e">
        <f t="shared" ca="1" si="119"/>
        <v>#NAME?</v>
      </c>
      <c r="AR245" s="7" t="e">
        <f t="shared" ca="1" si="119"/>
        <v>#NAME?</v>
      </c>
      <c r="AS245" s="7" t="e">
        <f t="shared" ca="1" si="119"/>
        <v>#NAME?</v>
      </c>
      <c r="AT245" s="7" t="e">
        <f t="shared" ca="1" si="119"/>
        <v>#NAME?</v>
      </c>
      <c r="AU245" s="7" t="e">
        <f t="shared" ca="1" si="119"/>
        <v>#NAME?</v>
      </c>
      <c r="AV245" s="7" t="e">
        <f t="shared" ca="1" si="119"/>
        <v>#NAME?</v>
      </c>
      <c r="AW245" s="7" t="e">
        <f t="shared" ca="1" si="119"/>
        <v>#NAME?</v>
      </c>
      <c r="AX245" s="7" t="e">
        <f t="shared" ca="1" si="119"/>
        <v>#NAME?</v>
      </c>
      <c r="AY245" s="7" t="e">
        <f t="shared" ca="1" si="119"/>
        <v>#NAME?</v>
      </c>
      <c r="AZ245" s="7" t="e">
        <f t="shared" ca="1" si="119"/>
        <v>#NAME?</v>
      </c>
      <c r="BA245" s="7" t="e">
        <f t="shared" ca="1" si="119"/>
        <v>#NAME?</v>
      </c>
      <c r="BB245" s="7" t="e">
        <f t="shared" ca="1" si="119"/>
        <v>#NAME?</v>
      </c>
      <c r="BC245" s="7" t="e">
        <f t="shared" ca="1" si="119"/>
        <v>#NAME?</v>
      </c>
      <c r="BD245" s="7" t="e">
        <f t="shared" ca="1" si="119"/>
        <v>#NAME?</v>
      </c>
      <c r="BE245" s="7" t="e">
        <f t="shared" ca="1" si="119"/>
        <v>#NAME?</v>
      </c>
      <c r="BF245" s="7" t="e">
        <f t="shared" ca="1" si="119"/>
        <v>#NAME?</v>
      </c>
      <c r="BG245" s="7" t="e">
        <f t="shared" ca="1" si="119"/>
        <v>#NAME?</v>
      </c>
      <c r="BH245" s="7" t="e">
        <f t="shared" ca="1" si="119"/>
        <v>#NAME?</v>
      </c>
      <c r="BI245" s="7" t="e">
        <f t="shared" ca="1" si="119"/>
        <v>#NAME?</v>
      </c>
      <c r="BJ245" s="7" t="e">
        <f t="shared" ca="1" si="119"/>
        <v>#NAME?</v>
      </c>
      <c r="BK245" s="7" t="e">
        <f t="shared" ca="1" si="119"/>
        <v>#NAME?</v>
      </c>
      <c r="BL245" s="7" t="e">
        <f t="shared" ca="1" si="119"/>
        <v>#NAME?</v>
      </c>
      <c r="BM245" s="7" t="e">
        <f t="shared" ca="1" si="119"/>
        <v>#NAME?</v>
      </c>
      <c r="BN245" s="7" t="e">
        <f t="shared" ca="1" si="119"/>
        <v>#NAME?</v>
      </c>
      <c r="BO245" s="7" t="e">
        <f t="shared" ca="1" si="119"/>
        <v>#NAME?</v>
      </c>
      <c r="BP245" s="7" t="e">
        <f t="shared" ca="1" si="119"/>
        <v>#NAME?</v>
      </c>
      <c r="BQ245" s="7" t="e">
        <f t="shared" ca="1" si="119"/>
        <v>#NAME?</v>
      </c>
      <c r="BR245" s="7" t="e">
        <f t="shared" ca="1" si="119"/>
        <v>#NAME?</v>
      </c>
      <c r="BS245" s="7" t="e">
        <f t="shared" ca="1" si="119"/>
        <v>#NAME?</v>
      </c>
      <c r="BT245" s="7" t="e">
        <f t="shared" ca="1" si="119"/>
        <v>#NAME?</v>
      </c>
      <c r="BU245" s="7" t="e">
        <f t="shared" ca="1" si="119"/>
        <v>#NAME?</v>
      </c>
      <c r="BV245" s="7" t="e">
        <f t="shared" ca="1" si="119"/>
        <v>#NAME?</v>
      </c>
      <c r="BW245" s="7" t="e">
        <f t="shared" ca="1" si="119"/>
        <v>#NAME?</v>
      </c>
      <c r="BX245" s="7" t="e">
        <f t="shared" ca="1" si="119"/>
        <v>#NAME?</v>
      </c>
      <c r="BY245" s="7" t="e">
        <f t="shared" ca="1" si="119"/>
        <v>#NAME?</v>
      </c>
      <c r="BZ245" s="7" t="e">
        <f t="shared" ca="1" si="119"/>
        <v>#NAME?</v>
      </c>
      <c r="CA245" s="7" t="e">
        <f t="shared" ca="1" si="119"/>
        <v>#NAME?</v>
      </c>
      <c r="CB245" s="7" t="e">
        <f t="shared" ca="1" si="119"/>
        <v>#NAME?</v>
      </c>
      <c r="CC245" s="7" t="e">
        <f t="shared" ca="1" si="119"/>
        <v>#NAME?</v>
      </c>
      <c r="CD245" s="7" t="e">
        <f t="shared" ca="1" si="119"/>
        <v>#NAME?</v>
      </c>
      <c r="CE245" s="7" t="e">
        <f t="shared" ca="1" si="119"/>
        <v>#NAME?</v>
      </c>
      <c r="CF245" s="7" t="e">
        <f t="shared" ca="1" si="119"/>
        <v>#NAME?</v>
      </c>
      <c r="CG245" s="7" t="e">
        <f t="shared" ca="1" si="119"/>
        <v>#NAME?</v>
      </c>
      <c r="CH245" s="7" t="e">
        <f t="shared" ca="1" si="119"/>
        <v>#NAME?</v>
      </c>
      <c r="CI245" s="7" t="e">
        <f t="shared" ca="1" si="119"/>
        <v>#NAME?</v>
      </c>
      <c r="CJ245" s="7" t="e">
        <f t="shared" ca="1" si="119"/>
        <v>#NAME?</v>
      </c>
      <c r="CK245" s="7" t="e">
        <f t="shared" ca="1" si="119"/>
        <v>#NAME?</v>
      </c>
      <c r="CL245" s="7" t="e">
        <f t="shared" ca="1" si="119"/>
        <v>#NAME?</v>
      </c>
      <c r="CM245" s="7" t="e">
        <f t="shared" ca="1" si="119"/>
        <v>#NAME?</v>
      </c>
      <c r="CN245" s="7" t="e">
        <f t="shared" ca="1" si="119"/>
        <v>#NAME?</v>
      </c>
      <c r="CO245" s="7" t="e">
        <f t="shared" ca="1" si="119"/>
        <v>#NAME?</v>
      </c>
      <c r="CP245" s="7" t="e">
        <f t="shared" ca="1" si="119"/>
        <v>#NAME?</v>
      </c>
      <c r="CQ245" s="7" t="e">
        <f t="shared" ca="1" si="119"/>
        <v>#NAME?</v>
      </c>
      <c r="CR245" s="7" t="e">
        <f t="shared" ca="1" si="119"/>
        <v>#NAME?</v>
      </c>
      <c r="CS245" s="7" t="e">
        <f t="shared" ca="1" si="119"/>
        <v>#NAME?</v>
      </c>
      <c r="CT245" s="7" t="e">
        <f t="shared" ca="1" si="119"/>
        <v>#NAME?</v>
      </c>
      <c r="CU245" s="7" t="e">
        <f t="shared" ca="1" si="119"/>
        <v>#NAME?</v>
      </c>
      <c r="CV245" s="7" t="e">
        <f t="shared" ca="1" si="119"/>
        <v>#NAME?</v>
      </c>
      <c r="CW245" s="7" t="e">
        <f t="shared" ca="1" si="119"/>
        <v>#NAME?</v>
      </c>
      <c r="CX245" s="7" t="e">
        <f t="shared" ca="1" si="119"/>
        <v>#NAME?</v>
      </c>
      <c r="CY245" s="7" t="e">
        <f t="shared" ca="1" si="119"/>
        <v>#NAME?</v>
      </c>
      <c r="CZ245" s="7" t="e">
        <f t="shared" ca="1" si="119"/>
        <v>#NAME?</v>
      </c>
      <c r="DA245" s="7" t="e">
        <f t="shared" ca="1" si="119"/>
        <v>#NAME?</v>
      </c>
      <c r="DB245" s="7" t="e">
        <f t="shared" ca="1" si="119"/>
        <v>#NAME?</v>
      </c>
      <c r="DC245" s="7" t="e">
        <f t="shared" ca="1" si="119"/>
        <v>#NAME?</v>
      </c>
      <c r="DD245" s="7" t="e">
        <f t="shared" ca="1" si="119"/>
        <v>#NAME?</v>
      </c>
      <c r="DE245" s="7" t="e">
        <f t="shared" ca="1" si="119"/>
        <v>#NAME?</v>
      </c>
      <c r="DF245" s="7" t="e">
        <f t="shared" ca="1" si="119"/>
        <v>#NAME?</v>
      </c>
      <c r="DG245" s="7" t="e">
        <f t="shared" ca="1" si="119"/>
        <v>#NAME?</v>
      </c>
      <c r="DH245" s="7" t="e">
        <f t="shared" ca="1" si="119"/>
        <v>#NAME?</v>
      </c>
      <c r="DI245" s="7" t="e">
        <f t="shared" ca="1" si="119"/>
        <v>#NAME?</v>
      </c>
      <c r="DJ245" s="7" t="e">
        <f t="shared" ca="1" si="119"/>
        <v>#NAME?</v>
      </c>
      <c r="DK245" s="7" t="e">
        <f t="shared" ca="1" si="119"/>
        <v>#NAME?</v>
      </c>
      <c r="DL245" s="7" t="e">
        <f t="shared" ca="1" si="119"/>
        <v>#NAME?</v>
      </c>
      <c r="DM245" s="7" t="e">
        <f t="shared" ca="1" si="119"/>
        <v>#NAME?</v>
      </c>
      <c r="DN245" s="7" t="e">
        <f t="shared" ca="1" si="119"/>
        <v>#NAME?</v>
      </c>
      <c r="DO245" s="7" t="e">
        <f t="shared" ca="1" si="119"/>
        <v>#NAME?</v>
      </c>
      <c r="DP245" s="7" t="e">
        <f t="shared" ca="1" si="119"/>
        <v>#NAME?</v>
      </c>
      <c r="DQ245" s="7" t="e">
        <f t="shared" ca="1" si="119"/>
        <v>#NAME?</v>
      </c>
      <c r="DR245" s="7" t="e">
        <f t="shared" ca="1" si="119"/>
        <v>#NAME?</v>
      </c>
      <c r="DS245" s="7" t="e">
        <f t="shared" ca="1" si="119"/>
        <v>#NAME?</v>
      </c>
      <c r="DT245" s="7" t="e">
        <f t="shared" ca="1" si="119"/>
        <v>#NAME?</v>
      </c>
      <c r="DU245" s="7" t="e">
        <f t="shared" ca="1" si="119"/>
        <v>#NAME?</v>
      </c>
      <c r="DV245" s="7" t="e">
        <f t="shared" ca="1" si="119"/>
        <v>#NAME?</v>
      </c>
      <c r="DW245" s="7" t="e">
        <f t="shared" ca="1" si="119"/>
        <v>#NAME?</v>
      </c>
      <c r="DX245" s="7" t="e">
        <f t="shared" ca="1" si="119"/>
        <v>#NAME?</v>
      </c>
      <c r="DY245" s="7" t="e">
        <f t="shared" ca="1" si="119"/>
        <v>#NAME?</v>
      </c>
      <c r="DZ245" s="7" t="e">
        <f t="shared" ca="1" si="119"/>
        <v>#NAME?</v>
      </c>
      <c r="EA245" s="7" t="e">
        <f t="shared" ca="1" si="119"/>
        <v>#NAME?</v>
      </c>
      <c r="EB245" s="7" t="e">
        <f t="shared" ca="1" si="119"/>
        <v>#NAME?</v>
      </c>
      <c r="EC245" s="7" t="e">
        <f t="shared" ca="1" si="119"/>
        <v>#NAME?</v>
      </c>
      <c r="ED245" s="7" t="e">
        <f t="shared" ca="1" si="119"/>
        <v>#NAME?</v>
      </c>
      <c r="EE245" s="7" t="e">
        <f t="shared" ca="1" si="119"/>
        <v>#NAME?</v>
      </c>
      <c r="EF245" s="7" t="e">
        <f t="shared" ca="1" si="119"/>
        <v>#NAME?</v>
      </c>
      <c r="EG245" s="7" t="e">
        <f t="shared" ca="1" si="119"/>
        <v>#NAME?</v>
      </c>
      <c r="EH245" s="7" t="e">
        <f t="shared" ca="1" si="119"/>
        <v>#NAME?</v>
      </c>
      <c r="EI245" s="7" t="e">
        <f t="shared" ca="1" si="119"/>
        <v>#NAME?</v>
      </c>
      <c r="EJ245" s="7" t="e">
        <f t="shared" ca="1" si="119"/>
        <v>#NAME?</v>
      </c>
      <c r="EK245" s="7" t="e">
        <f t="shared" ca="1" si="119"/>
        <v>#NAME?</v>
      </c>
      <c r="EL245" s="7" t="e">
        <f t="shared" ca="1" si="119"/>
        <v>#NAME?</v>
      </c>
      <c r="EM245" s="7" t="e">
        <f t="shared" ca="1" si="119"/>
        <v>#NAME?</v>
      </c>
      <c r="EN245" s="7" t="e">
        <f t="shared" ca="1" si="119"/>
        <v>#NAME?</v>
      </c>
      <c r="EO245" s="7" t="e">
        <f t="shared" ca="1" si="119"/>
        <v>#NAME?</v>
      </c>
      <c r="EP245" s="7" t="e">
        <f t="shared" ca="1" si="119"/>
        <v>#NAME?</v>
      </c>
      <c r="EQ245" s="7" t="e">
        <f t="shared" ca="1" si="119"/>
        <v>#NAME?</v>
      </c>
      <c r="ER245" s="7" t="e">
        <f t="shared" ca="1" si="119"/>
        <v>#NAME?</v>
      </c>
      <c r="ES245" s="7" t="e">
        <f t="shared" ca="1" si="119"/>
        <v>#NAME?</v>
      </c>
      <c r="ET245" s="7" t="e">
        <f t="shared" ca="1" si="119"/>
        <v>#NAME?</v>
      </c>
      <c r="EU245" s="7" t="e">
        <f t="shared" ca="1" si="119"/>
        <v>#NAME?</v>
      </c>
      <c r="EV245" s="7" t="e">
        <f t="shared" ca="1" si="119"/>
        <v>#NAME?</v>
      </c>
      <c r="EW245" s="7" t="e">
        <f t="shared" ca="1" si="119"/>
        <v>#NAME?</v>
      </c>
      <c r="EX245" s="7" t="e">
        <f t="shared" ca="1" si="119"/>
        <v>#NAME?</v>
      </c>
      <c r="EY245" s="7" t="e">
        <f t="shared" ca="1" si="119"/>
        <v>#NAME?</v>
      </c>
      <c r="EZ245" s="7" t="e">
        <f t="shared" ca="1" si="119"/>
        <v>#NAME?</v>
      </c>
      <c r="FA245" s="7" t="e">
        <f t="shared" ca="1" si="119"/>
        <v>#NAME?</v>
      </c>
      <c r="FB245" s="7" t="e">
        <f t="shared" ca="1" si="119"/>
        <v>#NAME?</v>
      </c>
      <c r="FC245" s="7" t="e">
        <f t="shared" ca="1" si="119"/>
        <v>#NAME?</v>
      </c>
      <c r="FD245" s="7" t="e">
        <f t="shared" ca="1" si="119"/>
        <v>#NAME?</v>
      </c>
      <c r="FE245" s="7" t="e">
        <f t="shared" ca="1" si="119"/>
        <v>#NAME?</v>
      </c>
      <c r="FF245" s="7" t="e">
        <f t="shared" ca="1" si="119"/>
        <v>#NAME?</v>
      </c>
      <c r="FG245" s="7" t="e">
        <f t="shared" ca="1" si="119"/>
        <v>#NAME?</v>
      </c>
      <c r="FH245" s="7" t="e">
        <f t="shared" ca="1" si="119"/>
        <v>#NAME?</v>
      </c>
      <c r="FI245" s="7" t="e">
        <f t="shared" ca="1" si="119"/>
        <v>#NAME?</v>
      </c>
      <c r="FJ245" s="7" t="e">
        <f t="shared" ca="1" si="119"/>
        <v>#NAME?</v>
      </c>
      <c r="FK245" s="7" t="e">
        <f t="shared" ca="1" si="119"/>
        <v>#NAME?</v>
      </c>
      <c r="FL245" s="7" t="e">
        <f t="shared" ca="1" si="119"/>
        <v>#NAME?</v>
      </c>
      <c r="FM245" s="7" t="e">
        <f t="shared" ca="1" si="119"/>
        <v>#NAME?</v>
      </c>
      <c r="FN245" s="7" t="e">
        <f t="shared" ca="1" si="119"/>
        <v>#NAME?</v>
      </c>
      <c r="FO245" s="7" t="e">
        <f t="shared" ca="1" si="119"/>
        <v>#NAME?</v>
      </c>
      <c r="FP245" s="7" t="e">
        <f t="shared" ca="1" si="119"/>
        <v>#NAME?</v>
      </c>
      <c r="FQ245" s="7" t="e">
        <f t="shared" ca="1" si="119"/>
        <v>#NAME?</v>
      </c>
      <c r="FR245" s="7" t="e">
        <f t="shared" ca="1" si="119"/>
        <v>#NAME?</v>
      </c>
      <c r="FS245" s="7" t="e">
        <f t="shared" ca="1" si="119"/>
        <v>#NAME?</v>
      </c>
      <c r="FT245" s="7" t="e">
        <f t="shared" ca="1" si="119"/>
        <v>#NAME?</v>
      </c>
      <c r="FU245" s="7" t="e">
        <f t="shared" ca="1" si="119"/>
        <v>#NAME?</v>
      </c>
      <c r="FV245" s="7" t="e">
        <f t="shared" ca="1" si="119"/>
        <v>#NAME?</v>
      </c>
      <c r="FW245" s="7" t="e">
        <f t="shared" ca="1" si="119"/>
        <v>#NAME?</v>
      </c>
      <c r="FX245" s="7" t="e">
        <f t="shared" ca="1" si="119"/>
        <v>#NAME?</v>
      </c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</row>
    <row r="246" spans="1:193" ht="15.5" x14ac:dyDescent="0.35">
      <c r="A246" s="111"/>
      <c r="B246" s="111" t="s">
        <v>1017</v>
      </c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</row>
    <row r="247" spans="1:193" ht="15.5" x14ac:dyDescent="0.35">
      <c r="A247" s="12" t="s">
        <v>1018</v>
      </c>
      <c r="B247" s="7" t="s">
        <v>1019</v>
      </c>
      <c r="C247" s="7" t="e">
        <f t="shared" ref="C247:FX247" ca="1" si="120">IF(C209=C237,C209,0)</f>
        <v>#NAME?</v>
      </c>
      <c r="D247" s="7" t="e">
        <f t="shared" ca="1" si="120"/>
        <v>#NAME?</v>
      </c>
      <c r="E247" s="7" t="e">
        <f t="shared" ca="1" si="120"/>
        <v>#NAME?</v>
      </c>
      <c r="F247" s="7" t="e">
        <f t="shared" ca="1" si="120"/>
        <v>#NAME?</v>
      </c>
      <c r="G247" s="7" t="e">
        <f t="shared" ca="1" si="120"/>
        <v>#NAME?</v>
      </c>
      <c r="H247" s="7" t="e">
        <f t="shared" ca="1" si="120"/>
        <v>#NAME?</v>
      </c>
      <c r="I247" s="7" t="e">
        <f t="shared" ca="1" si="120"/>
        <v>#NAME?</v>
      </c>
      <c r="J247" s="7" t="e">
        <f t="shared" ca="1" si="120"/>
        <v>#NAME?</v>
      </c>
      <c r="K247" s="7" t="e">
        <f t="shared" ca="1" si="120"/>
        <v>#NAME?</v>
      </c>
      <c r="L247" s="7" t="e">
        <f t="shared" ca="1" si="120"/>
        <v>#NAME?</v>
      </c>
      <c r="M247" s="7" t="e">
        <f t="shared" ca="1" si="120"/>
        <v>#NAME?</v>
      </c>
      <c r="N247" s="7" t="e">
        <f t="shared" ca="1" si="120"/>
        <v>#NAME?</v>
      </c>
      <c r="O247" s="7" t="e">
        <f t="shared" ca="1" si="120"/>
        <v>#NAME?</v>
      </c>
      <c r="P247" s="7" t="e">
        <f t="shared" ca="1" si="120"/>
        <v>#NAME?</v>
      </c>
      <c r="Q247" s="7" t="e">
        <f t="shared" ca="1" si="120"/>
        <v>#NAME?</v>
      </c>
      <c r="R247" s="7" t="e">
        <f t="shared" ca="1" si="120"/>
        <v>#NAME?</v>
      </c>
      <c r="S247" s="7" t="e">
        <f t="shared" ca="1" si="120"/>
        <v>#NAME?</v>
      </c>
      <c r="T247" s="7" t="e">
        <f t="shared" ca="1" si="120"/>
        <v>#NAME?</v>
      </c>
      <c r="U247" s="7" t="e">
        <f t="shared" ca="1" si="120"/>
        <v>#NAME?</v>
      </c>
      <c r="V247" s="7" t="e">
        <f t="shared" ca="1" si="120"/>
        <v>#NAME?</v>
      </c>
      <c r="W247" s="7" t="e">
        <f t="shared" ca="1" si="120"/>
        <v>#NAME?</v>
      </c>
      <c r="X247" s="7" t="e">
        <f t="shared" ca="1" si="120"/>
        <v>#NAME?</v>
      </c>
      <c r="Y247" s="7" t="e">
        <f t="shared" ca="1" si="120"/>
        <v>#NAME?</v>
      </c>
      <c r="Z247" s="7" t="e">
        <f t="shared" ca="1" si="120"/>
        <v>#NAME?</v>
      </c>
      <c r="AA247" s="7" t="e">
        <f t="shared" ca="1" si="120"/>
        <v>#NAME?</v>
      </c>
      <c r="AB247" s="7" t="e">
        <f t="shared" ca="1" si="120"/>
        <v>#NAME?</v>
      </c>
      <c r="AC247" s="7" t="e">
        <f t="shared" ca="1" si="120"/>
        <v>#NAME?</v>
      </c>
      <c r="AD247" s="7" t="e">
        <f t="shared" ca="1" si="120"/>
        <v>#NAME?</v>
      </c>
      <c r="AE247" s="7" t="e">
        <f t="shared" ca="1" si="120"/>
        <v>#NAME?</v>
      </c>
      <c r="AF247" s="7" t="e">
        <f t="shared" ca="1" si="120"/>
        <v>#NAME?</v>
      </c>
      <c r="AG247" s="7" t="e">
        <f t="shared" ca="1" si="120"/>
        <v>#NAME?</v>
      </c>
      <c r="AH247" s="7" t="e">
        <f t="shared" ca="1" si="120"/>
        <v>#NAME?</v>
      </c>
      <c r="AI247" s="7" t="e">
        <f t="shared" ca="1" si="120"/>
        <v>#NAME?</v>
      </c>
      <c r="AJ247" s="7" t="e">
        <f t="shared" ca="1" si="120"/>
        <v>#NAME?</v>
      </c>
      <c r="AK247" s="7" t="e">
        <f t="shared" ca="1" si="120"/>
        <v>#NAME?</v>
      </c>
      <c r="AL247" s="7" t="e">
        <f t="shared" ca="1" si="120"/>
        <v>#NAME?</v>
      </c>
      <c r="AM247" s="7" t="e">
        <f t="shared" ca="1" si="120"/>
        <v>#NAME?</v>
      </c>
      <c r="AN247" s="7" t="e">
        <f t="shared" ca="1" si="120"/>
        <v>#NAME?</v>
      </c>
      <c r="AO247" s="7" t="e">
        <f t="shared" ca="1" si="120"/>
        <v>#NAME?</v>
      </c>
      <c r="AP247" s="7" t="e">
        <f t="shared" ca="1" si="120"/>
        <v>#NAME?</v>
      </c>
      <c r="AQ247" s="7" t="e">
        <f t="shared" ca="1" si="120"/>
        <v>#NAME?</v>
      </c>
      <c r="AR247" s="7" t="e">
        <f t="shared" ca="1" si="120"/>
        <v>#NAME?</v>
      </c>
      <c r="AS247" s="7" t="e">
        <f t="shared" ca="1" si="120"/>
        <v>#NAME?</v>
      </c>
      <c r="AT247" s="7" t="e">
        <f t="shared" ca="1" si="120"/>
        <v>#NAME?</v>
      </c>
      <c r="AU247" s="7" t="e">
        <f t="shared" ca="1" si="120"/>
        <v>#NAME?</v>
      </c>
      <c r="AV247" s="7" t="e">
        <f t="shared" ca="1" si="120"/>
        <v>#NAME?</v>
      </c>
      <c r="AW247" s="7" t="e">
        <f t="shared" ca="1" si="120"/>
        <v>#NAME?</v>
      </c>
      <c r="AX247" s="7" t="e">
        <f t="shared" ca="1" si="120"/>
        <v>#NAME?</v>
      </c>
      <c r="AY247" s="7" t="e">
        <f t="shared" ca="1" si="120"/>
        <v>#NAME?</v>
      </c>
      <c r="AZ247" s="7" t="e">
        <f t="shared" ca="1" si="120"/>
        <v>#NAME?</v>
      </c>
      <c r="BA247" s="7" t="e">
        <f t="shared" ca="1" si="120"/>
        <v>#NAME?</v>
      </c>
      <c r="BB247" s="7" t="e">
        <f t="shared" ca="1" si="120"/>
        <v>#NAME?</v>
      </c>
      <c r="BC247" s="7" t="e">
        <f t="shared" ca="1" si="120"/>
        <v>#NAME?</v>
      </c>
      <c r="BD247" s="7" t="e">
        <f t="shared" ca="1" si="120"/>
        <v>#NAME?</v>
      </c>
      <c r="BE247" s="7" t="e">
        <f t="shared" ca="1" si="120"/>
        <v>#NAME?</v>
      </c>
      <c r="BF247" s="7" t="e">
        <f t="shared" ca="1" si="120"/>
        <v>#NAME?</v>
      </c>
      <c r="BG247" s="7" t="e">
        <f t="shared" ca="1" si="120"/>
        <v>#NAME?</v>
      </c>
      <c r="BH247" s="7" t="e">
        <f t="shared" ca="1" si="120"/>
        <v>#NAME?</v>
      </c>
      <c r="BI247" s="7" t="e">
        <f t="shared" ca="1" si="120"/>
        <v>#NAME?</v>
      </c>
      <c r="BJ247" s="7" t="e">
        <f t="shared" ca="1" si="120"/>
        <v>#NAME?</v>
      </c>
      <c r="BK247" s="7" t="e">
        <f t="shared" ca="1" si="120"/>
        <v>#NAME?</v>
      </c>
      <c r="BL247" s="7" t="e">
        <f t="shared" ca="1" si="120"/>
        <v>#NAME?</v>
      </c>
      <c r="BM247" s="7" t="e">
        <f t="shared" ca="1" si="120"/>
        <v>#NAME?</v>
      </c>
      <c r="BN247" s="7" t="e">
        <f t="shared" ca="1" si="120"/>
        <v>#NAME?</v>
      </c>
      <c r="BO247" s="7" t="e">
        <f t="shared" ca="1" si="120"/>
        <v>#NAME?</v>
      </c>
      <c r="BP247" s="7" t="e">
        <f t="shared" ca="1" si="120"/>
        <v>#NAME?</v>
      </c>
      <c r="BQ247" s="7" t="e">
        <f t="shared" ca="1" si="120"/>
        <v>#NAME?</v>
      </c>
      <c r="BR247" s="7" t="e">
        <f t="shared" ca="1" si="120"/>
        <v>#NAME?</v>
      </c>
      <c r="BS247" s="7" t="e">
        <f t="shared" ca="1" si="120"/>
        <v>#NAME?</v>
      </c>
      <c r="BT247" s="7" t="e">
        <f t="shared" ca="1" si="120"/>
        <v>#NAME?</v>
      </c>
      <c r="BU247" s="7" t="e">
        <f t="shared" ca="1" si="120"/>
        <v>#NAME?</v>
      </c>
      <c r="BV247" s="7" t="e">
        <f t="shared" ca="1" si="120"/>
        <v>#NAME?</v>
      </c>
      <c r="BW247" s="7" t="e">
        <f t="shared" ca="1" si="120"/>
        <v>#NAME?</v>
      </c>
      <c r="BX247" s="7" t="e">
        <f t="shared" ca="1" si="120"/>
        <v>#NAME?</v>
      </c>
      <c r="BY247" s="7" t="e">
        <f t="shared" ca="1" si="120"/>
        <v>#NAME?</v>
      </c>
      <c r="BZ247" s="7" t="e">
        <f t="shared" ca="1" si="120"/>
        <v>#NAME?</v>
      </c>
      <c r="CA247" s="7" t="e">
        <f t="shared" ca="1" si="120"/>
        <v>#NAME?</v>
      </c>
      <c r="CB247" s="7" t="e">
        <f t="shared" ca="1" si="120"/>
        <v>#NAME?</v>
      </c>
      <c r="CC247" s="7" t="e">
        <f t="shared" ca="1" si="120"/>
        <v>#NAME?</v>
      </c>
      <c r="CD247" s="7" t="e">
        <f t="shared" ca="1" si="120"/>
        <v>#NAME?</v>
      </c>
      <c r="CE247" s="7" t="e">
        <f t="shared" ca="1" si="120"/>
        <v>#NAME?</v>
      </c>
      <c r="CF247" s="7" t="e">
        <f t="shared" ca="1" si="120"/>
        <v>#NAME?</v>
      </c>
      <c r="CG247" s="7" t="e">
        <f t="shared" ca="1" si="120"/>
        <v>#NAME?</v>
      </c>
      <c r="CH247" s="7" t="e">
        <f t="shared" ca="1" si="120"/>
        <v>#NAME?</v>
      </c>
      <c r="CI247" s="7" t="e">
        <f t="shared" ca="1" si="120"/>
        <v>#NAME?</v>
      </c>
      <c r="CJ247" s="7" t="e">
        <f t="shared" ca="1" si="120"/>
        <v>#NAME?</v>
      </c>
      <c r="CK247" s="7" t="e">
        <f t="shared" ca="1" si="120"/>
        <v>#NAME?</v>
      </c>
      <c r="CL247" s="7" t="e">
        <f t="shared" ca="1" si="120"/>
        <v>#NAME?</v>
      </c>
      <c r="CM247" s="7" t="e">
        <f t="shared" ca="1" si="120"/>
        <v>#NAME?</v>
      </c>
      <c r="CN247" s="7" t="e">
        <f t="shared" ca="1" si="120"/>
        <v>#NAME?</v>
      </c>
      <c r="CO247" s="7" t="e">
        <f t="shared" ca="1" si="120"/>
        <v>#NAME?</v>
      </c>
      <c r="CP247" s="7" t="e">
        <f t="shared" ca="1" si="120"/>
        <v>#NAME?</v>
      </c>
      <c r="CQ247" s="7" t="e">
        <f t="shared" ca="1" si="120"/>
        <v>#NAME?</v>
      </c>
      <c r="CR247" s="7" t="e">
        <f t="shared" ca="1" si="120"/>
        <v>#NAME?</v>
      </c>
      <c r="CS247" s="7" t="e">
        <f t="shared" ca="1" si="120"/>
        <v>#NAME?</v>
      </c>
      <c r="CT247" s="7" t="e">
        <f t="shared" ca="1" si="120"/>
        <v>#NAME?</v>
      </c>
      <c r="CU247" s="7" t="e">
        <f t="shared" ca="1" si="120"/>
        <v>#NAME?</v>
      </c>
      <c r="CV247" s="7" t="e">
        <f t="shared" ca="1" si="120"/>
        <v>#NAME?</v>
      </c>
      <c r="CW247" s="7" t="e">
        <f t="shared" ca="1" si="120"/>
        <v>#NAME?</v>
      </c>
      <c r="CX247" s="7" t="e">
        <f t="shared" ca="1" si="120"/>
        <v>#NAME?</v>
      </c>
      <c r="CY247" s="7" t="e">
        <f t="shared" ca="1" si="120"/>
        <v>#NAME?</v>
      </c>
      <c r="CZ247" s="7" t="e">
        <f t="shared" ca="1" si="120"/>
        <v>#NAME?</v>
      </c>
      <c r="DA247" s="7" t="e">
        <f t="shared" ca="1" si="120"/>
        <v>#NAME?</v>
      </c>
      <c r="DB247" s="7" t="e">
        <f t="shared" ca="1" si="120"/>
        <v>#NAME?</v>
      </c>
      <c r="DC247" s="7" t="e">
        <f t="shared" ca="1" si="120"/>
        <v>#NAME?</v>
      </c>
      <c r="DD247" s="7" t="e">
        <f t="shared" ca="1" si="120"/>
        <v>#NAME?</v>
      </c>
      <c r="DE247" s="7" t="e">
        <f t="shared" ca="1" si="120"/>
        <v>#NAME?</v>
      </c>
      <c r="DF247" s="7" t="e">
        <f t="shared" ca="1" si="120"/>
        <v>#NAME?</v>
      </c>
      <c r="DG247" s="7" t="e">
        <f t="shared" ca="1" si="120"/>
        <v>#NAME?</v>
      </c>
      <c r="DH247" s="7" t="e">
        <f t="shared" ca="1" si="120"/>
        <v>#NAME?</v>
      </c>
      <c r="DI247" s="7" t="e">
        <f t="shared" ca="1" si="120"/>
        <v>#NAME?</v>
      </c>
      <c r="DJ247" s="7" t="e">
        <f t="shared" ca="1" si="120"/>
        <v>#NAME?</v>
      </c>
      <c r="DK247" s="7" t="e">
        <f t="shared" ca="1" si="120"/>
        <v>#NAME?</v>
      </c>
      <c r="DL247" s="7" t="e">
        <f t="shared" ca="1" si="120"/>
        <v>#NAME?</v>
      </c>
      <c r="DM247" s="7" t="e">
        <f t="shared" ca="1" si="120"/>
        <v>#NAME?</v>
      </c>
      <c r="DN247" s="7" t="e">
        <f t="shared" ca="1" si="120"/>
        <v>#NAME?</v>
      </c>
      <c r="DO247" s="7" t="e">
        <f t="shared" ca="1" si="120"/>
        <v>#NAME?</v>
      </c>
      <c r="DP247" s="7" t="e">
        <f t="shared" ca="1" si="120"/>
        <v>#NAME?</v>
      </c>
      <c r="DQ247" s="7" t="e">
        <f t="shared" ca="1" si="120"/>
        <v>#NAME?</v>
      </c>
      <c r="DR247" s="7" t="e">
        <f t="shared" ca="1" si="120"/>
        <v>#NAME?</v>
      </c>
      <c r="DS247" s="7" t="e">
        <f t="shared" ca="1" si="120"/>
        <v>#NAME?</v>
      </c>
      <c r="DT247" s="7" t="e">
        <f t="shared" ca="1" si="120"/>
        <v>#NAME?</v>
      </c>
      <c r="DU247" s="7" t="e">
        <f t="shared" ca="1" si="120"/>
        <v>#NAME?</v>
      </c>
      <c r="DV247" s="7" t="e">
        <f t="shared" ca="1" si="120"/>
        <v>#NAME?</v>
      </c>
      <c r="DW247" s="7" t="e">
        <f t="shared" ca="1" si="120"/>
        <v>#NAME?</v>
      </c>
      <c r="DX247" s="7" t="e">
        <f t="shared" ca="1" si="120"/>
        <v>#NAME?</v>
      </c>
      <c r="DY247" s="7" t="e">
        <f t="shared" ca="1" si="120"/>
        <v>#NAME?</v>
      </c>
      <c r="DZ247" s="7" t="e">
        <f t="shared" ca="1" si="120"/>
        <v>#NAME?</v>
      </c>
      <c r="EA247" s="7" t="e">
        <f t="shared" ca="1" si="120"/>
        <v>#NAME?</v>
      </c>
      <c r="EB247" s="7" t="e">
        <f t="shared" ca="1" si="120"/>
        <v>#NAME?</v>
      </c>
      <c r="EC247" s="7" t="e">
        <f t="shared" ca="1" si="120"/>
        <v>#NAME?</v>
      </c>
      <c r="ED247" s="7" t="e">
        <f t="shared" ca="1" si="120"/>
        <v>#NAME?</v>
      </c>
      <c r="EE247" s="7" t="e">
        <f t="shared" ca="1" si="120"/>
        <v>#NAME?</v>
      </c>
      <c r="EF247" s="7" t="e">
        <f t="shared" ca="1" si="120"/>
        <v>#NAME?</v>
      </c>
      <c r="EG247" s="7" t="e">
        <f t="shared" ca="1" si="120"/>
        <v>#NAME?</v>
      </c>
      <c r="EH247" s="7" t="e">
        <f t="shared" ca="1" si="120"/>
        <v>#NAME?</v>
      </c>
      <c r="EI247" s="7" t="e">
        <f t="shared" ca="1" si="120"/>
        <v>#NAME?</v>
      </c>
      <c r="EJ247" s="7" t="e">
        <f t="shared" ca="1" si="120"/>
        <v>#NAME?</v>
      </c>
      <c r="EK247" s="7" t="e">
        <f t="shared" ca="1" si="120"/>
        <v>#NAME?</v>
      </c>
      <c r="EL247" s="7" t="e">
        <f t="shared" ca="1" si="120"/>
        <v>#NAME?</v>
      </c>
      <c r="EM247" s="7" t="e">
        <f t="shared" ca="1" si="120"/>
        <v>#NAME?</v>
      </c>
      <c r="EN247" s="7" t="e">
        <f t="shared" ca="1" si="120"/>
        <v>#NAME?</v>
      </c>
      <c r="EO247" s="7" t="e">
        <f t="shared" ca="1" si="120"/>
        <v>#NAME?</v>
      </c>
      <c r="EP247" s="7" t="e">
        <f t="shared" ca="1" si="120"/>
        <v>#NAME?</v>
      </c>
      <c r="EQ247" s="7" t="e">
        <f t="shared" ca="1" si="120"/>
        <v>#NAME?</v>
      </c>
      <c r="ER247" s="7" t="e">
        <f t="shared" ca="1" si="120"/>
        <v>#NAME?</v>
      </c>
      <c r="ES247" s="7" t="e">
        <f t="shared" ca="1" si="120"/>
        <v>#NAME?</v>
      </c>
      <c r="ET247" s="7" t="e">
        <f t="shared" ca="1" si="120"/>
        <v>#NAME?</v>
      </c>
      <c r="EU247" s="7" t="e">
        <f t="shared" ca="1" si="120"/>
        <v>#NAME?</v>
      </c>
      <c r="EV247" s="7" t="e">
        <f t="shared" ca="1" si="120"/>
        <v>#NAME?</v>
      </c>
      <c r="EW247" s="7" t="e">
        <f t="shared" ca="1" si="120"/>
        <v>#NAME?</v>
      </c>
      <c r="EX247" s="7" t="e">
        <f t="shared" ca="1" si="120"/>
        <v>#NAME?</v>
      </c>
      <c r="EY247" s="7" t="e">
        <f t="shared" ca="1" si="120"/>
        <v>#NAME?</v>
      </c>
      <c r="EZ247" s="7" t="e">
        <f t="shared" ca="1" si="120"/>
        <v>#NAME?</v>
      </c>
      <c r="FA247" s="7" t="e">
        <f t="shared" ca="1" si="120"/>
        <v>#NAME?</v>
      </c>
      <c r="FB247" s="7" t="e">
        <f t="shared" ca="1" si="120"/>
        <v>#NAME?</v>
      </c>
      <c r="FC247" s="7" t="e">
        <f t="shared" ca="1" si="120"/>
        <v>#NAME?</v>
      </c>
      <c r="FD247" s="7" t="e">
        <f t="shared" ca="1" si="120"/>
        <v>#NAME?</v>
      </c>
      <c r="FE247" s="7" t="e">
        <f t="shared" ca="1" si="120"/>
        <v>#NAME?</v>
      </c>
      <c r="FF247" s="7" t="e">
        <f t="shared" ca="1" si="120"/>
        <v>#NAME?</v>
      </c>
      <c r="FG247" s="7" t="e">
        <f t="shared" ca="1" si="120"/>
        <v>#NAME?</v>
      </c>
      <c r="FH247" s="7" t="e">
        <f t="shared" ca="1" si="120"/>
        <v>#NAME?</v>
      </c>
      <c r="FI247" s="7" t="e">
        <f t="shared" ca="1" si="120"/>
        <v>#NAME?</v>
      </c>
      <c r="FJ247" s="7" t="e">
        <f t="shared" ca="1" si="120"/>
        <v>#NAME?</v>
      </c>
      <c r="FK247" s="7" t="e">
        <f t="shared" ca="1" si="120"/>
        <v>#NAME?</v>
      </c>
      <c r="FL247" s="7" t="e">
        <f t="shared" ca="1" si="120"/>
        <v>#NAME?</v>
      </c>
      <c r="FM247" s="7" t="e">
        <f t="shared" ca="1" si="120"/>
        <v>#NAME?</v>
      </c>
      <c r="FN247" s="7" t="e">
        <f t="shared" ca="1" si="120"/>
        <v>#NAME?</v>
      </c>
      <c r="FO247" s="7" t="e">
        <f t="shared" ca="1" si="120"/>
        <v>#NAME?</v>
      </c>
      <c r="FP247" s="7" t="e">
        <f t="shared" ca="1" si="120"/>
        <v>#NAME?</v>
      </c>
      <c r="FQ247" s="7" t="e">
        <f t="shared" ca="1" si="120"/>
        <v>#NAME?</v>
      </c>
      <c r="FR247" s="7" t="e">
        <f t="shared" ca="1" si="120"/>
        <v>#NAME?</v>
      </c>
      <c r="FS247" s="7" t="e">
        <f t="shared" ca="1" si="120"/>
        <v>#NAME?</v>
      </c>
      <c r="FT247" s="7" t="e">
        <f t="shared" ca="1" si="120"/>
        <v>#NAME?</v>
      </c>
      <c r="FU247" s="7" t="e">
        <f t="shared" ca="1" si="120"/>
        <v>#NAME?</v>
      </c>
      <c r="FV247" s="7" t="e">
        <f t="shared" ca="1" si="120"/>
        <v>#NAME?</v>
      </c>
      <c r="FW247" s="7" t="e">
        <f t="shared" ca="1" si="120"/>
        <v>#NAME?</v>
      </c>
      <c r="FX247" s="7" t="e">
        <f t="shared" ca="1" si="120"/>
        <v>#NAME?</v>
      </c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</row>
    <row r="248" spans="1:193" ht="15.5" x14ac:dyDescent="0.35">
      <c r="A248" s="12" t="s">
        <v>1020</v>
      </c>
      <c r="B248" s="7" t="s">
        <v>1021</v>
      </c>
      <c r="C248" s="7" t="e">
        <f t="shared" ref="C248:FX248" ca="1" si="121">IF(C209=C237,C68,0)</f>
        <v>#NAME?</v>
      </c>
      <c r="D248" s="7" t="e">
        <f t="shared" ca="1" si="121"/>
        <v>#NAME?</v>
      </c>
      <c r="E248" s="7" t="e">
        <f t="shared" ca="1" si="121"/>
        <v>#NAME?</v>
      </c>
      <c r="F248" s="7" t="e">
        <f t="shared" ca="1" si="121"/>
        <v>#NAME?</v>
      </c>
      <c r="G248" s="7" t="e">
        <f t="shared" ca="1" si="121"/>
        <v>#NAME?</v>
      </c>
      <c r="H248" s="7" t="e">
        <f t="shared" ca="1" si="121"/>
        <v>#NAME?</v>
      </c>
      <c r="I248" s="7" t="e">
        <f t="shared" ca="1" si="121"/>
        <v>#NAME?</v>
      </c>
      <c r="J248" s="7" t="e">
        <f t="shared" ca="1" si="121"/>
        <v>#NAME?</v>
      </c>
      <c r="K248" s="7" t="e">
        <f t="shared" ca="1" si="121"/>
        <v>#NAME?</v>
      </c>
      <c r="L248" s="7" t="e">
        <f t="shared" ca="1" si="121"/>
        <v>#NAME?</v>
      </c>
      <c r="M248" s="7" t="e">
        <f t="shared" ca="1" si="121"/>
        <v>#NAME?</v>
      </c>
      <c r="N248" s="7" t="e">
        <f t="shared" ca="1" si="121"/>
        <v>#NAME?</v>
      </c>
      <c r="O248" s="7" t="e">
        <f t="shared" ca="1" si="121"/>
        <v>#NAME?</v>
      </c>
      <c r="P248" s="7" t="e">
        <f t="shared" ca="1" si="121"/>
        <v>#NAME?</v>
      </c>
      <c r="Q248" s="7" t="e">
        <f t="shared" ca="1" si="121"/>
        <v>#NAME?</v>
      </c>
      <c r="R248" s="7" t="e">
        <f t="shared" ca="1" si="121"/>
        <v>#NAME?</v>
      </c>
      <c r="S248" s="7" t="e">
        <f t="shared" ca="1" si="121"/>
        <v>#NAME?</v>
      </c>
      <c r="T248" s="7" t="e">
        <f t="shared" ca="1" si="121"/>
        <v>#NAME?</v>
      </c>
      <c r="U248" s="7" t="e">
        <f t="shared" ca="1" si="121"/>
        <v>#NAME?</v>
      </c>
      <c r="V248" s="7" t="e">
        <f t="shared" ca="1" si="121"/>
        <v>#NAME?</v>
      </c>
      <c r="W248" s="7" t="e">
        <f t="shared" ca="1" si="121"/>
        <v>#NAME?</v>
      </c>
      <c r="X248" s="7" t="e">
        <f t="shared" ca="1" si="121"/>
        <v>#NAME?</v>
      </c>
      <c r="Y248" s="7" t="e">
        <f t="shared" ca="1" si="121"/>
        <v>#NAME?</v>
      </c>
      <c r="Z248" s="7" t="e">
        <f t="shared" ca="1" si="121"/>
        <v>#NAME?</v>
      </c>
      <c r="AA248" s="7" t="e">
        <f t="shared" ca="1" si="121"/>
        <v>#NAME?</v>
      </c>
      <c r="AB248" s="7" t="e">
        <f t="shared" ca="1" si="121"/>
        <v>#NAME?</v>
      </c>
      <c r="AC248" s="7" t="e">
        <f t="shared" ca="1" si="121"/>
        <v>#NAME?</v>
      </c>
      <c r="AD248" s="7" t="e">
        <f t="shared" ca="1" si="121"/>
        <v>#NAME?</v>
      </c>
      <c r="AE248" s="7" t="e">
        <f t="shared" ca="1" si="121"/>
        <v>#NAME?</v>
      </c>
      <c r="AF248" s="7" t="e">
        <f t="shared" ca="1" si="121"/>
        <v>#NAME?</v>
      </c>
      <c r="AG248" s="7" t="e">
        <f t="shared" ca="1" si="121"/>
        <v>#NAME?</v>
      </c>
      <c r="AH248" s="7" t="e">
        <f t="shared" ca="1" si="121"/>
        <v>#NAME?</v>
      </c>
      <c r="AI248" s="7" t="e">
        <f t="shared" ca="1" si="121"/>
        <v>#NAME?</v>
      </c>
      <c r="AJ248" s="7" t="e">
        <f t="shared" ca="1" si="121"/>
        <v>#NAME?</v>
      </c>
      <c r="AK248" s="7" t="e">
        <f t="shared" ca="1" si="121"/>
        <v>#NAME?</v>
      </c>
      <c r="AL248" s="7" t="e">
        <f t="shared" ca="1" si="121"/>
        <v>#NAME?</v>
      </c>
      <c r="AM248" s="7" t="e">
        <f t="shared" ca="1" si="121"/>
        <v>#NAME?</v>
      </c>
      <c r="AN248" s="7" t="e">
        <f t="shared" ca="1" si="121"/>
        <v>#NAME?</v>
      </c>
      <c r="AO248" s="7" t="e">
        <f t="shared" ca="1" si="121"/>
        <v>#NAME?</v>
      </c>
      <c r="AP248" s="7" t="e">
        <f t="shared" ca="1" si="121"/>
        <v>#NAME?</v>
      </c>
      <c r="AQ248" s="7" t="e">
        <f t="shared" ca="1" si="121"/>
        <v>#NAME?</v>
      </c>
      <c r="AR248" s="7" t="e">
        <f t="shared" ca="1" si="121"/>
        <v>#NAME?</v>
      </c>
      <c r="AS248" s="7" t="e">
        <f t="shared" ca="1" si="121"/>
        <v>#NAME?</v>
      </c>
      <c r="AT248" s="7" t="e">
        <f t="shared" ca="1" si="121"/>
        <v>#NAME?</v>
      </c>
      <c r="AU248" s="7" t="e">
        <f t="shared" ca="1" si="121"/>
        <v>#NAME?</v>
      </c>
      <c r="AV248" s="7" t="e">
        <f t="shared" ca="1" si="121"/>
        <v>#NAME?</v>
      </c>
      <c r="AW248" s="7" t="e">
        <f t="shared" ca="1" si="121"/>
        <v>#NAME?</v>
      </c>
      <c r="AX248" s="7" t="e">
        <f t="shared" ca="1" si="121"/>
        <v>#NAME?</v>
      </c>
      <c r="AY248" s="7" t="e">
        <f t="shared" ca="1" si="121"/>
        <v>#NAME?</v>
      </c>
      <c r="AZ248" s="7" t="e">
        <f t="shared" ca="1" si="121"/>
        <v>#NAME?</v>
      </c>
      <c r="BA248" s="7" t="e">
        <f t="shared" ca="1" si="121"/>
        <v>#NAME?</v>
      </c>
      <c r="BB248" s="7" t="e">
        <f t="shared" ca="1" si="121"/>
        <v>#NAME?</v>
      </c>
      <c r="BC248" s="7" t="e">
        <f t="shared" ca="1" si="121"/>
        <v>#NAME?</v>
      </c>
      <c r="BD248" s="7" t="e">
        <f t="shared" ca="1" si="121"/>
        <v>#NAME?</v>
      </c>
      <c r="BE248" s="7" t="e">
        <f t="shared" ca="1" si="121"/>
        <v>#NAME?</v>
      </c>
      <c r="BF248" s="7" t="e">
        <f t="shared" ca="1" si="121"/>
        <v>#NAME?</v>
      </c>
      <c r="BG248" s="7" t="e">
        <f t="shared" ca="1" si="121"/>
        <v>#NAME?</v>
      </c>
      <c r="BH248" s="7" t="e">
        <f t="shared" ca="1" si="121"/>
        <v>#NAME?</v>
      </c>
      <c r="BI248" s="7" t="e">
        <f t="shared" ca="1" si="121"/>
        <v>#NAME?</v>
      </c>
      <c r="BJ248" s="7" t="e">
        <f t="shared" ca="1" si="121"/>
        <v>#NAME?</v>
      </c>
      <c r="BK248" s="7" t="e">
        <f t="shared" ca="1" si="121"/>
        <v>#NAME?</v>
      </c>
      <c r="BL248" s="7" t="e">
        <f t="shared" ca="1" si="121"/>
        <v>#NAME?</v>
      </c>
      <c r="BM248" s="7" t="e">
        <f t="shared" ca="1" si="121"/>
        <v>#NAME?</v>
      </c>
      <c r="BN248" s="7" t="e">
        <f t="shared" ca="1" si="121"/>
        <v>#NAME?</v>
      </c>
      <c r="BO248" s="7" t="e">
        <f t="shared" ca="1" si="121"/>
        <v>#NAME?</v>
      </c>
      <c r="BP248" s="7" t="e">
        <f t="shared" ca="1" si="121"/>
        <v>#NAME?</v>
      </c>
      <c r="BQ248" s="7" t="e">
        <f t="shared" ca="1" si="121"/>
        <v>#NAME?</v>
      </c>
      <c r="BR248" s="7" t="e">
        <f t="shared" ca="1" si="121"/>
        <v>#NAME?</v>
      </c>
      <c r="BS248" s="7" t="e">
        <f t="shared" ca="1" si="121"/>
        <v>#NAME?</v>
      </c>
      <c r="BT248" s="7" t="e">
        <f t="shared" ca="1" si="121"/>
        <v>#NAME?</v>
      </c>
      <c r="BU248" s="7" t="e">
        <f t="shared" ca="1" si="121"/>
        <v>#NAME?</v>
      </c>
      <c r="BV248" s="7" t="e">
        <f t="shared" ca="1" si="121"/>
        <v>#NAME?</v>
      </c>
      <c r="BW248" s="7" t="e">
        <f t="shared" ca="1" si="121"/>
        <v>#NAME?</v>
      </c>
      <c r="BX248" s="7" t="e">
        <f t="shared" ca="1" si="121"/>
        <v>#NAME?</v>
      </c>
      <c r="BY248" s="7" t="e">
        <f t="shared" ca="1" si="121"/>
        <v>#NAME?</v>
      </c>
      <c r="BZ248" s="7" t="e">
        <f t="shared" ca="1" si="121"/>
        <v>#NAME?</v>
      </c>
      <c r="CA248" s="7" t="e">
        <f t="shared" ca="1" si="121"/>
        <v>#NAME?</v>
      </c>
      <c r="CB248" s="7" t="e">
        <f t="shared" ca="1" si="121"/>
        <v>#NAME?</v>
      </c>
      <c r="CC248" s="7" t="e">
        <f t="shared" ca="1" si="121"/>
        <v>#NAME?</v>
      </c>
      <c r="CD248" s="7" t="e">
        <f t="shared" ca="1" si="121"/>
        <v>#NAME?</v>
      </c>
      <c r="CE248" s="7" t="e">
        <f t="shared" ca="1" si="121"/>
        <v>#NAME?</v>
      </c>
      <c r="CF248" s="7" t="e">
        <f t="shared" ca="1" si="121"/>
        <v>#NAME?</v>
      </c>
      <c r="CG248" s="7" t="e">
        <f t="shared" ca="1" si="121"/>
        <v>#NAME?</v>
      </c>
      <c r="CH248" s="7" t="e">
        <f t="shared" ca="1" si="121"/>
        <v>#NAME?</v>
      </c>
      <c r="CI248" s="7" t="e">
        <f t="shared" ca="1" si="121"/>
        <v>#NAME?</v>
      </c>
      <c r="CJ248" s="7" t="e">
        <f t="shared" ca="1" si="121"/>
        <v>#NAME?</v>
      </c>
      <c r="CK248" s="7" t="e">
        <f t="shared" ca="1" si="121"/>
        <v>#NAME?</v>
      </c>
      <c r="CL248" s="7" t="e">
        <f t="shared" ca="1" si="121"/>
        <v>#NAME?</v>
      </c>
      <c r="CM248" s="7" t="e">
        <f t="shared" ca="1" si="121"/>
        <v>#NAME?</v>
      </c>
      <c r="CN248" s="7" t="e">
        <f t="shared" ca="1" si="121"/>
        <v>#NAME?</v>
      </c>
      <c r="CO248" s="7" t="e">
        <f t="shared" ca="1" si="121"/>
        <v>#NAME?</v>
      </c>
      <c r="CP248" s="7" t="e">
        <f t="shared" ca="1" si="121"/>
        <v>#NAME?</v>
      </c>
      <c r="CQ248" s="7" t="e">
        <f t="shared" ca="1" si="121"/>
        <v>#NAME?</v>
      </c>
      <c r="CR248" s="7" t="e">
        <f t="shared" ca="1" si="121"/>
        <v>#NAME?</v>
      </c>
      <c r="CS248" s="7" t="e">
        <f t="shared" ca="1" si="121"/>
        <v>#NAME?</v>
      </c>
      <c r="CT248" s="7" t="e">
        <f t="shared" ca="1" si="121"/>
        <v>#NAME?</v>
      </c>
      <c r="CU248" s="7" t="e">
        <f t="shared" ca="1" si="121"/>
        <v>#NAME?</v>
      </c>
      <c r="CV248" s="7" t="e">
        <f t="shared" ca="1" si="121"/>
        <v>#NAME?</v>
      </c>
      <c r="CW248" s="7" t="e">
        <f t="shared" ca="1" si="121"/>
        <v>#NAME?</v>
      </c>
      <c r="CX248" s="7" t="e">
        <f t="shared" ca="1" si="121"/>
        <v>#NAME?</v>
      </c>
      <c r="CY248" s="7" t="e">
        <f t="shared" ca="1" si="121"/>
        <v>#NAME?</v>
      </c>
      <c r="CZ248" s="7" t="e">
        <f t="shared" ca="1" si="121"/>
        <v>#NAME?</v>
      </c>
      <c r="DA248" s="7" t="e">
        <f t="shared" ca="1" si="121"/>
        <v>#NAME?</v>
      </c>
      <c r="DB248" s="7" t="e">
        <f t="shared" ca="1" si="121"/>
        <v>#NAME?</v>
      </c>
      <c r="DC248" s="7" t="e">
        <f t="shared" ca="1" si="121"/>
        <v>#NAME?</v>
      </c>
      <c r="DD248" s="7" t="e">
        <f t="shared" ca="1" si="121"/>
        <v>#NAME?</v>
      </c>
      <c r="DE248" s="7" t="e">
        <f t="shared" ca="1" si="121"/>
        <v>#NAME?</v>
      </c>
      <c r="DF248" s="7" t="e">
        <f t="shared" ca="1" si="121"/>
        <v>#NAME?</v>
      </c>
      <c r="DG248" s="7" t="e">
        <f t="shared" ca="1" si="121"/>
        <v>#NAME?</v>
      </c>
      <c r="DH248" s="7" t="e">
        <f t="shared" ca="1" si="121"/>
        <v>#NAME?</v>
      </c>
      <c r="DI248" s="7" t="e">
        <f t="shared" ca="1" si="121"/>
        <v>#NAME?</v>
      </c>
      <c r="DJ248" s="7" t="e">
        <f t="shared" ca="1" si="121"/>
        <v>#NAME?</v>
      </c>
      <c r="DK248" s="7" t="e">
        <f t="shared" ca="1" si="121"/>
        <v>#NAME?</v>
      </c>
      <c r="DL248" s="7" t="e">
        <f t="shared" ca="1" si="121"/>
        <v>#NAME?</v>
      </c>
      <c r="DM248" s="7" t="e">
        <f t="shared" ca="1" si="121"/>
        <v>#NAME?</v>
      </c>
      <c r="DN248" s="7" t="e">
        <f t="shared" ca="1" si="121"/>
        <v>#NAME?</v>
      </c>
      <c r="DO248" s="7" t="e">
        <f t="shared" ca="1" si="121"/>
        <v>#NAME?</v>
      </c>
      <c r="DP248" s="7" t="e">
        <f t="shared" ca="1" si="121"/>
        <v>#NAME?</v>
      </c>
      <c r="DQ248" s="7" t="e">
        <f t="shared" ca="1" si="121"/>
        <v>#NAME?</v>
      </c>
      <c r="DR248" s="7" t="e">
        <f t="shared" ca="1" si="121"/>
        <v>#NAME?</v>
      </c>
      <c r="DS248" s="7" t="e">
        <f t="shared" ca="1" si="121"/>
        <v>#NAME?</v>
      </c>
      <c r="DT248" s="7" t="e">
        <f t="shared" ca="1" si="121"/>
        <v>#NAME?</v>
      </c>
      <c r="DU248" s="7" t="e">
        <f t="shared" ca="1" si="121"/>
        <v>#NAME?</v>
      </c>
      <c r="DV248" s="7" t="e">
        <f t="shared" ca="1" si="121"/>
        <v>#NAME?</v>
      </c>
      <c r="DW248" s="7" t="e">
        <f t="shared" ca="1" si="121"/>
        <v>#NAME?</v>
      </c>
      <c r="DX248" s="7" t="e">
        <f t="shared" ca="1" si="121"/>
        <v>#NAME?</v>
      </c>
      <c r="DY248" s="7" t="e">
        <f t="shared" ca="1" si="121"/>
        <v>#NAME?</v>
      </c>
      <c r="DZ248" s="7" t="e">
        <f t="shared" ca="1" si="121"/>
        <v>#NAME?</v>
      </c>
      <c r="EA248" s="7" t="e">
        <f t="shared" ca="1" si="121"/>
        <v>#NAME?</v>
      </c>
      <c r="EB248" s="7" t="e">
        <f t="shared" ca="1" si="121"/>
        <v>#NAME?</v>
      </c>
      <c r="EC248" s="7" t="e">
        <f t="shared" ca="1" si="121"/>
        <v>#NAME?</v>
      </c>
      <c r="ED248" s="7" t="e">
        <f t="shared" ca="1" si="121"/>
        <v>#NAME?</v>
      </c>
      <c r="EE248" s="7" t="e">
        <f t="shared" ca="1" si="121"/>
        <v>#NAME?</v>
      </c>
      <c r="EF248" s="7" t="e">
        <f t="shared" ca="1" si="121"/>
        <v>#NAME?</v>
      </c>
      <c r="EG248" s="7" t="e">
        <f t="shared" ca="1" si="121"/>
        <v>#NAME?</v>
      </c>
      <c r="EH248" s="7" t="e">
        <f t="shared" ca="1" si="121"/>
        <v>#NAME?</v>
      </c>
      <c r="EI248" s="7" t="e">
        <f t="shared" ca="1" si="121"/>
        <v>#NAME?</v>
      </c>
      <c r="EJ248" s="7" t="e">
        <f t="shared" ca="1" si="121"/>
        <v>#NAME?</v>
      </c>
      <c r="EK248" s="7" t="e">
        <f t="shared" ca="1" si="121"/>
        <v>#NAME?</v>
      </c>
      <c r="EL248" s="7" t="e">
        <f t="shared" ca="1" si="121"/>
        <v>#NAME?</v>
      </c>
      <c r="EM248" s="7" t="e">
        <f t="shared" ca="1" si="121"/>
        <v>#NAME?</v>
      </c>
      <c r="EN248" s="7" t="e">
        <f t="shared" ca="1" si="121"/>
        <v>#NAME?</v>
      </c>
      <c r="EO248" s="7" t="e">
        <f t="shared" ca="1" si="121"/>
        <v>#NAME?</v>
      </c>
      <c r="EP248" s="7" t="e">
        <f t="shared" ca="1" si="121"/>
        <v>#NAME?</v>
      </c>
      <c r="EQ248" s="7" t="e">
        <f t="shared" ca="1" si="121"/>
        <v>#NAME?</v>
      </c>
      <c r="ER248" s="7" t="e">
        <f t="shared" ca="1" si="121"/>
        <v>#NAME?</v>
      </c>
      <c r="ES248" s="7" t="e">
        <f t="shared" ca="1" si="121"/>
        <v>#NAME?</v>
      </c>
      <c r="ET248" s="7" t="e">
        <f t="shared" ca="1" si="121"/>
        <v>#NAME?</v>
      </c>
      <c r="EU248" s="7" t="e">
        <f t="shared" ca="1" si="121"/>
        <v>#NAME?</v>
      </c>
      <c r="EV248" s="7" t="e">
        <f t="shared" ca="1" si="121"/>
        <v>#NAME?</v>
      </c>
      <c r="EW248" s="7" t="e">
        <f t="shared" ca="1" si="121"/>
        <v>#NAME?</v>
      </c>
      <c r="EX248" s="7" t="e">
        <f t="shared" ca="1" si="121"/>
        <v>#NAME?</v>
      </c>
      <c r="EY248" s="7" t="e">
        <f t="shared" ca="1" si="121"/>
        <v>#NAME?</v>
      </c>
      <c r="EZ248" s="7" t="e">
        <f t="shared" ca="1" si="121"/>
        <v>#NAME?</v>
      </c>
      <c r="FA248" s="7" t="e">
        <f t="shared" ca="1" si="121"/>
        <v>#NAME?</v>
      </c>
      <c r="FB248" s="7" t="e">
        <f t="shared" ca="1" si="121"/>
        <v>#NAME?</v>
      </c>
      <c r="FC248" s="7" t="e">
        <f t="shared" ca="1" si="121"/>
        <v>#NAME?</v>
      </c>
      <c r="FD248" s="7" t="e">
        <f t="shared" ca="1" si="121"/>
        <v>#NAME?</v>
      </c>
      <c r="FE248" s="7" t="e">
        <f t="shared" ca="1" si="121"/>
        <v>#NAME?</v>
      </c>
      <c r="FF248" s="7" t="e">
        <f t="shared" ca="1" si="121"/>
        <v>#NAME?</v>
      </c>
      <c r="FG248" s="7" t="e">
        <f t="shared" ca="1" si="121"/>
        <v>#NAME?</v>
      </c>
      <c r="FH248" s="7" t="e">
        <f t="shared" ca="1" si="121"/>
        <v>#NAME?</v>
      </c>
      <c r="FI248" s="7" t="e">
        <f t="shared" ca="1" si="121"/>
        <v>#NAME?</v>
      </c>
      <c r="FJ248" s="7" t="e">
        <f t="shared" ca="1" si="121"/>
        <v>#NAME?</v>
      </c>
      <c r="FK248" s="7" t="e">
        <f t="shared" ca="1" si="121"/>
        <v>#NAME?</v>
      </c>
      <c r="FL248" s="7" t="e">
        <f t="shared" ca="1" si="121"/>
        <v>#NAME?</v>
      </c>
      <c r="FM248" s="7" t="e">
        <f t="shared" ca="1" si="121"/>
        <v>#NAME?</v>
      </c>
      <c r="FN248" s="7" t="e">
        <f t="shared" ca="1" si="121"/>
        <v>#NAME?</v>
      </c>
      <c r="FO248" s="7" t="e">
        <f t="shared" ca="1" si="121"/>
        <v>#NAME?</v>
      </c>
      <c r="FP248" s="7" t="e">
        <f t="shared" ca="1" si="121"/>
        <v>#NAME?</v>
      </c>
      <c r="FQ248" s="7" t="e">
        <f t="shared" ca="1" si="121"/>
        <v>#NAME?</v>
      </c>
      <c r="FR248" s="7" t="e">
        <f t="shared" ca="1" si="121"/>
        <v>#NAME?</v>
      </c>
      <c r="FS248" s="7" t="e">
        <f t="shared" ca="1" si="121"/>
        <v>#NAME?</v>
      </c>
      <c r="FT248" s="7" t="e">
        <f t="shared" ca="1" si="121"/>
        <v>#NAME?</v>
      </c>
      <c r="FU248" s="7" t="e">
        <f t="shared" ca="1" si="121"/>
        <v>#NAME?</v>
      </c>
      <c r="FV248" s="7" t="e">
        <f t="shared" ca="1" si="121"/>
        <v>#NAME?</v>
      </c>
      <c r="FW248" s="7" t="e">
        <f t="shared" ca="1" si="121"/>
        <v>#NAME?</v>
      </c>
      <c r="FX248" s="7" t="e">
        <f t="shared" ca="1" si="121"/>
        <v>#NAME?</v>
      </c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</row>
    <row r="249" spans="1:193" ht="15.5" x14ac:dyDescent="0.35">
      <c r="A249" s="12" t="s">
        <v>1022</v>
      </c>
      <c r="B249" s="7" t="s">
        <v>1023</v>
      </c>
      <c r="C249" s="7" t="e">
        <f t="shared" ref="C249:FX249" ca="1" si="122">IF(MIN((C245-C247),(C248-C247))&gt;0,ROUND(MIN((C245-C247),(C248-C247)),2),0)</f>
        <v>#NAME?</v>
      </c>
      <c r="D249" s="7" t="e">
        <f t="shared" ca="1" si="122"/>
        <v>#NAME?</v>
      </c>
      <c r="E249" s="7" t="e">
        <f t="shared" ca="1" si="122"/>
        <v>#NAME?</v>
      </c>
      <c r="F249" s="7" t="e">
        <f t="shared" ca="1" si="122"/>
        <v>#NAME?</v>
      </c>
      <c r="G249" s="7" t="e">
        <f t="shared" ca="1" si="122"/>
        <v>#NAME?</v>
      </c>
      <c r="H249" s="7" t="e">
        <f t="shared" ca="1" si="122"/>
        <v>#NAME?</v>
      </c>
      <c r="I249" s="7" t="e">
        <f t="shared" ca="1" si="122"/>
        <v>#NAME?</v>
      </c>
      <c r="J249" s="7" t="e">
        <f t="shared" ca="1" si="122"/>
        <v>#NAME?</v>
      </c>
      <c r="K249" s="7" t="e">
        <f t="shared" ca="1" si="122"/>
        <v>#NAME?</v>
      </c>
      <c r="L249" s="7" t="e">
        <f t="shared" ca="1" si="122"/>
        <v>#NAME?</v>
      </c>
      <c r="M249" s="7" t="e">
        <f t="shared" ca="1" si="122"/>
        <v>#NAME?</v>
      </c>
      <c r="N249" s="7" t="e">
        <f t="shared" ca="1" si="122"/>
        <v>#NAME?</v>
      </c>
      <c r="O249" s="7" t="e">
        <f t="shared" ca="1" si="122"/>
        <v>#NAME?</v>
      </c>
      <c r="P249" s="7" t="e">
        <f t="shared" ca="1" si="122"/>
        <v>#NAME?</v>
      </c>
      <c r="Q249" s="7" t="e">
        <f t="shared" ca="1" si="122"/>
        <v>#NAME?</v>
      </c>
      <c r="R249" s="7" t="e">
        <f t="shared" ca="1" si="122"/>
        <v>#NAME?</v>
      </c>
      <c r="S249" s="7" t="e">
        <f t="shared" ca="1" si="122"/>
        <v>#NAME?</v>
      </c>
      <c r="T249" s="7" t="e">
        <f t="shared" ca="1" si="122"/>
        <v>#NAME?</v>
      </c>
      <c r="U249" s="7" t="e">
        <f t="shared" ca="1" si="122"/>
        <v>#NAME?</v>
      </c>
      <c r="V249" s="7" t="e">
        <f t="shared" ca="1" si="122"/>
        <v>#NAME?</v>
      </c>
      <c r="W249" s="7" t="e">
        <f t="shared" ca="1" si="122"/>
        <v>#NAME?</v>
      </c>
      <c r="X249" s="7" t="e">
        <f t="shared" ca="1" si="122"/>
        <v>#NAME?</v>
      </c>
      <c r="Y249" s="7" t="e">
        <f t="shared" ca="1" si="122"/>
        <v>#NAME?</v>
      </c>
      <c r="Z249" s="7" t="e">
        <f t="shared" ca="1" si="122"/>
        <v>#NAME?</v>
      </c>
      <c r="AA249" s="7" t="e">
        <f t="shared" ca="1" si="122"/>
        <v>#NAME?</v>
      </c>
      <c r="AB249" s="7" t="e">
        <f t="shared" ca="1" si="122"/>
        <v>#NAME?</v>
      </c>
      <c r="AC249" s="7" t="e">
        <f t="shared" ca="1" si="122"/>
        <v>#NAME?</v>
      </c>
      <c r="AD249" s="7" t="e">
        <f t="shared" ca="1" si="122"/>
        <v>#NAME?</v>
      </c>
      <c r="AE249" s="7" t="e">
        <f t="shared" ca="1" si="122"/>
        <v>#NAME?</v>
      </c>
      <c r="AF249" s="7" t="e">
        <f t="shared" ca="1" si="122"/>
        <v>#NAME?</v>
      </c>
      <c r="AG249" s="7" t="e">
        <f t="shared" ca="1" si="122"/>
        <v>#NAME?</v>
      </c>
      <c r="AH249" s="7" t="e">
        <f t="shared" ca="1" si="122"/>
        <v>#NAME?</v>
      </c>
      <c r="AI249" s="7" t="e">
        <f t="shared" ca="1" si="122"/>
        <v>#NAME?</v>
      </c>
      <c r="AJ249" s="7" t="e">
        <f t="shared" ca="1" si="122"/>
        <v>#NAME?</v>
      </c>
      <c r="AK249" s="7" t="e">
        <f t="shared" ca="1" si="122"/>
        <v>#NAME?</v>
      </c>
      <c r="AL249" s="7" t="e">
        <f t="shared" ca="1" si="122"/>
        <v>#NAME?</v>
      </c>
      <c r="AM249" s="7" t="e">
        <f t="shared" ca="1" si="122"/>
        <v>#NAME?</v>
      </c>
      <c r="AN249" s="7" t="e">
        <f t="shared" ca="1" si="122"/>
        <v>#NAME?</v>
      </c>
      <c r="AO249" s="7" t="e">
        <f t="shared" ca="1" si="122"/>
        <v>#NAME?</v>
      </c>
      <c r="AP249" s="7" t="e">
        <f t="shared" ca="1" si="122"/>
        <v>#NAME?</v>
      </c>
      <c r="AQ249" s="7" t="e">
        <f t="shared" ca="1" si="122"/>
        <v>#NAME?</v>
      </c>
      <c r="AR249" s="7" t="e">
        <f t="shared" ca="1" si="122"/>
        <v>#NAME?</v>
      </c>
      <c r="AS249" s="7" t="e">
        <f t="shared" ca="1" si="122"/>
        <v>#NAME?</v>
      </c>
      <c r="AT249" s="7" t="e">
        <f t="shared" ca="1" si="122"/>
        <v>#NAME?</v>
      </c>
      <c r="AU249" s="7" t="e">
        <f t="shared" ca="1" si="122"/>
        <v>#NAME?</v>
      </c>
      <c r="AV249" s="7" t="e">
        <f t="shared" ca="1" si="122"/>
        <v>#NAME?</v>
      </c>
      <c r="AW249" s="7" t="e">
        <f t="shared" ca="1" si="122"/>
        <v>#NAME?</v>
      </c>
      <c r="AX249" s="7" t="e">
        <f t="shared" ca="1" si="122"/>
        <v>#NAME?</v>
      </c>
      <c r="AY249" s="7" t="e">
        <f t="shared" ca="1" si="122"/>
        <v>#NAME?</v>
      </c>
      <c r="AZ249" s="7" t="e">
        <f t="shared" ca="1" si="122"/>
        <v>#NAME?</v>
      </c>
      <c r="BA249" s="7" t="e">
        <f t="shared" ca="1" si="122"/>
        <v>#NAME?</v>
      </c>
      <c r="BB249" s="7" t="e">
        <f t="shared" ca="1" si="122"/>
        <v>#NAME?</v>
      </c>
      <c r="BC249" s="7" t="e">
        <f t="shared" ca="1" si="122"/>
        <v>#NAME?</v>
      </c>
      <c r="BD249" s="7" t="e">
        <f t="shared" ca="1" si="122"/>
        <v>#NAME?</v>
      </c>
      <c r="BE249" s="7" t="e">
        <f t="shared" ca="1" si="122"/>
        <v>#NAME?</v>
      </c>
      <c r="BF249" s="7" t="e">
        <f t="shared" ca="1" si="122"/>
        <v>#NAME?</v>
      </c>
      <c r="BG249" s="7" t="e">
        <f t="shared" ca="1" si="122"/>
        <v>#NAME?</v>
      </c>
      <c r="BH249" s="7" t="e">
        <f t="shared" ca="1" si="122"/>
        <v>#NAME?</v>
      </c>
      <c r="BI249" s="7" t="e">
        <f t="shared" ca="1" si="122"/>
        <v>#NAME?</v>
      </c>
      <c r="BJ249" s="7" t="e">
        <f t="shared" ca="1" si="122"/>
        <v>#NAME?</v>
      </c>
      <c r="BK249" s="7" t="e">
        <f t="shared" ca="1" si="122"/>
        <v>#NAME?</v>
      </c>
      <c r="BL249" s="7" t="e">
        <f t="shared" ca="1" si="122"/>
        <v>#NAME?</v>
      </c>
      <c r="BM249" s="7" t="e">
        <f t="shared" ca="1" si="122"/>
        <v>#NAME?</v>
      </c>
      <c r="BN249" s="7" t="e">
        <f t="shared" ca="1" si="122"/>
        <v>#NAME?</v>
      </c>
      <c r="BO249" s="7" t="e">
        <f t="shared" ca="1" si="122"/>
        <v>#NAME?</v>
      </c>
      <c r="BP249" s="7" t="e">
        <f t="shared" ca="1" si="122"/>
        <v>#NAME?</v>
      </c>
      <c r="BQ249" s="7" t="e">
        <f t="shared" ca="1" si="122"/>
        <v>#NAME?</v>
      </c>
      <c r="BR249" s="7" t="e">
        <f t="shared" ca="1" si="122"/>
        <v>#NAME?</v>
      </c>
      <c r="BS249" s="7" t="e">
        <f t="shared" ca="1" si="122"/>
        <v>#NAME?</v>
      </c>
      <c r="BT249" s="7" t="e">
        <f t="shared" ca="1" si="122"/>
        <v>#NAME?</v>
      </c>
      <c r="BU249" s="7" t="e">
        <f t="shared" ca="1" si="122"/>
        <v>#NAME?</v>
      </c>
      <c r="BV249" s="7" t="e">
        <f t="shared" ca="1" si="122"/>
        <v>#NAME?</v>
      </c>
      <c r="BW249" s="7" t="e">
        <f t="shared" ca="1" si="122"/>
        <v>#NAME?</v>
      </c>
      <c r="BX249" s="7" t="e">
        <f t="shared" ca="1" si="122"/>
        <v>#NAME?</v>
      </c>
      <c r="BY249" s="7" t="e">
        <f t="shared" ca="1" si="122"/>
        <v>#NAME?</v>
      </c>
      <c r="BZ249" s="7" t="e">
        <f t="shared" ca="1" si="122"/>
        <v>#NAME?</v>
      </c>
      <c r="CA249" s="7" t="e">
        <f t="shared" ca="1" si="122"/>
        <v>#NAME?</v>
      </c>
      <c r="CB249" s="7" t="e">
        <f t="shared" ca="1" si="122"/>
        <v>#NAME?</v>
      </c>
      <c r="CC249" s="7" t="e">
        <f t="shared" ca="1" si="122"/>
        <v>#NAME?</v>
      </c>
      <c r="CD249" s="7" t="e">
        <f t="shared" ca="1" si="122"/>
        <v>#NAME?</v>
      </c>
      <c r="CE249" s="7" t="e">
        <f t="shared" ca="1" si="122"/>
        <v>#NAME?</v>
      </c>
      <c r="CF249" s="7" t="e">
        <f t="shared" ca="1" si="122"/>
        <v>#NAME?</v>
      </c>
      <c r="CG249" s="7" t="e">
        <f t="shared" ca="1" si="122"/>
        <v>#NAME?</v>
      </c>
      <c r="CH249" s="7" t="e">
        <f t="shared" ca="1" si="122"/>
        <v>#NAME?</v>
      </c>
      <c r="CI249" s="7" t="e">
        <f t="shared" ca="1" si="122"/>
        <v>#NAME?</v>
      </c>
      <c r="CJ249" s="7" t="e">
        <f t="shared" ca="1" si="122"/>
        <v>#NAME?</v>
      </c>
      <c r="CK249" s="7" t="e">
        <f t="shared" ca="1" si="122"/>
        <v>#NAME?</v>
      </c>
      <c r="CL249" s="7" t="e">
        <f t="shared" ca="1" si="122"/>
        <v>#NAME?</v>
      </c>
      <c r="CM249" s="7" t="e">
        <f t="shared" ca="1" si="122"/>
        <v>#NAME?</v>
      </c>
      <c r="CN249" s="7" t="e">
        <f t="shared" ca="1" si="122"/>
        <v>#NAME?</v>
      </c>
      <c r="CO249" s="7" t="e">
        <f t="shared" ca="1" si="122"/>
        <v>#NAME?</v>
      </c>
      <c r="CP249" s="7" t="e">
        <f t="shared" ca="1" si="122"/>
        <v>#NAME?</v>
      </c>
      <c r="CQ249" s="7" t="e">
        <f t="shared" ca="1" si="122"/>
        <v>#NAME?</v>
      </c>
      <c r="CR249" s="7" t="e">
        <f t="shared" ca="1" si="122"/>
        <v>#NAME?</v>
      </c>
      <c r="CS249" s="7" t="e">
        <f t="shared" ca="1" si="122"/>
        <v>#NAME?</v>
      </c>
      <c r="CT249" s="7" t="e">
        <f t="shared" ca="1" si="122"/>
        <v>#NAME?</v>
      </c>
      <c r="CU249" s="7" t="e">
        <f t="shared" ca="1" si="122"/>
        <v>#NAME?</v>
      </c>
      <c r="CV249" s="7" t="e">
        <f t="shared" ca="1" si="122"/>
        <v>#NAME?</v>
      </c>
      <c r="CW249" s="7" t="e">
        <f t="shared" ca="1" si="122"/>
        <v>#NAME?</v>
      </c>
      <c r="CX249" s="7" t="e">
        <f t="shared" ca="1" si="122"/>
        <v>#NAME?</v>
      </c>
      <c r="CY249" s="7" t="e">
        <f t="shared" ca="1" si="122"/>
        <v>#NAME?</v>
      </c>
      <c r="CZ249" s="7" t="e">
        <f t="shared" ca="1" si="122"/>
        <v>#NAME?</v>
      </c>
      <c r="DA249" s="7" t="e">
        <f t="shared" ca="1" si="122"/>
        <v>#NAME?</v>
      </c>
      <c r="DB249" s="7" t="e">
        <f t="shared" ca="1" si="122"/>
        <v>#NAME?</v>
      </c>
      <c r="DC249" s="7" t="e">
        <f t="shared" ca="1" si="122"/>
        <v>#NAME?</v>
      </c>
      <c r="DD249" s="7" t="e">
        <f t="shared" ca="1" si="122"/>
        <v>#NAME?</v>
      </c>
      <c r="DE249" s="7" t="e">
        <f t="shared" ca="1" si="122"/>
        <v>#NAME?</v>
      </c>
      <c r="DF249" s="7" t="e">
        <f t="shared" ca="1" si="122"/>
        <v>#NAME?</v>
      </c>
      <c r="DG249" s="7" t="e">
        <f t="shared" ca="1" si="122"/>
        <v>#NAME?</v>
      </c>
      <c r="DH249" s="7" t="e">
        <f t="shared" ca="1" si="122"/>
        <v>#NAME?</v>
      </c>
      <c r="DI249" s="7" t="e">
        <f t="shared" ca="1" si="122"/>
        <v>#NAME?</v>
      </c>
      <c r="DJ249" s="7" t="e">
        <f t="shared" ca="1" si="122"/>
        <v>#NAME?</v>
      </c>
      <c r="DK249" s="7" t="e">
        <f t="shared" ca="1" si="122"/>
        <v>#NAME?</v>
      </c>
      <c r="DL249" s="7" t="e">
        <f t="shared" ca="1" si="122"/>
        <v>#NAME?</v>
      </c>
      <c r="DM249" s="7" t="e">
        <f t="shared" ca="1" si="122"/>
        <v>#NAME?</v>
      </c>
      <c r="DN249" s="7" t="e">
        <f t="shared" ca="1" si="122"/>
        <v>#NAME?</v>
      </c>
      <c r="DO249" s="7" t="e">
        <f t="shared" ca="1" si="122"/>
        <v>#NAME?</v>
      </c>
      <c r="DP249" s="7" t="e">
        <f t="shared" ca="1" si="122"/>
        <v>#NAME?</v>
      </c>
      <c r="DQ249" s="7" t="e">
        <f t="shared" ca="1" si="122"/>
        <v>#NAME?</v>
      </c>
      <c r="DR249" s="7" t="e">
        <f t="shared" ca="1" si="122"/>
        <v>#NAME?</v>
      </c>
      <c r="DS249" s="7" t="e">
        <f t="shared" ca="1" si="122"/>
        <v>#NAME?</v>
      </c>
      <c r="DT249" s="7" t="e">
        <f t="shared" ca="1" si="122"/>
        <v>#NAME?</v>
      </c>
      <c r="DU249" s="7" t="e">
        <f t="shared" ca="1" si="122"/>
        <v>#NAME?</v>
      </c>
      <c r="DV249" s="7" t="e">
        <f t="shared" ca="1" si="122"/>
        <v>#NAME?</v>
      </c>
      <c r="DW249" s="7" t="e">
        <f t="shared" ca="1" si="122"/>
        <v>#NAME?</v>
      </c>
      <c r="DX249" s="7" t="e">
        <f t="shared" ca="1" si="122"/>
        <v>#NAME?</v>
      </c>
      <c r="DY249" s="7" t="e">
        <f t="shared" ca="1" si="122"/>
        <v>#NAME?</v>
      </c>
      <c r="DZ249" s="7" t="e">
        <f t="shared" ca="1" si="122"/>
        <v>#NAME?</v>
      </c>
      <c r="EA249" s="7" t="e">
        <f t="shared" ca="1" si="122"/>
        <v>#NAME?</v>
      </c>
      <c r="EB249" s="7" t="e">
        <f t="shared" ca="1" si="122"/>
        <v>#NAME?</v>
      </c>
      <c r="EC249" s="7" t="e">
        <f t="shared" ca="1" si="122"/>
        <v>#NAME?</v>
      </c>
      <c r="ED249" s="7" t="e">
        <f t="shared" ca="1" si="122"/>
        <v>#NAME?</v>
      </c>
      <c r="EE249" s="7" t="e">
        <f t="shared" ca="1" si="122"/>
        <v>#NAME?</v>
      </c>
      <c r="EF249" s="7" t="e">
        <f t="shared" ca="1" si="122"/>
        <v>#NAME?</v>
      </c>
      <c r="EG249" s="7" t="e">
        <f t="shared" ca="1" si="122"/>
        <v>#NAME?</v>
      </c>
      <c r="EH249" s="7" t="e">
        <f t="shared" ca="1" si="122"/>
        <v>#NAME?</v>
      </c>
      <c r="EI249" s="7" t="e">
        <f t="shared" ca="1" si="122"/>
        <v>#NAME?</v>
      </c>
      <c r="EJ249" s="7" t="e">
        <f t="shared" ca="1" si="122"/>
        <v>#NAME?</v>
      </c>
      <c r="EK249" s="7" t="e">
        <f t="shared" ca="1" si="122"/>
        <v>#NAME?</v>
      </c>
      <c r="EL249" s="7" t="e">
        <f t="shared" ca="1" si="122"/>
        <v>#NAME?</v>
      </c>
      <c r="EM249" s="7" t="e">
        <f t="shared" ca="1" si="122"/>
        <v>#NAME?</v>
      </c>
      <c r="EN249" s="7" t="e">
        <f t="shared" ca="1" si="122"/>
        <v>#NAME?</v>
      </c>
      <c r="EO249" s="7" t="e">
        <f t="shared" ca="1" si="122"/>
        <v>#NAME?</v>
      </c>
      <c r="EP249" s="7" t="e">
        <f t="shared" ca="1" si="122"/>
        <v>#NAME?</v>
      </c>
      <c r="EQ249" s="7" t="e">
        <f t="shared" ca="1" si="122"/>
        <v>#NAME?</v>
      </c>
      <c r="ER249" s="7" t="e">
        <f t="shared" ca="1" si="122"/>
        <v>#NAME?</v>
      </c>
      <c r="ES249" s="7" t="e">
        <f t="shared" ca="1" si="122"/>
        <v>#NAME?</v>
      </c>
      <c r="ET249" s="7" t="e">
        <f t="shared" ca="1" si="122"/>
        <v>#NAME?</v>
      </c>
      <c r="EU249" s="7" t="e">
        <f t="shared" ca="1" si="122"/>
        <v>#NAME?</v>
      </c>
      <c r="EV249" s="7" t="e">
        <f t="shared" ca="1" si="122"/>
        <v>#NAME?</v>
      </c>
      <c r="EW249" s="7" t="e">
        <f t="shared" ca="1" si="122"/>
        <v>#NAME?</v>
      </c>
      <c r="EX249" s="7" t="e">
        <f t="shared" ca="1" si="122"/>
        <v>#NAME?</v>
      </c>
      <c r="EY249" s="7" t="e">
        <f t="shared" ca="1" si="122"/>
        <v>#NAME?</v>
      </c>
      <c r="EZ249" s="7" t="e">
        <f t="shared" ca="1" si="122"/>
        <v>#NAME?</v>
      </c>
      <c r="FA249" s="7" t="e">
        <f t="shared" ca="1" si="122"/>
        <v>#NAME?</v>
      </c>
      <c r="FB249" s="7" t="e">
        <f t="shared" ca="1" si="122"/>
        <v>#NAME?</v>
      </c>
      <c r="FC249" s="7" t="e">
        <f t="shared" ca="1" si="122"/>
        <v>#NAME?</v>
      </c>
      <c r="FD249" s="7" t="e">
        <f t="shared" ca="1" si="122"/>
        <v>#NAME?</v>
      </c>
      <c r="FE249" s="7" t="e">
        <f t="shared" ca="1" si="122"/>
        <v>#NAME?</v>
      </c>
      <c r="FF249" s="7" t="e">
        <f t="shared" ca="1" si="122"/>
        <v>#NAME?</v>
      </c>
      <c r="FG249" s="7" t="e">
        <f t="shared" ca="1" si="122"/>
        <v>#NAME?</v>
      </c>
      <c r="FH249" s="7" t="e">
        <f t="shared" ca="1" si="122"/>
        <v>#NAME?</v>
      </c>
      <c r="FI249" s="7" t="e">
        <f t="shared" ca="1" si="122"/>
        <v>#NAME?</v>
      </c>
      <c r="FJ249" s="7" t="e">
        <f t="shared" ca="1" si="122"/>
        <v>#NAME?</v>
      </c>
      <c r="FK249" s="7" t="e">
        <f t="shared" ca="1" si="122"/>
        <v>#NAME?</v>
      </c>
      <c r="FL249" s="7" t="e">
        <f t="shared" ca="1" si="122"/>
        <v>#NAME?</v>
      </c>
      <c r="FM249" s="7" t="e">
        <f t="shared" ca="1" si="122"/>
        <v>#NAME?</v>
      </c>
      <c r="FN249" s="7" t="e">
        <f t="shared" ca="1" si="122"/>
        <v>#NAME?</v>
      </c>
      <c r="FO249" s="7" t="e">
        <f t="shared" ca="1" si="122"/>
        <v>#NAME?</v>
      </c>
      <c r="FP249" s="7" t="e">
        <f t="shared" ca="1" si="122"/>
        <v>#NAME?</v>
      </c>
      <c r="FQ249" s="7" t="e">
        <f t="shared" ca="1" si="122"/>
        <v>#NAME?</v>
      </c>
      <c r="FR249" s="7" t="e">
        <f t="shared" ca="1" si="122"/>
        <v>#NAME?</v>
      </c>
      <c r="FS249" s="7" t="e">
        <f t="shared" ca="1" si="122"/>
        <v>#NAME?</v>
      </c>
      <c r="FT249" s="7" t="e">
        <f t="shared" ca="1" si="122"/>
        <v>#NAME?</v>
      </c>
      <c r="FU249" s="7" t="e">
        <f t="shared" ca="1" si="122"/>
        <v>#NAME?</v>
      </c>
      <c r="FV249" s="7" t="e">
        <f t="shared" ca="1" si="122"/>
        <v>#NAME?</v>
      </c>
      <c r="FW249" s="7" t="e">
        <f t="shared" ca="1" si="122"/>
        <v>#NAME?</v>
      </c>
      <c r="FX249" s="7" t="e">
        <f t="shared" ca="1" si="122"/>
        <v>#NAME?</v>
      </c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</row>
    <row r="250" spans="1:193" ht="15.5" x14ac:dyDescent="0.35">
      <c r="A250" s="7"/>
      <c r="B250" s="7" t="s">
        <v>1024</v>
      </c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</row>
    <row r="251" spans="1:193" ht="15.5" x14ac:dyDescent="0.35">
      <c r="A251" s="7"/>
      <c r="B251" s="7" t="s">
        <v>1025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</row>
    <row r="252" spans="1:193" ht="15.5" x14ac:dyDescent="0.35">
      <c r="A252" s="7"/>
      <c r="B252" s="7" t="s">
        <v>1026</v>
      </c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</row>
    <row r="253" spans="1:193" ht="15.5" x14ac:dyDescent="0.35">
      <c r="A253" s="12" t="s">
        <v>1027</v>
      </c>
      <c r="B253" s="7" t="s">
        <v>1028</v>
      </c>
      <c r="C253" s="7" t="e">
        <f t="shared" ref="C253:FX253" ca="1" si="123">MIN(C73,C249)</f>
        <v>#NAME?</v>
      </c>
      <c r="D253" s="7" t="e">
        <f t="shared" ca="1" si="123"/>
        <v>#NAME?</v>
      </c>
      <c r="E253" s="7" t="e">
        <f t="shared" ca="1" si="123"/>
        <v>#NAME?</v>
      </c>
      <c r="F253" s="7" t="e">
        <f t="shared" ca="1" si="123"/>
        <v>#NAME?</v>
      </c>
      <c r="G253" s="7" t="e">
        <f t="shared" ca="1" si="123"/>
        <v>#NAME?</v>
      </c>
      <c r="H253" s="7" t="e">
        <f t="shared" ca="1" si="123"/>
        <v>#NAME?</v>
      </c>
      <c r="I253" s="7" t="e">
        <f t="shared" ca="1" si="123"/>
        <v>#NAME?</v>
      </c>
      <c r="J253" s="7" t="e">
        <f t="shared" ca="1" si="123"/>
        <v>#NAME?</v>
      </c>
      <c r="K253" s="7" t="e">
        <f t="shared" ca="1" si="123"/>
        <v>#NAME?</v>
      </c>
      <c r="L253" s="7" t="e">
        <f t="shared" ca="1" si="123"/>
        <v>#NAME?</v>
      </c>
      <c r="M253" s="7" t="e">
        <f t="shared" ca="1" si="123"/>
        <v>#NAME?</v>
      </c>
      <c r="N253" s="7" t="e">
        <f t="shared" ca="1" si="123"/>
        <v>#NAME?</v>
      </c>
      <c r="O253" s="7" t="e">
        <f t="shared" ca="1" si="123"/>
        <v>#NAME?</v>
      </c>
      <c r="P253" s="7" t="e">
        <f t="shared" ca="1" si="123"/>
        <v>#NAME?</v>
      </c>
      <c r="Q253" s="7" t="e">
        <f t="shared" ca="1" si="123"/>
        <v>#NAME?</v>
      </c>
      <c r="R253" s="7" t="e">
        <f t="shared" ca="1" si="123"/>
        <v>#NAME?</v>
      </c>
      <c r="S253" s="7" t="e">
        <f t="shared" ca="1" si="123"/>
        <v>#NAME?</v>
      </c>
      <c r="T253" s="7" t="e">
        <f t="shared" ca="1" si="123"/>
        <v>#NAME?</v>
      </c>
      <c r="U253" s="7" t="e">
        <f t="shared" ca="1" si="123"/>
        <v>#NAME?</v>
      </c>
      <c r="V253" s="7" t="e">
        <f t="shared" ca="1" si="123"/>
        <v>#NAME?</v>
      </c>
      <c r="W253" s="7" t="e">
        <f t="shared" ca="1" si="123"/>
        <v>#NAME?</v>
      </c>
      <c r="X253" s="7" t="e">
        <f t="shared" ca="1" si="123"/>
        <v>#NAME?</v>
      </c>
      <c r="Y253" s="7" t="e">
        <f t="shared" ca="1" si="123"/>
        <v>#NAME?</v>
      </c>
      <c r="Z253" s="7" t="e">
        <f t="shared" ca="1" si="123"/>
        <v>#NAME?</v>
      </c>
      <c r="AA253" s="7" t="e">
        <f t="shared" ca="1" si="123"/>
        <v>#NAME?</v>
      </c>
      <c r="AB253" s="7" t="e">
        <f t="shared" ca="1" si="123"/>
        <v>#NAME?</v>
      </c>
      <c r="AC253" s="7" t="e">
        <f t="shared" ca="1" si="123"/>
        <v>#NAME?</v>
      </c>
      <c r="AD253" s="7" t="e">
        <f t="shared" ca="1" si="123"/>
        <v>#NAME?</v>
      </c>
      <c r="AE253" s="7" t="e">
        <f t="shared" ca="1" si="123"/>
        <v>#NAME?</v>
      </c>
      <c r="AF253" s="7" t="e">
        <f t="shared" ca="1" si="123"/>
        <v>#NAME?</v>
      </c>
      <c r="AG253" s="7" t="e">
        <f t="shared" ca="1" si="123"/>
        <v>#NAME?</v>
      </c>
      <c r="AH253" s="7" t="e">
        <f t="shared" ca="1" si="123"/>
        <v>#NAME?</v>
      </c>
      <c r="AI253" s="7" t="e">
        <f t="shared" ca="1" si="123"/>
        <v>#NAME?</v>
      </c>
      <c r="AJ253" s="7" t="e">
        <f t="shared" ca="1" si="123"/>
        <v>#NAME?</v>
      </c>
      <c r="AK253" s="7" t="e">
        <f t="shared" ca="1" si="123"/>
        <v>#NAME?</v>
      </c>
      <c r="AL253" s="7" t="e">
        <f t="shared" ca="1" si="123"/>
        <v>#NAME?</v>
      </c>
      <c r="AM253" s="7" t="e">
        <f t="shared" ca="1" si="123"/>
        <v>#NAME?</v>
      </c>
      <c r="AN253" s="7" t="e">
        <f t="shared" ca="1" si="123"/>
        <v>#NAME?</v>
      </c>
      <c r="AO253" s="7" t="e">
        <f t="shared" ca="1" si="123"/>
        <v>#NAME?</v>
      </c>
      <c r="AP253" s="7" t="e">
        <f t="shared" ca="1" si="123"/>
        <v>#NAME?</v>
      </c>
      <c r="AQ253" s="7" t="e">
        <f t="shared" ca="1" si="123"/>
        <v>#NAME?</v>
      </c>
      <c r="AR253" s="7" t="e">
        <f t="shared" ca="1" si="123"/>
        <v>#NAME?</v>
      </c>
      <c r="AS253" s="7" t="e">
        <f t="shared" ca="1" si="123"/>
        <v>#NAME?</v>
      </c>
      <c r="AT253" s="7" t="e">
        <f t="shared" ca="1" si="123"/>
        <v>#NAME?</v>
      </c>
      <c r="AU253" s="7" t="e">
        <f t="shared" ca="1" si="123"/>
        <v>#NAME?</v>
      </c>
      <c r="AV253" s="7" t="e">
        <f t="shared" ca="1" si="123"/>
        <v>#NAME?</v>
      </c>
      <c r="AW253" s="7" t="e">
        <f t="shared" ca="1" si="123"/>
        <v>#NAME?</v>
      </c>
      <c r="AX253" s="7" t="e">
        <f t="shared" ca="1" si="123"/>
        <v>#NAME?</v>
      </c>
      <c r="AY253" s="7" t="e">
        <f t="shared" ca="1" si="123"/>
        <v>#NAME?</v>
      </c>
      <c r="AZ253" s="7" t="e">
        <f t="shared" ca="1" si="123"/>
        <v>#NAME?</v>
      </c>
      <c r="BA253" s="7" t="e">
        <f t="shared" ca="1" si="123"/>
        <v>#NAME?</v>
      </c>
      <c r="BB253" s="7" t="e">
        <f t="shared" ca="1" si="123"/>
        <v>#NAME?</v>
      </c>
      <c r="BC253" s="7" t="e">
        <f t="shared" ca="1" si="123"/>
        <v>#NAME?</v>
      </c>
      <c r="BD253" s="7" t="e">
        <f t="shared" ca="1" si="123"/>
        <v>#NAME?</v>
      </c>
      <c r="BE253" s="7" t="e">
        <f t="shared" ca="1" si="123"/>
        <v>#NAME?</v>
      </c>
      <c r="BF253" s="7" t="e">
        <f t="shared" ca="1" si="123"/>
        <v>#NAME?</v>
      </c>
      <c r="BG253" s="7" t="e">
        <f t="shared" ca="1" si="123"/>
        <v>#NAME?</v>
      </c>
      <c r="BH253" s="7" t="e">
        <f t="shared" ca="1" si="123"/>
        <v>#NAME?</v>
      </c>
      <c r="BI253" s="7" t="e">
        <f t="shared" ca="1" si="123"/>
        <v>#NAME?</v>
      </c>
      <c r="BJ253" s="7" t="e">
        <f t="shared" ca="1" si="123"/>
        <v>#NAME?</v>
      </c>
      <c r="BK253" s="7" t="e">
        <f t="shared" ca="1" si="123"/>
        <v>#NAME?</v>
      </c>
      <c r="BL253" s="7" t="e">
        <f t="shared" ca="1" si="123"/>
        <v>#NAME?</v>
      </c>
      <c r="BM253" s="7" t="e">
        <f t="shared" ca="1" si="123"/>
        <v>#NAME?</v>
      </c>
      <c r="BN253" s="7" t="e">
        <f t="shared" ca="1" si="123"/>
        <v>#NAME?</v>
      </c>
      <c r="BO253" s="7" t="e">
        <f t="shared" ca="1" si="123"/>
        <v>#NAME?</v>
      </c>
      <c r="BP253" s="7" t="e">
        <f t="shared" ca="1" si="123"/>
        <v>#NAME?</v>
      </c>
      <c r="BQ253" s="7" t="e">
        <f t="shared" ca="1" si="123"/>
        <v>#NAME?</v>
      </c>
      <c r="BR253" s="7" t="e">
        <f t="shared" ca="1" si="123"/>
        <v>#NAME?</v>
      </c>
      <c r="BS253" s="7" t="e">
        <f t="shared" ca="1" si="123"/>
        <v>#NAME?</v>
      </c>
      <c r="BT253" s="7" t="e">
        <f t="shared" ca="1" si="123"/>
        <v>#NAME?</v>
      </c>
      <c r="BU253" s="7" t="e">
        <f t="shared" ca="1" si="123"/>
        <v>#NAME?</v>
      </c>
      <c r="BV253" s="7" t="e">
        <f t="shared" ca="1" si="123"/>
        <v>#NAME?</v>
      </c>
      <c r="BW253" s="7" t="e">
        <f t="shared" ca="1" si="123"/>
        <v>#NAME?</v>
      </c>
      <c r="BX253" s="7" t="e">
        <f t="shared" ca="1" si="123"/>
        <v>#NAME?</v>
      </c>
      <c r="BY253" s="7" t="e">
        <f t="shared" ca="1" si="123"/>
        <v>#NAME?</v>
      </c>
      <c r="BZ253" s="7" t="e">
        <f t="shared" ca="1" si="123"/>
        <v>#NAME?</v>
      </c>
      <c r="CA253" s="7" t="e">
        <f t="shared" ca="1" si="123"/>
        <v>#NAME?</v>
      </c>
      <c r="CB253" s="7" t="e">
        <f t="shared" ca="1" si="123"/>
        <v>#NAME?</v>
      </c>
      <c r="CC253" s="7" t="e">
        <f t="shared" ca="1" si="123"/>
        <v>#NAME?</v>
      </c>
      <c r="CD253" s="7" t="e">
        <f t="shared" ca="1" si="123"/>
        <v>#NAME?</v>
      </c>
      <c r="CE253" s="7" t="e">
        <f t="shared" ca="1" si="123"/>
        <v>#NAME?</v>
      </c>
      <c r="CF253" s="7" t="e">
        <f t="shared" ca="1" si="123"/>
        <v>#NAME?</v>
      </c>
      <c r="CG253" s="7" t="e">
        <f t="shared" ca="1" si="123"/>
        <v>#NAME?</v>
      </c>
      <c r="CH253" s="7" t="e">
        <f t="shared" ca="1" si="123"/>
        <v>#NAME?</v>
      </c>
      <c r="CI253" s="7" t="e">
        <f t="shared" ca="1" si="123"/>
        <v>#NAME?</v>
      </c>
      <c r="CJ253" s="7" t="e">
        <f t="shared" ca="1" si="123"/>
        <v>#NAME?</v>
      </c>
      <c r="CK253" s="7" t="e">
        <f t="shared" ca="1" si="123"/>
        <v>#NAME?</v>
      </c>
      <c r="CL253" s="7" t="e">
        <f t="shared" ca="1" si="123"/>
        <v>#NAME?</v>
      </c>
      <c r="CM253" s="7" t="e">
        <f t="shared" ca="1" si="123"/>
        <v>#NAME?</v>
      </c>
      <c r="CN253" s="7" t="e">
        <f t="shared" ca="1" si="123"/>
        <v>#NAME?</v>
      </c>
      <c r="CO253" s="7" t="e">
        <f t="shared" ca="1" si="123"/>
        <v>#NAME?</v>
      </c>
      <c r="CP253" s="7" t="e">
        <f t="shared" ca="1" si="123"/>
        <v>#NAME?</v>
      </c>
      <c r="CQ253" s="7" t="e">
        <f t="shared" ca="1" si="123"/>
        <v>#NAME?</v>
      </c>
      <c r="CR253" s="7" t="e">
        <f t="shared" ca="1" si="123"/>
        <v>#NAME?</v>
      </c>
      <c r="CS253" s="7" t="e">
        <f t="shared" ca="1" si="123"/>
        <v>#NAME?</v>
      </c>
      <c r="CT253" s="7" t="e">
        <f t="shared" ca="1" si="123"/>
        <v>#NAME?</v>
      </c>
      <c r="CU253" s="7" t="e">
        <f t="shared" ca="1" si="123"/>
        <v>#NAME?</v>
      </c>
      <c r="CV253" s="7" t="e">
        <f t="shared" ca="1" si="123"/>
        <v>#NAME?</v>
      </c>
      <c r="CW253" s="7" t="e">
        <f t="shared" ca="1" si="123"/>
        <v>#NAME?</v>
      </c>
      <c r="CX253" s="7" t="e">
        <f t="shared" ca="1" si="123"/>
        <v>#NAME?</v>
      </c>
      <c r="CY253" s="7" t="e">
        <f t="shared" ca="1" si="123"/>
        <v>#NAME?</v>
      </c>
      <c r="CZ253" s="7" t="e">
        <f t="shared" ca="1" si="123"/>
        <v>#NAME?</v>
      </c>
      <c r="DA253" s="7" t="e">
        <f t="shared" ca="1" si="123"/>
        <v>#NAME?</v>
      </c>
      <c r="DB253" s="7" t="e">
        <f t="shared" ca="1" si="123"/>
        <v>#NAME?</v>
      </c>
      <c r="DC253" s="7" t="e">
        <f t="shared" ca="1" si="123"/>
        <v>#NAME?</v>
      </c>
      <c r="DD253" s="7" t="e">
        <f t="shared" ca="1" si="123"/>
        <v>#NAME?</v>
      </c>
      <c r="DE253" s="7" t="e">
        <f t="shared" ca="1" si="123"/>
        <v>#NAME?</v>
      </c>
      <c r="DF253" s="7" t="e">
        <f t="shared" ca="1" si="123"/>
        <v>#NAME?</v>
      </c>
      <c r="DG253" s="7" t="e">
        <f t="shared" ca="1" si="123"/>
        <v>#NAME?</v>
      </c>
      <c r="DH253" s="7" t="e">
        <f t="shared" ca="1" si="123"/>
        <v>#NAME?</v>
      </c>
      <c r="DI253" s="7" t="e">
        <f t="shared" ca="1" si="123"/>
        <v>#NAME?</v>
      </c>
      <c r="DJ253" s="7" t="e">
        <f t="shared" ca="1" si="123"/>
        <v>#NAME?</v>
      </c>
      <c r="DK253" s="7" t="e">
        <f t="shared" ca="1" si="123"/>
        <v>#NAME?</v>
      </c>
      <c r="DL253" s="7" t="e">
        <f t="shared" ca="1" si="123"/>
        <v>#NAME?</v>
      </c>
      <c r="DM253" s="7" t="e">
        <f t="shared" ca="1" si="123"/>
        <v>#NAME?</v>
      </c>
      <c r="DN253" s="7" t="e">
        <f t="shared" ca="1" si="123"/>
        <v>#NAME?</v>
      </c>
      <c r="DO253" s="7" t="e">
        <f t="shared" ca="1" si="123"/>
        <v>#NAME?</v>
      </c>
      <c r="DP253" s="7" t="e">
        <f t="shared" ca="1" si="123"/>
        <v>#NAME?</v>
      </c>
      <c r="DQ253" s="7" t="e">
        <f t="shared" ca="1" si="123"/>
        <v>#NAME?</v>
      </c>
      <c r="DR253" s="7" t="e">
        <f t="shared" ca="1" si="123"/>
        <v>#NAME?</v>
      </c>
      <c r="DS253" s="7" t="e">
        <f t="shared" ca="1" si="123"/>
        <v>#NAME?</v>
      </c>
      <c r="DT253" s="7" t="e">
        <f t="shared" ca="1" si="123"/>
        <v>#NAME?</v>
      </c>
      <c r="DU253" s="7" t="e">
        <f t="shared" ca="1" si="123"/>
        <v>#NAME?</v>
      </c>
      <c r="DV253" s="7" t="e">
        <f t="shared" ca="1" si="123"/>
        <v>#NAME?</v>
      </c>
      <c r="DW253" s="7" t="e">
        <f t="shared" ca="1" si="123"/>
        <v>#NAME?</v>
      </c>
      <c r="DX253" s="7" t="e">
        <f t="shared" ca="1" si="123"/>
        <v>#NAME?</v>
      </c>
      <c r="DY253" s="7" t="e">
        <f t="shared" ca="1" si="123"/>
        <v>#NAME?</v>
      </c>
      <c r="DZ253" s="7" t="e">
        <f t="shared" ca="1" si="123"/>
        <v>#NAME?</v>
      </c>
      <c r="EA253" s="7" t="e">
        <f t="shared" ca="1" si="123"/>
        <v>#NAME?</v>
      </c>
      <c r="EB253" s="7" t="e">
        <f t="shared" ca="1" si="123"/>
        <v>#NAME?</v>
      </c>
      <c r="EC253" s="7" t="e">
        <f t="shared" ca="1" si="123"/>
        <v>#NAME?</v>
      </c>
      <c r="ED253" s="7" t="e">
        <f t="shared" ca="1" si="123"/>
        <v>#NAME?</v>
      </c>
      <c r="EE253" s="7" t="e">
        <f t="shared" ca="1" si="123"/>
        <v>#NAME?</v>
      </c>
      <c r="EF253" s="7" t="e">
        <f t="shared" ca="1" si="123"/>
        <v>#NAME?</v>
      </c>
      <c r="EG253" s="7" t="e">
        <f t="shared" ca="1" si="123"/>
        <v>#NAME?</v>
      </c>
      <c r="EH253" s="7" t="e">
        <f t="shared" ca="1" si="123"/>
        <v>#NAME?</v>
      </c>
      <c r="EI253" s="7" t="e">
        <f t="shared" ca="1" si="123"/>
        <v>#NAME?</v>
      </c>
      <c r="EJ253" s="7" t="e">
        <f t="shared" ca="1" si="123"/>
        <v>#NAME?</v>
      </c>
      <c r="EK253" s="7" t="e">
        <f t="shared" ca="1" si="123"/>
        <v>#NAME?</v>
      </c>
      <c r="EL253" s="7" t="e">
        <f t="shared" ca="1" si="123"/>
        <v>#NAME?</v>
      </c>
      <c r="EM253" s="7" t="e">
        <f t="shared" ca="1" si="123"/>
        <v>#NAME?</v>
      </c>
      <c r="EN253" s="7" t="e">
        <f t="shared" ca="1" si="123"/>
        <v>#NAME?</v>
      </c>
      <c r="EO253" s="7" t="e">
        <f t="shared" ca="1" si="123"/>
        <v>#NAME?</v>
      </c>
      <c r="EP253" s="7" t="e">
        <f t="shared" ca="1" si="123"/>
        <v>#NAME?</v>
      </c>
      <c r="EQ253" s="7" t="e">
        <f t="shared" ca="1" si="123"/>
        <v>#NAME?</v>
      </c>
      <c r="ER253" s="7" t="e">
        <f t="shared" ca="1" si="123"/>
        <v>#NAME?</v>
      </c>
      <c r="ES253" s="7" t="e">
        <f t="shared" ca="1" si="123"/>
        <v>#NAME?</v>
      </c>
      <c r="ET253" s="7" t="e">
        <f t="shared" ca="1" si="123"/>
        <v>#NAME?</v>
      </c>
      <c r="EU253" s="7" t="e">
        <f t="shared" ca="1" si="123"/>
        <v>#NAME?</v>
      </c>
      <c r="EV253" s="7" t="e">
        <f t="shared" ca="1" si="123"/>
        <v>#NAME?</v>
      </c>
      <c r="EW253" s="7" t="e">
        <f t="shared" ca="1" si="123"/>
        <v>#NAME?</v>
      </c>
      <c r="EX253" s="7" t="e">
        <f t="shared" ca="1" si="123"/>
        <v>#NAME?</v>
      </c>
      <c r="EY253" s="7" t="e">
        <f t="shared" ca="1" si="123"/>
        <v>#NAME?</v>
      </c>
      <c r="EZ253" s="7" t="e">
        <f t="shared" ca="1" si="123"/>
        <v>#NAME?</v>
      </c>
      <c r="FA253" s="7" t="e">
        <f t="shared" ca="1" si="123"/>
        <v>#NAME?</v>
      </c>
      <c r="FB253" s="7" t="e">
        <f t="shared" ca="1" si="123"/>
        <v>#NAME?</v>
      </c>
      <c r="FC253" s="7" t="e">
        <f t="shared" ca="1" si="123"/>
        <v>#NAME?</v>
      </c>
      <c r="FD253" s="7" t="e">
        <f t="shared" ca="1" si="123"/>
        <v>#NAME?</v>
      </c>
      <c r="FE253" s="7" t="e">
        <f t="shared" ca="1" si="123"/>
        <v>#NAME?</v>
      </c>
      <c r="FF253" s="7" t="e">
        <f t="shared" ca="1" si="123"/>
        <v>#NAME?</v>
      </c>
      <c r="FG253" s="7" t="e">
        <f t="shared" ca="1" si="123"/>
        <v>#NAME?</v>
      </c>
      <c r="FH253" s="7" t="e">
        <f t="shared" ca="1" si="123"/>
        <v>#NAME?</v>
      </c>
      <c r="FI253" s="7" t="e">
        <f t="shared" ca="1" si="123"/>
        <v>#NAME?</v>
      </c>
      <c r="FJ253" s="7" t="e">
        <f t="shared" ca="1" si="123"/>
        <v>#NAME?</v>
      </c>
      <c r="FK253" s="7" t="e">
        <f t="shared" ca="1" si="123"/>
        <v>#NAME?</v>
      </c>
      <c r="FL253" s="7" t="e">
        <f t="shared" ca="1" si="123"/>
        <v>#NAME?</v>
      </c>
      <c r="FM253" s="7" t="e">
        <f t="shared" ca="1" si="123"/>
        <v>#NAME?</v>
      </c>
      <c r="FN253" s="7" t="e">
        <f t="shared" ca="1" si="123"/>
        <v>#NAME?</v>
      </c>
      <c r="FO253" s="7" t="e">
        <f t="shared" ca="1" si="123"/>
        <v>#NAME?</v>
      </c>
      <c r="FP253" s="7" t="e">
        <f t="shared" ca="1" si="123"/>
        <v>#NAME?</v>
      </c>
      <c r="FQ253" s="7" t="e">
        <f t="shared" ca="1" si="123"/>
        <v>#NAME?</v>
      </c>
      <c r="FR253" s="7" t="e">
        <f t="shared" ca="1" si="123"/>
        <v>#NAME?</v>
      </c>
      <c r="FS253" s="7" t="e">
        <f t="shared" ca="1" si="123"/>
        <v>#NAME?</v>
      </c>
      <c r="FT253" s="7" t="e">
        <f t="shared" ca="1" si="123"/>
        <v>#NAME?</v>
      </c>
      <c r="FU253" s="7" t="e">
        <f t="shared" ca="1" si="123"/>
        <v>#NAME?</v>
      </c>
      <c r="FV253" s="7" t="e">
        <f t="shared" ca="1" si="123"/>
        <v>#NAME?</v>
      </c>
      <c r="FW253" s="7" t="e">
        <f t="shared" ca="1" si="123"/>
        <v>#NAME?</v>
      </c>
      <c r="FX253" s="7" t="e">
        <f t="shared" ca="1" si="123"/>
        <v>#NAME?</v>
      </c>
      <c r="FY253" s="7"/>
      <c r="FZ253" s="7" t="e">
        <f ca="1">SUM(C253:FX253)</f>
        <v>#NAME?</v>
      </c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</row>
    <row r="254" spans="1:193" ht="15.5" x14ac:dyDescent="0.35">
      <c r="A254" s="7"/>
      <c r="B254" s="7" t="s">
        <v>1029</v>
      </c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</row>
    <row r="255" spans="1:193" ht="15.5" x14ac:dyDescent="0.3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</row>
    <row r="256" spans="1:193" ht="15.5" x14ac:dyDescent="0.35">
      <c r="A256" s="12" t="s">
        <v>684</v>
      </c>
      <c r="B256" s="5" t="s">
        <v>1030</v>
      </c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7"/>
      <c r="FZ256" s="7"/>
      <c r="GA256" s="45"/>
      <c r="GB256" s="7"/>
      <c r="GC256" s="7"/>
      <c r="GD256" s="7"/>
      <c r="GE256" s="7"/>
      <c r="GF256" s="7"/>
      <c r="GG256" s="7"/>
      <c r="GH256" s="7"/>
      <c r="GI256" s="7"/>
      <c r="GJ256" s="7"/>
      <c r="GK256" s="7"/>
    </row>
    <row r="257" spans="1:193" ht="15.5" x14ac:dyDescent="0.35">
      <c r="A257" s="12" t="s">
        <v>672</v>
      </c>
      <c r="B257" s="7" t="s">
        <v>1031</v>
      </c>
      <c r="C257" s="7">
        <f ca="1">IFERROR(__xludf.DUMMYFUNCTION("+C237+C188"),79061989.6799999)</f>
        <v>79061989.679999903</v>
      </c>
      <c r="D257" s="7">
        <f ca="1">IFERROR(__xludf.DUMMYFUNCTION("+D237+D188"),446149224.8)</f>
        <v>446149224.80000001</v>
      </c>
      <c r="E257" s="7">
        <f ca="1">IFERROR(__xludf.DUMMYFUNCTION("+E237+E188"),71070893.15)</f>
        <v>71070893.150000006</v>
      </c>
      <c r="F257" s="7">
        <f ca="1">IFERROR(__xludf.DUMMYFUNCTION("+F237+F188"),278971081.16)</f>
        <v>278971081.16000003</v>
      </c>
      <c r="G257" s="7">
        <f ca="1">IFERROR(__xludf.DUMMYFUNCTION("+G237+G188"),22106227.82)</f>
        <v>22106227.82</v>
      </c>
      <c r="H257" s="7">
        <f ca="1">IFERROR(__xludf.DUMMYFUNCTION("+H237+H188"),13387931.9)</f>
        <v>13387931.9</v>
      </c>
      <c r="I257" s="7">
        <f ca="1">IFERROR(__xludf.DUMMYFUNCTION("+I237+I188"),98385570.3)</f>
        <v>98385570.299999997</v>
      </c>
      <c r="J257" s="7">
        <f ca="1">IFERROR(__xludf.DUMMYFUNCTION("+J237+J188"),24467328.6699999)</f>
        <v>24467328.669999901</v>
      </c>
      <c r="K257" s="7">
        <f ca="1">IFERROR(__xludf.DUMMYFUNCTION("+K237+K188"),4301296.19)</f>
        <v>4301296.1900000004</v>
      </c>
      <c r="L257" s="7">
        <f ca="1">IFERROR(__xludf.DUMMYFUNCTION("+L237+L188"),26223106.88)</f>
        <v>26223106.879999999</v>
      </c>
      <c r="M257" s="7">
        <f ca="1">IFERROR(__xludf.DUMMYFUNCTION("+M237+M188"),12984654.18)</f>
        <v>12984654.18</v>
      </c>
      <c r="N257" s="7">
        <f ca="1">IFERROR(__xludf.DUMMYFUNCTION("+N237+N188"),591751802.49)</f>
        <v>591751802.49000001</v>
      </c>
      <c r="O257" s="7">
        <f ca="1">IFERROR(__xludf.DUMMYFUNCTION("+O237+O188"),143830443.02)</f>
        <v>143830443.02000001</v>
      </c>
      <c r="P257" s="7">
        <f ca="1">IFERROR(__xludf.DUMMYFUNCTION("+P237+P188"),5256442.27)</f>
        <v>5256442.2699999996</v>
      </c>
      <c r="Q257" s="7">
        <f ca="1">IFERROR(__xludf.DUMMYFUNCTION("+Q237+Q188"),497539958.72)</f>
        <v>497539958.72000003</v>
      </c>
      <c r="R257" s="7">
        <f ca="1">IFERROR(__xludf.DUMMYFUNCTION("+R237+R188"),79749027.27)</f>
        <v>79749027.269999996</v>
      </c>
      <c r="S257" s="7">
        <f ca="1">IFERROR(__xludf.DUMMYFUNCTION("+S237+S188"),19269511.71)</f>
        <v>19269511.710000001</v>
      </c>
      <c r="T257" s="7">
        <f ca="1">IFERROR(__xludf.DUMMYFUNCTION("+T237+T188"),3318152.61999999)</f>
        <v>3318152.6199999899</v>
      </c>
      <c r="U257" s="7">
        <f ca="1">IFERROR(__xludf.DUMMYFUNCTION("+U237+U188"),1410288.68)</f>
        <v>1410288.68</v>
      </c>
      <c r="V257" s="7">
        <f ca="1">IFERROR(__xludf.DUMMYFUNCTION("+V237+V188"),4316362.38)</f>
        <v>4316362.38</v>
      </c>
      <c r="W257" s="7">
        <f ca="1">IFERROR(__xludf.DUMMYFUNCTION("+W237+W188"),1238970.21)</f>
        <v>1238970.21</v>
      </c>
      <c r="X257" s="7">
        <f ca="1">IFERROR(__xludf.DUMMYFUNCTION("+X237+X188"),1262581.68)</f>
        <v>1262581.68</v>
      </c>
      <c r="Y257" s="7">
        <f ca="1">IFERROR(__xludf.DUMMYFUNCTION("+Y237+Y188"),11169795.21)</f>
        <v>11169795.210000001</v>
      </c>
      <c r="Z257" s="7">
        <f ca="1">IFERROR(__xludf.DUMMYFUNCTION("+Z237+Z188"),3879323.23)</f>
        <v>3879323.23</v>
      </c>
      <c r="AA257" s="7">
        <f ca="1">IFERROR(__xludf.DUMMYFUNCTION("+AA237+AA188"),351337009.87)</f>
        <v>351337009.87</v>
      </c>
      <c r="AB257" s="7">
        <f ca="1">IFERROR(__xludf.DUMMYFUNCTION("+AB237+AB188"),312259192.83)</f>
        <v>312259192.82999998</v>
      </c>
      <c r="AC257" s="7">
        <f ca="1">IFERROR(__xludf.DUMMYFUNCTION("+AC237+AC188"),11265780.48)</f>
        <v>11265780.48</v>
      </c>
      <c r="AD257" s="7">
        <f ca="1">IFERROR(__xludf.DUMMYFUNCTION("+AD237+AD188"),16635012.03)</f>
        <v>16635012.029999999</v>
      </c>
      <c r="AE257" s="7">
        <f ca="1">IFERROR(__xludf.DUMMYFUNCTION("+AE237+AE188"),2241390.11)</f>
        <v>2241390.11</v>
      </c>
      <c r="AF257" s="7">
        <f ca="1">IFERROR(__xludf.DUMMYFUNCTION("+AF237+AF188"),3431505.06)</f>
        <v>3431505.06</v>
      </c>
      <c r="AG257" s="7">
        <f ca="1">IFERROR(__xludf.DUMMYFUNCTION("+AG237+AG188"),8030694.9)</f>
        <v>8030694.9000000004</v>
      </c>
      <c r="AH257" s="7">
        <f ca="1">IFERROR(__xludf.DUMMYFUNCTION("+AH237+AH188"),11751183.36)</f>
        <v>11751183.359999999</v>
      </c>
      <c r="AI257" s="7">
        <f ca="1">IFERROR(__xludf.DUMMYFUNCTION("+AI237+AI188"),5477456.77999999)</f>
        <v>5477456.77999999</v>
      </c>
      <c r="AJ257" s="7">
        <f ca="1">IFERROR(__xludf.DUMMYFUNCTION("+AJ237+AJ188"),3713794.01999999)</f>
        <v>3713794.0199999898</v>
      </c>
      <c r="AK257" s="7">
        <f ca="1">IFERROR(__xludf.DUMMYFUNCTION("+AK237+AK188"),3458406.28)</f>
        <v>3458406.28</v>
      </c>
      <c r="AL257" s="7">
        <f ca="1">IFERROR(__xludf.DUMMYFUNCTION("+AL237+AL188"),4717201.12)</f>
        <v>4717201.12</v>
      </c>
      <c r="AM257" s="7">
        <f ca="1">IFERROR(__xludf.DUMMYFUNCTION("+AM237+AM188"),5240217.44)</f>
        <v>5240217.4400000004</v>
      </c>
      <c r="AN257" s="7">
        <f ca="1">IFERROR(__xludf.DUMMYFUNCTION("+AN237+AN188"),4782390.71)</f>
        <v>4782390.71</v>
      </c>
      <c r="AO257" s="7">
        <f ca="1">IFERROR(__xludf.DUMMYFUNCTION("+AO237+AO188"),50534324.15)</f>
        <v>50534324.149999999</v>
      </c>
      <c r="AP257" s="7">
        <f ca="1">IFERROR(__xludf.DUMMYFUNCTION("+AP237+AP188"),1017751648.26)</f>
        <v>1017751648.26</v>
      </c>
      <c r="AQ257" s="7">
        <f ca="1">IFERROR(__xludf.DUMMYFUNCTION("+AQ237+AQ188"),4492088.36)</f>
        <v>4492088.3600000003</v>
      </c>
      <c r="AR257" s="7">
        <f ca="1">IFERROR(__xludf.DUMMYFUNCTION("+AR237+AR188"),695003791.509999)</f>
        <v>695003791.50999904</v>
      </c>
      <c r="AS257" s="7">
        <f ca="1">IFERROR(__xludf.DUMMYFUNCTION("+AS237+AS188"),79204693.69)</f>
        <v>79204693.689999998</v>
      </c>
      <c r="AT257" s="7">
        <f ca="1">IFERROR(__xludf.DUMMYFUNCTION("+AT237+AT188"),27513620.37)</f>
        <v>27513620.370000001</v>
      </c>
      <c r="AU257" s="7">
        <f ca="1">IFERROR(__xludf.DUMMYFUNCTION("+AU237+AU188"),4626914.62)</f>
        <v>4626914.62</v>
      </c>
      <c r="AV257" s="7">
        <f ca="1">IFERROR(__xludf.DUMMYFUNCTION("+AV237+AV188"),5120477.45)</f>
        <v>5120477.45</v>
      </c>
      <c r="AW257" s="7">
        <f ca="1">IFERROR(__xludf.DUMMYFUNCTION("+AW237+AW188"),4499326.13)</f>
        <v>4499326.13</v>
      </c>
      <c r="AX257" s="7">
        <f ca="1">IFERROR(__xludf.DUMMYFUNCTION("+AX237+AX188"),2057632.03)</f>
        <v>2057632.03</v>
      </c>
      <c r="AY257" s="7">
        <f ca="1">IFERROR(__xludf.DUMMYFUNCTION("+AY237+AY188"),6020645.18)</f>
        <v>6020645.1799999997</v>
      </c>
      <c r="AZ257" s="7">
        <f ca="1">IFERROR(__xludf.DUMMYFUNCTION("+AZ237+AZ188"),142629299.32)</f>
        <v>142629299.31999999</v>
      </c>
      <c r="BA257" s="7">
        <f ca="1">IFERROR(__xludf.DUMMYFUNCTION("+BA237+BA188"),100628658.67)</f>
        <v>100628658.67</v>
      </c>
      <c r="BB257" s="7">
        <f ca="1">IFERROR(__xludf.DUMMYFUNCTION("+BB237+BB188"),83839870.6199999)</f>
        <v>83839870.6199999</v>
      </c>
      <c r="BC257" s="7">
        <f ca="1">IFERROR(__xludf.DUMMYFUNCTION("+BC237+BC188"),282897524.07)</f>
        <v>282897524.06999999</v>
      </c>
      <c r="BD257" s="7">
        <f ca="1">IFERROR(__xludf.DUMMYFUNCTION("+BD237+BD188"),40110951.78)</f>
        <v>40110951.780000001</v>
      </c>
      <c r="BE257" s="7">
        <f ca="1">IFERROR(__xludf.DUMMYFUNCTION("+BE237+BE188"),14211729.34)</f>
        <v>14211729.34</v>
      </c>
      <c r="BF257" s="7">
        <f ca="1">IFERROR(__xludf.DUMMYFUNCTION("+BF237+BF188"),281956996.84)</f>
        <v>281956996.83999997</v>
      </c>
      <c r="BG257" s="7">
        <f ca="1">IFERROR(__xludf.DUMMYFUNCTION("+BG237+BG188"),11992392.61)</f>
        <v>11992392.609999999</v>
      </c>
      <c r="BH257" s="7">
        <f ca="1">IFERROR(__xludf.DUMMYFUNCTION("+BH237+BH188"),7660958.02)</f>
        <v>7660958.0199999996</v>
      </c>
      <c r="BI257" s="7">
        <f ca="1">IFERROR(__xludf.DUMMYFUNCTION("+BI237+BI188"),4655443.62)</f>
        <v>4655443.62</v>
      </c>
      <c r="BJ257" s="7">
        <f ca="1">IFERROR(__xludf.DUMMYFUNCTION("+BJ237+BJ188"),69621394.51)</f>
        <v>69621394.510000005</v>
      </c>
      <c r="BK257" s="7">
        <f ca="1">IFERROR(__xludf.DUMMYFUNCTION("+BK237+BK188"),390364211.15)</f>
        <v>390364211.14999998</v>
      </c>
      <c r="BL257" s="7">
        <f ca="1">IFERROR(__xludf.DUMMYFUNCTION("+BL237+BL188"),1910659.96)</f>
        <v>1910659.96</v>
      </c>
      <c r="BM257" s="7">
        <f ca="1">IFERROR(__xludf.DUMMYFUNCTION("+BM237+BM188"),5385298.12)</f>
        <v>5385298.1200000001</v>
      </c>
      <c r="BN257" s="7">
        <f ca="1">IFERROR(__xludf.DUMMYFUNCTION("+BN237+BN188"),35280013.29)</f>
        <v>35280013.289999999</v>
      </c>
      <c r="BO257" s="7">
        <f ca="1">IFERROR(__xludf.DUMMYFUNCTION("+BO237+BO188"),14714705.09)</f>
        <v>14714705.09</v>
      </c>
      <c r="BP257" s="7">
        <f ca="1">IFERROR(__xludf.DUMMYFUNCTION("+BP237+BP188"),3342513.9)</f>
        <v>3342513.9</v>
      </c>
      <c r="BQ257" s="7">
        <f ca="1">IFERROR(__xludf.DUMMYFUNCTION("+BQ237+BQ188"),73185041.38)</f>
        <v>73185041.379999995</v>
      </c>
      <c r="BR257" s="7">
        <f ca="1">IFERROR(__xludf.DUMMYFUNCTION("+BR237+BR188"),51741414.12)</f>
        <v>51741414.119999997</v>
      </c>
      <c r="BS257" s="7">
        <f ca="1">IFERROR(__xludf.DUMMYFUNCTION("+BS237+BS188"),14896672.88)</f>
        <v>14896672.880000001</v>
      </c>
      <c r="BT257" s="7">
        <f ca="1">IFERROR(__xludf.DUMMYFUNCTION("+BT237+BT188"),5808684.24999999)</f>
        <v>5808684.2499999898</v>
      </c>
      <c r="BU257" s="7">
        <f ca="1">IFERROR(__xludf.DUMMYFUNCTION("+BU237+BU188"),6031635.75)</f>
        <v>6031635.75</v>
      </c>
      <c r="BV257" s="7">
        <f ca="1">IFERROR(__xludf.DUMMYFUNCTION("+BV237+BV188"),14808759.19)</f>
        <v>14808759.189999999</v>
      </c>
      <c r="BW257" s="7">
        <f ca="1">IFERROR(__xludf.DUMMYFUNCTION("+BW237+BW188"),23767201.8099999)</f>
        <v>23767201.809999902</v>
      </c>
      <c r="BX257" s="7">
        <f ca="1">IFERROR(__xludf.DUMMYFUNCTION("+BX237+BX188"),1747493.26)</f>
        <v>1747493.26</v>
      </c>
      <c r="BY257" s="7">
        <f ca="1">IFERROR(__xludf.DUMMYFUNCTION("+BY237+BY188"),5872898.39)</f>
        <v>5872898.3899999997</v>
      </c>
      <c r="BZ257" s="7">
        <f ca="1">IFERROR(__xludf.DUMMYFUNCTION("+BZ237+BZ188"),4027229.55)</f>
        <v>4027229.55</v>
      </c>
      <c r="CA257" s="7">
        <f ca="1">IFERROR(__xludf.DUMMYFUNCTION("+CA237+CA188"),3145296)</f>
        <v>3145296</v>
      </c>
      <c r="CB257" s="7">
        <f ca="1">IFERROR(__xludf.DUMMYFUNCTION("+CB237+CB188"),829909535.82)</f>
        <v>829909535.82000005</v>
      </c>
      <c r="CC257" s="7">
        <f ca="1">IFERROR(__xludf.DUMMYFUNCTION("+CC237+CC188"),3591422.38)</f>
        <v>3591422.38</v>
      </c>
      <c r="CD257" s="7">
        <f ca="1">IFERROR(__xludf.DUMMYFUNCTION("+CD237+CD188"),1002113.67)</f>
        <v>1002113.67</v>
      </c>
      <c r="CE257" s="7">
        <f ca="1">IFERROR(__xludf.DUMMYFUNCTION("+CE237+CE188"),3165905.17)</f>
        <v>3165905.17</v>
      </c>
      <c r="CF257" s="7">
        <f ca="1">IFERROR(__xludf.DUMMYFUNCTION("+CF237+CF188"),2391611.64)</f>
        <v>2391611.64</v>
      </c>
      <c r="CG257" s="7">
        <f ca="1">IFERROR(__xludf.DUMMYFUNCTION("+CG237+CG188"),3672390.33)</f>
        <v>3672390.33</v>
      </c>
      <c r="CH257" s="7">
        <f ca="1">IFERROR(__xludf.DUMMYFUNCTION("+CH237+CH188"),2254948.56)</f>
        <v>2254948.56</v>
      </c>
      <c r="CI257" s="7">
        <f ca="1">IFERROR(__xludf.DUMMYFUNCTION("+CI237+CI188"),8604631.92)</f>
        <v>8604631.9199999999</v>
      </c>
      <c r="CJ257" s="7">
        <f ca="1">IFERROR(__xludf.DUMMYFUNCTION("+CJ237+CJ188"),11489962.68)</f>
        <v>11489962.68</v>
      </c>
      <c r="CK257" s="7">
        <f ca="1">IFERROR(__xludf.DUMMYFUNCTION("+CK237+CK188"),57230299.68)</f>
        <v>57230299.68</v>
      </c>
      <c r="CL257" s="7">
        <f ca="1">IFERROR(__xludf.DUMMYFUNCTION("+CL237+CL188"),15255675.86)</f>
        <v>15255675.859999999</v>
      </c>
      <c r="CM257" s="7">
        <f ca="1">IFERROR(__xludf.DUMMYFUNCTION("+CM237+CM188"),9332190.89)</f>
        <v>9332190.8900000006</v>
      </c>
      <c r="CN257" s="7">
        <f ca="1">IFERROR(__xludf.DUMMYFUNCTION("+CN237+CN188"),347143787.32)</f>
        <v>347143787.31999999</v>
      </c>
      <c r="CO257" s="7">
        <f ca="1">IFERROR(__xludf.DUMMYFUNCTION("+CO237+CO188"),158674394.33)</f>
        <v>158674394.33000001</v>
      </c>
      <c r="CP257" s="7">
        <f ca="1">IFERROR(__xludf.DUMMYFUNCTION("+CP237+CP188"),12181419.7)</f>
        <v>12181419.699999999</v>
      </c>
      <c r="CQ257" s="7">
        <f ca="1">IFERROR(__xludf.DUMMYFUNCTION("+CQ237+CQ188"),10319943.82)</f>
        <v>10319943.82</v>
      </c>
      <c r="CR257" s="7">
        <f ca="1">IFERROR(__xludf.DUMMYFUNCTION("+CR237+CR188"),3879878.58)</f>
        <v>3879878.58</v>
      </c>
      <c r="CS257" s="7">
        <f ca="1">IFERROR(__xludf.DUMMYFUNCTION("+CS237+CS188"),4486541.02)</f>
        <v>4486541.0199999996</v>
      </c>
      <c r="CT257" s="7">
        <f ca="1">IFERROR(__xludf.DUMMYFUNCTION("+CT237+CT188"),2570076.59)</f>
        <v>2570076.59</v>
      </c>
      <c r="CU257" s="7">
        <f ca="1">IFERROR(__xludf.DUMMYFUNCTION("+CU237+CU188"),5452514.14)</f>
        <v>5452514.1399999997</v>
      </c>
      <c r="CV257" s="7">
        <f ca="1">IFERROR(__xludf.DUMMYFUNCTION("+CV237+CV188"),1176684.73)</f>
        <v>1176684.73</v>
      </c>
      <c r="CW257" s="7">
        <f ca="1">IFERROR(__xludf.DUMMYFUNCTION("+CW237+CW188"),3791096.75)</f>
        <v>3791096.75</v>
      </c>
      <c r="CX257" s="7">
        <f ca="1">IFERROR(__xludf.DUMMYFUNCTION("+CX237+CX188"),6133963.31999999)</f>
        <v>6133963.3199999901</v>
      </c>
      <c r="CY257" s="7">
        <f ca="1">IFERROR(__xludf.DUMMYFUNCTION("+CY237+CY188"),1248005.03)</f>
        <v>1248005.03</v>
      </c>
      <c r="CZ257" s="7">
        <f ca="1">IFERROR(__xludf.DUMMYFUNCTION("+CZ237+CZ188"),21008137.97)</f>
        <v>21008137.969999999</v>
      </c>
      <c r="DA257" s="7">
        <f ca="1">IFERROR(__xludf.DUMMYFUNCTION("+DA237+DA188"),3739031.96999999)</f>
        <v>3739031.96999999</v>
      </c>
      <c r="DB257" s="7">
        <f ca="1">IFERROR(__xludf.DUMMYFUNCTION("+DB237+DB188"),4880964.34)</f>
        <v>4880964.34</v>
      </c>
      <c r="DC257" s="7">
        <f ca="1">IFERROR(__xludf.DUMMYFUNCTION("+DC237+DC188"),3660350.21)</f>
        <v>3660350.21</v>
      </c>
      <c r="DD257" s="7">
        <f ca="1">IFERROR(__xludf.DUMMYFUNCTION("+DD237+DD188"),3579436.51)</f>
        <v>3579436.51</v>
      </c>
      <c r="DE257" s="7">
        <f ca="1">IFERROR(__xludf.DUMMYFUNCTION("+DE237+DE188"),4615219.92)</f>
        <v>4615219.92</v>
      </c>
      <c r="DF257" s="7">
        <f ca="1">IFERROR(__xludf.DUMMYFUNCTION("+DF237+DF188"),229778514.37)</f>
        <v>229778514.37</v>
      </c>
      <c r="DG257" s="7">
        <f ca="1">IFERROR(__xludf.DUMMYFUNCTION("+DG237+DG188"),2234952.04)</f>
        <v>2234952.04</v>
      </c>
      <c r="DH257" s="7">
        <f ca="1">IFERROR(__xludf.DUMMYFUNCTION("+DH237+DH188"),20650989.93)</f>
        <v>20650989.93</v>
      </c>
      <c r="DI257" s="7">
        <f ca="1">IFERROR(__xludf.DUMMYFUNCTION("+DI237+DI188"),28043177.52)</f>
        <v>28043177.52</v>
      </c>
      <c r="DJ257" s="7">
        <f ca="1">IFERROR(__xludf.DUMMYFUNCTION("+DJ237+DJ188"),8211576.39999999)</f>
        <v>8211576.3999999901</v>
      </c>
      <c r="DK257" s="7">
        <f ca="1">IFERROR(__xludf.DUMMYFUNCTION("+DK237+DK188"),6295019.49999999)</f>
        <v>6295019.4999999898</v>
      </c>
      <c r="DL257" s="7">
        <f ca="1">IFERROR(__xludf.DUMMYFUNCTION("+DL237+DL188"),66823620.41)</f>
        <v>66823620.409999996</v>
      </c>
      <c r="DM257" s="7">
        <f ca="1">IFERROR(__xludf.DUMMYFUNCTION("+DM237+DM188"),4440075.55)</f>
        <v>4440075.55</v>
      </c>
      <c r="DN257" s="7">
        <f ca="1">IFERROR(__xludf.DUMMYFUNCTION("+DN237+DN188"),16077764.2299999)</f>
        <v>16077764.2299999</v>
      </c>
      <c r="DO257" s="7">
        <f ca="1">IFERROR(__xludf.DUMMYFUNCTION("+DO237+DO188"),38630398.16)</f>
        <v>38630398.159999996</v>
      </c>
      <c r="DP257" s="7">
        <f ca="1">IFERROR(__xludf.DUMMYFUNCTION("+DP237+DP188"),3881904.38)</f>
        <v>3881904.38</v>
      </c>
      <c r="DQ257" s="7">
        <f ca="1">IFERROR(__xludf.DUMMYFUNCTION("+DQ237+DQ188"),11141481.6)</f>
        <v>11141481.6</v>
      </c>
      <c r="DR257" s="7">
        <f ca="1">IFERROR(__xludf.DUMMYFUNCTION("+DR237+DR188"),16125868.59)</f>
        <v>16125868.59</v>
      </c>
      <c r="DS257" s="7">
        <f ca="1">IFERROR(__xludf.DUMMYFUNCTION("+DS237+DS188"),8220717.54)</f>
        <v>8220717.54</v>
      </c>
      <c r="DT257" s="7">
        <f ca="1">IFERROR(__xludf.DUMMYFUNCTION("+DT237+DT188"),3708126.51)</f>
        <v>3708126.51</v>
      </c>
      <c r="DU257" s="7">
        <f ca="1">IFERROR(__xludf.DUMMYFUNCTION("+DU237+DU188"),5288530.89)</f>
        <v>5288530.8899999997</v>
      </c>
      <c r="DV257" s="7">
        <f ca="1">IFERROR(__xludf.DUMMYFUNCTION("+DV237+DV188"),3870179.44)</f>
        <v>3870179.44</v>
      </c>
      <c r="DW257" s="7">
        <f ca="1">IFERROR(__xludf.DUMMYFUNCTION("+DW237+DW188"),4762020.52)</f>
        <v>4762020.5199999996</v>
      </c>
      <c r="DX257" s="7">
        <f ca="1">IFERROR(__xludf.DUMMYFUNCTION("+DX237+DX188"),3811652.82)</f>
        <v>3811652.82</v>
      </c>
      <c r="DY257" s="7">
        <f ca="1">IFERROR(__xludf.DUMMYFUNCTION("+DY237+DY188"),5093286.76)</f>
        <v>5093286.76</v>
      </c>
      <c r="DZ257" s="7">
        <f ca="1">IFERROR(__xludf.DUMMYFUNCTION("+DZ237+DZ188"),9156474.49)</f>
        <v>9156474.4900000002</v>
      </c>
      <c r="EA257" s="7">
        <f ca="1">IFERROR(__xludf.DUMMYFUNCTION("+EA237+EA188"),7265995.8)</f>
        <v>7265995.7999999998</v>
      </c>
      <c r="EB257" s="7">
        <f ca="1">IFERROR(__xludf.DUMMYFUNCTION("+EB237+EB188"),7038996.62999999)</f>
        <v>7038996.6299999896</v>
      </c>
      <c r="EC257" s="7">
        <f ca="1">IFERROR(__xludf.DUMMYFUNCTION("+EC237+EC188"),4335034.81)</f>
        <v>4335034.8099999996</v>
      </c>
      <c r="ED257" s="7">
        <f ca="1">IFERROR(__xludf.DUMMYFUNCTION("+ED237+ED188"),23689244.56)</f>
        <v>23689244.559999999</v>
      </c>
      <c r="EE257" s="7">
        <f ca="1">IFERROR(__xludf.DUMMYFUNCTION("+EE237+EE188"),3687045.68)</f>
        <v>3687045.68</v>
      </c>
      <c r="EF257" s="7">
        <f ca="1">IFERROR(__xludf.DUMMYFUNCTION("+EF237+EF188"),16375437.2399999)</f>
        <v>16375437.2399999</v>
      </c>
      <c r="EG257" s="7">
        <f ca="1">IFERROR(__xludf.DUMMYFUNCTION("+EG237+EG188"),4175170.92999999)</f>
        <v>4175170.9299999899</v>
      </c>
      <c r="EH257" s="7">
        <f ca="1">IFERROR(__xludf.DUMMYFUNCTION("+EH237+EH188"),4140789.67999999)</f>
        <v>4140789.6799999899</v>
      </c>
      <c r="EI257" s="7">
        <f ca="1">IFERROR(__xludf.DUMMYFUNCTION("+EI237+EI188"),162615505.53)</f>
        <v>162615505.53</v>
      </c>
      <c r="EJ257" s="7">
        <f ca="1">IFERROR(__xludf.DUMMYFUNCTION("+EJ237+EJ188"),112188189.77)</f>
        <v>112188189.77</v>
      </c>
      <c r="EK257" s="7">
        <f ca="1">IFERROR(__xludf.DUMMYFUNCTION("+EK237+EK188"),8375153.32999999)</f>
        <v>8375153.3299999898</v>
      </c>
      <c r="EL257" s="7">
        <f ca="1">IFERROR(__xludf.DUMMYFUNCTION("+EL237+EL188"),5899050.43999999)</f>
        <v>5899050.4399999902</v>
      </c>
      <c r="EM257" s="7">
        <f ca="1">IFERROR(__xludf.DUMMYFUNCTION("+EM237+EM188"),5485560.56)</f>
        <v>5485560.5599999996</v>
      </c>
      <c r="EN257" s="7">
        <f ca="1">IFERROR(__xludf.DUMMYFUNCTION("+EN237+EN188"),11829639.6399999)</f>
        <v>11829639.6399999</v>
      </c>
      <c r="EO257" s="7">
        <f ca="1">IFERROR(__xludf.DUMMYFUNCTION("+EO237+EO188"),4726223.44)</f>
        <v>4726223.4400000004</v>
      </c>
      <c r="EP257" s="7">
        <f ca="1">IFERROR(__xludf.DUMMYFUNCTION("+EP237+EP188"),6204234.51)</f>
        <v>6204234.5099999998</v>
      </c>
      <c r="EQ257" s="7">
        <f ca="1">IFERROR(__xludf.DUMMYFUNCTION("+EQ237+EQ188"),30751016.29)</f>
        <v>30751016.289999999</v>
      </c>
      <c r="ER257" s="7">
        <f ca="1">IFERROR(__xludf.DUMMYFUNCTION("+ER237+ER188"),5136874.5)</f>
        <v>5136874.5</v>
      </c>
      <c r="ES257" s="7">
        <f ca="1">IFERROR(__xludf.DUMMYFUNCTION("+ES237+ES188"),3333873.99)</f>
        <v>3333873.99</v>
      </c>
      <c r="ET257" s="7">
        <f ca="1">IFERROR(__xludf.DUMMYFUNCTION("+ET237+ET188"),4356324.13)</f>
        <v>4356324.13</v>
      </c>
      <c r="EU257" s="7">
        <f ca="1">IFERROR(__xludf.DUMMYFUNCTION("+EU237+EU188"),7963315.68)</f>
        <v>7963315.6799999997</v>
      </c>
      <c r="EV257" s="7">
        <f ca="1">IFERROR(__xludf.DUMMYFUNCTION("+EV237+EV188"),1890492.83)</f>
        <v>1890492.83</v>
      </c>
      <c r="EW257" s="7">
        <f ca="1">IFERROR(__xludf.DUMMYFUNCTION("+EW237+EW188"),13309322.11)</f>
        <v>13309322.109999999</v>
      </c>
      <c r="EX257" s="7">
        <f ca="1">IFERROR(__xludf.DUMMYFUNCTION("+EX237+EX188"),3791058.94999999)</f>
        <v>3791058.9499999899</v>
      </c>
      <c r="EY257" s="7">
        <f ca="1">IFERROR(__xludf.DUMMYFUNCTION("+EY237+EY188"),7759567.24)</f>
        <v>7759567.2400000002</v>
      </c>
      <c r="EZ257" s="7">
        <f ca="1">IFERROR(__xludf.DUMMYFUNCTION("+EZ237+EZ188"),2820167.82)</f>
        <v>2820167.82</v>
      </c>
      <c r="FA257" s="7">
        <f ca="1">IFERROR(__xludf.DUMMYFUNCTION("+FA237+FA188"),42142313.41)</f>
        <v>42142313.409999996</v>
      </c>
      <c r="FB257" s="7">
        <f ca="1">IFERROR(__xludf.DUMMYFUNCTION("+FB237+FB188"),4797387.76)</f>
        <v>4797387.76</v>
      </c>
      <c r="FC257" s="7">
        <f ca="1">IFERROR(__xludf.DUMMYFUNCTION("+FC237+FC188"),21157792.9199999)</f>
        <v>21157792.919999901</v>
      </c>
      <c r="FD257" s="7">
        <f ca="1">IFERROR(__xludf.DUMMYFUNCTION("+FD237+FD188"),5770108.44)</f>
        <v>5770108.4400000004</v>
      </c>
      <c r="FE257" s="7">
        <f ca="1">IFERROR(__xludf.DUMMYFUNCTION("+FE237+FE188"),1963010.65)</f>
        <v>1963010.65</v>
      </c>
      <c r="FF257" s="7">
        <f ca="1">IFERROR(__xludf.DUMMYFUNCTION("+FF237+FF188"),3691748.16)</f>
        <v>3691748.16</v>
      </c>
      <c r="FG257" s="7">
        <f ca="1">IFERROR(__xludf.DUMMYFUNCTION("+FG237+FG188"),2729985.41)</f>
        <v>2729985.41</v>
      </c>
      <c r="FH257" s="7">
        <f ca="1">IFERROR(__xludf.DUMMYFUNCTION("+FH237+FH188"),1718391.59999999)</f>
        <v>1718391.5999999901</v>
      </c>
      <c r="FI257" s="7">
        <f ca="1">IFERROR(__xludf.DUMMYFUNCTION("+FI237+FI188"),20423007.29)</f>
        <v>20423007.289999999</v>
      </c>
      <c r="FJ257" s="7">
        <f ca="1">IFERROR(__xludf.DUMMYFUNCTION("+FJ237+FJ188"),22797589.83)</f>
        <v>22797589.829999998</v>
      </c>
      <c r="FK257" s="7">
        <f ca="1">IFERROR(__xludf.DUMMYFUNCTION("+FK237+FK188"),29294622.9399999)</f>
        <v>29294622.939999901</v>
      </c>
      <c r="FL257" s="7">
        <f ca="1">IFERROR(__xludf.DUMMYFUNCTION("+FL237+FL188"),94168128.03)</f>
        <v>94168128.030000001</v>
      </c>
      <c r="FM257" s="7">
        <f ca="1">IFERROR(__xludf.DUMMYFUNCTION("+FM237+FM188"),44634765.0199999)</f>
        <v>44634765.019999899</v>
      </c>
      <c r="FN257" s="7">
        <f ca="1">IFERROR(__xludf.DUMMYFUNCTION("+FN237+FN188"),263520742.59)</f>
        <v>263520742.59</v>
      </c>
      <c r="FO257" s="7">
        <f ca="1">IFERROR(__xludf.DUMMYFUNCTION("+FO237+FO188"),13522225.61)</f>
        <v>13522225.609999999</v>
      </c>
      <c r="FP257" s="7">
        <f ca="1">IFERROR(__xludf.DUMMYFUNCTION("+FP237+FP188"),27763436.34)</f>
        <v>27763436.34</v>
      </c>
      <c r="FQ257" s="7">
        <f ca="1">IFERROR(__xludf.DUMMYFUNCTION("+FQ237+FQ188"),12038652.4)</f>
        <v>12038652.4</v>
      </c>
      <c r="FR257" s="7">
        <f ca="1">IFERROR(__xludf.DUMMYFUNCTION("+FR237+FR188"),3396557.44)</f>
        <v>3396557.44</v>
      </c>
      <c r="FS257" s="7">
        <f ca="1">IFERROR(__xludf.DUMMYFUNCTION("+FS237+FS188"),3389803.97)</f>
        <v>3389803.97</v>
      </c>
      <c r="FT257" s="7">
        <f ca="1">IFERROR(__xludf.DUMMYFUNCTION("+FT237+FT188"),1489181.21)</f>
        <v>1489181.21</v>
      </c>
      <c r="FU257" s="7">
        <f ca="1">IFERROR(__xludf.DUMMYFUNCTION("+FU237+FU188"),10636237.18)</f>
        <v>10636237.18</v>
      </c>
      <c r="FV257" s="7">
        <f ca="1">IFERROR(__xludf.DUMMYFUNCTION("+FV237+FV188"),9133780.11)</f>
        <v>9133780.1099999994</v>
      </c>
      <c r="FW257" s="7">
        <f ca="1">IFERROR(__xludf.DUMMYFUNCTION("+FW237+FW188"),3218252.85)</f>
        <v>3218252.85</v>
      </c>
      <c r="FX257" s="7">
        <f ca="1">IFERROR(__xludf.DUMMYFUNCTION("+FX237+FX188"),1701192.38)</f>
        <v>1701192.38</v>
      </c>
      <c r="FY257" s="7"/>
      <c r="FZ257" s="7">
        <f t="shared" ref="FZ257:FZ259" ca="1" si="124">SUM(C257:FX257)</f>
        <v>9935433974.5800018</v>
      </c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</row>
    <row r="258" spans="1:193" ht="15.5" x14ac:dyDescent="0.35">
      <c r="A258" s="12" t="s">
        <v>675</v>
      </c>
      <c r="B258" s="7" t="s">
        <v>1032</v>
      </c>
      <c r="C258" s="7" t="e">
        <f t="shared" ref="C258:FX258" ca="1" si="125">C253</f>
        <v>#NAME?</v>
      </c>
      <c r="D258" s="7" t="e">
        <f t="shared" ca="1" si="125"/>
        <v>#NAME?</v>
      </c>
      <c r="E258" s="7" t="e">
        <f t="shared" ca="1" si="125"/>
        <v>#NAME?</v>
      </c>
      <c r="F258" s="7" t="e">
        <f t="shared" ca="1" si="125"/>
        <v>#NAME?</v>
      </c>
      <c r="G258" s="7" t="e">
        <f t="shared" ca="1" si="125"/>
        <v>#NAME?</v>
      </c>
      <c r="H258" s="7" t="e">
        <f t="shared" ca="1" si="125"/>
        <v>#NAME?</v>
      </c>
      <c r="I258" s="7" t="e">
        <f t="shared" ca="1" si="125"/>
        <v>#NAME?</v>
      </c>
      <c r="J258" s="7" t="e">
        <f t="shared" ca="1" si="125"/>
        <v>#NAME?</v>
      </c>
      <c r="K258" s="7" t="e">
        <f t="shared" ca="1" si="125"/>
        <v>#NAME?</v>
      </c>
      <c r="L258" s="7" t="e">
        <f t="shared" ca="1" si="125"/>
        <v>#NAME?</v>
      </c>
      <c r="M258" s="7" t="e">
        <f t="shared" ca="1" si="125"/>
        <v>#NAME?</v>
      </c>
      <c r="N258" s="7" t="e">
        <f t="shared" ca="1" si="125"/>
        <v>#NAME?</v>
      </c>
      <c r="O258" s="7" t="e">
        <f t="shared" ca="1" si="125"/>
        <v>#NAME?</v>
      </c>
      <c r="P258" s="7" t="e">
        <f t="shared" ca="1" si="125"/>
        <v>#NAME?</v>
      </c>
      <c r="Q258" s="7" t="e">
        <f t="shared" ca="1" si="125"/>
        <v>#NAME?</v>
      </c>
      <c r="R258" s="7" t="e">
        <f t="shared" ca="1" si="125"/>
        <v>#NAME?</v>
      </c>
      <c r="S258" s="7" t="e">
        <f t="shared" ca="1" si="125"/>
        <v>#NAME?</v>
      </c>
      <c r="T258" s="7" t="e">
        <f t="shared" ca="1" si="125"/>
        <v>#NAME?</v>
      </c>
      <c r="U258" s="7" t="e">
        <f t="shared" ca="1" si="125"/>
        <v>#NAME?</v>
      </c>
      <c r="V258" s="7" t="e">
        <f t="shared" ca="1" si="125"/>
        <v>#NAME?</v>
      </c>
      <c r="W258" s="7" t="e">
        <f t="shared" ca="1" si="125"/>
        <v>#NAME?</v>
      </c>
      <c r="X258" s="7" t="e">
        <f t="shared" ca="1" si="125"/>
        <v>#NAME?</v>
      </c>
      <c r="Y258" s="7" t="e">
        <f t="shared" ca="1" si="125"/>
        <v>#NAME?</v>
      </c>
      <c r="Z258" s="7" t="e">
        <f t="shared" ca="1" si="125"/>
        <v>#NAME?</v>
      </c>
      <c r="AA258" s="7" t="e">
        <f t="shared" ca="1" si="125"/>
        <v>#NAME?</v>
      </c>
      <c r="AB258" s="7" t="e">
        <f t="shared" ca="1" si="125"/>
        <v>#NAME?</v>
      </c>
      <c r="AC258" s="7" t="e">
        <f t="shared" ca="1" si="125"/>
        <v>#NAME?</v>
      </c>
      <c r="AD258" s="7" t="e">
        <f t="shared" ca="1" si="125"/>
        <v>#NAME?</v>
      </c>
      <c r="AE258" s="7" t="e">
        <f t="shared" ca="1" si="125"/>
        <v>#NAME?</v>
      </c>
      <c r="AF258" s="7" t="e">
        <f t="shared" ca="1" si="125"/>
        <v>#NAME?</v>
      </c>
      <c r="AG258" s="7" t="e">
        <f t="shared" ca="1" si="125"/>
        <v>#NAME?</v>
      </c>
      <c r="AH258" s="7" t="e">
        <f t="shared" ca="1" si="125"/>
        <v>#NAME?</v>
      </c>
      <c r="AI258" s="7" t="e">
        <f t="shared" ca="1" si="125"/>
        <v>#NAME?</v>
      </c>
      <c r="AJ258" s="7" t="e">
        <f t="shared" ca="1" si="125"/>
        <v>#NAME?</v>
      </c>
      <c r="AK258" s="7" t="e">
        <f t="shared" ca="1" si="125"/>
        <v>#NAME?</v>
      </c>
      <c r="AL258" s="7" t="e">
        <f t="shared" ca="1" si="125"/>
        <v>#NAME?</v>
      </c>
      <c r="AM258" s="7" t="e">
        <f t="shared" ca="1" si="125"/>
        <v>#NAME?</v>
      </c>
      <c r="AN258" s="7" t="e">
        <f t="shared" ca="1" si="125"/>
        <v>#NAME?</v>
      </c>
      <c r="AO258" s="7" t="e">
        <f t="shared" ca="1" si="125"/>
        <v>#NAME?</v>
      </c>
      <c r="AP258" s="7" t="e">
        <f t="shared" ca="1" si="125"/>
        <v>#NAME?</v>
      </c>
      <c r="AQ258" s="7" t="e">
        <f t="shared" ca="1" si="125"/>
        <v>#NAME?</v>
      </c>
      <c r="AR258" s="7" t="e">
        <f t="shared" ca="1" si="125"/>
        <v>#NAME?</v>
      </c>
      <c r="AS258" s="7" t="e">
        <f t="shared" ca="1" si="125"/>
        <v>#NAME?</v>
      </c>
      <c r="AT258" s="7" t="e">
        <f t="shared" ca="1" si="125"/>
        <v>#NAME?</v>
      </c>
      <c r="AU258" s="7" t="e">
        <f t="shared" ca="1" si="125"/>
        <v>#NAME?</v>
      </c>
      <c r="AV258" s="7" t="e">
        <f t="shared" ca="1" si="125"/>
        <v>#NAME?</v>
      </c>
      <c r="AW258" s="7" t="e">
        <f t="shared" ca="1" si="125"/>
        <v>#NAME?</v>
      </c>
      <c r="AX258" s="7" t="e">
        <f t="shared" ca="1" si="125"/>
        <v>#NAME?</v>
      </c>
      <c r="AY258" s="7" t="e">
        <f t="shared" ca="1" si="125"/>
        <v>#NAME?</v>
      </c>
      <c r="AZ258" s="7" t="e">
        <f t="shared" ca="1" si="125"/>
        <v>#NAME?</v>
      </c>
      <c r="BA258" s="7" t="e">
        <f t="shared" ca="1" si="125"/>
        <v>#NAME?</v>
      </c>
      <c r="BB258" s="7" t="e">
        <f t="shared" ca="1" si="125"/>
        <v>#NAME?</v>
      </c>
      <c r="BC258" s="7" t="e">
        <f t="shared" ca="1" si="125"/>
        <v>#NAME?</v>
      </c>
      <c r="BD258" s="7" t="e">
        <f t="shared" ca="1" si="125"/>
        <v>#NAME?</v>
      </c>
      <c r="BE258" s="7" t="e">
        <f t="shared" ca="1" si="125"/>
        <v>#NAME?</v>
      </c>
      <c r="BF258" s="7" t="e">
        <f t="shared" ca="1" si="125"/>
        <v>#NAME?</v>
      </c>
      <c r="BG258" s="7" t="e">
        <f t="shared" ca="1" si="125"/>
        <v>#NAME?</v>
      </c>
      <c r="BH258" s="7" t="e">
        <f t="shared" ca="1" si="125"/>
        <v>#NAME?</v>
      </c>
      <c r="BI258" s="7" t="e">
        <f t="shared" ca="1" si="125"/>
        <v>#NAME?</v>
      </c>
      <c r="BJ258" s="7" t="e">
        <f t="shared" ca="1" si="125"/>
        <v>#NAME?</v>
      </c>
      <c r="BK258" s="7" t="e">
        <f t="shared" ca="1" si="125"/>
        <v>#NAME?</v>
      </c>
      <c r="BL258" s="7" t="e">
        <f t="shared" ca="1" si="125"/>
        <v>#NAME?</v>
      </c>
      <c r="BM258" s="7" t="e">
        <f t="shared" ca="1" si="125"/>
        <v>#NAME?</v>
      </c>
      <c r="BN258" s="7" t="e">
        <f t="shared" ca="1" si="125"/>
        <v>#NAME?</v>
      </c>
      <c r="BO258" s="7" t="e">
        <f t="shared" ca="1" si="125"/>
        <v>#NAME?</v>
      </c>
      <c r="BP258" s="7" t="e">
        <f t="shared" ca="1" si="125"/>
        <v>#NAME?</v>
      </c>
      <c r="BQ258" s="7" t="e">
        <f t="shared" ca="1" si="125"/>
        <v>#NAME?</v>
      </c>
      <c r="BR258" s="7" t="e">
        <f t="shared" ca="1" si="125"/>
        <v>#NAME?</v>
      </c>
      <c r="BS258" s="7" t="e">
        <f t="shared" ca="1" si="125"/>
        <v>#NAME?</v>
      </c>
      <c r="BT258" s="7" t="e">
        <f t="shared" ca="1" si="125"/>
        <v>#NAME?</v>
      </c>
      <c r="BU258" s="7" t="e">
        <f t="shared" ca="1" si="125"/>
        <v>#NAME?</v>
      </c>
      <c r="BV258" s="7" t="e">
        <f t="shared" ca="1" si="125"/>
        <v>#NAME?</v>
      </c>
      <c r="BW258" s="7" t="e">
        <f t="shared" ca="1" si="125"/>
        <v>#NAME?</v>
      </c>
      <c r="BX258" s="7" t="e">
        <f t="shared" ca="1" si="125"/>
        <v>#NAME?</v>
      </c>
      <c r="BY258" s="7" t="e">
        <f t="shared" ca="1" si="125"/>
        <v>#NAME?</v>
      </c>
      <c r="BZ258" s="7" t="e">
        <f t="shared" ca="1" si="125"/>
        <v>#NAME?</v>
      </c>
      <c r="CA258" s="7" t="e">
        <f t="shared" ca="1" si="125"/>
        <v>#NAME?</v>
      </c>
      <c r="CB258" s="7" t="e">
        <f t="shared" ca="1" si="125"/>
        <v>#NAME?</v>
      </c>
      <c r="CC258" s="7" t="e">
        <f t="shared" ca="1" si="125"/>
        <v>#NAME?</v>
      </c>
      <c r="CD258" s="7" t="e">
        <f t="shared" ca="1" si="125"/>
        <v>#NAME?</v>
      </c>
      <c r="CE258" s="7" t="e">
        <f t="shared" ca="1" si="125"/>
        <v>#NAME?</v>
      </c>
      <c r="CF258" s="7" t="e">
        <f t="shared" ca="1" si="125"/>
        <v>#NAME?</v>
      </c>
      <c r="CG258" s="7" t="e">
        <f t="shared" ca="1" si="125"/>
        <v>#NAME?</v>
      </c>
      <c r="CH258" s="7" t="e">
        <f t="shared" ca="1" si="125"/>
        <v>#NAME?</v>
      </c>
      <c r="CI258" s="7" t="e">
        <f t="shared" ca="1" si="125"/>
        <v>#NAME?</v>
      </c>
      <c r="CJ258" s="7" t="e">
        <f t="shared" ca="1" si="125"/>
        <v>#NAME?</v>
      </c>
      <c r="CK258" s="7" t="e">
        <f t="shared" ca="1" si="125"/>
        <v>#NAME?</v>
      </c>
      <c r="CL258" s="7" t="e">
        <f t="shared" ca="1" si="125"/>
        <v>#NAME?</v>
      </c>
      <c r="CM258" s="7" t="e">
        <f t="shared" ca="1" si="125"/>
        <v>#NAME?</v>
      </c>
      <c r="CN258" s="7" t="e">
        <f t="shared" ca="1" si="125"/>
        <v>#NAME?</v>
      </c>
      <c r="CO258" s="7" t="e">
        <f t="shared" ca="1" si="125"/>
        <v>#NAME?</v>
      </c>
      <c r="CP258" s="7" t="e">
        <f t="shared" ca="1" si="125"/>
        <v>#NAME?</v>
      </c>
      <c r="CQ258" s="7" t="e">
        <f t="shared" ca="1" si="125"/>
        <v>#NAME?</v>
      </c>
      <c r="CR258" s="7" t="e">
        <f t="shared" ca="1" si="125"/>
        <v>#NAME?</v>
      </c>
      <c r="CS258" s="7" t="e">
        <f t="shared" ca="1" si="125"/>
        <v>#NAME?</v>
      </c>
      <c r="CT258" s="7" t="e">
        <f t="shared" ca="1" si="125"/>
        <v>#NAME?</v>
      </c>
      <c r="CU258" s="7" t="e">
        <f t="shared" ca="1" si="125"/>
        <v>#NAME?</v>
      </c>
      <c r="CV258" s="7" t="e">
        <f t="shared" ca="1" si="125"/>
        <v>#NAME?</v>
      </c>
      <c r="CW258" s="7" t="e">
        <f t="shared" ca="1" si="125"/>
        <v>#NAME?</v>
      </c>
      <c r="CX258" s="7" t="e">
        <f t="shared" ca="1" si="125"/>
        <v>#NAME?</v>
      </c>
      <c r="CY258" s="7" t="e">
        <f t="shared" ca="1" si="125"/>
        <v>#NAME?</v>
      </c>
      <c r="CZ258" s="7" t="e">
        <f t="shared" ca="1" si="125"/>
        <v>#NAME?</v>
      </c>
      <c r="DA258" s="7" t="e">
        <f t="shared" ca="1" si="125"/>
        <v>#NAME?</v>
      </c>
      <c r="DB258" s="7" t="e">
        <f t="shared" ca="1" si="125"/>
        <v>#NAME?</v>
      </c>
      <c r="DC258" s="7" t="e">
        <f t="shared" ca="1" si="125"/>
        <v>#NAME?</v>
      </c>
      <c r="DD258" s="7" t="e">
        <f t="shared" ca="1" si="125"/>
        <v>#NAME?</v>
      </c>
      <c r="DE258" s="7" t="e">
        <f t="shared" ca="1" si="125"/>
        <v>#NAME?</v>
      </c>
      <c r="DF258" s="7" t="e">
        <f t="shared" ca="1" si="125"/>
        <v>#NAME?</v>
      </c>
      <c r="DG258" s="7" t="e">
        <f t="shared" ca="1" si="125"/>
        <v>#NAME?</v>
      </c>
      <c r="DH258" s="7" t="e">
        <f t="shared" ca="1" si="125"/>
        <v>#NAME?</v>
      </c>
      <c r="DI258" s="7" t="e">
        <f t="shared" ca="1" si="125"/>
        <v>#NAME?</v>
      </c>
      <c r="DJ258" s="7" t="e">
        <f t="shared" ca="1" si="125"/>
        <v>#NAME?</v>
      </c>
      <c r="DK258" s="7" t="e">
        <f t="shared" ca="1" si="125"/>
        <v>#NAME?</v>
      </c>
      <c r="DL258" s="7" t="e">
        <f t="shared" ca="1" si="125"/>
        <v>#NAME?</v>
      </c>
      <c r="DM258" s="7" t="e">
        <f t="shared" ca="1" si="125"/>
        <v>#NAME?</v>
      </c>
      <c r="DN258" s="7" t="e">
        <f t="shared" ca="1" si="125"/>
        <v>#NAME?</v>
      </c>
      <c r="DO258" s="7" t="e">
        <f t="shared" ca="1" si="125"/>
        <v>#NAME?</v>
      </c>
      <c r="DP258" s="7" t="e">
        <f t="shared" ca="1" si="125"/>
        <v>#NAME?</v>
      </c>
      <c r="DQ258" s="7" t="e">
        <f t="shared" ca="1" si="125"/>
        <v>#NAME?</v>
      </c>
      <c r="DR258" s="7" t="e">
        <f t="shared" ca="1" si="125"/>
        <v>#NAME?</v>
      </c>
      <c r="DS258" s="7" t="e">
        <f t="shared" ca="1" si="125"/>
        <v>#NAME?</v>
      </c>
      <c r="DT258" s="7" t="e">
        <f t="shared" ca="1" si="125"/>
        <v>#NAME?</v>
      </c>
      <c r="DU258" s="7" t="e">
        <f t="shared" ca="1" si="125"/>
        <v>#NAME?</v>
      </c>
      <c r="DV258" s="7" t="e">
        <f t="shared" ca="1" si="125"/>
        <v>#NAME?</v>
      </c>
      <c r="DW258" s="7" t="e">
        <f t="shared" ca="1" si="125"/>
        <v>#NAME?</v>
      </c>
      <c r="DX258" s="7" t="e">
        <f t="shared" ca="1" si="125"/>
        <v>#NAME?</v>
      </c>
      <c r="DY258" s="7" t="e">
        <f t="shared" ca="1" si="125"/>
        <v>#NAME?</v>
      </c>
      <c r="DZ258" s="7" t="e">
        <f t="shared" ca="1" si="125"/>
        <v>#NAME?</v>
      </c>
      <c r="EA258" s="7" t="e">
        <f t="shared" ca="1" si="125"/>
        <v>#NAME?</v>
      </c>
      <c r="EB258" s="7" t="e">
        <f t="shared" ca="1" si="125"/>
        <v>#NAME?</v>
      </c>
      <c r="EC258" s="7" t="e">
        <f t="shared" ca="1" si="125"/>
        <v>#NAME?</v>
      </c>
      <c r="ED258" s="7" t="e">
        <f t="shared" ca="1" si="125"/>
        <v>#NAME?</v>
      </c>
      <c r="EE258" s="7" t="e">
        <f t="shared" ca="1" si="125"/>
        <v>#NAME?</v>
      </c>
      <c r="EF258" s="7" t="e">
        <f t="shared" ca="1" si="125"/>
        <v>#NAME?</v>
      </c>
      <c r="EG258" s="7" t="e">
        <f t="shared" ca="1" si="125"/>
        <v>#NAME?</v>
      </c>
      <c r="EH258" s="7" t="e">
        <f t="shared" ca="1" si="125"/>
        <v>#NAME?</v>
      </c>
      <c r="EI258" s="7" t="e">
        <f t="shared" ca="1" si="125"/>
        <v>#NAME?</v>
      </c>
      <c r="EJ258" s="7" t="e">
        <f t="shared" ca="1" si="125"/>
        <v>#NAME?</v>
      </c>
      <c r="EK258" s="7" t="e">
        <f t="shared" ca="1" si="125"/>
        <v>#NAME?</v>
      </c>
      <c r="EL258" s="7" t="e">
        <f t="shared" ca="1" si="125"/>
        <v>#NAME?</v>
      </c>
      <c r="EM258" s="7" t="e">
        <f t="shared" ca="1" si="125"/>
        <v>#NAME?</v>
      </c>
      <c r="EN258" s="7" t="e">
        <f t="shared" ca="1" si="125"/>
        <v>#NAME?</v>
      </c>
      <c r="EO258" s="7" t="e">
        <f t="shared" ca="1" si="125"/>
        <v>#NAME?</v>
      </c>
      <c r="EP258" s="7" t="e">
        <f t="shared" ca="1" si="125"/>
        <v>#NAME?</v>
      </c>
      <c r="EQ258" s="7" t="e">
        <f t="shared" ca="1" si="125"/>
        <v>#NAME?</v>
      </c>
      <c r="ER258" s="7" t="e">
        <f t="shared" ca="1" si="125"/>
        <v>#NAME?</v>
      </c>
      <c r="ES258" s="7" t="e">
        <f t="shared" ca="1" si="125"/>
        <v>#NAME?</v>
      </c>
      <c r="ET258" s="7" t="e">
        <f t="shared" ca="1" si="125"/>
        <v>#NAME?</v>
      </c>
      <c r="EU258" s="7" t="e">
        <f t="shared" ca="1" si="125"/>
        <v>#NAME?</v>
      </c>
      <c r="EV258" s="7" t="e">
        <f t="shared" ca="1" si="125"/>
        <v>#NAME?</v>
      </c>
      <c r="EW258" s="7" t="e">
        <f t="shared" ca="1" si="125"/>
        <v>#NAME?</v>
      </c>
      <c r="EX258" s="7" t="e">
        <f t="shared" ca="1" si="125"/>
        <v>#NAME?</v>
      </c>
      <c r="EY258" s="7" t="e">
        <f t="shared" ca="1" si="125"/>
        <v>#NAME?</v>
      </c>
      <c r="EZ258" s="7" t="e">
        <f t="shared" ca="1" si="125"/>
        <v>#NAME?</v>
      </c>
      <c r="FA258" s="7" t="e">
        <f t="shared" ca="1" si="125"/>
        <v>#NAME?</v>
      </c>
      <c r="FB258" s="7" t="e">
        <f t="shared" ca="1" si="125"/>
        <v>#NAME?</v>
      </c>
      <c r="FC258" s="7" t="e">
        <f t="shared" ca="1" si="125"/>
        <v>#NAME?</v>
      </c>
      <c r="FD258" s="7" t="e">
        <f t="shared" ca="1" si="125"/>
        <v>#NAME?</v>
      </c>
      <c r="FE258" s="7" t="e">
        <f t="shared" ca="1" si="125"/>
        <v>#NAME?</v>
      </c>
      <c r="FF258" s="7" t="e">
        <f t="shared" ca="1" si="125"/>
        <v>#NAME?</v>
      </c>
      <c r="FG258" s="7" t="e">
        <f t="shared" ca="1" si="125"/>
        <v>#NAME?</v>
      </c>
      <c r="FH258" s="7" t="e">
        <f t="shared" ca="1" si="125"/>
        <v>#NAME?</v>
      </c>
      <c r="FI258" s="7" t="e">
        <f t="shared" ca="1" si="125"/>
        <v>#NAME?</v>
      </c>
      <c r="FJ258" s="7" t="e">
        <f t="shared" ca="1" si="125"/>
        <v>#NAME?</v>
      </c>
      <c r="FK258" s="7" t="e">
        <f t="shared" ca="1" si="125"/>
        <v>#NAME?</v>
      </c>
      <c r="FL258" s="7" t="e">
        <f t="shared" ca="1" si="125"/>
        <v>#NAME?</v>
      </c>
      <c r="FM258" s="7" t="e">
        <f t="shared" ca="1" si="125"/>
        <v>#NAME?</v>
      </c>
      <c r="FN258" s="7" t="e">
        <f t="shared" ca="1" si="125"/>
        <v>#NAME?</v>
      </c>
      <c r="FO258" s="7" t="e">
        <f t="shared" ca="1" si="125"/>
        <v>#NAME?</v>
      </c>
      <c r="FP258" s="7" t="e">
        <f t="shared" ca="1" si="125"/>
        <v>#NAME?</v>
      </c>
      <c r="FQ258" s="7" t="e">
        <f t="shared" ca="1" si="125"/>
        <v>#NAME?</v>
      </c>
      <c r="FR258" s="7" t="e">
        <f t="shared" ca="1" si="125"/>
        <v>#NAME?</v>
      </c>
      <c r="FS258" s="7" t="e">
        <f t="shared" ca="1" si="125"/>
        <v>#NAME?</v>
      </c>
      <c r="FT258" s="7" t="e">
        <f t="shared" ca="1" si="125"/>
        <v>#NAME?</v>
      </c>
      <c r="FU258" s="7" t="e">
        <f t="shared" ca="1" si="125"/>
        <v>#NAME?</v>
      </c>
      <c r="FV258" s="7" t="e">
        <f t="shared" ca="1" si="125"/>
        <v>#NAME?</v>
      </c>
      <c r="FW258" s="7" t="e">
        <f t="shared" ca="1" si="125"/>
        <v>#NAME?</v>
      </c>
      <c r="FX258" s="7" t="e">
        <f t="shared" ca="1" si="125"/>
        <v>#NAME?</v>
      </c>
      <c r="FY258" s="49"/>
      <c r="FZ258" s="7" t="e">
        <f t="shared" ca="1" si="124"/>
        <v>#NAME?</v>
      </c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</row>
    <row r="259" spans="1:193" ht="15.5" x14ac:dyDescent="0.35">
      <c r="A259" s="12" t="s">
        <v>677</v>
      </c>
      <c r="B259" s="7" t="s">
        <v>1033</v>
      </c>
      <c r="C259" s="7" t="e">
        <f t="shared" ref="C259:FX259" ca="1" si="126">ROUND(C257+C258,2)</f>
        <v>#NAME?</v>
      </c>
      <c r="D259" s="7" t="e">
        <f t="shared" ca="1" si="126"/>
        <v>#NAME?</v>
      </c>
      <c r="E259" s="7" t="e">
        <f t="shared" ca="1" si="126"/>
        <v>#NAME?</v>
      </c>
      <c r="F259" s="7" t="e">
        <f t="shared" ca="1" si="126"/>
        <v>#NAME?</v>
      </c>
      <c r="G259" s="7" t="e">
        <f t="shared" ca="1" si="126"/>
        <v>#NAME?</v>
      </c>
      <c r="H259" s="7" t="e">
        <f t="shared" ca="1" si="126"/>
        <v>#NAME?</v>
      </c>
      <c r="I259" s="7" t="e">
        <f t="shared" ca="1" si="126"/>
        <v>#NAME?</v>
      </c>
      <c r="J259" s="7" t="e">
        <f t="shared" ca="1" si="126"/>
        <v>#NAME?</v>
      </c>
      <c r="K259" s="7" t="e">
        <f t="shared" ca="1" si="126"/>
        <v>#NAME?</v>
      </c>
      <c r="L259" s="7" t="e">
        <f t="shared" ca="1" si="126"/>
        <v>#NAME?</v>
      </c>
      <c r="M259" s="7" t="e">
        <f t="shared" ca="1" si="126"/>
        <v>#NAME?</v>
      </c>
      <c r="N259" s="7" t="e">
        <f t="shared" ca="1" si="126"/>
        <v>#NAME?</v>
      </c>
      <c r="O259" s="7" t="e">
        <f t="shared" ca="1" si="126"/>
        <v>#NAME?</v>
      </c>
      <c r="P259" s="7" t="e">
        <f t="shared" ca="1" si="126"/>
        <v>#NAME?</v>
      </c>
      <c r="Q259" s="7" t="e">
        <f t="shared" ca="1" si="126"/>
        <v>#NAME?</v>
      </c>
      <c r="R259" s="7" t="e">
        <f t="shared" ca="1" si="126"/>
        <v>#NAME?</v>
      </c>
      <c r="S259" s="7" t="e">
        <f t="shared" ca="1" si="126"/>
        <v>#NAME?</v>
      </c>
      <c r="T259" s="7" t="e">
        <f t="shared" ca="1" si="126"/>
        <v>#NAME?</v>
      </c>
      <c r="U259" s="7" t="e">
        <f t="shared" ca="1" si="126"/>
        <v>#NAME?</v>
      </c>
      <c r="V259" s="7" t="e">
        <f t="shared" ca="1" si="126"/>
        <v>#NAME?</v>
      </c>
      <c r="W259" s="7" t="e">
        <f t="shared" ca="1" si="126"/>
        <v>#NAME?</v>
      </c>
      <c r="X259" s="7" t="e">
        <f t="shared" ca="1" si="126"/>
        <v>#NAME?</v>
      </c>
      <c r="Y259" s="7" t="e">
        <f t="shared" ca="1" si="126"/>
        <v>#NAME?</v>
      </c>
      <c r="Z259" s="7" t="e">
        <f t="shared" ca="1" si="126"/>
        <v>#NAME?</v>
      </c>
      <c r="AA259" s="7" t="e">
        <f t="shared" ca="1" si="126"/>
        <v>#NAME?</v>
      </c>
      <c r="AB259" s="7" t="e">
        <f t="shared" ca="1" si="126"/>
        <v>#NAME?</v>
      </c>
      <c r="AC259" s="7" t="e">
        <f t="shared" ca="1" si="126"/>
        <v>#NAME?</v>
      </c>
      <c r="AD259" s="7" t="e">
        <f t="shared" ca="1" si="126"/>
        <v>#NAME?</v>
      </c>
      <c r="AE259" s="7" t="e">
        <f t="shared" ca="1" si="126"/>
        <v>#NAME?</v>
      </c>
      <c r="AF259" s="7" t="e">
        <f t="shared" ca="1" si="126"/>
        <v>#NAME?</v>
      </c>
      <c r="AG259" s="7" t="e">
        <f t="shared" ca="1" si="126"/>
        <v>#NAME?</v>
      </c>
      <c r="AH259" s="7" t="e">
        <f t="shared" ca="1" si="126"/>
        <v>#NAME?</v>
      </c>
      <c r="AI259" s="7" t="e">
        <f t="shared" ca="1" si="126"/>
        <v>#NAME?</v>
      </c>
      <c r="AJ259" s="7" t="e">
        <f t="shared" ca="1" si="126"/>
        <v>#NAME?</v>
      </c>
      <c r="AK259" s="7" t="e">
        <f t="shared" ca="1" si="126"/>
        <v>#NAME?</v>
      </c>
      <c r="AL259" s="7" t="e">
        <f t="shared" ca="1" si="126"/>
        <v>#NAME?</v>
      </c>
      <c r="AM259" s="7" t="e">
        <f t="shared" ca="1" si="126"/>
        <v>#NAME?</v>
      </c>
      <c r="AN259" s="7" t="e">
        <f t="shared" ca="1" si="126"/>
        <v>#NAME?</v>
      </c>
      <c r="AO259" s="7" t="e">
        <f t="shared" ca="1" si="126"/>
        <v>#NAME?</v>
      </c>
      <c r="AP259" s="7" t="e">
        <f t="shared" ca="1" si="126"/>
        <v>#NAME?</v>
      </c>
      <c r="AQ259" s="7" t="e">
        <f t="shared" ca="1" si="126"/>
        <v>#NAME?</v>
      </c>
      <c r="AR259" s="7" t="e">
        <f t="shared" ca="1" si="126"/>
        <v>#NAME?</v>
      </c>
      <c r="AS259" s="7" t="e">
        <f t="shared" ca="1" si="126"/>
        <v>#NAME?</v>
      </c>
      <c r="AT259" s="7" t="e">
        <f t="shared" ca="1" si="126"/>
        <v>#NAME?</v>
      </c>
      <c r="AU259" s="7" t="e">
        <f t="shared" ca="1" si="126"/>
        <v>#NAME?</v>
      </c>
      <c r="AV259" s="7" t="e">
        <f t="shared" ca="1" si="126"/>
        <v>#NAME?</v>
      </c>
      <c r="AW259" s="7" t="e">
        <f t="shared" ca="1" si="126"/>
        <v>#NAME?</v>
      </c>
      <c r="AX259" s="7" t="e">
        <f t="shared" ca="1" si="126"/>
        <v>#NAME?</v>
      </c>
      <c r="AY259" s="7" t="e">
        <f t="shared" ca="1" si="126"/>
        <v>#NAME?</v>
      </c>
      <c r="AZ259" s="7" t="e">
        <f t="shared" ca="1" si="126"/>
        <v>#NAME?</v>
      </c>
      <c r="BA259" s="7" t="e">
        <f t="shared" ca="1" si="126"/>
        <v>#NAME?</v>
      </c>
      <c r="BB259" s="7" t="e">
        <f t="shared" ca="1" si="126"/>
        <v>#NAME?</v>
      </c>
      <c r="BC259" s="7" t="e">
        <f t="shared" ca="1" si="126"/>
        <v>#NAME?</v>
      </c>
      <c r="BD259" s="7" t="e">
        <f t="shared" ca="1" si="126"/>
        <v>#NAME?</v>
      </c>
      <c r="BE259" s="7" t="e">
        <f t="shared" ca="1" si="126"/>
        <v>#NAME?</v>
      </c>
      <c r="BF259" s="7" t="e">
        <f t="shared" ca="1" si="126"/>
        <v>#NAME?</v>
      </c>
      <c r="BG259" s="7" t="e">
        <f t="shared" ca="1" si="126"/>
        <v>#NAME?</v>
      </c>
      <c r="BH259" s="7" t="e">
        <f t="shared" ca="1" si="126"/>
        <v>#NAME?</v>
      </c>
      <c r="BI259" s="7" t="e">
        <f t="shared" ca="1" si="126"/>
        <v>#NAME?</v>
      </c>
      <c r="BJ259" s="7" t="e">
        <f t="shared" ca="1" si="126"/>
        <v>#NAME?</v>
      </c>
      <c r="BK259" s="7" t="e">
        <f t="shared" ca="1" si="126"/>
        <v>#NAME?</v>
      </c>
      <c r="BL259" s="7" t="e">
        <f t="shared" ca="1" si="126"/>
        <v>#NAME?</v>
      </c>
      <c r="BM259" s="7" t="e">
        <f t="shared" ca="1" si="126"/>
        <v>#NAME?</v>
      </c>
      <c r="BN259" s="7" t="e">
        <f t="shared" ca="1" si="126"/>
        <v>#NAME?</v>
      </c>
      <c r="BO259" s="7" t="e">
        <f t="shared" ca="1" si="126"/>
        <v>#NAME?</v>
      </c>
      <c r="BP259" s="7" t="e">
        <f t="shared" ca="1" si="126"/>
        <v>#NAME?</v>
      </c>
      <c r="BQ259" s="7" t="e">
        <f t="shared" ca="1" si="126"/>
        <v>#NAME?</v>
      </c>
      <c r="BR259" s="7" t="e">
        <f t="shared" ca="1" si="126"/>
        <v>#NAME?</v>
      </c>
      <c r="BS259" s="7" t="e">
        <f t="shared" ca="1" si="126"/>
        <v>#NAME?</v>
      </c>
      <c r="BT259" s="7" t="e">
        <f t="shared" ca="1" si="126"/>
        <v>#NAME?</v>
      </c>
      <c r="BU259" s="7" t="e">
        <f t="shared" ca="1" si="126"/>
        <v>#NAME?</v>
      </c>
      <c r="BV259" s="7" t="e">
        <f t="shared" ca="1" si="126"/>
        <v>#NAME?</v>
      </c>
      <c r="BW259" s="7" t="e">
        <f t="shared" ca="1" si="126"/>
        <v>#NAME?</v>
      </c>
      <c r="BX259" s="7" t="e">
        <f t="shared" ca="1" si="126"/>
        <v>#NAME?</v>
      </c>
      <c r="BY259" s="7" t="e">
        <f t="shared" ca="1" si="126"/>
        <v>#NAME?</v>
      </c>
      <c r="BZ259" s="7" t="e">
        <f t="shared" ca="1" si="126"/>
        <v>#NAME?</v>
      </c>
      <c r="CA259" s="7" t="e">
        <f t="shared" ca="1" si="126"/>
        <v>#NAME?</v>
      </c>
      <c r="CB259" s="7" t="e">
        <f t="shared" ca="1" si="126"/>
        <v>#NAME?</v>
      </c>
      <c r="CC259" s="7" t="e">
        <f t="shared" ca="1" si="126"/>
        <v>#NAME?</v>
      </c>
      <c r="CD259" s="7" t="e">
        <f t="shared" ca="1" si="126"/>
        <v>#NAME?</v>
      </c>
      <c r="CE259" s="7" t="e">
        <f t="shared" ca="1" si="126"/>
        <v>#NAME?</v>
      </c>
      <c r="CF259" s="7" t="e">
        <f t="shared" ca="1" si="126"/>
        <v>#NAME?</v>
      </c>
      <c r="CG259" s="7" t="e">
        <f t="shared" ca="1" si="126"/>
        <v>#NAME?</v>
      </c>
      <c r="CH259" s="7" t="e">
        <f t="shared" ca="1" si="126"/>
        <v>#NAME?</v>
      </c>
      <c r="CI259" s="7" t="e">
        <f t="shared" ca="1" si="126"/>
        <v>#NAME?</v>
      </c>
      <c r="CJ259" s="7" t="e">
        <f t="shared" ca="1" si="126"/>
        <v>#NAME?</v>
      </c>
      <c r="CK259" s="7" t="e">
        <f t="shared" ca="1" si="126"/>
        <v>#NAME?</v>
      </c>
      <c r="CL259" s="7" t="e">
        <f t="shared" ca="1" si="126"/>
        <v>#NAME?</v>
      </c>
      <c r="CM259" s="7" t="e">
        <f t="shared" ca="1" si="126"/>
        <v>#NAME?</v>
      </c>
      <c r="CN259" s="7" t="e">
        <f t="shared" ca="1" si="126"/>
        <v>#NAME?</v>
      </c>
      <c r="CO259" s="7" t="e">
        <f t="shared" ca="1" si="126"/>
        <v>#NAME?</v>
      </c>
      <c r="CP259" s="7" t="e">
        <f t="shared" ca="1" si="126"/>
        <v>#NAME?</v>
      </c>
      <c r="CQ259" s="7" t="e">
        <f t="shared" ca="1" si="126"/>
        <v>#NAME?</v>
      </c>
      <c r="CR259" s="7" t="e">
        <f t="shared" ca="1" si="126"/>
        <v>#NAME?</v>
      </c>
      <c r="CS259" s="7" t="e">
        <f t="shared" ca="1" si="126"/>
        <v>#NAME?</v>
      </c>
      <c r="CT259" s="7" t="e">
        <f t="shared" ca="1" si="126"/>
        <v>#NAME?</v>
      </c>
      <c r="CU259" s="7" t="e">
        <f t="shared" ca="1" si="126"/>
        <v>#NAME?</v>
      </c>
      <c r="CV259" s="7" t="e">
        <f t="shared" ca="1" si="126"/>
        <v>#NAME?</v>
      </c>
      <c r="CW259" s="7" t="e">
        <f t="shared" ca="1" si="126"/>
        <v>#NAME?</v>
      </c>
      <c r="CX259" s="7" t="e">
        <f t="shared" ca="1" si="126"/>
        <v>#NAME?</v>
      </c>
      <c r="CY259" s="7" t="e">
        <f t="shared" ca="1" si="126"/>
        <v>#NAME?</v>
      </c>
      <c r="CZ259" s="7" t="e">
        <f t="shared" ca="1" si="126"/>
        <v>#NAME?</v>
      </c>
      <c r="DA259" s="7" t="e">
        <f t="shared" ca="1" si="126"/>
        <v>#NAME?</v>
      </c>
      <c r="DB259" s="7" t="e">
        <f t="shared" ca="1" si="126"/>
        <v>#NAME?</v>
      </c>
      <c r="DC259" s="7" t="e">
        <f t="shared" ca="1" si="126"/>
        <v>#NAME?</v>
      </c>
      <c r="DD259" s="7" t="e">
        <f t="shared" ca="1" si="126"/>
        <v>#NAME?</v>
      </c>
      <c r="DE259" s="7" t="e">
        <f t="shared" ca="1" si="126"/>
        <v>#NAME?</v>
      </c>
      <c r="DF259" s="7" t="e">
        <f t="shared" ca="1" si="126"/>
        <v>#NAME?</v>
      </c>
      <c r="DG259" s="7" t="e">
        <f t="shared" ca="1" si="126"/>
        <v>#NAME?</v>
      </c>
      <c r="DH259" s="7" t="e">
        <f t="shared" ca="1" si="126"/>
        <v>#NAME?</v>
      </c>
      <c r="DI259" s="7" t="e">
        <f t="shared" ca="1" si="126"/>
        <v>#NAME?</v>
      </c>
      <c r="DJ259" s="7" t="e">
        <f t="shared" ca="1" si="126"/>
        <v>#NAME?</v>
      </c>
      <c r="DK259" s="7" t="e">
        <f t="shared" ca="1" si="126"/>
        <v>#NAME?</v>
      </c>
      <c r="DL259" s="7" t="e">
        <f t="shared" ca="1" si="126"/>
        <v>#NAME?</v>
      </c>
      <c r="DM259" s="7" t="e">
        <f t="shared" ca="1" si="126"/>
        <v>#NAME?</v>
      </c>
      <c r="DN259" s="7" t="e">
        <f t="shared" ca="1" si="126"/>
        <v>#NAME?</v>
      </c>
      <c r="DO259" s="7" t="e">
        <f t="shared" ca="1" si="126"/>
        <v>#NAME?</v>
      </c>
      <c r="DP259" s="7" t="e">
        <f t="shared" ca="1" si="126"/>
        <v>#NAME?</v>
      </c>
      <c r="DQ259" s="7" t="e">
        <f t="shared" ca="1" si="126"/>
        <v>#NAME?</v>
      </c>
      <c r="DR259" s="7" t="e">
        <f t="shared" ca="1" si="126"/>
        <v>#NAME?</v>
      </c>
      <c r="DS259" s="7" t="e">
        <f t="shared" ca="1" si="126"/>
        <v>#NAME?</v>
      </c>
      <c r="DT259" s="7" t="e">
        <f t="shared" ca="1" si="126"/>
        <v>#NAME?</v>
      </c>
      <c r="DU259" s="7" t="e">
        <f t="shared" ca="1" si="126"/>
        <v>#NAME?</v>
      </c>
      <c r="DV259" s="7" t="e">
        <f t="shared" ca="1" si="126"/>
        <v>#NAME?</v>
      </c>
      <c r="DW259" s="7" t="e">
        <f t="shared" ca="1" si="126"/>
        <v>#NAME?</v>
      </c>
      <c r="DX259" s="7" t="e">
        <f t="shared" ca="1" si="126"/>
        <v>#NAME?</v>
      </c>
      <c r="DY259" s="7" t="e">
        <f t="shared" ca="1" si="126"/>
        <v>#NAME?</v>
      </c>
      <c r="DZ259" s="7" t="e">
        <f t="shared" ca="1" si="126"/>
        <v>#NAME?</v>
      </c>
      <c r="EA259" s="7" t="e">
        <f t="shared" ca="1" si="126"/>
        <v>#NAME?</v>
      </c>
      <c r="EB259" s="7" t="e">
        <f t="shared" ca="1" si="126"/>
        <v>#NAME?</v>
      </c>
      <c r="EC259" s="7" t="e">
        <f t="shared" ca="1" si="126"/>
        <v>#NAME?</v>
      </c>
      <c r="ED259" s="7" t="e">
        <f t="shared" ca="1" si="126"/>
        <v>#NAME?</v>
      </c>
      <c r="EE259" s="7" t="e">
        <f t="shared" ca="1" si="126"/>
        <v>#NAME?</v>
      </c>
      <c r="EF259" s="7" t="e">
        <f t="shared" ca="1" si="126"/>
        <v>#NAME?</v>
      </c>
      <c r="EG259" s="7" t="e">
        <f t="shared" ca="1" si="126"/>
        <v>#NAME?</v>
      </c>
      <c r="EH259" s="7" t="e">
        <f t="shared" ca="1" si="126"/>
        <v>#NAME?</v>
      </c>
      <c r="EI259" s="7" t="e">
        <f t="shared" ca="1" si="126"/>
        <v>#NAME?</v>
      </c>
      <c r="EJ259" s="7" t="e">
        <f t="shared" ca="1" si="126"/>
        <v>#NAME?</v>
      </c>
      <c r="EK259" s="7" t="e">
        <f t="shared" ca="1" si="126"/>
        <v>#NAME?</v>
      </c>
      <c r="EL259" s="7" t="e">
        <f t="shared" ca="1" si="126"/>
        <v>#NAME?</v>
      </c>
      <c r="EM259" s="7" t="e">
        <f t="shared" ca="1" si="126"/>
        <v>#NAME?</v>
      </c>
      <c r="EN259" s="7" t="e">
        <f t="shared" ca="1" si="126"/>
        <v>#NAME?</v>
      </c>
      <c r="EO259" s="7" t="e">
        <f t="shared" ca="1" si="126"/>
        <v>#NAME?</v>
      </c>
      <c r="EP259" s="7" t="e">
        <f t="shared" ca="1" si="126"/>
        <v>#NAME?</v>
      </c>
      <c r="EQ259" s="7" t="e">
        <f t="shared" ca="1" si="126"/>
        <v>#NAME?</v>
      </c>
      <c r="ER259" s="7" t="e">
        <f t="shared" ca="1" si="126"/>
        <v>#NAME?</v>
      </c>
      <c r="ES259" s="7" t="e">
        <f t="shared" ca="1" si="126"/>
        <v>#NAME?</v>
      </c>
      <c r="ET259" s="7" t="e">
        <f t="shared" ca="1" si="126"/>
        <v>#NAME?</v>
      </c>
      <c r="EU259" s="7" t="e">
        <f t="shared" ca="1" si="126"/>
        <v>#NAME?</v>
      </c>
      <c r="EV259" s="7" t="e">
        <f t="shared" ca="1" si="126"/>
        <v>#NAME?</v>
      </c>
      <c r="EW259" s="7" t="e">
        <f t="shared" ca="1" si="126"/>
        <v>#NAME?</v>
      </c>
      <c r="EX259" s="7" t="e">
        <f t="shared" ca="1" si="126"/>
        <v>#NAME?</v>
      </c>
      <c r="EY259" s="7" t="e">
        <f t="shared" ca="1" si="126"/>
        <v>#NAME?</v>
      </c>
      <c r="EZ259" s="7" t="e">
        <f t="shared" ca="1" si="126"/>
        <v>#NAME?</v>
      </c>
      <c r="FA259" s="7" t="e">
        <f t="shared" ca="1" si="126"/>
        <v>#NAME?</v>
      </c>
      <c r="FB259" s="7" t="e">
        <f t="shared" ca="1" si="126"/>
        <v>#NAME?</v>
      </c>
      <c r="FC259" s="7" t="e">
        <f t="shared" ca="1" si="126"/>
        <v>#NAME?</v>
      </c>
      <c r="FD259" s="7" t="e">
        <f t="shared" ca="1" si="126"/>
        <v>#NAME?</v>
      </c>
      <c r="FE259" s="7" t="e">
        <f t="shared" ca="1" si="126"/>
        <v>#NAME?</v>
      </c>
      <c r="FF259" s="7" t="e">
        <f t="shared" ca="1" si="126"/>
        <v>#NAME?</v>
      </c>
      <c r="FG259" s="7" t="e">
        <f t="shared" ca="1" si="126"/>
        <v>#NAME?</v>
      </c>
      <c r="FH259" s="7" t="e">
        <f t="shared" ca="1" si="126"/>
        <v>#NAME?</v>
      </c>
      <c r="FI259" s="7" t="e">
        <f t="shared" ca="1" si="126"/>
        <v>#NAME?</v>
      </c>
      <c r="FJ259" s="7" t="e">
        <f t="shared" ca="1" si="126"/>
        <v>#NAME?</v>
      </c>
      <c r="FK259" s="7" t="e">
        <f t="shared" ca="1" si="126"/>
        <v>#NAME?</v>
      </c>
      <c r="FL259" s="7" t="e">
        <f t="shared" ca="1" si="126"/>
        <v>#NAME?</v>
      </c>
      <c r="FM259" s="7" t="e">
        <f t="shared" ca="1" si="126"/>
        <v>#NAME?</v>
      </c>
      <c r="FN259" s="7" t="e">
        <f t="shared" ca="1" si="126"/>
        <v>#NAME?</v>
      </c>
      <c r="FO259" s="7" t="e">
        <f t="shared" ca="1" si="126"/>
        <v>#NAME?</v>
      </c>
      <c r="FP259" s="7" t="e">
        <f t="shared" ca="1" si="126"/>
        <v>#NAME?</v>
      </c>
      <c r="FQ259" s="7" t="e">
        <f t="shared" ca="1" si="126"/>
        <v>#NAME?</v>
      </c>
      <c r="FR259" s="7" t="e">
        <f t="shared" ca="1" si="126"/>
        <v>#NAME?</v>
      </c>
      <c r="FS259" s="7" t="e">
        <f t="shared" ca="1" si="126"/>
        <v>#NAME?</v>
      </c>
      <c r="FT259" s="7" t="e">
        <f t="shared" ca="1" si="126"/>
        <v>#NAME?</v>
      </c>
      <c r="FU259" s="7" t="e">
        <f t="shared" ca="1" si="126"/>
        <v>#NAME?</v>
      </c>
      <c r="FV259" s="7" t="e">
        <f t="shared" ca="1" si="126"/>
        <v>#NAME?</v>
      </c>
      <c r="FW259" s="7" t="e">
        <f t="shared" ca="1" si="126"/>
        <v>#NAME?</v>
      </c>
      <c r="FX259" s="7" t="e">
        <f t="shared" ca="1" si="126"/>
        <v>#NAME?</v>
      </c>
      <c r="FY259" s="7"/>
      <c r="FZ259" s="7" t="e">
        <f t="shared" ca="1" si="124"/>
        <v>#NAME?</v>
      </c>
      <c r="GA259" s="62"/>
      <c r="GB259" s="7" t="e">
        <f ca="1">FZ259-GA259</f>
        <v>#NAME?</v>
      </c>
      <c r="GC259" s="7"/>
      <c r="GD259" s="7"/>
      <c r="GE259" s="7"/>
      <c r="GF259" s="7"/>
      <c r="GG259" s="7"/>
      <c r="GH259" s="7"/>
      <c r="GI259" s="7"/>
      <c r="GJ259" s="7"/>
      <c r="GK259" s="7"/>
    </row>
    <row r="260" spans="1:193" ht="15.5" x14ac:dyDescent="0.35">
      <c r="A260" s="7"/>
      <c r="B260" s="7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7"/>
      <c r="FZ260" s="7"/>
      <c r="GA260" s="45"/>
      <c r="GB260" s="7"/>
      <c r="GC260" s="7"/>
      <c r="GD260" s="7"/>
      <c r="GE260" s="7"/>
      <c r="GF260" s="7"/>
      <c r="GG260" s="7"/>
      <c r="GH260" s="7"/>
      <c r="GI260" s="7"/>
      <c r="GJ260" s="7"/>
      <c r="GK260" s="7"/>
    </row>
    <row r="261" spans="1:193" ht="15.5" x14ac:dyDescent="0.35">
      <c r="A261" s="12" t="s">
        <v>684</v>
      </c>
      <c r="B261" s="5" t="s">
        <v>685</v>
      </c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</row>
    <row r="262" spans="1:193" ht="15.5" x14ac:dyDescent="0.35">
      <c r="A262" s="12" t="s">
        <v>686</v>
      </c>
      <c r="B262" s="7" t="s">
        <v>1034</v>
      </c>
      <c r="C262" s="45">
        <f t="shared" ref="C262:DM262" si="127">C49</f>
        <v>2.7E-2</v>
      </c>
      <c r="D262" s="45">
        <f t="shared" si="127"/>
        <v>2.7E-2</v>
      </c>
      <c r="E262" s="45">
        <f t="shared" si="127"/>
        <v>2.7E-2</v>
      </c>
      <c r="F262" s="45">
        <f t="shared" si="127"/>
        <v>2.7E-2</v>
      </c>
      <c r="G262" s="45">
        <f t="shared" si="127"/>
        <v>2.5264999999999999E-2</v>
      </c>
      <c r="H262" s="45">
        <f t="shared" si="127"/>
        <v>2.7E-2</v>
      </c>
      <c r="I262" s="45">
        <f t="shared" si="127"/>
        <v>2.7E-2</v>
      </c>
      <c r="J262" s="45">
        <f t="shared" si="127"/>
        <v>2.7E-2</v>
      </c>
      <c r="K262" s="45">
        <f t="shared" si="127"/>
        <v>2.7E-2</v>
      </c>
      <c r="L262" s="45">
        <f t="shared" si="127"/>
        <v>2.6894999999999999E-2</v>
      </c>
      <c r="M262" s="45">
        <f t="shared" si="127"/>
        <v>2.5946999999999998E-2</v>
      </c>
      <c r="N262" s="45">
        <f t="shared" si="127"/>
        <v>1.8756000000000002E-2</v>
      </c>
      <c r="O262" s="45">
        <f t="shared" si="127"/>
        <v>2.7E-2</v>
      </c>
      <c r="P262" s="45">
        <f t="shared" si="127"/>
        <v>2.7E-2</v>
      </c>
      <c r="Q262" s="45">
        <f t="shared" si="127"/>
        <v>2.7E-2</v>
      </c>
      <c r="R262" s="45">
        <f t="shared" si="127"/>
        <v>2.7E-2</v>
      </c>
      <c r="S262" s="45">
        <f t="shared" si="127"/>
        <v>2.6013999999999999E-2</v>
      </c>
      <c r="T262" s="45">
        <f t="shared" si="127"/>
        <v>2.4301E-2</v>
      </c>
      <c r="U262" s="45">
        <f t="shared" si="127"/>
        <v>2.3800999999999999E-2</v>
      </c>
      <c r="V262" s="45">
        <f t="shared" si="127"/>
        <v>2.7E-2</v>
      </c>
      <c r="W262" s="45">
        <f t="shared" si="127"/>
        <v>2.7E-2</v>
      </c>
      <c r="X262" s="45">
        <f t="shared" si="127"/>
        <v>1.5755999999999999E-2</v>
      </c>
      <c r="Y262" s="45">
        <f t="shared" si="127"/>
        <v>2.4498000000000002E-2</v>
      </c>
      <c r="Z262" s="45">
        <f t="shared" si="127"/>
        <v>2.359E-2</v>
      </c>
      <c r="AA262" s="45">
        <f t="shared" si="127"/>
        <v>2.7E-2</v>
      </c>
      <c r="AB262" s="45">
        <f t="shared" si="127"/>
        <v>2.7E-2</v>
      </c>
      <c r="AC262" s="45">
        <f t="shared" si="127"/>
        <v>2.0982000000000001E-2</v>
      </c>
      <c r="AD262" s="45">
        <f t="shared" si="127"/>
        <v>1.9693000000000002E-2</v>
      </c>
      <c r="AE262" s="45">
        <f t="shared" si="127"/>
        <v>1.2814000000000001E-2</v>
      </c>
      <c r="AF262" s="45">
        <f t="shared" si="127"/>
        <v>1.1674E-2</v>
      </c>
      <c r="AG262" s="45">
        <f t="shared" si="127"/>
        <v>1.2485E-2</v>
      </c>
      <c r="AH262" s="45">
        <f t="shared" si="127"/>
        <v>2.2123E-2</v>
      </c>
      <c r="AI262" s="45">
        <f t="shared" si="127"/>
        <v>2.7E-2</v>
      </c>
      <c r="AJ262" s="45">
        <f t="shared" si="127"/>
        <v>2.3788E-2</v>
      </c>
      <c r="AK262" s="45">
        <f t="shared" si="127"/>
        <v>2.128E-2</v>
      </c>
      <c r="AL262" s="45">
        <f t="shared" si="127"/>
        <v>2.7E-2</v>
      </c>
      <c r="AM262" s="45">
        <f t="shared" si="127"/>
        <v>2.1449000000000003E-2</v>
      </c>
      <c r="AN262" s="45">
        <f t="shared" si="127"/>
        <v>2.7E-2</v>
      </c>
      <c r="AO262" s="45">
        <f t="shared" si="127"/>
        <v>2.7E-2</v>
      </c>
      <c r="AP262" s="45">
        <f t="shared" si="127"/>
        <v>2.7E-2</v>
      </c>
      <c r="AQ262" s="45">
        <f t="shared" si="127"/>
        <v>1.8685E-2</v>
      </c>
      <c r="AR262" s="45">
        <f t="shared" si="127"/>
        <v>2.7E-2</v>
      </c>
      <c r="AS262" s="45">
        <f t="shared" si="127"/>
        <v>1.2137999999999999E-2</v>
      </c>
      <c r="AT262" s="45">
        <f t="shared" si="127"/>
        <v>2.7E-2</v>
      </c>
      <c r="AU262" s="45">
        <f t="shared" si="127"/>
        <v>2.4187999999999998E-2</v>
      </c>
      <c r="AV262" s="45">
        <f t="shared" si="127"/>
        <v>2.7E-2</v>
      </c>
      <c r="AW262" s="45">
        <f t="shared" si="127"/>
        <v>2.4431000000000001E-2</v>
      </c>
      <c r="AX262" s="45">
        <f t="shared" si="127"/>
        <v>2.1797999999999998E-2</v>
      </c>
      <c r="AY262" s="45">
        <f t="shared" si="127"/>
        <v>2.7E-2</v>
      </c>
      <c r="AZ262" s="45">
        <f t="shared" si="127"/>
        <v>1.5720000000000001E-2</v>
      </c>
      <c r="BA262" s="45">
        <f t="shared" si="127"/>
        <v>2.6893999999999998E-2</v>
      </c>
      <c r="BB262" s="45">
        <f t="shared" si="127"/>
        <v>2.4684000000000001E-2</v>
      </c>
      <c r="BC262" s="45">
        <f t="shared" si="127"/>
        <v>2.0715000000000001E-2</v>
      </c>
      <c r="BD262" s="45">
        <f t="shared" si="127"/>
        <v>2.7E-2</v>
      </c>
      <c r="BE262" s="45">
        <f t="shared" si="127"/>
        <v>2.7E-2</v>
      </c>
      <c r="BF262" s="45">
        <f t="shared" si="127"/>
        <v>2.7E-2</v>
      </c>
      <c r="BG262" s="45">
        <f t="shared" si="127"/>
        <v>2.7E-2</v>
      </c>
      <c r="BH262" s="45">
        <f t="shared" si="127"/>
        <v>2.6419000000000002E-2</v>
      </c>
      <c r="BI262" s="45">
        <f t="shared" si="127"/>
        <v>1.3433E-2</v>
      </c>
      <c r="BJ262" s="45">
        <f t="shared" si="127"/>
        <v>2.7E-2</v>
      </c>
      <c r="BK262" s="45">
        <f t="shared" si="127"/>
        <v>2.7E-2</v>
      </c>
      <c r="BL262" s="45">
        <f t="shared" si="127"/>
        <v>2.7E-2</v>
      </c>
      <c r="BM262" s="45">
        <f t="shared" si="127"/>
        <v>2.5833999999999999E-2</v>
      </c>
      <c r="BN262" s="45">
        <f t="shared" si="127"/>
        <v>2.7E-2</v>
      </c>
      <c r="BO262" s="45">
        <f t="shared" si="127"/>
        <v>2.0202999999999999E-2</v>
      </c>
      <c r="BP262" s="45">
        <f t="shared" si="127"/>
        <v>2.6702E-2</v>
      </c>
      <c r="BQ262" s="45">
        <f t="shared" si="127"/>
        <v>2.6759000000000002E-2</v>
      </c>
      <c r="BR262" s="45">
        <f t="shared" si="127"/>
        <v>9.6999999999999986E-3</v>
      </c>
      <c r="BS262" s="45">
        <f t="shared" si="127"/>
        <v>4.3949999999999996E-3</v>
      </c>
      <c r="BT262" s="45">
        <f t="shared" si="127"/>
        <v>6.6509999999999998E-3</v>
      </c>
      <c r="BU262" s="45">
        <f t="shared" si="127"/>
        <v>1.3811E-2</v>
      </c>
      <c r="BV262" s="45">
        <f t="shared" si="127"/>
        <v>1.0330000000000001E-2</v>
      </c>
      <c r="BW262" s="45">
        <f t="shared" si="127"/>
        <v>1.5736E-2</v>
      </c>
      <c r="BX262" s="45">
        <f t="shared" si="127"/>
        <v>1.9067000000000001E-2</v>
      </c>
      <c r="BY262" s="45">
        <f t="shared" si="127"/>
        <v>2.7E-2</v>
      </c>
      <c r="BZ262" s="45">
        <f t="shared" si="127"/>
        <v>2.7E-2</v>
      </c>
      <c r="CA262" s="45">
        <f t="shared" si="127"/>
        <v>2.3040999999999999E-2</v>
      </c>
      <c r="CB262" s="45">
        <f t="shared" si="127"/>
        <v>2.7E-2</v>
      </c>
      <c r="CC262" s="45">
        <f t="shared" si="127"/>
        <v>2.7E-2</v>
      </c>
      <c r="CD262" s="45">
        <f t="shared" si="127"/>
        <v>2.452E-2</v>
      </c>
      <c r="CE262" s="45">
        <f t="shared" si="127"/>
        <v>2.7E-2</v>
      </c>
      <c r="CF262" s="45">
        <f t="shared" si="127"/>
        <v>2.4333999999999998E-2</v>
      </c>
      <c r="CG262" s="45">
        <f t="shared" si="127"/>
        <v>2.7E-2</v>
      </c>
      <c r="CH262" s="45">
        <f t="shared" si="127"/>
        <v>2.7E-2</v>
      </c>
      <c r="CI262" s="45">
        <f t="shared" si="127"/>
        <v>2.7E-2</v>
      </c>
      <c r="CJ262" s="45">
        <f t="shared" si="127"/>
        <v>2.6513999999999999E-2</v>
      </c>
      <c r="CK262" s="45">
        <f t="shared" si="127"/>
        <v>1.1601E-2</v>
      </c>
      <c r="CL262" s="45">
        <f t="shared" si="127"/>
        <v>1.3228999999999999E-2</v>
      </c>
      <c r="CM262" s="45">
        <f t="shared" si="127"/>
        <v>7.2740000000000001E-3</v>
      </c>
      <c r="CN262" s="45">
        <f t="shared" si="127"/>
        <v>2.7E-2</v>
      </c>
      <c r="CO262" s="45">
        <f t="shared" si="127"/>
        <v>2.7E-2</v>
      </c>
      <c r="CP262" s="45">
        <f t="shared" si="127"/>
        <v>1.8135999999999999E-2</v>
      </c>
      <c r="CQ262" s="45">
        <f t="shared" si="127"/>
        <v>1.7426999999999998E-2</v>
      </c>
      <c r="CR262" s="45">
        <f t="shared" si="127"/>
        <v>4.169E-3</v>
      </c>
      <c r="CS262" s="45">
        <f t="shared" si="127"/>
        <v>2.7E-2</v>
      </c>
      <c r="CT262" s="45">
        <f t="shared" si="127"/>
        <v>1.3519999999999999E-2</v>
      </c>
      <c r="CU262" s="45">
        <f t="shared" si="127"/>
        <v>2.4615999999999999E-2</v>
      </c>
      <c r="CV262" s="45">
        <f t="shared" si="127"/>
        <v>1.5979E-2</v>
      </c>
      <c r="CW262" s="45">
        <f t="shared" si="127"/>
        <v>1.7379000000000002E-2</v>
      </c>
      <c r="CX262" s="45">
        <f t="shared" si="127"/>
        <v>2.6824000000000001E-2</v>
      </c>
      <c r="CY262" s="45">
        <f t="shared" si="127"/>
        <v>2.7E-2</v>
      </c>
      <c r="CZ262" s="45">
        <f t="shared" si="127"/>
        <v>2.7E-2</v>
      </c>
      <c r="DA262" s="45">
        <f t="shared" si="127"/>
        <v>2.7E-2</v>
      </c>
      <c r="DB262" s="45">
        <f t="shared" si="127"/>
        <v>2.7E-2</v>
      </c>
      <c r="DC262" s="45">
        <f t="shared" si="127"/>
        <v>2.2418E-2</v>
      </c>
      <c r="DD262" s="45">
        <f t="shared" si="127"/>
        <v>3.4300000000000003E-3</v>
      </c>
      <c r="DE262" s="45">
        <f t="shared" si="127"/>
        <v>1.1894999999999999E-2</v>
      </c>
      <c r="DF262" s="45">
        <f t="shared" si="127"/>
        <v>2.7E-2</v>
      </c>
      <c r="DG262" s="45">
        <f t="shared" si="127"/>
        <v>2.5453E-2</v>
      </c>
      <c r="DH262" s="45">
        <f t="shared" si="127"/>
        <v>2.5515999999999997E-2</v>
      </c>
      <c r="DI262" s="45">
        <f t="shared" si="127"/>
        <v>2.3844999999999998E-2</v>
      </c>
      <c r="DJ262" s="45">
        <f t="shared" si="127"/>
        <v>2.5883E-2</v>
      </c>
      <c r="DK262" s="45">
        <f t="shared" si="127"/>
        <v>2.0658000000000003E-2</v>
      </c>
      <c r="DL262" s="45">
        <f t="shared" si="127"/>
        <v>2.6966999999999998E-2</v>
      </c>
      <c r="DM262" s="45">
        <f t="shared" si="127"/>
        <v>2.4899000000000001E-2</v>
      </c>
      <c r="DN262" s="45">
        <v>2.7E-2</v>
      </c>
      <c r="DO262" s="45">
        <f t="shared" ref="DO262:DP262" si="128">DO49</f>
        <v>2.7E-2</v>
      </c>
      <c r="DP262" s="45">
        <f t="shared" si="128"/>
        <v>2.7E-2</v>
      </c>
      <c r="DQ262" s="45">
        <v>2.4545000000000001E-2</v>
      </c>
      <c r="DR262" s="45">
        <f t="shared" ref="DR262:FH262" si="129">DR49</f>
        <v>2.7E-2</v>
      </c>
      <c r="DS262" s="45">
        <f t="shared" si="129"/>
        <v>2.7E-2</v>
      </c>
      <c r="DT262" s="45">
        <f t="shared" si="129"/>
        <v>2.6728999999999999E-2</v>
      </c>
      <c r="DU262" s="45">
        <f t="shared" si="129"/>
        <v>2.7E-2</v>
      </c>
      <c r="DV262" s="45">
        <f t="shared" si="129"/>
        <v>2.7E-2</v>
      </c>
      <c r="DW262" s="45">
        <f t="shared" si="129"/>
        <v>2.6997E-2</v>
      </c>
      <c r="DX262" s="45">
        <f t="shared" si="129"/>
        <v>2.3931000000000001E-2</v>
      </c>
      <c r="DY262" s="45">
        <f t="shared" si="129"/>
        <v>1.7927999999999999E-2</v>
      </c>
      <c r="DZ262" s="45">
        <f t="shared" si="129"/>
        <v>2.2661999999999998E-2</v>
      </c>
      <c r="EA262" s="45">
        <f t="shared" si="129"/>
        <v>1.1192000000000001E-2</v>
      </c>
      <c r="EB262" s="45">
        <f t="shared" si="129"/>
        <v>2.7E-2</v>
      </c>
      <c r="EC262" s="45">
        <f t="shared" si="129"/>
        <v>2.7E-2</v>
      </c>
      <c r="ED262" s="45">
        <f t="shared" si="129"/>
        <v>4.084E-3</v>
      </c>
      <c r="EE262" s="45">
        <f t="shared" si="129"/>
        <v>2.7E-2</v>
      </c>
      <c r="EF262" s="45">
        <f t="shared" si="129"/>
        <v>2.4594999999999999E-2</v>
      </c>
      <c r="EG262" s="45">
        <f t="shared" si="129"/>
        <v>2.7E-2</v>
      </c>
      <c r="EH262" s="45">
        <f t="shared" si="129"/>
        <v>2.7E-2</v>
      </c>
      <c r="EI262" s="45">
        <f t="shared" si="129"/>
        <v>2.7E-2</v>
      </c>
      <c r="EJ262" s="45">
        <f t="shared" si="129"/>
        <v>2.7E-2</v>
      </c>
      <c r="EK262" s="45">
        <f t="shared" si="129"/>
        <v>5.7670000000000004E-3</v>
      </c>
      <c r="EL262" s="45">
        <f t="shared" si="129"/>
        <v>6.143E-3</v>
      </c>
      <c r="EM262" s="45">
        <f t="shared" si="129"/>
        <v>2.1308000000000001E-2</v>
      </c>
      <c r="EN262" s="45">
        <f t="shared" si="129"/>
        <v>2.7E-2</v>
      </c>
      <c r="EO262" s="45">
        <f t="shared" si="129"/>
        <v>2.7E-2</v>
      </c>
      <c r="EP262" s="45">
        <f t="shared" si="129"/>
        <v>2.5585999999999998E-2</v>
      </c>
      <c r="EQ262" s="45">
        <f t="shared" si="129"/>
        <v>5.5929999999999999E-3</v>
      </c>
      <c r="ER262" s="45">
        <f t="shared" si="129"/>
        <v>2.1283E-2</v>
      </c>
      <c r="ES262" s="45">
        <f t="shared" si="129"/>
        <v>2.7E-2</v>
      </c>
      <c r="ET262" s="45">
        <f t="shared" si="129"/>
        <v>2.7E-2</v>
      </c>
      <c r="EU262" s="45">
        <f t="shared" si="129"/>
        <v>2.7E-2</v>
      </c>
      <c r="EV262" s="45">
        <f t="shared" si="129"/>
        <v>1.5009E-2</v>
      </c>
      <c r="EW262" s="45">
        <f t="shared" si="129"/>
        <v>7.2809999999999993E-3</v>
      </c>
      <c r="EX262" s="45">
        <f t="shared" si="129"/>
        <v>8.9099999999999995E-3</v>
      </c>
      <c r="EY262" s="45">
        <f t="shared" si="129"/>
        <v>2.7E-2</v>
      </c>
      <c r="EZ262" s="45">
        <f t="shared" si="129"/>
        <v>2.7E-2</v>
      </c>
      <c r="FA262" s="45">
        <f t="shared" si="129"/>
        <v>1.0666E-2</v>
      </c>
      <c r="FB262" s="45">
        <f t="shared" si="129"/>
        <v>9.6240000000000006E-3</v>
      </c>
      <c r="FC262" s="45">
        <f t="shared" si="129"/>
        <v>2.7E-2</v>
      </c>
      <c r="FD262" s="45">
        <f t="shared" si="129"/>
        <v>2.7E-2</v>
      </c>
      <c r="FE262" s="45">
        <f t="shared" si="129"/>
        <v>1.9181E-2</v>
      </c>
      <c r="FF262" s="45">
        <f t="shared" si="129"/>
        <v>2.7E-2</v>
      </c>
      <c r="FG262" s="45">
        <f t="shared" si="129"/>
        <v>2.7E-2</v>
      </c>
      <c r="FH262" s="45">
        <f t="shared" si="129"/>
        <v>2.4771999999999999E-2</v>
      </c>
      <c r="FI262" s="45">
        <v>9.639E-3</v>
      </c>
      <c r="FJ262" s="45">
        <v>2.2207999999999999E-2</v>
      </c>
      <c r="FK262" s="45">
        <f t="shared" ref="FK262:FX262" si="130">FK49</f>
        <v>1.0845E-2</v>
      </c>
      <c r="FL262" s="45">
        <f t="shared" si="130"/>
        <v>2.7E-2</v>
      </c>
      <c r="FM262" s="45">
        <f t="shared" si="130"/>
        <v>2.3414000000000001E-2</v>
      </c>
      <c r="FN262" s="45">
        <f t="shared" si="130"/>
        <v>2.7E-2</v>
      </c>
      <c r="FO262" s="45">
        <f t="shared" si="130"/>
        <v>4.2009999999999999E-3</v>
      </c>
      <c r="FP262" s="45">
        <f t="shared" si="130"/>
        <v>1.2143000000000001E-2</v>
      </c>
      <c r="FQ262" s="45">
        <f t="shared" si="130"/>
        <v>2.188E-2</v>
      </c>
      <c r="FR262" s="45">
        <f t="shared" si="130"/>
        <v>5.9360000000000003E-3</v>
      </c>
      <c r="FS262" s="45">
        <f t="shared" si="130"/>
        <v>5.0679999999999996E-3</v>
      </c>
      <c r="FT262" s="45">
        <f t="shared" si="130"/>
        <v>3.3940000000000003E-3</v>
      </c>
      <c r="FU262" s="45">
        <f t="shared" si="130"/>
        <v>2.3344999999999998E-2</v>
      </c>
      <c r="FV262" s="45">
        <f t="shared" si="130"/>
        <v>2.0032000000000001E-2</v>
      </c>
      <c r="FW262" s="45">
        <f t="shared" si="130"/>
        <v>2.6498000000000001E-2</v>
      </c>
      <c r="FX262" s="45">
        <f t="shared" si="130"/>
        <v>2.4674999999999999E-2</v>
      </c>
      <c r="FY262" s="49"/>
      <c r="FZ262" s="7"/>
      <c r="GA262" s="45"/>
      <c r="GB262" s="7"/>
      <c r="GC262" s="7"/>
      <c r="GD262" s="7"/>
      <c r="GE262" s="7"/>
      <c r="GF262" s="7"/>
      <c r="GG262" s="7"/>
      <c r="GH262" s="7"/>
      <c r="GI262" s="7"/>
      <c r="GJ262" s="7"/>
      <c r="GK262" s="7"/>
    </row>
    <row r="263" spans="1:193" ht="15.5" x14ac:dyDescent="0.35">
      <c r="A263" s="7"/>
      <c r="B263" s="7" t="s">
        <v>1035</v>
      </c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7"/>
      <c r="FZ263" s="7"/>
      <c r="GA263" s="45"/>
      <c r="GB263" s="7"/>
      <c r="GC263" s="7"/>
      <c r="GD263" s="7"/>
      <c r="GE263" s="7"/>
      <c r="GF263" s="7"/>
      <c r="GG263" s="7"/>
      <c r="GH263" s="7"/>
      <c r="GI263" s="7"/>
      <c r="GJ263" s="7"/>
      <c r="GK263" s="7"/>
    </row>
    <row r="264" spans="1:193" ht="15.5" x14ac:dyDescent="0.35">
      <c r="A264" s="12" t="s">
        <v>688</v>
      </c>
      <c r="B264" s="7" t="s">
        <v>1036</v>
      </c>
      <c r="C264" s="45" t="e">
        <f t="shared" ref="C264:FX264" ca="1" si="131">ROUND((C259-(C103*C44)-C47)/C48,6)</f>
        <v>#NAME?</v>
      </c>
      <c r="D264" s="45" t="e">
        <f t="shared" ca="1" si="131"/>
        <v>#NAME?</v>
      </c>
      <c r="E264" s="45" t="e">
        <f t="shared" ca="1" si="131"/>
        <v>#NAME?</v>
      </c>
      <c r="F264" s="45" t="e">
        <f t="shared" ca="1" si="131"/>
        <v>#NAME?</v>
      </c>
      <c r="G264" s="45" t="e">
        <f t="shared" ca="1" si="131"/>
        <v>#NAME?</v>
      </c>
      <c r="H264" s="45" t="e">
        <f t="shared" ca="1" si="131"/>
        <v>#NAME?</v>
      </c>
      <c r="I264" s="45" t="e">
        <f t="shared" ca="1" si="131"/>
        <v>#NAME?</v>
      </c>
      <c r="J264" s="45" t="e">
        <f t="shared" ca="1" si="131"/>
        <v>#NAME?</v>
      </c>
      <c r="K264" s="45" t="e">
        <f t="shared" ca="1" si="131"/>
        <v>#NAME?</v>
      </c>
      <c r="L264" s="45" t="e">
        <f t="shared" ca="1" si="131"/>
        <v>#NAME?</v>
      </c>
      <c r="M264" s="45" t="e">
        <f t="shared" ca="1" si="131"/>
        <v>#NAME?</v>
      </c>
      <c r="N264" s="45" t="e">
        <f t="shared" ca="1" si="131"/>
        <v>#NAME?</v>
      </c>
      <c r="O264" s="45" t="e">
        <f t="shared" ca="1" si="131"/>
        <v>#NAME?</v>
      </c>
      <c r="P264" s="45" t="e">
        <f t="shared" ca="1" si="131"/>
        <v>#NAME?</v>
      </c>
      <c r="Q264" s="45" t="e">
        <f t="shared" ca="1" si="131"/>
        <v>#NAME?</v>
      </c>
      <c r="R264" s="45" t="e">
        <f t="shared" ca="1" si="131"/>
        <v>#NAME?</v>
      </c>
      <c r="S264" s="45" t="e">
        <f t="shared" ca="1" si="131"/>
        <v>#NAME?</v>
      </c>
      <c r="T264" s="45" t="e">
        <f t="shared" ca="1" si="131"/>
        <v>#NAME?</v>
      </c>
      <c r="U264" s="45" t="e">
        <f t="shared" ca="1" si="131"/>
        <v>#NAME?</v>
      </c>
      <c r="V264" s="45" t="e">
        <f t="shared" ca="1" si="131"/>
        <v>#NAME?</v>
      </c>
      <c r="W264" s="45" t="e">
        <f t="shared" ca="1" si="131"/>
        <v>#NAME?</v>
      </c>
      <c r="X264" s="45" t="e">
        <f t="shared" ca="1" si="131"/>
        <v>#NAME?</v>
      </c>
      <c r="Y264" s="45" t="e">
        <f t="shared" ca="1" si="131"/>
        <v>#NAME?</v>
      </c>
      <c r="Z264" s="45" t="e">
        <f t="shared" ca="1" si="131"/>
        <v>#NAME?</v>
      </c>
      <c r="AA264" s="45" t="e">
        <f t="shared" ca="1" si="131"/>
        <v>#NAME?</v>
      </c>
      <c r="AB264" s="45" t="e">
        <f t="shared" ca="1" si="131"/>
        <v>#NAME?</v>
      </c>
      <c r="AC264" s="45" t="e">
        <f t="shared" ca="1" si="131"/>
        <v>#NAME?</v>
      </c>
      <c r="AD264" s="45" t="e">
        <f t="shared" ca="1" si="131"/>
        <v>#NAME?</v>
      </c>
      <c r="AE264" s="45" t="e">
        <f t="shared" ca="1" si="131"/>
        <v>#NAME?</v>
      </c>
      <c r="AF264" s="45" t="e">
        <f t="shared" ca="1" si="131"/>
        <v>#NAME?</v>
      </c>
      <c r="AG264" s="45" t="e">
        <f t="shared" ca="1" si="131"/>
        <v>#NAME?</v>
      </c>
      <c r="AH264" s="45" t="e">
        <f t="shared" ca="1" si="131"/>
        <v>#NAME?</v>
      </c>
      <c r="AI264" s="45" t="e">
        <f t="shared" ca="1" si="131"/>
        <v>#NAME?</v>
      </c>
      <c r="AJ264" s="45" t="e">
        <f t="shared" ca="1" si="131"/>
        <v>#NAME?</v>
      </c>
      <c r="AK264" s="45" t="e">
        <f t="shared" ca="1" si="131"/>
        <v>#NAME?</v>
      </c>
      <c r="AL264" s="45" t="e">
        <f t="shared" ca="1" si="131"/>
        <v>#NAME?</v>
      </c>
      <c r="AM264" s="45" t="e">
        <f t="shared" ca="1" si="131"/>
        <v>#NAME?</v>
      </c>
      <c r="AN264" s="45" t="e">
        <f t="shared" ca="1" si="131"/>
        <v>#NAME?</v>
      </c>
      <c r="AO264" s="45" t="e">
        <f t="shared" ca="1" si="131"/>
        <v>#NAME?</v>
      </c>
      <c r="AP264" s="45" t="e">
        <f t="shared" ca="1" si="131"/>
        <v>#NAME?</v>
      </c>
      <c r="AQ264" s="45" t="e">
        <f t="shared" ca="1" si="131"/>
        <v>#NAME?</v>
      </c>
      <c r="AR264" s="45" t="e">
        <f t="shared" ca="1" si="131"/>
        <v>#NAME?</v>
      </c>
      <c r="AS264" s="45" t="e">
        <f t="shared" ca="1" si="131"/>
        <v>#NAME?</v>
      </c>
      <c r="AT264" s="45" t="e">
        <f t="shared" ca="1" si="131"/>
        <v>#NAME?</v>
      </c>
      <c r="AU264" s="45" t="e">
        <f t="shared" ca="1" si="131"/>
        <v>#NAME?</v>
      </c>
      <c r="AV264" s="45" t="e">
        <f t="shared" ca="1" si="131"/>
        <v>#NAME?</v>
      </c>
      <c r="AW264" s="45" t="e">
        <f t="shared" ca="1" si="131"/>
        <v>#NAME?</v>
      </c>
      <c r="AX264" s="45" t="e">
        <f t="shared" ca="1" si="131"/>
        <v>#NAME?</v>
      </c>
      <c r="AY264" s="45" t="e">
        <f t="shared" ca="1" si="131"/>
        <v>#NAME?</v>
      </c>
      <c r="AZ264" s="45" t="e">
        <f t="shared" ca="1" si="131"/>
        <v>#NAME?</v>
      </c>
      <c r="BA264" s="45" t="e">
        <f t="shared" ca="1" si="131"/>
        <v>#NAME?</v>
      </c>
      <c r="BB264" s="45" t="e">
        <f t="shared" ca="1" si="131"/>
        <v>#NAME?</v>
      </c>
      <c r="BC264" s="45" t="e">
        <f t="shared" ca="1" si="131"/>
        <v>#NAME?</v>
      </c>
      <c r="BD264" s="45" t="e">
        <f t="shared" ca="1" si="131"/>
        <v>#NAME?</v>
      </c>
      <c r="BE264" s="45" t="e">
        <f t="shared" ca="1" si="131"/>
        <v>#NAME?</v>
      </c>
      <c r="BF264" s="45" t="e">
        <f t="shared" ca="1" si="131"/>
        <v>#NAME?</v>
      </c>
      <c r="BG264" s="45" t="e">
        <f t="shared" ca="1" si="131"/>
        <v>#NAME?</v>
      </c>
      <c r="BH264" s="45" t="e">
        <f t="shared" ca="1" si="131"/>
        <v>#NAME?</v>
      </c>
      <c r="BI264" s="45" t="e">
        <f t="shared" ca="1" si="131"/>
        <v>#NAME?</v>
      </c>
      <c r="BJ264" s="45" t="e">
        <f t="shared" ca="1" si="131"/>
        <v>#NAME?</v>
      </c>
      <c r="BK264" s="45" t="e">
        <f t="shared" ca="1" si="131"/>
        <v>#NAME?</v>
      </c>
      <c r="BL264" s="45" t="e">
        <f t="shared" ca="1" si="131"/>
        <v>#NAME?</v>
      </c>
      <c r="BM264" s="45" t="e">
        <f t="shared" ca="1" si="131"/>
        <v>#NAME?</v>
      </c>
      <c r="BN264" s="45" t="e">
        <f t="shared" ca="1" si="131"/>
        <v>#NAME?</v>
      </c>
      <c r="BO264" s="45" t="e">
        <f t="shared" ca="1" si="131"/>
        <v>#NAME?</v>
      </c>
      <c r="BP264" s="45" t="e">
        <f t="shared" ca="1" si="131"/>
        <v>#NAME?</v>
      </c>
      <c r="BQ264" s="45" t="e">
        <f t="shared" ca="1" si="131"/>
        <v>#NAME?</v>
      </c>
      <c r="BR264" s="45" t="e">
        <f t="shared" ca="1" si="131"/>
        <v>#NAME?</v>
      </c>
      <c r="BS264" s="45" t="e">
        <f t="shared" ca="1" si="131"/>
        <v>#NAME?</v>
      </c>
      <c r="BT264" s="45" t="e">
        <f t="shared" ca="1" si="131"/>
        <v>#NAME?</v>
      </c>
      <c r="BU264" s="45" t="e">
        <f t="shared" ca="1" si="131"/>
        <v>#NAME?</v>
      </c>
      <c r="BV264" s="45" t="e">
        <f t="shared" ca="1" si="131"/>
        <v>#NAME?</v>
      </c>
      <c r="BW264" s="45" t="e">
        <f t="shared" ca="1" si="131"/>
        <v>#NAME?</v>
      </c>
      <c r="BX264" s="45" t="e">
        <f t="shared" ca="1" si="131"/>
        <v>#NAME?</v>
      </c>
      <c r="BY264" s="45" t="e">
        <f t="shared" ca="1" si="131"/>
        <v>#NAME?</v>
      </c>
      <c r="BZ264" s="45" t="e">
        <f t="shared" ca="1" si="131"/>
        <v>#NAME?</v>
      </c>
      <c r="CA264" s="45" t="e">
        <f t="shared" ca="1" si="131"/>
        <v>#NAME?</v>
      </c>
      <c r="CB264" s="45" t="e">
        <f t="shared" ca="1" si="131"/>
        <v>#NAME?</v>
      </c>
      <c r="CC264" s="45" t="e">
        <f t="shared" ca="1" si="131"/>
        <v>#NAME?</v>
      </c>
      <c r="CD264" s="45" t="e">
        <f t="shared" ca="1" si="131"/>
        <v>#NAME?</v>
      </c>
      <c r="CE264" s="45" t="e">
        <f t="shared" ca="1" si="131"/>
        <v>#NAME?</v>
      </c>
      <c r="CF264" s="45" t="e">
        <f t="shared" ca="1" si="131"/>
        <v>#NAME?</v>
      </c>
      <c r="CG264" s="45" t="e">
        <f t="shared" ca="1" si="131"/>
        <v>#NAME?</v>
      </c>
      <c r="CH264" s="45" t="e">
        <f t="shared" ca="1" si="131"/>
        <v>#NAME?</v>
      </c>
      <c r="CI264" s="45" t="e">
        <f t="shared" ca="1" si="131"/>
        <v>#NAME?</v>
      </c>
      <c r="CJ264" s="45" t="e">
        <f t="shared" ca="1" si="131"/>
        <v>#NAME?</v>
      </c>
      <c r="CK264" s="45" t="e">
        <f t="shared" ca="1" si="131"/>
        <v>#NAME?</v>
      </c>
      <c r="CL264" s="45" t="e">
        <f t="shared" ca="1" si="131"/>
        <v>#NAME?</v>
      </c>
      <c r="CM264" s="45" t="e">
        <f t="shared" ca="1" si="131"/>
        <v>#NAME?</v>
      </c>
      <c r="CN264" s="45" t="e">
        <f t="shared" ca="1" si="131"/>
        <v>#NAME?</v>
      </c>
      <c r="CO264" s="45" t="e">
        <f t="shared" ca="1" si="131"/>
        <v>#NAME?</v>
      </c>
      <c r="CP264" s="45" t="e">
        <f t="shared" ca="1" si="131"/>
        <v>#NAME?</v>
      </c>
      <c r="CQ264" s="45" t="e">
        <f t="shared" ca="1" si="131"/>
        <v>#NAME?</v>
      </c>
      <c r="CR264" s="45" t="e">
        <f t="shared" ca="1" si="131"/>
        <v>#NAME?</v>
      </c>
      <c r="CS264" s="45" t="e">
        <f t="shared" ca="1" si="131"/>
        <v>#NAME?</v>
      </c>
      <c r="CT264" s="45" t="e">
        <f t="shared" ca="1" si="131"/>
        <v>#NAME?</v>
      </c>
      <c r="CU264" s="45" t="e">
        <f t="shared" ca="1" si="131"/>
        <v>#NAME?</v>
      </c>
      <c r="CV264" s="45" t="e">
        <f t="shared" ca="1" si="131"/>
        <v>#NAME?</v>
      </c>
      <c r="CW264" s="45" t="e">
        <f t="shared" ca="1" si="131"/>
        <v>#NAME?</v>
      </c>
      <c r="CX264" s="45" t="e">
        <f t="shared" ca="1" si="131"/>
        <v>#NAME?</v>
      </c>
      <c r="CY264" s="45" t="e">
        <f t="shared" ca="1" si="131"/>
        <v>#NAME?</v>
      </c>
      <c r="CZ264" s="45" t="e">
        <f t="shared" ca="1" si="131"/>
        <v>#NAME?</v>
      </c>
      <c r="DA264" s="45" t="e">
        <f t="shared" ca="1" si="131"/>
        <v>#NAME?</v>
      </c>
      <c r="DB264" s="45" t="e">
        <f t="shared" ca="1" si="131"/>
        <v>#NAME?</v>
      </c>
      <c r="DC264" s="45" t="e">
        <f t="shared" ca="1" si="131"/>
        <v>#NAME?</v>
      </c>
      <c r="DD264" s="45" t="e">
        <f t="shared" ca="1" si="131"/>
        <v>#NAME?</v>
      </c>
      <c r="DE264" s="45" t="e">
        <f t="shared" ca="1" si="131"/>
        <v>#NAME?</v>
      </c>
      <c r="DF264" s="45" t="e">
        <f t="shared" ca="1" si="131"/>
        <v>#NAME?</v>
      </c>
      <c r="DG264" s="45" t="e">
        <f t="shared" ca="1" si="131"/>
        <v>#NAME?</v>
      </c>
      <c r="DH264" s="45" t="e">
        <f t="shared" ca="1" si="131"/>
        <v>#NAME?</v>
      </c>
      <c r="DI264" s="45" t="e">
        <f t="shared" ca="1" si="131"/>
        <v>#NAME?</v>
      </c>
      <c r="DJ264" s="45" t="e">
        <f t="shared" ca="1" si="131"/>
        <v>#NAME?</v>
      </c>
      <c r="DK264" s="45" t="e">
        <f t="shared" ca="1" si="131"/>
        <v>#NAME?</v>
      </c>
      <c r="DL264" s="45" t="e">
        <f t="shared" ca="1" si="131"/>
        <v>#NAME?</v>
      </c>
      <c r="DM264" s="45" t="e">
        <f t="shared" ca="1" si="131"/>
        <v>#NAME?</v>
      </c>
      <c r="DN264" s="45" t="e">
        <f t="shared" ca="1" si="131"/>
        <v>#NAME?</v>
      </c>
      <c r="DO264" s="45" t="e">
        <f t="shared" ca="1" si="131"/>
        <v>#NAME?</v>
      </c>
      <c r="DP264" s="45" t="e">
        <f t="shared" ca="1" si="131"/>
        <v>#NAME?</v>
      </c>
      <c r="DQ264" s="45" t="e">
        <f t="shared" ca="1" si="131"/>
        <v>#NAME?</v>
      </c>
      <c r="DR264" s="45" t="e">
        <f t="shared" ca="1" si="131"/>
        <v>#NAME?</v>
      </c>
      <c r="DS264" s="45" t="e">
        <f t="shared" ca="1" si="131"/>
        <v>#NAME?</v>
      </c>
      <c r="DT264" s="45" t="e">
        <f t="shared" ca="1" si="131"/>
        <v>#NAME?</v>
      </c>
      <c r="DU264" s="45" t="e">
        <f t="shared" ca="1" si="131"/>
        <v>#NAME?</v>
      </c>
      <c r="DV264" s="45" t="e">
        <f t="shared" ca="1" si="131"/>
        <v>#NAME?</v>
      </c>
      <c r="DW264" s="45" t="e">
        <f t="shared" ca="1" si="131"/>
        <v>#NAME?</v>
      </c>
      <c r="DX264" s="45" t="e">
        <f t="shared" ca="1" si="131"/>
        <v>#NAME?</v>
      </c>
      <c r="DY264" s="45" t="e">
        <f t="shared" ca="1" si="131"/>
        <v>#NAME?</v>
      </c>
      <c r="DZ264" s="45" t="e">
        <f t="shared" ca="1" si="131"/>
        <v>#NAME?</v>
      </c>
      <c r="EA264" s="45" t="e">
        <f t="shared" ca="1" si="131"/>
        <v>#NAME?</v>
      </c>
      <c r="EB264" s="45" t="e">
        <f t="shared" ca="1" si="131"/>
        <v>#NAME?</v>
      </c>
      <c r="EC264" s="45" t="e">
        <f t="shared" ca="1" si="131"/>
        <v>#NAME?</v>
      </c>
      <c r="ED264" s="45" t="e">
        <f t="shared" ca="1" si="131"/>
        <v>#NAME?</v>
      </c>
      <c r="EE264" s="45" t="e">
        <f t="shared" ca="1" si="131"/>
        <v>#NAME?</v>
      </c>
      <c r="EF264" s="45" t="e">
        <f t="shared" ca="1" si="131"/>
        <v>#NAME?</v>
      </c>
      <c r="EG264" s="45" t="e">
        <f t="shared" ca="1" si="131"/>
        <v>#NAME?</v>
      </c>
      <c r="EH264" s="45" t="e">
        <f t="shared" ca="1" si="131"/>
        <v>#NAME?</v>
      </c>
      <c r="EI264" s="45" t="e">
        <f t="shared" ca="1" si="131"/>
        <v>#NAME?</v>
      </c>
      <c r="EJ264" s="45" t="e">
        <f t="shared" ca="1" si="131"/>
        <v>#NAME?</v>
      </c>
      <c r="EK264" s="45" t="e">
        <f t="shared" ca="1" si="131"/>
        <v>#NAME?</v>
      </c>
      <c r="EL264" s="45" t="e">
        <f t="shared" ca="1" si="131"/>
        <v>#NAME?</v>
      </c>
      <c r="EM264" s="45" t="e">
        <f t="shared" ca="1" si="131"/>
        <v>#NAME?</v>
      </c>
      <c r="EN264" s="45" t="e">
        <f t="shared" ca="1" si="131"/>
        <v>#NAME?</v>
      </c>
      <c r="EO264" s="45" t="e">
        <f t="shared" ca="1" si="131"/>
        <v>#NAME?</v>
      </c>
      <c r="EP264" s="45" t="e">
        <f t="shared" ca="1" si="131"/>
        <v>#NAME?</v>
      </c>
      <c r="EQ264" s="45" t="e">
        <f t="shared" ca="1" si="131"/>
        <v>#NAME?</v>
      </c>
      <c r="ER264" s="45" t="e">
        <f t="shared" ca="1" si="131"/>
        <v>#NAME?</v>
      </c>
      <c r="ES264" s="45" t="e">
        <f t="shared" ca="1" si="131"/>
        <v>#NAME?</v>
      </c>
      <c r="ET264" s="45" t="e">
        <f t="shared" ca="1" si="131"/>
        <v>#NAME?</v>
      </c>
      <c r="EU264" s="45" t="e">
        <f t="shared" ca="1" si="131"/>
        <v>#NAME?</v>
      </c>
      <c r="EV264" s="45" t="e">
        <f t="shared" ca="1" si="131"/>
        <v>#NAME?</v>
      </c>
      <c r="EW264" s="45" t="e">
        <f t="shared" ca="1" si="131"/>
        <v>#NAME?</v>
      </c>
      <c r="EX264" s="45" t="e">
        <f t="shared" ca="1" si="131"/>
        <v>#NAME?</v>
      </c>
      <c r="EY264" s="45" t="e">
        <f t="shared" ca="1" si="131"/>
        <v>#NAME?</v>
      </c>
      <c r="EZ264" s="45" t="e">
        <f t="shared" ca="1" si="131"/>
        <v>#NAME?</v>
      </c>
      <c r="FA264" s="45" t="e">
        <f t="shared" ca="1" si="131"/>
        <v>#NAME?</v>
      </c>
      <c r="FB264" s="45" t="e">
        <f t="shared" ca="1" si="131"/>
        <v>#NAME?</v>
      </c>
      <c r="FC264" s="45" t="e">
        <f t="shared" ca="1" si="131"/>
        <v>#NAME?</v>
      </c>
      <c r="FD264" s="45" t="e">
        <f t="shared" ca="1" si="131"/>
        <v>#NAME?</v>
      </c>
      <c r="FE264" s="45" t="e">
        <f t="shared" ca="1" si="131"/>
        <v>#NAME?</v>
      </c>
      <c r="FF264" s="45" t="e">
        <f t="shared" ca="1" si="131"/>
        <v>#NAME?</v>
      </c>
      <c r="FG264" s="45" t="e">
        <f t="shared" ca="1" si="131"/>
        <v>#NAME?</v>
      </c>
      <c r="FH264" s="45" t="e">
        <f t="shared" ca="1" si="131"/>
        <v>#NAME?</v>
      </c>
      <c r="FI264" s="45" t="e">
        <f t="shared" ca="1" si="131"/>
        <v>#NAME?</v>
      </c>
      <c r="FJ264" s="45" t="e">
        <f t="shared" ca="1" si="131"/>
        <v>#NAME?</v>
      </c>
      <c r="FK264" s="45" t="e">
        <f t="shared" ca="1" si="131"/>
        <v>#NAME?</v>
      </c>
      <c r="FL264" s="45" t="e">
        <f t="shared" ca="1" si="131"/>
        <v>#NAME?</v>
      </c>
      <c r="FM264" s="45" t="e">
        <f t="shared" ca="1" si="131"/>
        <v>#NAME?</v>
      </c>
      <c r="FN264" s="45" t="e">
        <f t="shared" ca="1" si="131"/>
        <v>#NAME?</v>
      </c>
      <c r="FO264" s="45" t="e">
        <f t="shared" ca="1" si="131"/>
        <v>#NAME?</v>
      </c>
      <c r="FP264" s="45" t="e">
        <f t="shared" ca="1" si="131"/>
        <v>#NAME?</v>
      </c>
      <c r="FQ264" s="45" t="e">
        <f t="shared" ca="1" si="131"/>
        <v>#NAME?</v>
      </c>
      <c r="FR264" s="45" t="e">
        <f t="shared" ca="1" si="131"/>
        <v>#NAME?</v>
      </c>
      <c r="FS264" s="45" t="e">
        <f t="shared" ca="1" si="131"/>
        <v>#NAME?</v>
      </c>
      <c r="FT264" s="45" t="e">
        <f t="shared" ca="1" si="131"/>
        <v>#NAME?</v>
      </c>
      <c r="FU264" s="45" t="e">
        <f t="shared" ca="1" si="131"/>
        <v>#NAME?</v>
      </c>
      <c r="FV264" s="45" t="e">
        <f t="shared" ca="1" si="131"/>
        <v>#NAME?</v>
      </c>
      <c r="FW264" s="45" t="e">
        <f t="shared" ca="1" si="131"/>
        <v>#NAME?</v>
      </c>
      <c r="FX264" s="45" t="e">
        <f t="shared" ca="1" si="131"/>
        <v>#NAME?</v>
      </c>
      <c r="FY264" s="45"/>
      <c r="FZ264" s="45" t="e">
        <f ca="1">SUM(C264:FX264)</f>
        <v>#NAME?</v>
      </c>
      <c r="GA264" s="45"/>
      <c r="GB264" s="7"/>
      <c r="GC264" s="7"/>
      <c r="GD264" s="7"/>
      <c r="GE264" s="7"/>
      <c r="GF264" s="7"/>
      <c r="GG264" s="7"/>
      <c r="GH264" s="7"/>
      <c r="GI264" s="7"/>
      <c r="GJ264" s="7"/>
      <c r="GK264" s="7"/>
    </row>
    <row r="265" spans="1:193" ht="15.5" x14ac:dyDescent="0.35">
      <c r="A265" s="7"/>
      <c r="B265" s="7" t="s">
        <v>1037</v>
      </c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7"/>
      <c r="GC265" s="7"/>
      <c r="GD265" s="7"/>
      <c r="GE265" s="7"/>
      <c r="GF265" s="7"/>
      <c r="GG265" s="7"/>
      <c r="GH265" s="7"/>
      <c r="GI265" s="7"/>
      <c r="GJ265" s="7"/>
      <c r="GK265" s="7"/>
    </row>
    <row r="266" spans="1:193" ht="15.5" x14ac:dyDescent="0.35">
      <c r="A266" s="7"/>
      <c r="B266" s="7" t="s">
        <v>1038</v>
      </c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78"/>
      <c r="GB266" s="45"/>
      <c r="GC266" s="45"/>
      <c r="GD266" s="45"/>
      <c r="GE266" s="7"/>
      <c r="GF266" s="7"/>
      <c r="GG266" s="7"/>
      <c r="GH266" s="7"/>
      <c r="GI266" s="7"/>
      <c r="GJ266" s="7"/>
      <c r="GK266" s="7"/>
    </row>
    <row r="267" spans="1:193" ht="15.5" x14ac:dyDescent="0.35">
      <c r="A267" s="12" t="s">
        <v>690</v>
      </c>
      <c r="B267" s="7" t="s">
        <v>1039</v>
      </c>
      <c r="C267" s="45">
        <f t="shared" ref="C267:FX267" si="132">ROUND(((C50)*(1+C206+C207))/C48,6)</f>
        <v>0.82068099999999999</v>
      </c>
      <c r="D267" s="45">
        <f t="shared" si="132"/>
        <v>0.22354299999999999</v>
      </c>
      <c r="E267" s="45">
        <f t="shared" si="132"/>
        <v>0.79738900000000001</v>
      </c>
      <c r="F267" s="45">
        <f t="shared" si="132"/>
        <v>0.32048900000000002</v>
      </c>
      <c r="G267" s="45">
        <f t="shared" si="132"/>
        <v>2.1136089999999998</v>
      </c>
      <c r="H267" s="45">
        <f t="shared" si="132"/>
        <v>6.9286669999999999</v>
      </c>
      <c r="I267" s="45">
        <f t="shared" si="132"/>
        <v>0.83926000000000001</v>
      </c>
      <c r="J267" s="45">
        <f t="shared" si="132"/>
        <v>5.1646640000000001</v>
      </c>
      <c r="K267" s="45">
        <f t="shared" si="132"/>
        <v>18.520233999999999</v>
      </c>
      <c r="L267" s="45">
        <f t="shared" si="132"/>
        <v>1.1280140000000001</v>
      </c>
      <c r="M267" s="45">
        <f t="shared" si="132"/>
        <v>2.9483860000000002</v>
      </c>
      <c r="N267" s="45">
        <f t="shared" si="132"/>
        <v>0.106126</v>
      </c>
      <c r="O267" s="45">
        <f t="shared" si="132"/>
        <v>0.366703</v>
      </c>
      <c r="P267" s="45">
        <f t="shared" si="132"/>
        <v>16.269812000000002</v>
      </c>
      <c r="Q267" s="45">
        <f t="shared" si="132"/>
        <v>0.184976</v>
      </c>
      <c r="R267" s="45">
        <f t="shared" si="132"/>
        <v>15.700101</v>
      </c>
      <c r="S267" s="45">
        <f t="shared" si="132"/>
        <v>1.682744</v>
      </c>
      <c r="T267" s="45">
        <f t="shared" si="132"/>
        <v>37.247829000000003</v>
      </c>
      <c r="U267" s="45">
        <f t="shared" si="132"/>
        <v>35.287210000000002</v>
      </c>
      <c r="V267" s="45">
        <f t="shared" si="132"/>
        <v>25.677700000000002</v>
      </c>
      <c r="W267" s="45">
        <f t="shared" si="132"/>
        <v>45.336992000000002</v>
      </c>
      <c r="X267" s="45">
        <f t="shared" si="132"/>
        <v>53.754275999999997</v>
      </c>
      <c r="Y267" s="45">
        <f t="shared" si="132"/>
        <v>12.277279</v>
      </c>
      <c r="Z267" s="45">
        <f t="shared" si="132"/>
        <v>36.845472000000001</v>
      </c>
      <c r="AA267" s="45">
        <f t="shared" si="132"/>
        <v>0.148733</v>
      </c>
      <c r="AB267" s="45">
        <f t="shared" si="132"/>
        <v>9.6793000000000004E-2</v>
      </c>
      <c r="AC267" s="45">
        <f t="shared" si="132"/>
        <v>2.0783390000000002</v>
      </c>
      <c r="AD267" s="45">
        <f t="shared" si="132"/>
        <v>2.0359560000000001</v>
      </c>
      <c r="AE267" s="45">
        <f t="shared" si="132"/>
        <v>20.540614999999999</v>
      </c>
      <c r="AF267" s="45">
        <f t="shared" si="132"/>
        <v>10.134547</v>
      </c>
      <c r="AG267" s="45">
        <f t="shared" si="132"/>
        <v>2.617915</v>
      </c>
      <c r="AH267" s="45">
        <f t="shared" si="132"/>
        <v>21.06034</v>
      </c>
      <c r="AI267" s="45">
        <f t="shared" si="132"/>
        <v>79.794419000000005</v>
      </c>
      <c r="AJ267" s="45">
        <f t="shared" si="132"/>
        <v>26.784884000000002</v>
      </c>
      <c r="AK267" s="45">
        <f t="shared" si="132"/>
        <v>14.632489</v>
      </c>
      <c r="AL267" s="45">
        <f t="shared" si="132"/>
        <v>11.23227</v>
      </c>
      <c r="AM267" s="45">
        <f t="shared" si="132"/>
        <v>15.664788</v>
      </c>
      <c r="AN267" s="45">
        <f t="shared" si="132"/>
        <v>5.542116</v>
      </c>
      <c r="AO267" s="45">
        <f t="shared" si="132"/>
        <v>1.71848</v>
      </c>
      <c r="AP267" s="45">
        <f t="shared" si="132"/>
        <v>4.1408E-2</v>
      </c>
      <c r="AQ267" s="45">
        <f t="shared" si="132"/>
        <v>11.273180999999999</v>
      </c>
      <c r="AR267" s="45">
        <f t="shared" si="132"/>
        <v>9.3760999999999997E-2</v>
      </c>
      <c r="AS267" s="45">
        <f t="shared" si="132"/>
        <v>0.20654900000000001</v>
      </c>
      <c r="AT267" s="45">
        <f t="shared" si="132"/>
        <v>2.2399209999999998</v>
      </c>
      <c r="AU267" s="45">
        <f t="shared" si="132"/>
        <v>12.660380999999999</v>
      </c>
      <c r="AV267" s="45">
        <f t="shared" si="132"/>
        <v>21.946553999999999</v>
      </c>
      <c r="AW267" s="45">
        <f t="shared" si="132"/>
        <v>26.176794000000001</v>
      </c>
      <c r="AX267" s="45">
        <f t="shared" si="132"/>
        <v>40.831927</v>
      </c>
      <c r="AY267" s="45">
        <f t="shared" si="132"/>
        <v>15.875455000000001</v>
      </c>
      <c r="AZ267" s="45">
        <f t="shared" si="132"/>
        <v>9.7699999999999992E-3</v>
      </c>
      <c r="BA267" s="45">
        <f t="shared" si="132"/>
        <v>1.0456749999999999</v>
      </c>
      <c r="BB267" s="45">
        <f t="shared" si="132"/>
        <v>3.5444469999999999</v>
      </c>
      <c r="BC267" s="45">
        <f t="shared" si="132"/>
        <v>0.208232</v>
      </c>
      <c r="BD267" s="45">
        <f t="shared" si="132"/>
        <v>1.6215759999999999</v>
      </c>
      <c r="BE267" s="45">
        <f t="shared" si="132"/>
        <v>4.650353</v>
      </c>
      <c r="BF267" s="45">
        <f t="shared" si="132"/>
        <v>0.33544299999999999</v>
      </c>
      <c r="BG267" s="45">
        <f t="shared" si="132"/>
        <v>15.124406</v>
      </c>
      <c r="BH267" s="45">
        <f t="shared" si="132"/>
        <v>11.861191</v>
      </c>
      <c r="BI267" s="45">
        <f t="shared" si="132"/>
        <v>18.512799000000001</v>
      </c>
      <c r="BJ267" s="45">
        <f t="shared" si="132"/>
        <v>0.99343999999999999</v>
      </c>
      <c r="BK267" s="45">
        <f t="shared" si="132"/>
        <v>0.57792200000000005</v>
      </c>
      <c r="BL267" s="45">
        <f t="shared" si="132"/>
        <v>102.206666</v>
      </c>
      <c r="BM267" s="45">
        <f t="shared" si="132"/>
        <v>20.007045999999999</v>
      </c>
      <c r="BN267" s="45">
        <f t="shared" si="132"/>
        <v>2.5072679999999998</v>
      </c>
      <c r="BO267" s="45">
        <f t="shared" si="132"/>
        <v>4.6539739999999998</v>
      </c>
      <c r="BP267" s="45">
        <f t="shared" si="132"/>
        <v>9.2293839999999996</v>
      </c>
      <c r="BQ267" s="45">
        <f t="shared" si="132"/>
        <v>0.46864499999999998</v>
      </c>
      <c r="BR267" s="45">
        <f t="shared" si="132"/>
        <v>0.84040700000000002</v>
      </c>
      <c r="BS267" s="45">
        <f t="shared" si="132"/>
        <v>1.1435550000000001</v>
      </c>
      <c r="BT267" s="45">
        <f t="shared" si="132"/>
        <v>2.1250749999999998</v>
      </c>
      <c r="BU267" s="45">
        <f t="shared" si="132"/>
        <v>5.4678610000000001</v>
      </c>
      <c r="BV267" s="45">
        <f t="shared" si="132"/>
        <v>0.69814200000000004</v>
      </c>
      <c r="BW267" s="45">
        <f t="shared" si="132"/>
        <v>0.87441500000000005</v>
      </c>
      <c r="BX267" s="45">
        <f t="shared" si="132"/>
        <v>13.758169000000001</v>
      </c>
      <c r="BY267" s="45">
        <f t="shared" si="132"/>
        <v>6.9209800000000001</v>
      </c>
      <c r="BZ267" s="45">
        <f t="shared" si="132"/>
        <v>25.350218000000002</v>
      </c>
      <c r="CA267" s="45">
        <f t="shared" si="132"/>
        <v>9.0611060000000005</v>
      </c>
      <c r="CB267" s="45">
        <f t="shared" si="132"/>
        <v>6.8140000000000006E-2</v>
      </c>
      <c r="CC267" s="45">
        <f t="shared" si="132"/>
        <v>47.456476000000002</v>
      </c>
      <c r="CD267" s="45">
        <f t="shared" si="132"/>
        <v>13.077076999999999</v>
      </c>
      <c r="CE267" s="45">
        <f t="shared" si="132"/>
        <v>23.128343999999998</v>
      </c>
      <c r="CF267" s="45">
        <f t="shared" si="132"/>
        <v>31.084896000000001</v>
      </c>
      <c r="CG267" s="45">
        <f t="shared" si="132"/>
        <v>38.810487000000002</v>
      </c>
      <c r="CH267" s="45">
        <f t="shared" si="132"/>
        <v>52.790570000000002</v>
      </c>
      <c r="CI267" s="45">
        <f t="shared" si="132"/>
        <v>8.0185220000000008</v>
      </c>
      <c r="CJ267" s="45">
        <f t="shared" si="132"/>
        <v>2.253708</v>
      </c>
      <c r="CK267" s="45">
        <f t="shared" si="132"/>
        <v>0.508355</v>
      </c>
      <c r="CL267" s="45">
        <f t="shared" si="132"/>
        <v>3.6202320000000001</v>
      </c>
      <c r="CM267" s="45">
        <f t="shared" si="132"/>
        <v>3.3125249999999999</v>
      </c>
      <c r="CN267" s="45">
        <f t="shared" si="132"/>
        <v>0.183971</v>
      </c>
      <c r="CO267" s="45">
        <f t="shared" si="132"/>
        <v>0.28107799999999999</v>
      </c>
      <c r="CP267" s="45">
        <f t="shared" si="132"/>
        <v>1.443859</v>
      </c>
      <c r="CQ267" s="45">
        <f t="shared" si="132"/>
        <v>5.5507369999999998</v>
      </c>
      <c r="CR267" s="45">
        <f t="shared" si="132"/>
        <v>5.7779100000000003</v>
      </c>
      <c r="CS267" s="45">
        <f t="shared" si="132"/>
        <v>16.609103000000001</v>
      </c>
      <c r="CT267" s="45">
        <f t="shared" si="132"/>
        <v>16.963875999999999</v>
      </c>
      <c r="CU267" s="45">
        <f t="shared" si="132"/>
        <v>59.433349999999997</v>
      </c>
      <c r="CV267" s="45">
        <f t="shared" si="132"/>
        <v>41.454071999999996</v>
      </c>
      <c r="CW267" s="45">
        <f t="shared" si="132"/>
        <v>12.615394</v>
      </c>
      <c r="CX267" s="45">
        <f t="shared" si="132"/>
        <v>11.242189</v>
      </c>
      <c r="CY267" s="45">
        <f t="shared" si="132"/>
        <v>150.40974700000001</v>
      </c>
      <c r="CZ267" s="45">
        <f t="shared" si="132"/>
        <v>3.903232</v>
      </c>
      <c r="DA267" s="45">
        <f t="shared" si="132"/>
        <v>21.459251999999999</v>
      </c>
      <c r="DB267" s="45">
        <f t="shared" si="132"/>
        <v>23.096388999999999</v>
      </c>
      <c r="DC267" s="45">
        <f t="shared" si="132"/>
        <v>17.526589000000001</v>
      </c>
      <c r="DD267" s="45">
        <f t="shared" si="132"/>
        <v>3.9032789999999999</v>
      </c>
      <c r="DE267" s="45">
        <f t="shared" si="132"/>
        <v>5.6757280000000003</v>
      </c>
      <c r="DF267" s="45">
        <f t="shared" si="132"/>
        <v>0.35256700000000002</v>
      </c>
      <c r="DG267" s="45">
        <f t="shared" si="132"/>
        <v>14.001253999999999</v>
      </c>
      <c r="DH267" s="45">
        <f t="shared" si="132"/>
        <v>2.4620600000000001</v>
      </c>
      <c r="DI267" s="45">
        <f t="shared" si="132"/>
        <v>1.664112</v>
      </c>
      <c r="DJ267" s="45">
        <f t="shared" si="132"/>
        <v>14.539145</v>
      </c>
      <c r="DK267" s="45">
        <f t="shared" si="132"/>
        <v>15.139419999999999</v>
      </c>
      <c r="DL267" s="45">
        <f t="shared" si="132"/>
        <v>1.1086320000000001</v>
      </c>
      <c r="DM267" s="45">
        <f t="shared" si="132"/>
        <v>37.158763999999998</v>
      </c>
      <c r="DN267" s="45">
        <f t="shared" si="132"/>
        <v>3.5587420000000001</v>
      </c>
      <c r="DO267" s="45">
        <f t="shared" si="132"/>
        <v>2.7010529999999999</v>
      </c>
      <c r="DP267" s="45">
        <f t="shared" si="132"/>
        <v>30.356963</v>
      </c>
      <c r="DQ267" s="45">
        <f t="shared" si="132"/>
        <v>2.1722290000000002</v>
      </c>
      <c r="DR267" s="45">
        <f t="shared" si="132"/>
        <v>10.201463</v>
      </c>
      <c r="DS267" s="45">
        <f t="shared" si="132"/>
        <v>21.373501999999998</v>
      </c>
      <c r="DT267" s="45">
        <f t="shared" si="132"/>
        <v>84.333353000000002</v>
      </c>
      <c r="DU267" s="45">
        <f t="shared" si="132"/>
        <v>30.924934</v>
      </c>
      <c r="DV267" s="45">
        <f t="shared" si="132"/>
        <v>101.843009</v>
      </c>
      <c r="DW267" s="45">
        <f t="shared" si="132"/>
        <v>41.111671999999999</v>
      </c>
      <c r="DX267" s="45">
        <f t="shared" si="132"/>
        <v>8.9568309999999993</v>
      </c>
      <c r="DY267" s="45">
        <f t="shared" si="132"/>
        <v>4.4637510000000002</v>
      </c>
      <c r="DZ267" s="45">
        <f t="shared" si="132"/>
        <v>3.7727750000000002</v>
      </c>
      <c r="EA267" s="45">
        <f t="shared" si="132"/>
        <v>1.553606</v>
      </c>
      <c r="EB267" s="45">
        <f t="shared" si="132"/>
        <v>10.446809999999999</v>
      </c>
      <c r="EC267" s="45">
        <f t="shared" si="132"/>
        <v>24.530719999999999</v>
      </c>
      <c r="ED267" s="45">
        <f t="shared" si="132"/>
        <v>0.17483799999999999</v>
      </c>
      <c r="EE267" s="45">
        <f t="shared" si="132"/>
        <v>54.8217</v>
      </c>
      <c r="EF267" s="45">
        <f t="shared" si="132"/>
        <v>9.0781080000000003</v>
      </c>
      <c r="EG267" s="45">
        <f t="shared" si="132"/>
        <v>31.661463000000001</v>
      </c>
      <c r="EH267" s="45">
        <f t="shared" si="132"/>
        <v>65.895966000000001</v>
      </c>
      <c r="EI267" s="45">
        <f t="shared" si="132"/>
        <v>0.65723900000000002</v>
      </c>
      <c r="EJ267" s="45">
        <f t="shared" si="132"/>
        <v>0.82562100000000005</v>
      </c>
      <c r="EK267" s="45">
        <f t="shared" si="132"/>
        <v>1.6617710000000001</v>
      </c>
      <c r="EL267" s="45">
        <f t="shared" si="132"/>
        <v>3.4287649999999998</v>
      </c>
      <c r="EM267" s="45">
        <f t="shared" si="132"/>
        <v>7.4484079999999997</v>
      </c>
      <c r="EN267" s="45">
        <f t="shared" si="132"/>
        <v>11.453071</v>
      </c>
      <c r="EO267" s="45">
        <f t="shared" si="132"/>
        <v>20.965554000000001</v>
      </c>
      <c r="EP267" s="45">
        <f t="shared" si="132"/>
        <v>6.7172599999999996</v>
      </c>
      <c r="EQ267" s="45">
        <f t="shared" si="132"/>
        <v>5.1110000000000001E-3</v>
      </c>
      <c r="ER267" s="45">
        <f t="shared" si="132"/>
        <v>6.745393</v>
      </c>
      <c r="ES267" s="45">
        <f t="shared" si="132"/>
        <v>24.167446000000002</v>
      </c>
      <c r="ET267" s="45">
        <f t="shared" si="132"/>
        <v>18.809619000000001</v>
      </c>
      <c r="EU267" s="45">
        <f t="shared" si="132"/>
        <v>21.410661000000001</v>
      </c>
      <c r="EV267" s="45">
        <f t="shared" si="132"/>
        <v>11.506788999999999</v>
      </c>
      <c r="EW267" s="45">
        <f t="shared" si="132"/>
        <v>0.74494099999999996</v>
      </c>
      <c r="EX267" s="45">
        <f t="shared" si="132"/>
        <v>17.949508999999999</v>
      </c>
      <c r="EY267" s="45">
        <f t="shared" si="132"/>
        <v>25.016197999999999</v>
      </c>
      <c r="EZ267" s="45">
        <f t="shared" si="132"/>
        <v>34.112124999999999</v>
      </c>
      <c r="FA267" s="45">
        <f t="shared" si="132"/>
        <v>0.26301999999999998</v>
      </c>
      <c r="FB267" s="45">
        <f t="shared" si="132"/>
        <v>2.0325359999999999</v>
      </c>
      <c r="FC267" s="45">
        <f t="shared" si="132"/>
        <v>1.9987159999999999</v>
      </c>
      <c r="FD267" s="45">
        <f t="shared" si="132"/>
        <v>18.268684</v>
      </c>
      <c r="FE267" s="45">
        <f t="shared" si="132"/>
        <v>28.73339</v>
      </c>
      <c r="FF267" s="45">
        <f t="shared" si="132"/>
        <v>38.750109000000002</v>
      </c>
      <c r="FG267" s="45">
        <f t="shared" si="132"/>
        <v>31.645886999999998</v>
      </c>
      <c r="FH267" s="45">
        <f t="shared" si="132"/>
        <v>27.173542999999999</v>
      </c>
      <c r="FI267" s="45">
        <f t="shared" si="132"/>
        <v>0.702349</v>
      </c>
      <c r="FJ267" s="45">
        <f t="shared" si="132"/>
        <v>1.0213909999999999</v>
      </c>
      <c r="FK267" s="45">
        <f t="shared" si="132"/>
        <v>0.46440300000000001</v>
      </c>
      <c r="FL267" s="45">
        <f t="shared" si="132"/>
        <v>0.45844099999999999</v>
      </c>
      <c r="FM267" s="45">
        <f t="shared" si="132"/>
        <v>0.88541000000000003</v>
      </c>
      <c r="FN267" s="45">
        <f t="shared" si="132"/>
        <v>0.34502699999999997</v>
      </c>
      <c r="FO267" s="45">
        <f t="shared" si="132"/>
        <v>0.32521</v>
      </c>
      <c r="FP267" s="45">
        <f t="shared" si="132"/>
        <v>0.68081999999999998</v>
      </c>
      <c r="FQ267" s="45">
        <f t="shared" si="132"/>
        <v>1.8896409999999999</v>
      </c>
      <c r="FR267" s="45">
        <f t="shared" si="132"/>
        <v>1.7747120000000001</v>
      </c>
      <c r="FS267" s="45">
        <f t="shared" si="132"/>
        <v>2.1545399999999999</v>
      </c>
      <c r="FT267" s="45" t="e">
        <f t="shared" ca="1" si="132"/>
        <v>#NAME?</v>
      </c>
      <c r="FU267" s="45">
        <f t="shared" si="132"/>
        <v>5.7515049999999999</v>
      </c>
      <c r="FV267" s="45">
        <f t="shared" si="132"/>
        <v>6.2886170000000003</v>
      </c>
      <c r="FW267" s="45">
        <f t="shared" si="132"/>
        <v>45.825476000000002</v>
      </c>
      <c r="FX267" s="45">
        <f t="shared" si="132"/>
        <v>65.331834999999998</v>
      </c>
      <c r="FY267" s="45"/>
      <c r="FZ267" s="45"/>
      <c r="GA267" s="45"/>
      <c r="GB267" s="45"/>
      <c r="GC267" s="45"/>
      <c r="GD267" s="45"/>
      <c r="GE267" s="7"/>
      <c r="GF267" s="7"/>
      <c r="GG267" s="7"/>
      <c r="GH267" s="7"/>
      <c r="GI267" s="7"/>
      <c r="GJ267" s="7"/>
      <c r="GK267" s="7"/>
    </row>
    <row r="268" spans="1:193" ht="15.5" x14ac:dyDescent="0.35">
      <c r="A268" s="7"/>
      <c r="B268" s="7" t="s">
        <v>1040</v>
      </c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7"/>
      <c r="GB268" s="45"/>
      <c r="GC268" s="45"/>
      <c r="GD268" s="45"/>
      <c r="GE268" s="7"/>
      <c r="GF268" s="7"/>
      <c r="GG268" s="7"/>
      <c r="GH268" s="7"/>
      <c r="GI268" s="7"/>
      <c r="GJ268" s="7"/>
      <c r="GK268" s="7"/>
    </row>
    <row r="269" spans="1:193" ht="15.5" x14ac:dyDescent="0.35">
      <c r="A269" s="7"/>
      <c r="B269" s="7" t="s">
        <v>1041</v>
      </c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7"/>
      <c r="GB269" s="45"/>
      <c r="GC269" s="45"/>
      <c r="GD269" s="45"/>
      <c r="GE269" s="7"/>
      <c r="GF269" s="7"/>
      <c r="GG269" s="7"/>
      <c r="GH269" s="7"/>
      <c r="GI269" s="7"/>
      <c r="GJ269" s="7"/>
      <c r="GK269" s="7"/>
    </row>
    <row r="270" spans="1:193" ht="15.5" x14ac:dyDescent="0.35">
      <c r="A270" s="12" t="s">
        <v>692</v>
      </c>
      <c r="B270" s="7" t="s">
        <v>1042</v>
      </c>
      <c r="C270" s="45" t="e">
        <f t="shared" ref="C270:FX270" ca="1" si="133">MIN(C262,C264)</f>
        <v>#NAME?</v>
      </c>
      <c r="D270" s="45" t="e">
        <f t="shared" ca="1" si="133"/>
        <v>#NAME?</v>
      </c>
      <c r="E270" s="45" t="e">
        <f t="shared" ca="1" si="133"/>
        <v>#NAME?</v>
      </c>
      <c r="F270" s="45" t="e">
        <f t="shared" ca="1" si="133"/>
        <v>#NAME?</v>
      </c>
      <c r="G270" s="45" t="e">
        <f t="shared" ca="1" si="133"/>
        <v>#NAME?</v>
      </c>
      <c r="H270" s="45" t="e">
        <f t="shared" ca="1" si="133"/>
        <v>#NAME?</v>
      </c>
      <c r="I270" s="45" t="e">
        <f t="shared" ca="1" si="133"/>
        <v>#NAME?</v>
      </c>
      <c r="J270" s="45" t="e">
        <f t="shared" ca="1" si="133"/>
        <v>#NAME?</v>
      </c>
      <c r="K270" s="45" t="e">
        <f t="shared" ca="1" si="133"/>
        <v>#NAME?</v>
      </c>
      <c r="L270" s="45" t="e">
        <f t="shared" ca="1" si="133"/>
        <v>#NAME?</v>
      </c>
      <c r="M270" s="45" t="e">
        <f t="shared" ca="1" si="133"/>
        <v>#NAME?</v>
      </c>
      <c r="N270" s="45" t="e">
        <f t="shared" ca="1" si="133"/>
        <v>#NAME?</v>
      </c>
      <c r="O270" s="45" t="e">
        <f t="shared" ca="1" si="133"/>
        <v>#NAME?</v>
      </c>
      <c r="P270" s="45" t="e">
        <f t="shared" ca="1" si="133"/>
        <v>#NAME?</v>
      </c>
      <c r="Q270" s="45" t="e">
        <f t="shared" ca="1" si="133"/>
        <v>#NAME?</v>
      </c>
      <c r="R270" s="45" t="e">
        <f t="shared" ca="1" si="133"/>
        <v>#NAME?</v>
      </c>
      <c r="S270" s="45" t="e">
        <f t="shared" ca="1" si="133"/>
        <v>#NAME?</v>
      </c>
      <c r="T270" s="45" t="e">
        <f t="shared" ca="1" si="133"/>
        <v>#NAME?</v>
      </c>
      <c r="U270" s="45" t="e">
        <f t="shared" ca="1" si="133"/>
        <v>#NAME?</v>
      </c>
      <c r="V270" s="45" t="e">
        <f t="shared" ca="1" si="133"/>
        <v>#NAME?</v>
      </c>
      <c r="W270" s="45" t="e">
        <f t="shared" ca="1" si="133"/>
        <v>#NAME?</v>
      </c>
      <c r="X270" s="45" t="e">
        <f t="shared" ca="1" si="133"/>
        <v>#NAME?</v>
      </c>
      <c r="Y270" s="45" t="e">
        <f t="shared" ca="1" si="133"/>
        <v>#NAME?</v>
      </c>
      <c r="Z270" s="45" t="e">
        <f t="shared" ca="1" si="133"/>
        <v>#NAME?</v>
      </c>
      <c r="AA270" s="45" t="e">
        <f t="shared" ca="1" si="133"/>
        <v>#NAME?</v>
      </c>
      <c r="AB270" s="45" t="e">
        <f t="shared" ca="1" si="133"/>
        <v>#NAME?</v>
      </c>
      <c r="AC270" s="45" t="e">
        <f t="shared" ca="1" si="133"/>
        <v>#NAME?</v>
      </c>
      <c r="AD270" s="45" t="e">
        <f t="shared" ca="1" si="133"/>
        <v>#NAME?</v>
      </c>
      <c r="AE270" s="45" t="e">
        <f t="shared" ca="1" si="133"/>
        <v>#NAME?</v>
      </c>
      <c r="AF270" s="45" t="e">
        <f t="shared" ca="1" si="133"/>
        <v>#NAME?</v>
      </c>
      <c r="AG270" s="45" t="e">
        <f t="shared" ca="1" si="133"/>
        <v>#NAME?</v>
      </c>
      <c r="AH270" s="45" t="e">
        <f t="shared" ca="1" si="133"/>
        <v>#NAME?</v>
      </c>
      <c r="AI270" s="45" t="e">
        <f t="shared" ca="1" si="133"/>
        <v>#NAME?</v>
      </c>
      <c r="AJ270" s="45" t="e">
        <f t="shared" ca="1" si="133"/>
        <v>#NAME?</v>
      </c>
      <c r="AK270" s="45" t="e">
        <f t="shared" ca="1" si="133"/>
        <v>#NAME?</v>
      </c>
      <c r="AL270" s="45" t="e">
        <f t="shared" ca="1" si="133"/>
        <v>#NAME?</v>
      </c>
      <c r="AM270" s="45" t="e">
        <f t="shared" ca="1" si="133"/>
        <v>#NAME?</v>
      </c>
      <c r="AN270" s="45" t="e">
        <f t="shared" ca="1" si="133"/>
        <v>#NAME?</v>
      </c>
      <c r="AO270" s="45" t="e">
        <f t="shared" ca="1" si="133"/>
        <v>#NAME?</v>
      </c>
      <c r="AP270" s="45" t="e">
        <f t="shared" ca="1" si="133"/>
        <v>#NAME?</v>
      </c>
      <c r="AQ270" s="45" t="e">
        <f t="shared" ca="1" si="133"/>
        <v>#NAME?</v>
      </c>
      <c r="AR270" s="45" t="e">
        <f t="shared" ca="1" si="133"/>
        <v>#NAME?</v>
      </c>
      <c r="AS270" s="45" t="e">
        <f t="shared" ca="1" si="133"/>
        <v>#NAME?</v>
      </c>
      <c r="AT270" s="45" t="e">
        <f t="shared" ca="1" si="133"/>
        <v>#NAME?</v>
      </c>
      <c r="AU270" s="45" t="e">
        <f t="shared" ca="1" si="133"/>
        <v>#NAME?</v>
      </c>
      <c r="AV270" s="45" t="e">
        <f t="shared" ca="1" si="133"/>
        <v>#NAME?</v>
      </c>
      <c r="AW270" s="45" t="e">
        <f t="shared" ca="1" si="133"/>
        <v>#NAME?</v>
      </c>
      <c r="AX270" s="45" t="e">
        <f t="shared" ca="1" si="133"/>
        <v>#NAME?</v>
      </c>
      <c r="AY270" s="45" t="e">
        <f t="shared" ca="1" si="133"/>
        <v>#NAME?</v>
      </c>
      <c r="AZ270" s="45" t="e">
        <f t="shared" ca="1" si="133"/>
        <v>#NAME?</v>
      </c>
      <c r="BA270" s="45" t="e">
        <f t="shared" ca="1" si="133"/>
        <v>#NAME?</v>
      </c>
      <c r="BB270" s="45" t="e">
        <f t="shared" ca="1" si="133"/>
        <v>#NAME?</v>
      </c>
      <c r="BC270" s="45" t="e">
        <f t="shared" ca="1" si="133"/>
        <v>#NAME?</v>
      </c>
      <c r="BD270" s="45" t="e">
        <f t="shared" ca="1" si="133"/>
        <v>#NAME?</v>
      </c>
      <c r="BE270" s="45" t="e">
        <f t="shared" ca="1" si="133"/>
        <v>#NAME?</v>
      </c>
      <c r="BF270" s="45" t="e">
        <f t="shared" ca="1" si="133"/>
        <v>#NAME?</v>
      </c>
      <c r="BG270" s="45" t="e">
        <f t="shared" ca="1" si="133"/>
        <v>#NAME?</v>
      </c>
      <c r="BH270" s="45" t="e">
        <f t="shared" ca="1" si="133"/>
        <v>#NAME?</v>
      </c>
      <c r="BI270" s="45" t="e">
        <f t="shared" ca="1" si="133"/>
        <v>#NAME?</v>
      </c>
      <c r="BJ270" s="45" t="e">
        <f t="shared" ca="1" si="133"/>
        <v>#NAME?</v>
      </c>
      <c r="BK270" s="45" t="e">
        <f t="shared" ca="1" si="133"/>
        <v>#NAME?</v>
      </c>
      <c r="BL270" s="45" t="e">
        <f t="shared" ca="1" si="133"/>
        <v>#NAME?</v>
      </c>
      <c r="BM270" s="45" t="e">
        <f t="shared" ca="1" si="133"/>
        <v>#NAME?</v>
      </c>
      <c r="BN270" s="45" t="e">
        <f t="shared" ca="1" si="133"/>
        <v>#NAME?</v>
      </c>
      <c r="BO270" s="45" t="e">
        <f t="shared" ca="1" si="133"/>
        <v>#NAME?</v>
      </c>
      <c r="BP270" s="45" t="e">
        <f t="shared" ca="1" si="133"/>
        <v>#NAME?</v>
      </c>
      <c r="BQ270" s="45" t="e">
        <f t="shared" ca="1" si="133"/>
        <v>#NAME?</v>
      </c>
      <c r="BR270" s="45" t="e">
        <f t="shared" ca="1" si="133"/>
        <v>#NAME?</v>
      </c>
      <c r="BS270" s="45" t="e">
        <f t="shared" ca="1" si="133"/>
        <v>#NAME?</v>
      </c>
      <c r="BT270" s="45" t="e">
        <f t="shared" ca="1" si="133"/>
        <v>#NAME?</v>
      </c>
      <c r="BU270" s="45" t="e">
        <f t="shared" ca="1" si="133"/>
        <v>#NAME?</v>
      </c>
      <c r="BV270" s="45" t="e">
        <f t="shared" ca="1" si="133"/>
        <v>#NAME?</v>
      </c>
      <c r="BW270" s="45" t="e">
        <f t="shared" ca="1" si="133"/>
        <v>#NAME?</v>
      </c>
      <c r="BX270" s="45" t="e">
        <f t="shared" ca="1" si="133"/>
        <v>#NAME?</v>
      </c>
      <c r="BY270" s="45" t="e">
        <f t="shared" ca="1" si="133"/>
        <v>#NAME?</v>
      </c>
      <c r="BZ270" s="45" t="e">
        <f t="shared" ca="1" si="133"/>
        <v>#NAME?</v>
      </c>
      <c r="CA270" s="45" t="e">
        <f t="shared" ca="1" si="133"/>
        <v>#NAME?</v>
      </c>
      <c r="CB270" s="45" t="e">
        <f t="shared" ca="1" si="133"/>
        <v>#NAME?</v>
      </c>
      <c r="CC270" s="45" t="e">
        <f t="shared" ca="1" si="133"/>
        <v>#NAME?</v>
      </c>
      <c r="CD270" s="45" t="e">
        <f t="shared" ca="1" si="133"/>
        <v>#NAME?</v>
      </c>
      <c r="CE270" s="45" t="e">
        <f t="shared" ca="1" si="133"/>
        <v>#NAME?</v>
      </c>
      <c r="CF270" s="45" t="e">
        <f t="shared" ca="1" si="133"/>
        <v>#NAME?</v>
      </c>
      <c r="CG270" s="45" t="e">
        <f t="shared" ca="1" si="133"/>
        <v>#NAME?</v>
      </c>
      <c r="CH270" s="45" t="e">
        <f t="shared" ca="1" si="133"/>
        <v>#NAME?</v>
      </c>
      <c r="CI270" s="45" t="e">
        <f t="shared" ca="1" si="133"/>
        <v>#NAME?</v>
      </c>
      <c r="CJ270" s="45" t="e">
        <f t="shared" ca="1" si="133"/>
        <v>#NAME?</v>
      </c>
      <c r="CK270" s="45" t="e">
        <f t="shared" ca="1" si="133"/>
        <v>#NAME?</v>
      </c>
      <c r="CL270" s="45" t="e">
        <f t="shared" ca="1" si="133"/>
        <v>#NAME?</v>
      </c>
      <c r="CM270" s="45" t="e">
        <f t="shared" ca="1" si="133"/>
        <v>#NAME?</v>
      </c>
      <c r="CN270" s="45" t="e">
        <f t="shared" ca="1" si="133"/>
        <v>#NAME?</v>
      </c>
      <c r="CO270" s="45" t="e">
        <f t="shared" ca="1" si="133"/>
        <v>#NAME?</v>
      </c>
      <c r="CP270" s="45" t="e">
        <f t="shared" ca="1" si="133"/>
        <v>#NAME?</v>
      </c>
      <c r="CQ270" s="45" t="e">
        <f t="shared" ca="1" si="133"/>
        <v>#NAME?</v>
      </c>
      <c r="CR270" s="45" t="e">
        <f t="shared" ca="1" si="133"/>
        <v>#NAME?</v>
      </c>
      <c r="CS270" s="45" t="e">
        <f t="shared" ca="1" si="133"/>
        <v>#NAME?</v>
      </c>
      <c r="CT270" s="45" t="e">
        <f t="shared" ca="1" si="133"/>
        <v>#NAME?</v>
      </c>
      <c r="CU270" s="45" t="e">
        <f t="shared" ca="1" si="133"/>
        <v>#NAME?</v>
      </c>
      <c r="CV270" s="45" t="e">
        <f t="shared" ca="1" si="133"/>
        <v>#NAME?</v>
      </c>
      <c r="CW270" s="45" t="e">
        <f t="shared" ca="1" si="133"/>
        <v>#NAME?</v>
      </c>
      <c r="CX270" s="45" t="e">
        <f t="shared" ca="1" si="133"/>
        <v>#NAME?</v>
      </c>
      <c r="CY270" s="45" t="e">
        <f t="shared" ca="1" si="133"/>
        <v>#NAME?</v>
      </c>
      <c r="CZ270" s="45" t="e">
        <f t="shared" ca="1" si="133"/>
        <v>#NAME?</v>
      </c>
      <c r="DA270" s="45" t="e">
        <f t="shared" ca="1" si="133"/>
        <v>#NAME?</v>
      </c>
      <c r="DB270" s="45" t="e">
        <f t="shared" ca="1" si="133"/>
        <v>#NAME?</v>
      </c>
      <c r="DC270" s="45" t="e">
        <f t="shared" ca="1" si="133"/>
        <v>#NAME?</v>
      </c>
      <c r="DD270" s="45" t="e">
        <f t="shared" ca="1" si="133"/>
        <v>#NAME?</v>
      </c>
      <c r="DE270" s="45" t="e">
        <f t="shared" ca="1" si="133"/>
        <v>#NAME?</v>
      </c>
      <c r="DF270" s="45" t="e">
        <f t="shared" ca="1" si="133"/>
        <v>#NAME?</v>
      </c>
      <c r="DG270" s="45" t="e">
        <f t="shared" ca="1" si="133"/>
        <v>#NAME?</v>
      </c>
      <c r="DH270" s="45" t="e">
        <f t="shared" ca="1" si="133"/>
        <v>#NAME?</v>
      </c>
      <c r="DI270" s="45" t="e">
        <f t="shared" ca="1" si="133"/>
        <v>#NAME?</v>
      </c>
      <c r="DJ270" s="45" t="e">
        <f t="shared" ca="1" si="133"/>
        <v>#NAME?</v>
      </c>
      <c r="DK270" s="45" t="e">
        <f t="shared" ca="1" si="133"/>
        <v>#NAME?</v>
      </c>
      <c r="DL270" s="45" t="e">
        <f t="shared" ca="1" si="133"/>
        <v>#NAME?</v>
      </c>
      <c r="DM270" s="45" t="e">
        <f t="shared" ca="1" si="133"/>
        <v>#NAME?</v>
      </c>
      <c r="DN270" s="45" t="e">
        <f t="shared" ca="1" si="133"/>
        <v>#NAME?</v>
      </c>
      <c r="DO270" s="45" t="e">
        <f t="shared" ca="1" si="133"/>
        <v>#NAME?</v>
      </c>
      <c r="DP270" s="45" t="e">
        <f t="shared" ca="1" si="133"/>
        <v>#NAME?</v>
      </c>
      <c r="DQ270" s="45" t="e">
        <f t="shared" ca="1" si="133"/>
        <v>#NAME?</v>
      </c>
      <c r="DR270" s="45" t="e">
        <f t="shared" ca="1" si="133"/>
        <v>#NAME?</v>
      </c>
      <c r="DS270" s="45" t="e">
        <f t="shared" ca="1" si="133"/>
        <v>#NAME?</v>
      </c>
      <c r="DT270" s="45" t="e">
        <f t="shared" ca="1" si="133"/>
        <v>#NAME?</v>
      </c>
      <c r="DU270" s="45" t="e">
        <f t="shared" ca="1" si="133"/>
        <v>#NAME?</v>
      </c>
      <c r="DV270" s="45" t="e">
        <f t="shared" ca="1" si="133"/>
        <v>#NAME?</v>
      </c>
      <c r="DW270" s="45" t="e">
        <f t="shared" ca="1" si="133"/>
        <v>#NAME?</v>
      </c>
      <c r="DX270" s="45" t="e">
        <f t="shared" ca="1" si="133"/>
        <v>#NAME?</v>
      </c>
      <c r="DY270" s="45" t="e">
        <f t="shared" ca="1" si="133"/>
        <v>#NAME?</v>
      </c>
      <c r="DZ270" s="45" t="e">
        <f t="shared" ca="1" si="133"/>
        <v>#NAME?</v>
      </c>
      <c r="EA270" s="45" t="e">
        <f t="shared" ca="1" si="133"/>
        <v>#NAME?</v>
      </c>
      <c r="EB270" s="45" t="e">
        <f t="shared" ca="1" si="133"/>
        <v>#NAME?</v>
      </c>
      <c r="EC270" s="45" t="e">
        <f t="shared" ca="1" si="133"/>
        <v>#NAME?</v>
      </c>
      <c r="ED270" s="45" t="e">
        <f t="shared" ca="1" si="133"/>
        <v>#NAME?</v>
      </c>
      <c r="EE270" s="45" t="e">
        <f t="shared" ca="1" si="133"/>
        <v>#NAME?</v>
      </c>
      <c r="EF270" s="45" t="e">
        <f t="shared" ca="1" si="133"/>
        <v>#NAME?</v>
      </c>
      <c r="EG270" s="45" t="e">
        <f t="shared" ca="1" si="133"/>
        <v>#NAME?</v>
      </c>
      <c r="EH270" s="45" t="e">
        <f t="shared" ca="1" si="133"/>
        <v>#NAME?</v>
      </c>
      <c r="EI270" s="45" t="e">
        <f t="shared" ca="1" si="133"/>
        <v>#NAME?</v>
      </c>
      <c r="EJ270" s="45" t="e">
        <f t="shared" ca="1" si="133"/>
        <v>#NAME?</v>
      </c>
      <c r="EK270" s="45" t="e">
        <f t="shared" ca="1" si="133"/>
        <v>#NAME?</v>
      </c>
      <c r="EL270" s="45" t="e">
        <f t="shared" ca="1" si="133"/>
        <v>#NAME?</v>
      </c>
      <c r="EM270" s="45" t="e">
        <f t="shared" ca="1" si="133"/>
        <v>#NAME?</v>
      </c>
      <c r="EN270" s="45" t="e">
        <f t="shared" ca="1" si="133"/>
        <v>#NAME?</v>
      </c>
      <c r="EO270" s="45" t="e">
        <f t="shared" ca="1" si="133"/>
        <v>#NAME?</v>
      </c>
      <c r="EP270" s="45" t="e">
        <f t="shared" ca="1" si="133"/>
        <v>#NAME?</v>
      </c>
      <c r="EQ270" s="45" t="e">
        <f t="shared" ca="1" si="133"/>
        <v>#NAME?</v>
      </c>
      <c r="ER270" s="45" t="e">
        <f t="shared" ca="1" si="133"/>
        <v>#NAME?</v>
      </c>
      <c r="ES270" s="45" t="e">
        <f t="shared" ca="1" si="133"/>
        <v>#NAME?</v>
      </c>
      <c r="ET270" s="45" t="e">
        <f t="shared" ca="1" si="133"/>
        <v>#NAME?</v>
      </c>
      <c r="EU270" s="45" t="e">
        <f t="shared" ca="1" si="133"/>
        <v>#NAME?</v>
      </c>
      <c r="EV270" s="45" t="e">
        <f t="shared" ca="1" si="133"/>
        <v>#NAME?</v>
      </c>
      <c r="EW270" s="45" t="e">
        <f t="shared" ca="1" si="133"/>
        <v>#NAME?</v>
      </c>
      <c r="EX270" s="45" t="e">
        <f t="shared" ca="1" si="133"/>
        <v>#NAME?</v>
      </c>
      <c r="EY270" s="45" t="e">
        <f t="shared" ca="1" si="133"/>
        <v>#NAME?</v>
      </c>
      <c r="EZ270" s="45" t="e">
        <f t="shared" ca="1" si="133"/>
        <v>#NAME?</v>
      </c>
      <c r="FA270" s="45" t="e">
        <f t="shared" ca="1" si="133"/>
        <v>#NAME?</v>
      </c>
      <c r="FB270" s="45" t="e">
        <f t="shared" ca="1" si="133"/>
        <v>#NAME?</v>
      </c>
      <c r="FC270" s="45" t="e">
        <f t="shared" ca="1" si="133"/>
        <v>#NAME?</v>
      </c>
      <c r="FD270" s="45" t="e">
        <f t="shared" ca="1" si="133"/>
        <v>#NAME?</v>
      </c>
      <c r="FE270" s="45" t="e">
        <f t="shared" ca="1" si="133"/>
        <v>#NAME?</v>
      </c>
      <c r="FF270" s="45" t="e">
        <f t="shared" ca="1" si="133"/>
        <v>#NAME?</v>
      </c>
      <c r="FG270" s="45" t="e">
        <f t="shared" ca="1" si="133"/>
        <v>#NAME?</v>
      </c>
      <c r="FH270" s="45" t="e">
        <f t="shared" ca="1" si="133"/>
        <v>#NAME?</v>
      </c>
      <c r="FI270" s="45" t="e">
        <f t="shared" ca="1" si="133"/>
        <v>#NAME?</v>
      </c>
      <c r="FJ270" s="45" t="e">
        <f t="shared" ca="1" si="133"/>
        <v>#NAME?</v>
      </c>
      <c r="FK270" s="45" t="e">
        <f t="shared" ca="1" si="133"/>
        <v>#NAME?</v>
      </c>
      <c r="FL270" s="45" t="e">
        <f t="shared" ca="1" si="133"/>
        <v>#NAME?</v>
      </c>
      <c r="FM270" s="45" t="e">
        <f t="shared" ca="1" si="133"/>
        <v>#NAME?</v>
      </c>
      <c r="FN270" s="45" t="e">
        <f t="shared" ca="1" si="133"/>
        <v>#NAME?</v>
      </c>
      <c r="FO270" s="45" t="e">
        <f t="shared" ca="1" si="133"/>
        <v>#NAME?</v>
      </c>
      <c r="FP270" s="45" t="e">
        <f t="shared" ca="1" si="133"/>
        <v>#NAME?</v>
      </c>
      <c r="FQ270" s="45" t="e">
        <f t="shared" ca="1" si="133"/>
        <v>#NAME?</v>
      </c>
      <c r="FR270" s="45" t="e">
        <f t="shared" ca="1" si="133"/>
        <v>#NAME?</v>
      </c>
      <c r="FS270" s="45" t="e">
        <f t="shared" ca="1" si="133"/>
        <v>#NAME?</v>
      </c>
      <c r="FT270" s="45" t="e">
        <f t="shared" ca="1" si="133"/>
        <v>#NAME?</v>
      </c>
      <c r="FU270" s="45" t="e">
        <f t="shared" ca="1" si="133"/>
        <v>#NAME?</v>
      </c>
      <c r="FV270" s="45" t="e">
        <f t="shared" ca="1" si="133"/>
        <v>#NAME?</v>
      </c>
      <c r="FW270" s="45" t="e">
        <f t="shared" ca="1" si="133"/>
        <v>#NAME?</v>
      </c>
      <c r="FX270" s="45" t="e">
        <f t="shared" ca="1" si="133"/>
        <v>#NAME?</v>
      </c>
      <c r="FY270" s="45"/>
      <c r="FZ270" s="45"/>
      <c r="GA270" s="7"/>
      <c r="GB270" s="45"/>
      <c r="GC270" s="45"/>
      <c r="GD270" s="45"/>
      <c r="GE270" s="7"/>
      <c r="GF270" s="7"/>
      <c r="GG270" s="7"/>
      <c r="GH270" s="7"/>
      <c r="GI270" s="7"/>
      <c r="GJ270" s="7"/>
      <c r="GK270" s="7"/>
    </row>
    <row r="271" spans="1:193" ht="15.5" x14ac:dyDescent="0.35">
      <c r="A271" s="7"/>
      <c r="B271" s="7" t="s">
        <v>1043</v>
      </c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7"/>
      <c r="GB271" s="45"/>
      <c r="GC271" s="45"/>
      <c r="GD271" s="45"/>
      <c r="GE271" s="7"/>
      <c r="GF271" s="7"/>
      <c r="GG271" s="7"/>
      <c r="GH271" s="7"/>
      <c r="GI271" s="7"/>
      <c r="GJ271" s="7"/>
      <c r="GK271" s="7"/>
    </row>
    <row r="272" spans="1:193" ht="15.5" x14ac:dyDescent="0.35">
      <c r="A272" s="12" t="s">
        <v>1044</v>
      </c>
      <c r="B272" s="7" t="s">
        <v>1045</v>
      </c>
      <c r="C272" s="76">
        <v>0</v>
      </c>
      <c r="D272" s="76">
        <v>0</v>
      </c>
      <c r="E272" s="76">
        <v>0</v>
      </c>
      <c r="F272" s="76">
        <v>0</v>
      </c>
      <c r="G272" s="76">
        <v>0</v>
      </c>
      <c r="H272" s="76">
        <v>0</v>
      </c>
      <c r="I272" s="76">
        <v>0</v>
      </c>
      <c r="J272" s="76">
        <v>0</v>
      </c>
      <c r="K272" s="76">
        <v>0</v>
      </c>
      <c r="L272" s="76">
        <v>0</v>
      </c>
      <c r="M272" s="76">
        <v>0</v>
      </c>
      <c r="N272" s="76">
        <v>0</v>
      </c>
      <c r="O272" s="76">
        <v>0</v>
      </c>
      <c r="P272" s="76">
        <v>0</v>
      </c>
      <c r="Q272" s="76">
        <v>0</v>
      </c>
      <c r="R272" s="76">
        <v>0</v>
      </c>
      <c r="S272" s="76">
        <v>0</v>
      </c>
      <c r="T272" s="76">
        <v>0</v>
      </c>
      <c r="U272" s="76">
        <v>0</v>
      </c>
      <c r="V272" s="76">
        <v>0</v>
      </c>
      <c r="W272" s="76">
        <v>0</v>
      </c>
      <c r="X272" s="76">
        <v>0</v>
      </c>
      <c r="Y272" s="76">
        <v>0</v>
      </c>
      <c r="Z272" s="76">
        <v>0</v>
      </c>
      <c r="AA272" s="76">
        <v>0</v>
      </c>
      <c r="AB272" s="76">
        <v>0</v>
      </c>
      <c r="AC272" s="76">
        <v>0</v>
      </c>
      <c r="AD272" s="76">
        <v>0</v>
      </c>
      <c r="AE272" s="76">
        <v>0</v>
      </c>
      <c r="AF272" s="76">
        <v>0</v>
      </c>
      <c r="AG272" s="76">
        <v>0</v>
      </c>
      <c r="AH272" s="76">
        <v>0</v>
      </c>
      <c r="AI272" s="76">
        <v>0</v>
      </c>
      <c r="AJ272" s="76">
        <v>0</v>
      </c>
      <c r="AK272" s="76">
        <v>0</v>
      </c>
      <c r="AL272" s="76">
        <v>0</v>
      </c>
      <c r="AM272" s="76">
        <v>0</v>
      </c>
      <c r="AN272" s="76">
        <v>0</v>
      </c>
      <c r="AO272" s="76">
        <v>0</v>
      </c>
      <c r="AP272" s="76">
        <v>0</v>
      </c>
      <c r="AQ272" s="76">
        <v>0</v>
      </c>
      <c r="AR272" s="76">
        <v>0</v>
      </c>
      <c r="AS272" s="76">
        <v>0</v>
      </c>
      <c r="AT272" s="76">
        <v>0</v>
      </c>
      <c r="AU272" s="76">
        <v>0</v>
      </c>
      <c r="AV272" s="76">
        <v>0</v>
      </c>
      <c r="AW272" s="76">
        <v>0</v>
      </c>
      <c r="AX272" s="76">
        <v>0</v>
      </c>
      <c r="AY272" s="76">
        <v>0</v>
      </c>
      <c r="AZ272" s="76">
        <v>0</v>
      </c>
      <c r="BA272" s="76">
        <v>0</v>
      </c>
      <c r="BB272" s="76">
        <v>0</v>
      </c>
      <c r="BC272" s="76">
        <v>0</v>
      </c>
      <c r="BD272" s="76">
        <v>0</v>
      </c>
      <c r="BE272" s="76">
        <v>0</v>
      </c>
      <c r="BF272" s="76">
        <v>0</v>
      </c>
      <c r="BG272" s="76">
        <v>0</v>
      </c>
      <c r="BH272" s="76">
        <v>0</v>
      </c>
      <c r="BI272" s="76">
        <v>0</v>
      </c>
      <c r="BJ272" s="76">
        <v>0</v>
      </c>
      <c r="BK272" s="76">
        <v>0</v>
      </c>
      <c r="BL272" s="76">
        <v>0</v>
      </c>
      <c r="BM272" s="76">
        <v>0</v>
      </c>
      <c r="BN272" s="76">
        <v>0</v>
      </c>
      <c r="BO272" s="76">
        <v>0</v>
      </c>
      <c r="BP272" s="76">
        <v>0</v>
      </c>
      <c r="BQ272" s="76">
        <v>0</v>
      </c>
      <c r="BR272" s="76">
        <v>0</v>
      </c>
      <c r="BS272" s="76">
        <v>0</v>
      </c>
      <c r="BT272" s="76">
        <v>0</v>
      </c>
      <c r="BU272" s="76">
        <v>0</v>
      </c>
      <c r="BV272" s="76">
        <v>0</v>
      </c>
      <c r="BW272" s="76">
        <v>0</v>
      </c>
      <c r="BX272" s="76">
        <v>0</v>
      </c>
      <c r="BY272" s="76">
        <v>0</v>
      </c>
      <c r="BZ272" s="76">
        <v>0</v>
      </c>
      <c r="CA272" s="76">
        <v>0</v>
      </c>
      <c r="CB272" s="76">
        <v>0</v>
      </c>
      <c r="CC272" s="76">
        <v>0</v>
      </c>
      <c r="CD272" s="76">
        <v>0</v>
      </c>
      <c r="CE272" s="76">
        <v>0</v>
      </c>
      <c r="CF272" s="76">
        <v>0</v>
      </c>
      <c r="CG272" s="76">
        <v>0</v>
      </c>
      <c r="CH272" s="76">
        <v>0</v>
      </c>
      <c r="CI272" s="76">
        <v>0</v>
      </c>
      <c r="CJ272" s="76">
        <v>0</v>
      </c>
      <c r="CK272" s="76">
        <v>0</v>
      </c>
      <c r="CL272" s="76">
        <v>0</v>
      </c>
      <c r="CM272" s="76">
        <v>0</v>
      </c>
      <c r="CN272" s="76">
        <v>0</v>
      </c>
      <c r="CO272" s="76">
        <v>0</v>
      </c>
      <c r="CP272" s="76">
        <v>0</v>
      </c>
      <c r="CQ272" s="76">
        <v>0</v>
      </c>
      <c r="CR272" s="76">
        <v>0</v>
      </c>
      <c r="CS272" s="76">
        <v>0</v>
      </c>
      <c r="CT272" s="76">
        <v>0</v>
      </c>
      <c r="CU272" s="76">
        <v>0</v>
      </c>
      <c r="CV272" s="76">
        <v>0</v>
      </c>
      <c r="CW272" s="76">
        <v>0</v>
      </c>
      <c r="CX272" s="76">
        <v>0</v>
      </c>
      <c r="CY272" s="76">
        <v>0</v>
      </c>
      <c r="CZ272" s="76">
        <v>0</v>
      </c>
      <c r="DA272" s="76">
        <v>0</v>
      </c>
      <c r="DB272" s="76">
        <v>0</v>
      </c>
      <c r="DC272" s="76">
        <v>0</v>
      </c>
      <c r="DD272" s="76">
        <v>0</v>
      </c>
      <c r="DE272" s="76">
        <v>0</v>
      </c>
      <c r="DF272" s="76">
        <v>0</v>
      </c>
      <c r="DG272" s="76">
        <v>0</v>
      </c>
      <c r="DH272" s="76">
        <v>0</v>
      </c>
      <c r="DI272" s="76">
        <v>0</v>
      </c>
      <c r="DJ272" s="76">
        <v>0</v>
      </c>
      <c r="DK272" s="76">
        <v>0</v>
      </c>
      <c r="DL272" s="76">
        <v>0</v>
      </c>
      <c r="DM272" s="76">
        <v>0</v>
      </c>
      <c r="DN272" s="76">
        <v>0</v>
      </c>
      <c r="DO272" s="76">
        <v>0</v>
      </c>
      <c r="DP272" s="76">
        <v>0</v>
      </c>
      <c r="DQ272" s="76">
        <v>0</v>
      </c>
      <c r="DR272" s="76">
        <v>0</v>
      </c>
      <c r="DS272" s="76">
        <v>0</v>
      </c>
      <c r="DT272" s="76">
        <v>0</v>
      </c>
      <c r="DU272" s="76">
        <v>0</v>
      </c>
      <c r="DV272" s="76">
        <v>0</v>
      </c>
      <c r="DW272" s="76">
        <v>0</v>
      </c>
      <c r="DX272" s="76">
        <v>0</v>
      </c>
      <c r="DY272" s="76">
        <v>0</v>
      </c>
      <c r="DZ272" s="76">
        <v>0</v>
      </c>
      <c r="EA272" s="76">
        <v>0</v>
      </c>
      <c r="EB272" s="76">
        <v>0</v>
      </c>
      <c r="EC272" s="76">
        <v>0</v>
      </c>
      <c r="ED272" s="76">
        <v>0</v>
      </c>
      <c r="EE272" s="76">
        <v>0</v>
      </c>
      <c r="EF272" s="76">
        <v>0</v>
      </c>
      <c r="EG272" s="76">
        <v>0</v>
      </c>
      <c r="EH272" s="76">
        <v>0</v>
      </c>
      <c r="EI272" s="76">
        <v>0</v>
      </c>
      <c r="EJ272" s="76">
        <v>0</v>
      </c>
      <c r="EK272" s="76">
        <v>0</v>
      </c>
      <c r="EL272" s="76">
        <v>0</v>
      </c>
      <c r="EM272" s="76">
        <v>0</v>
      </c>
      <c r="EN272" s="76">
        <v>0</v>
      </c>
      <c r="EO272" s="76">
        <v>0</v>
      </c>
      <c r="EP272" s="76">
        <v>0</v>
      </c>
      <c r="EQ272" s="76">
        <v>0</v>
      </c>
      <c r="ER272" s="76">
        <v>0</v>
      </c>
      <c r="ES272" s="76">
        <v>0</v>
      </c>
      <c r="ET272" s="76">
        <v>0</v>
      </c>
      <c r="EU272" s="76">
        <v>0</v>
      </c>
      <c r="EV272" s="76">
        <v>0</v>
      </c>
      <c r="EW272" s="76">
        <v>0</v>
      </c>
      <c r="EX272" s="76">
        <v>0</v>
      </c>
      <c r="EY272" s="76">
        <v>0</v>
      </c>
      <c r="EZ272" s="76">
        <v>0</v>
      </c>
      <c r="FA272" s="76">
        <v>0</v>
      </c>
      <c r="FB272" s="76">
        <v>0</v>
      </c>
      <c r="FC272" s="76">
        <v>0</v>
      </c>
      <c r="FD272" s="76">
        <v>0</v>
      </c>
      <c r="FE272" s="76">
        <v>0</v>
      </c>
      <c r="FF272" s="76">
        <v>0</v>
      </c>
      <c r="FG272" s="76">
        <v>0</v>
      </c>
      <c r="FH272" s="76">
        <v>0</v>
      </c>
      <c r="FI272" s="76">
        <v>0</v>
      </c>
      <c r="FJ272" s="76">
        <v>0</v>
      </c>
      <c r="FK272" s="76">
        <v>0</v>
      </c>
      <c r="FL272" s="76">
        <v>0</v>
      </c>
      <c r="FM272" s="76">
        <v>0</v>
      </c>
      <c r="FN272" s="76">
        <v>0</v>
      </c>
      <c r="FO272" s="76">
        <v>0</v>
      </c>
      <c r="FP272" s="76">
        <v>0</v>
      </c>
      <c r="FQ272" s="76">
        <v>0</v>
      </c>
      <c r="FR272" s="76">
        <v>0</v>
      </c>
      <c r="FS272" s="76">
        <v>0</v>
      </c>
      <c r="FT272" s="76">
        <v>0</v>
      </c>
      <c r="FU272" s="76">
        <v>0</v>
      </c>
      <c r="FV272" s="76">
        <v>0</v>
      </c>
      <c r="FW272" s="76">
        <v>0</v>
      </c>
      <c r="FX272" s="76">
        <v>0</v>
      </c>
      <c r="FY272" s="45"/>
      <c r="FZ272" s="45"/>
      <c r="GA272" s="45"/>
      <c r="GB272" s="45"/>
      <c r="GC272" s="45"/>
      <c r="GD272" s="45"/>
      <c r="GE272" s="7"/>
      <c r="GF272" s="7"/>
      <c r="GG272" s="7"/>
      <c r="GH272" s="7"/>
      <c r="GI272" s="7"/>
      <c r="GJ272" s="7"/>
      <c r="GK272" s="7"/>
    </row>
    <row r="273" spans="1:193" ht="15.5" x14ac:dyDescent="0.35">
      <c r="A273" s="12" t="s">
        <v>1046</v>
      </c>
      <c r="B273" s="7" t="s">
        <v>1047</v>
      </c>
      <c r="C273" s="45" t="e">
        <f t="shared" ref="C273:FX273" ca="1" si="134">IF(C272&gt;0,C272,C270)</f>
        <v>#NAME?</v>
      </c>
      <c r="D273" s="45" t="e">
        <f t="shared" ca="1" si="134"/>
        <v>#NAME?</v>
      </c>
      <c r="E273" s="45" t="e">
        <f t="shared" ca="1" si="134"/>
        <v>#NAME?</v>
      </c>
      <c r="F273" s="45" t="e">
        <f t="shared" ca="1" si="134"/>
        <v>#NAME?</v>
      </c>
      <c r="G273" s="45" t="e">
        <f t="shared" ca="1" si="134"/>
        <v>#NAME?</v>
      </c>
      <c r="H273" s="45" t="e">
        <f t="shared" ca="1" si="134"/>
        <v>#NAME?</v>
      </c>
      <c r="I273" s="45" t="e">
        <f t="shared" ca="1" si="134"/>
        <v>#NAME?</v>
      </c>
      <c r="J273" s="45" t="e">
        <f t="shared" ca="1" si="134"/>
        <v>#NAME?</v>
      </c>
      <c r="K273" s="45" t="e">
        <f t="shared" ca="1" si="134"/>
        <v>#NAME?</v>
      </c>
      <c r="L273" s="45" t="e">
        <f t="shared" ca="1" si="134"/>
        <v>#NAME?</v>
      </c>
      <c r="M273" s="45" t="e">
        <f t="shared" ca="1" si="134"/>
        <v>#NAME?</v>
      </c>
      <c r="N273" s="45" t="e">
        <f t="shared" ca="1" si="134"/>
        <v>#NAME?</v>
      </c>
      <c r="O273" s="45" t="e">
        <f t="shared" ca="1" si="134"/>
        <v>#NAME?</v>
      </c>
      <c r="P273" s="45" t="e">
        <f t="shared" ca="1" si="134"/>
        <v>#NAME?</v>
      </c>
      <c r="Q273" s="45" t="e">
        <f t="shared" ca="1" si="134"/>
        <v>#NAME?</v>
      </c>
      <c r="R273" s="45" t="e">
        <f t="shared" ca="1" si="134"/>
        <v>#NAME?</v>
      </c>
      <c r="S273" s="45" t="e">
        <f t="shared" ca="1" si="134"/>
        <v>#NAME?</v>
      </c>
      <c r="T273" s="45" t="e">
        <f t="shared" ca="1" si="134"/>
        <v>#NAME?</v>
      </c>
      <c r="U273" s="45" t="e">
        <f t="shared" ca="1" si="134"/>
        <v>#NAME?</v>
      </c>
      <c r="V273" s="45" t="e">
        <f t="shared" ca="1" si="134"/>
        <v>#NAME?</v>
      </c>
      <c r="W273" s="45" t="e">
        <f t="shared" ca="1" si="134"/>
        <v>#NAME?</v>
      </c>
      <c r="X273" s="45" t="e">
        <f t="shared" ca="1" si="134"/>
        <v>#NAME?</v>
      </c>
      <c r="Y273" s="45" t="e">
        <f t="shared" ca="1" si="134"/>
        <v>#NAME?</v>
      </c>
      <c r="Z273" s="45" t="e">
        <f t="shared" ca="1" si="134"/>
        <v>#NAME?</v>
      </c>
      <c r="AA273" s="45" t="e">
        <f t="shared" ca="1" si="134"/>
        <v>#NAME?</v>
      </c>
      <c r="AB273" s="45" t="e">
        <f t="shared" ca="1" si="134"/>
        <v>#NAME?</v>
      </c>
      <c r="AC273" s="45" t="e">
        <f t="shared" ca="1" si="134"/>
        <v>#NAME?</v>
      </c>
      <c r="AD273" s="45" t="e">
        <f t="shared" ca="1" si="134"/>
        <v>#NAME?</v>
      </c>
      <c r="AE273" s="45" t="e">
        <f t="shared" ca="1" si="134"/>
        <v>#NAME?</v>
      </c>
      <c r="AF273" s="45" t="e">
        <f t="shared" ca="1" si="134"/>
        <v>#NAME?</v>
      </c>
      <c r="AG273" s="45" t="e">
        <f t="shared" ca="1" si="134"/>
        <v>#NAME?</v>
      </c>
      <c r="AH273" s="45" t="e">
        <f t="shared" ca="1" si="134"/>
        <v>#NAME?</v>
      </c>
      <c r="AI273" s="45" t="e">
        <f t="shared" ca="1" si="134"/>
        <v>#NAME?</v>
      </c>
      <c r="AJ273" s="45" t="e">
        <f t="shared" ca="1" si="134"/>
        <v>#NAME?</v>
      </c>
      <c r="AK273" s="45" t="e">
        <f t="shared" ca="1" si="134"/>
        <v>#NAME?</v>
      </c>
      <c r="AL273" s="45" t="e">
        <f t="shared" ca="1" si="134"/>
        <v>#NAME?</v>
      </c>
      <c r="AM273" s="45" t="e">
        <f t="shared" ca="1" si="134"/>
        <v>#NAME?</v>
      </c>
      <c r="AN273" s="45" t="e">
        <f t="shared" ca="1" si="134"/>
        <v>#NAME?</v>
      </c>
      <c r="AO273" s="45" t="e">
        <f t="shared" ca="1" si="134"/>
        <v>#NAME?</v>
      </c>
      <c r="AP273" s="45" t="e">
        <f t="shared" ca="1" si="134"/>
        <v>#NAME?</v>
      </c>
      <c r="AQ273" s="45" t="e">
        <f t="shared" ca="1" si="134"/>
        <v>#NAME?</v>
      </c>
      <c r="AR273" s="45" t="e">
        <f t="shared" ca="1" si="134"/>
        <v>#NAME?</v>
      </c>
      <c r="AS273" s="45" t="e">
        <f t="shared" ca="1" si="134"/>
        <v>#NAME?</v>
      </c>
      <c r="AT273" s="45" t="e">
        <f t="shared" ca="1" si="134"/>
        <v>#NAME?</v>
      </c>
      <c r="AU273" s="45" t="e">
        <f t="shared" ca="1" si="134"/>
        <v>#NAME?</v>
      </c>
      <c r="AV273" s="45" t="e">
        <f t="shared" ca="1" si="134"/>
        <v>#NAME?</v>
      </c>
      <c r="AW273" s="45" t="e">
        <f t="shared" ca="1" si="134"/>
        <v>#NAME?</v>
      </c>
      <c r="AX273" s="45" t="e">
        <f t="shared" ca="1" si="134"/>
        <v>#NAME?</v>
      </c>
      <c r="AY273" s="45" t="e">
        <f t="shared" ca="1" si="134"/>
        <v>#NAME?</v>
      </c>
      <c r="AZ273" s="45" t="e">
        <f t="shared" ca="1" si="134"/>
        <v>#NAME?</v>
      </c>
      <c r="BA273" s="45" t="e">
        <f t="shared" ca="1" si="134"/>
        <v>#NAME?</v>
      </c>
      <c r="BB273" s="45" t="e">
        <f t="shared" ca="1" si="134"/>
        <v>#NAME?</v>
      </c>
      <c r="BC273" s="45" t="e">
        <f t="shared" ca="1" si="134"/>
        <v>#NAME?</v>
      </c>
      <c r="BD273" s="45" t="e">
        <f t="shared" ca="1" si="134"/>
        <v>#NAME?</v>
      </c>
      <c r="BE273" s="45" t="e">
        <f t="shared" ca="1" si="134"/>
        <v>#NAME?</v>
      </c>
      <c r="BF273" s="45" t="e">
        <f t="shared" ca="1" si="134"/>
        <v>#NAME?</v>
      </c>
      <c r="BG273" s="45" t="e">
        <f t="shared" ca="1" si="134"/>
        <v>#NAME?</v>
      </c>
      <c r="BH273" s="45" t="e">
        <f t="shared" ca="1" si="134"/>
        <v>#NAME?</v>
      </c>
      <c r="BI273" s="45" t="e">
        <f t="shared" ca="1" si="134"/>
        <v>#NAME?</v>
      </c>
      <c r="BJ273" s="45" t="e">
        <f t="shared" ca="1" si="134"/>
        <v>#NAME?</v>
      </c>
      <c r="BK273" s="45" t="e">
        <f t="shared" ca="1" si="134"/>
        <v>#NAME?</v>
      </c>
      <c r="BL273" s="45" t="e">
        <f t="shared" ca="1" si="134"/>
        <v>#NAME?</v>
      </c>
      <c r="BM273" s="45" t="e">
        <f t="shared" ca="1" si="134"/>
        <v>#NAME?</v>
      </c>
      <c r="BN273" s="45" t="e">
        <f t="shared" ca="1" si="134"/>
        <v>#NAME?</v>
      </c>
      <c r="BO273" s="45" t="e">
        <f t="shared" ca="1" si="134"/>
        <v>#NAME?</v>
      </c>
      <c r="BP273" s="45" t="e">
        <f t="shared" ca="1" si="134"/>
        <v>#NAME?</v>
      </c>
      <c r="BQ273" s="45" t="e">
        <f t="shared" ca="1" si="134"/>
        <v>#NAME?</v>
      </c>
      <c r="BR273" s="45" t="e">
        <f t="shared" ca="1" si="134"/>
        <v>#NAME?</v>
      </c>
      <c r="BS273" s="45" t="e">
        <f t="shared" ca="1" si="134"/>
        <v>#NAME?</v>
      </c>
      <c r="BT273" s="45" t="e">
        <f t="shared" ca="1" si="134"/>
        <v>#NAME?</v>
      </c>
      <c r="BU273" s="45" t="e">
        <f t="shared" ca="1" si="134"/>
        <v>#NAME?</v>
      </c>
      <c r="BV273" s="45" t="e">
        <f t="shared" ca="1" si="134"/>
        <v>#NAME?</v>
      </c>
      <c r="BW273" s="45" t="e">
        <f t="shared" ca="1" si="134"/>
        <v>#NAME?</v>
      </c>
      <c r="BX273" s="45" t="e">
        <f t="shared" ca="1" si="134"/>
        <v>#NAME?</v>
      </c>
      <c r="BY273" s="45" t="e">
        <f t="shared" ca="1" si="134"/>
        <v>#NAME?</v>
      </c>
      <c r="BZ273" s="45" t="e">
        <f t="shared" ca="1" si="134"/>
        <v>#NAME?</v>
      </c>
      <c r="CA273" s="45" t="e">
        <f t="shared" ca="1" si="134"/>
        <v>#NAME?</v>
      </c>
      <c r="CB273" s="45" t="e">
        <f t="shared" ca="1" si="134"/>
        <v>#NAME?</v>
      </c>
      <c r="CC273" s="45" t="e">
        <f t="shared" ca="1" si="134"/>
        <v>#NAME?</v>
      </c>
      <c r="CD273" s="45" t="e">
        <f t="shared" ca="1" si="134"/>
        <v>#NAME?</v>
      </c>
      <c r="CE273" s="45" t="e">
        <f t="shared" ca="1" si="134"/>
        <v>#NAME?</v>
      </c>
      <c r="CF273" s="45" t="e">
        <f t="shared" ca="1" si="134"/>
        <v>#NAME?</v>
      </c>
      <c r="CG273" s="45" t="e">
        <f t="shared" ca="1" si="134"/>
        <v>#NAME?</v>
      </c>
      <c r="CH273" s="45" t="e">
        <f t="shared" ca="1" si="134"/>
        <v>#NAME?</v>
      </c>
      <c r="CI273" s="45" t="e">
        <f t="shared" ca="1" si="134"/>
        <v>#NAME?</v>
      </c>
      <c r="CJ273" s="45" t="e">
        <f t="shared" ca="1" si="134"/>
        <v>#NAME?</v>
      </c>
      <c r="CK273" s="45" t="e">
        <f t="shared" ca="1" si="134"/>
        <v>#NAME?</v>
      </c>
      <c r="CL273" s="45" t="e">
        <f t="shared" ca="1" si="134"/>
        <v>#NAME?</v>
      </c>
      <c r="CM273" s="45" t="e">
        <f t="shared" ca="1" si="134"/>
        <v>#NAME?</v>
      </c>
      <c r="CN273" s="45" t="e">
        <f t="shared" ca="1" si="134"/>
        <v>#NAME?</v>
      </c>
      <c r="CO273" s="45" t="e">
        <f t="shared" ca="1" si="134"/>
        <v>#NAME?</v>
      </c>
      <c r="CP273" s="45" t="e">
        <f t="shared" ca="1" si="134"/>
        <v>#NAME?</v>
      </c>
      <c r="CQ273" s="45" t="e">
        <f t="shared" ca="1" si="134"/>
        <v>#NAME?</v>
      </c>
      <c r="CR273" s="45" t="e">
        <f t="shared" ca="1" si="134"/>
        <v>#NAME?</v>
      </c>
      <c r="CS273" s="45" t="e">
        <f t="shared" ca="1" si="134"/>
        <v>#NAME?</v>
      </c>
      <c r="CT273" s="45" t="e">
        <f t="shared" ca="1" si="134"/>
        <v>#NAME?</v>
      </c>
      <c r="CU273" s="45" t="e">
        <f t="shared" ca="1" si="134"/>
        <v>#NAME?</v>
      </c>
      <c r="CV273" s="45" t="e">
        <f t="shared" ca="1" si="134"/>
        <v>#NAME?</v>
      </c>
      <c r="CW273" s="45" t="e">
        <f t="shared" ca="1" si="134"/>
        <v>#NAME?</v>
      </c>
      <c r="CX273" s="45" t="e">
        <f t="shared" ca="1" si="134"/>
        <v>#NAME?</v>
      </c>
      <c r="CY273" s="45" t="e">
        <f t="shared" ca="1" si="134"/>
        <v>#NAME?</v>
      </c>
      <c r="CZ273" s="45" t="e">
        <f t="shared" ca="1" si="134"/>
        <v>#NAME?</v>
      </c>
      <c r="DA273" s="45" t="e">
        <f t="shared" ca="1" si="134"/>
        <v>#NAME?</v>
      </c>
      <c r="DB273" s="45" t="e">
        <f t="shared" ca="1" si="134"/>
        <v>#NAME?</v>
      </c>
      <c r="DC273" s="45" t="e">
        <f t="shared" ca="1" si="134"/>
        <v>#NAME?</v>
      </c>
      <c r="DD273" s="45" t="e">
        <f t="shared" ca="1" si="134"/>
        <v>#NAME?</v>
      </c>
      <c r="DE273" s="45" t="e">
        <f t="shared" ca="1" si="134"/>
        <v>#NAME?</v>
      </c>
      <c r="DF273" s="45" t="e">
        <f t="shared" ca="1" si="134"/>
        <v>#NAME?</v>
      </c>
      <c r="DG273" s="45" t="e">
        <f t="shared" ca="1" si="134"/>
        <v>#NAME?</v>
      </c>
      <c r="DH273" s="45" t="e">
        <f t="shared" ca="1" si="134"/>
        <v>#NAME?</v>
      </c>
      <c r="DI273" s="45" t="e">
        <f t="shared" ca="1" si="134"/>
        <v>#NAME?</v>
      </c>
      <c r="DJ273" s="45" t="e">
        <f t="shared" ca="1" si="134"/>
        <v>#NAME?</v>
      </c>
      <c r="DK273" s="45" t="e">
        <f t="shared" ca="1" si="134"/>
        <v>#NAME?</v>
      </c>
      <c r="DL273" s="45" t="e">
        <f t="shared" ca="1" si="134"/>
        <v>#NAME?</v>
      </c>
      <c r="DM273" s="45" t="e">
        <f t="shared" ca="1" si="134"/>
        <v>#NAME?</v>
      </c>
      <c r="DN273" s="45" t="e">
        <f t="shared" ca="1" si="134"/>
        <v>#NAME?</v>
      </c>
      <c r="DO273" s="45" t="e">
        <f t="shared" ca="1" si="134"/>
        <v>#NAME?</v>
      </c>
      <c r="DP273" s="45" t="e">
        <f t="shared" ca="1" si="134"/>
        <v>#NAME?</v>
      </c>
      <c r="DQ273" s="45" t="e">
        <f t="shared" ca="1" si="134"/>
        <v>#NAME?</v>
      </c>
      <c r="DR273" s="45" t="e">
        <f t="shared" ca="1" si="134"/>
        <v>#NAME?</v>
      </c>
      <c r="DS273" s="45" t="e">
        <f t="shared" ca="1" si="134"/>
        <v>#NAME?</v>
      </c>
      <c r="DT273" s="45" t="e">
        <f t="shared" ca="1" si="134"/>
        <v>#NAME?</v>
      </c>
      <c r="DU273" s="45" t="e">
        <f t="shared" ca="1" si="134"/>
        <v>#NAME?</v>
      </c>
      <c r="DV273" s="45" t="e">
        <f t="shared" ca="1" si="134"/>
        <v>#NAME?</v>
      </c>
      <c r="DW273" s="45" t="e">
        <f t="shared" ca="1" si="134"/>
        <v>#NAME?</v>
      </c>
      <c r="DX273" s="45" t="e">
        <f t="shared" ca="1" si="134"/>
        <v>#NAME?</v>
      </c>
      <c r="DY273" s="45" t="e">
        <f t="shared" ca="1" si="134"/>
        <v>#NAME?</v>
      </c>
      <c r="DZ273" s="45" t="e">
        <f t="shared" ca="1" si="134"/>
        <v>#NAME?</v>
      </c>
      <c r="EA273" s="45" t="e">
        <f t="shared" ca="1" si="134"/>
        <v>#NAME?</v>
      </c>
      <c r="EB273" s="45" t="e">
        <f t="shared" ca="1" si="134"/>
        <v>#NAME?</v>
      </c>
      <c r="EC273" s="45" t="e">
        <f t="shared" ca="1" si="134"/>
        <v>#NAME?</v>
      </c>
      <c r="ED273" s="45" t="e">
        <f t="shared" ca="1" si="134"/>
        <v>#NAME?</v>
      </c>
      <c r="EE273" s="45" t="e">
        <f t="shared" ca="1" si="134"/>
        <v>#NAME?</v>
      </c>
      <c r="EF273" s="45" t="e">
        <f t="shared" ca="1" si="134"/>
        <v>#NAME?</v>
      </c>
      <c r="EG273" s="45" t="e">
        <f t="shared" ca="1" si="134"/>
        <v>#NAME?</v>
      </c>
      <c r="EH273" s="45" t="e">
        <f t="shared" ca="1" si="134"/>
        <v>#NAME?</v>
      </c>
      <c r="EI273" s="45" t="e">
        <f t="shared" ca="1" si="134"/>
        <v>#NAME?</v>
      </c>
      <c r="EJ273" s="45" t="e">
        <f t="shared" ca="1" si="134"/>
        <v>#NAME?</v>
      </c>
      <c r="EK273" s="45" t="e">
        <f t="shared" ca="1" si="134"/>
        <v>#NAME?</v>
      </c>
      <c r="EL273" s="45" t="e">
        <f t="shared" ca="1" si="134"/>
        <v>#NAME?</v>
      </c>
      <c r="EM273" s="45" t="e">
        <f t="shared" ca="1" si="134"/>
        <v>#NAME?</v>
      </c>
      <c r="EN273" s="45" t="e">
        <f t="shared" ca="1" si="134"/>
        <v>#NAME?</v>
      </c>
      <c r="EO273" s="45" t="e">
        <f t="shared" ca="1" si="134"/>
        <v>#NAME?</v>
      </c>
      <c r="EP273" s="45" t="e">
        <f t="shared" ca="1" si="134"/>
        <v>#NAME?</v>
      </c>
      <c r="EQ273" s="45" t="e">
        <f t="shared" ca="1" si="134"/>
        <v>#NAME?</v>
      </c>
      <c r="ER273" s="45" t="e">
        <f t="shared" ca="1" si="134"/>
        <v>#NAME?</v>
      </c>
      <c r="ES273" s="45" t="e">
        <f t="shared" ca="1" si="134"/>
        <v>#NAME?</v>
      </c>
      <c r="ET273" s="45" t="e">
        <f t="shared" ca="1" si="134"/>
        <v>#NAME?</v>
      </c>
      <c r="EU273" s="45" t="e">
        <f t="shared" ca="1" si="134"/>
        <v>#NAME?</v>
      </c>
      <c r="EV273" s="45" t="e">
        <f t="shared" ca="1" si="134"/>
        <v>#NAME?</v>
      </c>
      <c r="EW273" s="45" t="e">
        <f t="shared" ca="1" si="134"/>
        <v>#NAME?</v>
      </c>
      <c r="EX273" s="45" t="e">
        <f t="shared" ca="1" si="134"/>
        <v>#NAME?</v>
      </c>
      <c r="EY273" s="45" t="e">
        <f t="shared" ca="1" si="134"/>
        <v>#NAME?</v>
      </c>
      <c r="EZ273" s="45" t="e">
        <f t="shared" ca="1" si="134"/>
        <v>#NAME?</v>
      </c>
      <c r="FA273" s="45" t="e">
        <f t="shared" ca="1" si="134"/>
        <v>#NAME?</v>
      </c>
      <c r="FB273" s="45" t="e">
        <f t="shared" ca="1" si="134"/>
        <v>#NAME?</v>
      </c>
      <c r="FC273" s="45" t="e">
        <f t="shared" ca="1" si="134"/>
        <v>#NAME?</v>
      </c>
      <c r="FD273" s="45" t="e">
        <f t="shared" ca="1" si="134"/>
        <v>#NAME?</v>
      </c>
      <c r="FE273" s="45" t="e">
        <f t="shared" ca="1" si="134"/>
        <v>#NAME?</v>
      </c>
      <c r="FF273" s="45" t="e">
        <f t="shared" ca="1" si="134"/>
        <v>#NAME?</v>
      </c>
      <c r="FG273" s="45" t="e">
        <f t="shared" ca="1" si="134"/>
        <v>#NAME?</v>
      </c>
      <c r="FH273" s="45" t="e">
        <f t="shared" ca="1" si="134"/>
        <v>#NAME?</v>
      </c>
      <c r="FI273" s="45" t="e">
        <f t="shared" ca="1" si="134"/>
        <v>#NAME?</v>
      </c>
      <c r="FJ273" s="45" t="e">
        <f t="shared" ca="1" si="134"/>
        <v>#NAME?</v>
      </c>
      <c r="FK273" s="45" t="e">
        <f t="shared" ca="1" si="134"/>
        <v>#NAME?</v>
      </c>
      <c r="FL273" s="45" t="e">
        <f t="shared" ca="1" si="134"/>
        <v>#NAME?</v>
      </c>
      <c r="FM273" s="45" t="e">
        <f t="shared" ca="1" si="134"/>
        <v>#NAME?</v>
      </c>
      <c r="FN273" s="45" t="e">
        <f t="shared" ca="1" si="134"/>
        <v>#NAME?</v>
      </c>
      <c r="FO273" s="45" t="e">
        <f t="shared" ca="1" si="134"/>
        <v>#NAME?</v>
      </c>
      <c r="FP273" s="45" t="e">
        <f t="shared" ca="1" si="134"/>
        <v>#NAME?</v>
      </c>
      <c r="FQ273" s="45" t="e">
        <f t="shared" ca="1" si="134"/>
        <v>#NAME?</v>
      </c>
      <c r="FR273" s="45" t="e">
        <f t="shared" ca="1" si="134"/>
        <v>#NAME?</v>
      </c>
      <c r="FS273" s="45" t="e">
        <f t="shared" ca="1" si="134"/>
        <v>#NAME?</v>
      </c>
      <c r="FT273" s="45" t="e">
        <f t="shared" ca="1" si="134"/>
        <v>#NAME?</v>
      </c>
      <c r="FU273" s="45" t="e">
        <f t="shared" ca="1" si="134"/>
        <v>#NAME?</v>
      </c>
      <c r="FV273" s="45" t="e">
        <f t="shared" ca="1" si="134"/>
        <v>#NAME?</v>
      </c>
      <c r="FW273" s="45" t="e">
        <f t="shared" ca="1" si="134"/>
        <v>#NAME?</v>
      </c>
      <c r="FX273" s="45" t="e">
        <f t="shared" ca="1" si="134"/>
        <v>#NAME?</v>
      </c>
      <c r="FY273" s="45"/>
      <c r="FZ273" s="45" t="e">
        <f ca="1">ROUND(SUM(C273:FX273)*1000,6)</f>
        <v>#NAME?</v>
      </c>
      <c r="GA273" s="45"/>
      <c r="GB273" s="45"/>
      <c r="GC273" s="45"/>
      <c r="GD273" s="45"/>
      <c r="GE273" s="7"/>
      <c r="GF273" s="7"/>
      <c r="GG273" s="7"/>
      <c r="GH273" s="7"/>
      <c r="GI273" s="7"/>
      <c r="GJ273" s="7"/>
      <c r="GK273" s="7"/>
    </row>
    <row r="274" spans="1:193" ht="15.5" x14ac:dyDescent="0.35">
      <c r="A274" s="7"/>
      <c r="B274" s="7" t="s">
        <v>1048</v>
      </c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76"/>
      <c r="FZ274" s="78"/>
      <c r="GA274" s="45"/>
      <c r="GB274" s="45"/>
      <c r="GC274" s="45"/>
      <c r="GD274" s="45"/>
      <c r="GE274" s="7"/>
      <c r="GF274" s="7"/>
      <c r="GG274" s="7"/>
      <c r="GH274" s="7"/>
      <c r="GI274" s="7"/>
      <c r="GJ274" s="7"/>
      <c r="GK274" s="7"/>
    </row>
    <row r="275" spans="1:193" ht="15.5" x14ac:dyDescent="0.35">
      <c r="A275" s="12" t="s">
        <v>1049</v>
      </c>
      <c r="B275" s="7" t="s">
        <v>1050</v>
      </c>
      <c r="C275" s="45" t="e">
        <f t="shared" ref="C275:EP275" ca="1" si="135">C262-C273-C281</f>
        <v>#NAME?</v>
      </c>
      <c r="D275" s="45" t="e">
        <f t="shared" ca="1" si="135"/>
        <v>#NAME?</v>
      </c>
      <c r="E275" s="45" t="e">
        <f t="shared" ca="1" si="135"/>
        <v>#NAME?</v>
      </c>
      <c r="F275" s="45" t="e">
        <f t="shared" ca="1" si="135"/>
        <v>#NAME?</v>
      </c>
      <c r="G275" s="45" t="e">
        <f t="shared" ca="1" si="135"/>
        <v>#NAME?</v>
      </c>
      <c r="H275" s="45" t="e">
        <f t="shared" ca="1" si="135"/>
        <v>#NAME?</v>
      </c>
      <c r="I275" s="45" t="e">
        <f t="shared" ca="1" si="135"/>
        <v>#NAME?</v>
      </c>
      <c r="J275" s="45" t="e">
        <f t="shared" ca="1" si="135"/>
        <v>#NAME?</v>
      </c>
      <c r="K275" s="45" t="e">
        <f t="shared" ca="1" si="135"/>
        <v>#NAME?</v>
      </c>
      <c r="L275" s="45" t="e">
        <f t="shared" ca="1" si="135"/>
        <v>#NAME?</v>
      </c>
      <c r="M275" s="45" t="e">
        <f t="shared" ca="1" si="135"/>
        <v>#NAME?</v>
      </c>
      <c r="N275" s="45" t="e">
        <f t="shared" ca="1" si="135"/>
        <v>#NAME?</v>
      </c>
      <c r="O275" s="45" t="e">
        <f t="shared" ca="1" si="135"/>
        <v>#NAME?</v>
      </c>
      <c r="P275" s="45" t="e">
        <f t="shared" ca="1" si="135"/>
        <v>#NAME?</v>
      </c>
      <c r="Q275" s="45" t="e">
        <f t="shared" ca="1" si="135"/>
        <v>#NAME?</v>
      </c>
      <c r="R275" s="45" t="e">
        <f t="shared" ca="1" si="135"/>
        <v>#NAME?</v>
      </c>
      <c r="S275" s="45" t="e">
        <f t="shared" ca="1" si="135"/>
        <v>#NAME?</v>
      </c>
      <c r="T275" s="45" t="e">
        <f t="shared" ca="1" si="135"/>
        <v>#NAME?</v>
      </c>
      <c r="U275" s="45" t="e">
        <f t="shared" ca="1" si="135"/>
        <v>#NAME?</v>
      </c>
      <c r="V275" s="45" t="e">
        <f t="shared" ca="1" si="135"/>
        <v>#NAME?</v>
      </c>
      <c r="W275" s="45" t="e">
        <f t="shared" ca="1" si="135"/>
        <v>#NAME?</v>
      </c>
      <c r="X275" s="45" t="e">
        <f t="shared" ca="1" si="135"/>
        <v>#NAME?</v>
      </c>
      <c r="Y275" s="45" t="e">
        <f t="shared" ca="1" si="135"/>
        <v>#NAME?</v>
      </c>
      <c r="Z275" s="45" t="e">
        <f t="shared" ca="1" si="135"/>
        <v>#NAME?</v>
      </c>
      <c r="AA275" s="45" t="e">
        <f t="shared" ca="1" si="135"/>
        <v>#NAME?</v>
      </c>
      <c r="AB275" s="45" t="e">
        <f t="shared" ca="1" si="135"/>
        <v>#NAME?</v>
      </c>
      <c r="AC275" s="45" t="e">
        <f t="shared" ca="1" si="135"/>
        <v>#NAME?</v>
      </c>
      <c r="AD275" s="45" t="e">
        <f t="shared" ca="1" si="135"/>
        <v>#NAME?</v>
      </c>
      <c r="AE275" s="45" t="e">
        <f t="shared" ca="1" si="135"/>
        <v>#NAME?</v>
      </c>
      <c r="AF275" s="45" t="e">
        <f t="shared" ca="1" si="135"/>
        <v>#NAME?</v>
      </c>
      <c r="AG275" s="45" t="e">
        <f t="shared" ca="1" si="135"/>
        <v>#NAME?</v>
      </c>
      <c r="AH275" s="45" t="e">
        <f t="shared" ca="1" si="135"/>
        <v>#NAME?</v>
      </c>
      <c r="AI275" s="45" t="e">
        <f t="shared" ca="1" si="135"/>
        <v>#NAME?</v>
      </c>
      <c r="AJ275" s="45" t="e">
        <f t="shared" ca="1" si="135"/>
        <v>#NAME?</v>
      </c>
      <c r="AK275" s="45" t="e">
        <f t="shared" ca="1" si="135"/>
        <v>#NAME?</v>
      </c>
      <c r="AL275" s="45" t="e">
        <f t="shared" ca="1" si="135"/>
        <v>#NAME?</v>
      </c>
      <c r="AM275" s="45" t="e">
        <f t="shared" ca="1" si="135"/>
        <v>#NAME?</v>
      </c>
      <c r="AN275" s="45" t="e">
        <f t="shared" ca="1" si="135"/>
        <v>#NAME?</v>
      </c>
      <c r="AO275" s="45" t="e">
        <f t="shared" ca="1" si="135"/>
        <v>#NAME?</v>
      </c>
      <c r="AP275" s="45" t="e">
        <f t="shared" ca="1" si="135"/>
        <v>#NAME?</v>
      </c>
      <c r="AQ275" s="45" t="e">
        <f t="shared" ca="1" si="135"/>
        <v>#NAME?</v>
      </c>
      <c r="AR275" s="45" t="e">
        <f t="shared" ca="1" si="135"/>
        <v>#NAME?</v>
      </c>
      <c r="AS275" s="45" t="e">
        <f t="shared" ca="1" si="135"/>
        <v>#NAME?</v>
      </c>
      <c r="AT275" s="45" t="e">
        <f t="shared" ca="1" si="135"/>
        <v>#NAME?</v>
      </c>
      <c r="AU275" s="45" t="e">
        <f t="shared" ca="1" si="135"/>
        <v>#NAME?</v>
      </c>
      <c r="AV275" s="45" t="e">
        <f t="shared" ca="1" si="135"/>
        <v>#NAME?</v>
      </c>
      <c r="AW275" s="45" t="e">
        <f t="shared" ca="1" si="135"/>
        <v>#NAME?</v>
      </c>
      <c r="AX275" s="45" t="e">
        <f t="shared" ca="1" si="135"/>
        <v>#NAME?</v>
      </c>
      <c r="AY275" s="45" t="e">
        <f t="shared" ca="1" si="135"/>
        <v>#NAME?</v>
      </c>
      <c r="AZ275" s="45" t="e">
        <f t="shared" ca="1" si="135"/>
        <v>#NAME?</v>
      </c>
      <c r="BA275" s="45" t="e">
        <f t="shared" ca="1" si="135"/>
        <v>#NAME?</v>
      </c>
      <c r="BB275" s="45" t="e">
        <f t="shared" ca="1" si="135"/>
        <v>#NAME?</v>
      </c>
      <c r="BC275" s="45" t="e">
        <f t="shared" ca="1" si="135"/>
        <v>#NAME?</v>
      </c>
      <c r="BD275" s="45" t="e">
        <f t="shared" ca="1" si="135"/>
        <v>#NAME?</v>
      </c>
      <c r="BE275" s="45" t="e">
        <f t="shared" ca="1" si="135"/>
        <v>#NAME?</v>
      </c>
      <c r="BF275" s="45" t="e">
        <f t="shared" ca="1" si="135"/>
        <v>#NAME?</v>
      </c>
      <c r="BG275" s="45" t="e">
        <f t="shared" ca="1" si="135"/>
        <v>#NAME?</v>
      </c>
      <c r="BH275" s="45" t="e">
        <f t="shared" ca="1" si="135"/>
        <v>#NAME?</v>
      </c>
      <c r="BI275" s="45" t="e">
        <f t="shared" ca="1" si="135"/>
        <v>#NAME?</v>
      </c>
      <c r="BJ275" s="45" t="e">
        <f t="shared" ca="1" si="135"/>
        <v>#NAME?</v>
      </c>
      <c r="BK275" s="45" t="e">
        <f t="shared" ca="1" si="135"/>
        <v>#NAME?</v>
      </c>
      <c r="BL275" s="45" t="e">
        <f t="shared" ca="1" si="135"/>
        <v>#NAME?</v>
      </c>
      <c r="BM275" s="45" t="e">
        <f t="shared" ca="1" si="135"/>
        <v>#NAME?</v>
      </c>
      <c r="BN275" s="45" t="e">
        <f t="shared" ca="1" si="135"/>
        <v>#NAME?</v>
      </c>
      <c r="BO275" s="45" t="e">
        <f t="shared" ca="1" si="135"/>
        <v>#NAME?</v>
      </c>
      <c r="BP275" s="45" t="e">
        <f t="shared" ca="1" si="135"/>
        <v>#NAME?</v>
      </c>
      <c r="BQ275" s="45" t="e">
        <f t="shared" ca="1" si="135"/>
        <v>#NAME?</v>
      </c>
      <c r="BR275" s="45" t="e">
        <f t="shared" ca="1" si="135"/>
        <v>#NAME?</v>
      </c>
      <c r="BS275" s="45" t="e">
        <f t="shared" ca="1" si="135"/>
        <v>#NAME?</v>
      </c>
      <c r="BT275" s="45" t="e">
        <f t="shared" ca="1" si="135"/>
        <v>#NAME?</v>
      </c>
      <c r="BU275" s="45" t="e">
        <f t="shared" ca="1" si="135"/>
        <v>#NAME?</v>
      </c>
      <c r="BV275" s="45" t="e">
        <f t="shared" ca="1" si="135"/>
        <v>#NAME?</v>
      </c>
      <c r="BW275" s="45" t="e">
        <f t="shared" ca="1" si="135"/>
        <v>#NAME?</v>
      </c>
      <c r="BX275" s="45" t="e">
        <f t="shared" ca="1" si="135"/>
        <v>#NAME?</v>
      </c>
      <c r="BY275" s="45" t="e">
        <f t="shared" ca="1" si="135"/>
        <v>#NAME?</v>
      </c>
      <c r="BZ275" s="45" t="e">
        <f t="shared" ca="1" si="135"/>
        <v>#NAME?</v>
      </c>
      <c r="CA275" s="45" t="e">
        <f t="shared" ca="1" si="135"/>
        <v>#NAME?</v>
      </c>
      <c r="CB275" s="45" t="e">
        <f t="shared" ca="1" si="135"/>
        <v>#NAME?</v>
      </c>
      <c r="CC275" s="45" t="e">
        <f t="shared" ca="1" si="135"/>
        <v>#NAME?</v>
      </c>
      <c r="CD275" s="45" t="e">
        <f t="shared" ca="1" si="135"/>
        <v>#NAME?</v>
      </c>
      <c r="CE275" s="45" t="e">
        <f t="shared" ca="1" si="135"/>
        <v>#NAME?</v>
      </c>
      <c r="CF275" s="45" t="e">
        <f t="shared" ca="1" si="135"/>
        <v>#NAME?</v>
      </c>
      <c r="CG275" s="45" t="e">
        <f t="shared" ca="1" si="135"/>
        <v>#NAME?</v>
      </c>
      <c r="CH275" s="45" t="e">
        <f t="shared" ca="1" si="135"/>
        <v>#NAME?</v>
      </c>
      <c r="CI275" s="45" t="e">
        <f t="shared" ca="1" si="135"/>
        <v>#NAME?</v>
      </c>
      <c r="CJ275" s="45" t="e">
        <f t="shared" ca="1" si="135"/>
        <v>#NAME?</v>
      </c>
      <c r="CK275" s="45" t="e">
        <f t="shared" ca="1" si="135"/>
        <v>#NAME?</v>
      </c>
      <c r="CL275" s="45" t="e">
        <f t="shared" ca="1" si="135"/>
        <v>#NAME?</v>
      </c>
      <c r="CM275" s="45" t="e">
        <f t="shared" ca="1" si="135"/>
        <v>#NAME?</v>
      </c>
      <c r="CN275" s="45" t="e">
        <f t="shared" ca="1" si="135"/>
        <v>#NAME?</v>
      </c>
      <c r="CO275" s="45" t="e">
        <f t="shared" ca="1" si="135"/>
        <v>#NAME?</v>
      </c>
      <c r="CP275" s="45" t="e">
        <f t="shared" ca="1" si="135"/>
        <v>#NAME?</v>
      </c>
      <c r="CQ275" s="45" t="e">
        <f t="shared" ca="1" si="135"/>
        <v>#NAME?</v>
      </c>
      <c r="CR275" s="45" t="e">
        <f t="shared" ca="1" si="135"/>
        <v>#NAME?</v>
      </c>
      <c r="CS275" s="45" t="e">
        <f t="shared" ca="1" si="135"/>
        <v>#NAME?</v>
      </c>
      <c r="CT275" s="45" t="e">
        <f t="shared" ca="1" si="135"/>
        <v>#NAME?</v>
      </c>
      <c r="CU275" s="45" t="e">
        <f t="shared" ca="1" si="135"/>
        <v>#NAME?</v>
      </c>
      <c r="CV275" s="45" t="e">
        <f t="shared" ca="1" si="135"/>
        <v>#NAME?</v>
      </c>
      <c r="CW275" s="45" t="e">
        <f t="shared" ca="1" si="135"/>
        <v>#NAME?</v>
      </c>
      <c r="CX275" s="45" t="e">
        <f t="shared" ca="1" si="135"/>
        <v>#NAME?</v>
      </c>
      <c r="CY275" s="45" t="e">
        <f t="shared" ca="1" si="135"/>
        <v>#NAME?</v>
      </c>
      <c r="CZ275" s="45" t="e">
        <f t="shared" ca="1" si="135"/>
        <v>#NAME?</v>
      </c>
      <c r="DA275" s="45" t="e">
        <f t="shared" ca="1" si="135"/>
        <v>#NAME?</v>
      </c>
      <c r="DB275" s="45" t="e">
        <f t="shared" ca="1" si="135"/>
        <v>#NAME?</v>
      </c>
      <c r="DC275" s="45" t="e">
        <f t="shared" ca="1" si="135"/>
        <v>#NAME?</v>
      </c>
      <c r="DD275" s="45" t="e">
        <f t="shared" ca="1" si="135"/>
        <v>#NAME?</v>
      </c>
      <c r="DE275" s="45" t="e">
        <f t="shared" ca="1" si="135"/>
        <v>#NAME?</v>
      </c>
      <c r="DF275" s="45" t="e">
        <f t="shared" ca="1" si="135"/>
        <v>#NAME?</v>
      </c>
      <c r="DG275" s="45" t="e">
        <f t="shared" ca="1" si="135"/>
        <v>#NAME?</v>
      </c>
      <c r="DH275" s="45" t="e">
        <f t="shared" ca="1" si="135"/>
        <v>#NAME?</v>
      </c>
      <c r="DI275" s="45" t="e">
        <f t="shared" ca="1" si="135"/>
        <v>#NAME?</v>
      </c>
      <c r="DJ275" s="45" t="e">
        <f t="shared" ca="1" si="135"/>
        <v>#NAME?</v>
      </c>
      <c r="DK275" s="45" t="e">
        <f t="shared" ca="1" si="135"/>
        <v>#NAME?</v>
      </c>
      <c r="DL275" s="45" t="e">
        <f t="shared" ca="1" si="135"/>
        <v>#NAME?</v>
      </c>
      <c r="DM275" s="45" t="e">
        <f t="shared" ca="1" si="135"/>
        <v>#NAME?</v>
      </c>
      <c r="DN275" s="45" t="e">
        <f t="shared" ca="1" si="135"/>
        <v>#NAME?</v>
      </c>
      <c r="DO275" s="45" t="e">
        <f t="shared" ca="1" si="135"/>
        <v>#NAME?</v>
      </c>
      <c r="DP275" s="45" t="e">
        <f t="shared" ca="1" si="135"/>
        <v>#NAME?</v>
      </c>
      <c r="DQ275" s="45" t="e">
        <f t="shared" ca="1" si="135"/>
        <v>#NAME?</v>
      </c>
      <c r="DR275" s="45" t="e">
        <f t="shared" ca="1" si="135"/>
        <v>#NAME?</v>
      </c>
      <c r="DS275" s="45" t="e">
        <f t="shared" ca="1" si="135"/>
        <v>#NAME?</v>
      </c>
      <c r="DT275" s="45" t="e">
        <f t="shared" ca="1" si="135"/>
        <v>#NAME?</v>
      </c>
      <c r="DU275" s="45" t="e">
        <f t="shared" ca="1" si="135"/>
        <v>#NAME?</v>
      </c>
      <c r="DV275" s="45" t="e">
        <f t="shared" ca="1" si="135"/>
        <v>#NAME?</v>
      </c>
      <c r="DW275" s="45" t="e">
        <f t="shared" ca="1" si="135"/>
        <v>#NAME?</v>
      </c>
      <c r="DX275" s="45" t="e">
        <f t="shared" ca="1" si="135"/>
        <v>#NAME?</v>
      </c>
      <c r="DY275" s="45" t="e">
        <f t="shared" ca="1" si="135"/>
        <v>#NAME?</v>
      </c>
      <c r="DZ275" s="45" t="e">
        <f t="shared" ca="1" si="135"/>
        <v>#NAME?</v>
      </c>
      <c r="EA275" s="45" t="e">
        <f t="shared" ca="1" si="135"/>
        <v>#NAME?</v>
      </c>
      <c r="EB275" s="45" t="e">
        <f t="shared" ca="1" si="135"/>
        <v>#NAME?</v>
      </c>
      <c r="EC275" s="45" t="e">
        <f t="shared" ca="1" si="135"/>
        <v>#NAME?</v>
      </c>
      <c r="ED275" s="45" t="e">
        <f t="shared" ca="1" si="135"/>
        <v>#NAME?</v>
      </c>
      <c r="EE275" s="45" t="e">
        <f t="shared" ca="1" si="135"/>
        <v>#NAME?</v>
      </c>
      <c r="EF275" s="45" t="e">
        <f t="shared" ca="1" si="135"/>
        <v>#NAME?</v>
      </c>
      <c r="EG275" s="45" t="e">
        <f t="shared" ca="1" si="135"/>
        <v>#NAME?</v>
      </c>
      <c r="EH275" s="45" t="e">
        <f t="shared" ca="1" si="135"/>
        <v>#NAME?</v>
      </c>
      <c r="EI275" s="45" t="e">
        <f t="shared" ca="1" si="135"/>
        <v>#NAME?</v>
      </c>
      <c r="EJ275" s="45" t="e">
        <f t="shared" ca="1" si="135"/>
        <v>#NAME?</v>
      </c>
      <c r="EK275" s="45" t="e">
        <f t="shared" ca="1" si="135"/>
        <v>#NAME?</v>
      </c>
      <c r="EL275" s="45" t="e">
        <f t="shared" ca="1" si="135"/>
        <v>#NAME?</v>
      </c>
      <c r="EM275" s="45" t="e">
        <f t="shared" ca="1" si="135"/>
        <v>#NAME?</v>
      </c>
      <c r="EN275" s="45" t="e">
        <f t="shared" ca="1" si="135"/>
        <v>#NAME?</v>
      </c>
      <c r="EO275" s="45" t="e">
        <f t="shared" ca="1" si="135"/>
        <v>#NAME?</v>
      </c>
      <c r="EP275" s="45" t="e">
        <f t="shared" ca="1" si="135"/>
        <v>#NAME?</v>
      </c>
      <c r="EQ275" s="45">
        <v>0</v>
      </c>
      <c r="ER275" s="45" t="e">
        <f t="shared" ref="ER275:FX275" ca="1" si="136">ER262-ER273-ER281</f>
        <v>#NAME?</v>
      </c>
      <c r="ES275" s="45" t="e">
        <f t="shared" ca="1" si="136"/>
        <v>#NAME?</v>
      </c>
      <c r="ET275" s="45" t="e">
        <f t="shared" ca="1" si="136"/>
        <v>#NAME?</v>
      </c>
      <c r="EU275" s="45" t="e">
        <f t="shared" ca="1" si="136"/>
        <v>#NAME?</v>
      </c>
      <c r="EV275" s="45" t="e">
        <f t="shared" ca="1" si="136"/>
        <v>#NAME?</v>
      </c>
      <c r="EW275" s="45" t="e">
        <f t="shared" ca="1" si="136"/>
        <v>#NAME?</v>
      </c>
      <c r="EX275" s="45" t="e">
        <f t="shared" ca="1" si="136"/>
        <v>#NAME?</v>
      </c>
      <c r="EY275" s="45" t="e">
        <f t="shared" ca="1" si="136"/>
        <v>#NAME?</v>
      </c>
      <c r="EZ275" s="45" t="e">
        <f t="shared" ca="1" si="136"/>
        <v>#NAME?</v>
      </c>
      <c r="FA275" s="45" t="e">
        <f t="shared" ca="1" si="136"/>
        <v>#NAME?</v>
      </c>
      <c r="FB275" s="45" t="e">
        <f t="shared" ca="1" si="136"/>
        <v>#NAME?</v>
      </c>
      <c r="FC275" s="45" t="e">
        <f t="shared" ca="1" si="136"/>
        <v>#NAME?</v>
      </c>
      <c r="FD275" s="45" t="e">
        <f t="shared" ca="1" si="136"/>
        <v>#NAME?</v>
      </c>
      <c r="FE275" s="45" t="e">
        <f t="shared" ca="1" si="136"/>
        <v>#NAME?</v>
      </c>
      <c r="FF275" s="45" t="e">
        <f t="shared" ca="1" si="136"/>
        <v>#NAME?</v>
      </c>
      <c r="FG275" s="45" t="e">
        <f t="shared" ca="1" si="136"/>
        <v>#NAME?</v>
      </c>
      <c r="FH275" s="45" t="e">
        <f t="shared" ca="1" si="136"/>
        <v>#NAME?</v>
      </c>
      <c r="FI275" s="45" t="e">
        <f t="shared" ca="1" si="136"/>
        <v>#NAME?</v>
      </c>
      <c r="FJ275" s="45" t="e">
        <f t="shared" ca="1" si="136"/>
        <v>#NAME?</v>
      </c>
      <c r="FK275" s="45" t="e">
        <f t="shared" ca="1" si="136"/>
        <v>#NAME?</v>
      </c>
      <c r="FL275" s="45" t="e">
        <f t="shared" ca="1" si="136"/>
        <v>#NAME?</v>
      </c>
      <c r="FM275" s="45" t="e">
        <f t="shared" ca="1" si="136"/>
        <v>#NAME?</v>
      </c>
      <c r="FN275" s="45" t="e">
        <f t="shared" ca="1" si="136"/>
        <v>#NAME?</v>
      </c>
      <c r="FO275" s="45" t="e">
        <f t="shared" ca="1" si="136"/>
        <v>#NAME?</v>
      </c>
      <c r="FP275" s="45" t="e">
        <f t="shared" ca="1" si="136"/>
        <v>#NAME?</v>
      </c>
      <c r="FQ275" s="45" t="e">
        <f t="shared" ca="1" si="136"/>
        <v>#NAME?</v>
      </c>
      <c r="FR275" s="45" t="e">
        <f t="shared" ca="1" si="136"/>
        <v>#NAME?</v>
      </c>
      <c r="FS275" s="45" t="e">
        <f t="shared" ca="1" si="136"/>
        <v>#NAME?</v>
      </c>
      <c r="FT275" s="45" t="e">
        <f t="shared" ca="1" si="136"/>
        <v>#NAME?</v>
      </c>
      <c r="FU275" s="45" t="e">
        <f t="shared" ca="1" si="136"/>
        <v>#NAME?</v>
      </c>
      <c r="FV275" s="45" t="e">
        <f t="shared" ca="1" si="136"/>
        <v>#NAME?</v>
      </c>
      <c r="FW275" s="45" t="e">
        <f t="shared" ca="1" si="136"/>
        <v>#NAME?</v>
      </c>
      <c r="FX275" s="45" t="e">
        <f t="shared" ca="1" si="136"/>
        <v>#NAME?</v>
      </c>
      <c r="FY275" s="76"/>
      <c r="FZ275" s="45" t="e">
        <f ca="1">ROUND(SUM(C275:FX275)*1000,6)</f>
        <v>#NAME?</v>
      </c>
      <c r="GA275" s="45"/>
      <c r="GB275" s="45"/>
      <c r="GC275" s="45"/>
      <c r="GD275" s="45"/>
      <c r="GE275" s="7"/>
      <c r="GF275" s="7"/>
      <c r="GG275" s="7"/>
      <c r="GH275" s="7"/>
      <c r="GI275" s="7"/>
      <c r="GJ275" s="7"/>
      <c r="GK275" s="7"/>
    </row>
    <row r="276" spans="1:193" ht="15.5" x14ac:dyDescent="0.35">
      <c r="A276" s="12" t="s">
        <v>684</v>
      </c>
      <c r="B276" s="7" t="s">
        <v>684</v>
      </c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>
        <v>4.931</v>
      </c>
      <c r="FR276" s="45">
        <v>6.2590000000000003</v>
      </c>
      <c r="FS276" s="45">
        <v>1.266</v>
      </c>
      <c r="FT276" s="45">
        <v>2.6150000000000002</v>
      </c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7"/>
      <c r="GF276" s="7"/>
      <c r="GG276" s="7"/>
      <c r="GH276" s="7"/>
      <c r="GI276" s="7"/>
      <c r="GJ276" s="7"/>
      <c r="GK276" s="7"/>
    </row>
    <row r="277" spans="1:193" ht="15.5" x14ac:dyDescent="0.35">
      <c r="A277" s="12" t="s">
        <v>684</v>
      </c>
      <c r="B277" s="5" t="s">
        <v>694</v>
      </c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7"/>
      <c r="FZ277" s="7"/>
      <c r="GA277" s="45"/>
      <c r="GB277" s="78"/>
      <c r="GC277" s="78"/>
      <c r="GD277" s="32"/>
      <c r="GE277" s="7"/>
      <c r="GF277" s="7"/>
      <c r="GG277" s="7"/>
      <c r="GH277" s="7"/>
      <c r="GI277" s="7"/>
      <c r="GJ277" s="7"/>
      <c r="GK277" s="7"/>
    </row>
    <row r="278" spans="1:193" ht="15.5" x14ac:dyDescent="0.35">
      <c r="A278" s="12" t="s">
        <v>695</v>
      </c>
      <c r="B278" s="7" t="s">
        <v>1051</v>
      </c>
      <c r="C278" s="7">
        <f t="shared" ref="C278:FX278" si="137">C63</f>
        <v>3975359.6368625555</v>
      </c>
      <c r="D278" s="7">
        <f t="shared" si="137"/>
        <v>20560272.927547358</v>
      </c>
      <c r="E278" s="7">
        <f t="shared" si="137"/>
        <v>3957336.3845604667</v>
      </c>
      <c r="F278" s="7">
        <f t="shared" si="137"/>
        <v>11725720.408169016</v>
      </c>
      <c r="G278" s="7">
        <f t="shared" si="137"/>
        <v>749134.75238927116</v>
      </c>
      <c r="H278" s="7">
        <f t="shared" si="137"/>
        <v>875460.61353472143</v>
      </c>
      <c r="I278" s="7">
        <f t="shared" si="137"/>
        <v>4950900.101165615</v>
      </c>
      <c r="J278" s="7">
        <f t="shared" si="137"/>
        <v>1174607.3430782808</v>
      </c>
      <c r="K278" s="7">
        <f t="shared" si="137"/>
        <v>148174.02762891745</v>
      </c>
      <c r="L278" s="7">
        <f t="shared" si="137"/>
        <v>1809566.9849713142</v>
      </c>
      <c r="M278" s="7">
        <f t="shared" si="137"/>
        <v>720101.2592620654</v>
      </c>
      <c r="N278" s="7">
        <f t="shared" si="137"/>
        <v>33573698.057299666</v>
      </c>
      <c r="O278" s="7">
        <f t="shared" si="137"/>
        <v>7951652.0108887823</v>
      </c>
      <c r="P278" s="7">
        <f t="shared" si="137"/>
        <v>238195.42090387226</v>
      </c>
      <c r="Q278" s="7">
        <f t="shared" si="137"/>
        <v>24475693.320616804</v>
      </c>
      <c r="R278" s="7">
        <f t="shared" si="137"/>
        <v>2088234.5235152012</v>
      </c>
      <c r="S278" s="7">
        <f t="shared" si="137"/>
        <v>840187.19638839783</v>
      </c>
      <c r="T278" s="7">
        <f t="shared" si="137"/>
        <v>108965.2725716104</v>
      </c>
      <c r="U278" s="7">
        <f t="shared" si="137"/>
        <v>37193.431668595564</v>
      </c>
      <c r="V278" s="7">
        <f t="shared" si="137"/>
        <v>167495.00150570075</v>
      </c>
      <c r="W278" s="7">
        <f t="shared" si="137"/>
        <v>33789.81845509413</v>
      </c>
      <c r="X278" s="7">
        <f t="shared" si="137"/>
        <v>26750.286612030377</v>
      </c>
      <c r="Y278" s="7">
        <f t="shared" si="137"/>
        <v>420565.66285922786</v>
      </c>
      <c r="Z278" s="7">
        <f t="shared" si="137"/>
        <v>145527.75335373165</v>
      </c>
      <c r="AA278" s="7">
        <f t="shared" si="137"/>
        <v>17895248.291801848</v>
      </c>
      <c r="AB278" s="7">
        <f t="shared" si="137"/>
        <v>17593969.441777565</v>
      </c>
      <c r="AC278" s="7">
        <f t="shared" si="137"/>
        <v>549855.02079579222</v>
      </c>
      <c r="AD278" s="7">
        <f t="shared" si="137"/>
        <v>566683.47791309236</v>
      </c>
      <c r="AE278" s="7">
        <f t="shared" si="137"/>
        <v>81308.454960299423</v>
      </c>
      <c r="AF278" s="7">
        <f t="shared" si="137"/>
        <v>123406.36554046549</v>
      </c>
      <c r="AG278" s="7">
        <f t="shared" si="137"/>
        <v>434649.92047845712</v>
      </c>
      <c r="AH278" s="7">
        <f t="shared" si="137"/>
        <v>514721.37188820203</v>
      </c>
      <c r="AI278" s="7">
        <f t="shared" si="137"/>
        <v>123369.26925853235</v>
      </c>
      <c r="AJ278" s="7">
        <f t="shared" si="137"/>
        <v>93298.180480559633</v>
      </c>
      <c r="AK278" s="7">
        <f t="shared" si="137"/>
        <v>108855.95357231262</v>
      </c>
      <c r="AL278" s="7">
        <f t="shared" si="137"/>
        <v>100022.79577645517</v>
      </c>
      <c r="AM278" s="7">
        <f t="shared" si="137"/>
        <v>251077.82193562208</v>
      </c>
      <c r="AN278" s="7">
        <f t="shared" si="137"/>
        <v>173117.44740056197</v>
      </c>
      <c r="AO278" s="7">
        <f t="shared" si="137"/>
        <v>2738424.7613501702</v>
      </c>
      <c r="AP278" s="7">
        <f t="shared" si="137"/>
        <v>49269592.772665814</v>
      </c>
      <c r="AQ278" s="7">
        <f t="shared" si="137"/>
        <v>204769.52257544457</v>
      </c>
      <c r="AR278" s="7">
        <f t="shared" si="137"/>
        <v>32081581.68313745</v>
      </c>
      <c r="AS278" s="7">
        <f t="shared" si="137"/>
        <v>3523721.4669548324</v>
      </c>
      <c r="AT278" s="7">
        <f t="shared" si="137"/>
        <v>1303247.3953737842</v>
      </c>
      <c r="AU278" s="7">
        <f t="shared" si="137"/>
        <v>216355.0149062376</v>
      </c>
      <c r="AV278" s="7">
        <f t="shared" si="137"/>
        <v>254468.35091938285</v>
      </c>
      <c r="AW278" s="7">
        <f t="shared" si="137"/>
        <v>155306.61526432243</v>
      </c>
      <c r="AX278" s="7">
        <f t="shared" si="137"/>
        <v>81260.452573746647</v>
      </c>
      <c r="AY278" s="7">
        <f t="shared" si="137"/>
        <v>304725.76989508385</v>
      </c>
      <c r="AZ278" s="7">
        <f t="shared" si="137"/>
        <v>6306805.3758183587</v>
      </c>
      <c r="BA278" s="7">
        <f t="shared" si="137"/>
        <v>5489607.5711656148</v>
      </c>
      <c r="BB278" s="7">
        <f t="shared" si="137"/>
        <v>6155948.8893297724</v>
      </c>
      <c r="BC278" s="7">
        <f t="shared" si="137"/>
        <v>10935575.765983488</v>
      </c>
      <c r="BD278" s="7">
        <f t="shared" si="137"/>
        <v>1547641.3968382713</v>
      </c>
      <c r="BE278" s="7">
        <f t="shared" si="137"/>
        <v>696507.8364247221</v>
      </c>
      <c r="BF278" s="7">
        <f t="shared" si="137"/>
        <v>9915498.5603788272</v>
      </c>
      <c r="BG278" s="7">
        <f t="shared" si="137"/>
        <v>596242.4494212087</v>
      </c>
      <c r="BH278" s="7">
        <f t="shared" si="137"/>
        <v>328311.70143720863</v>
      </c>
      <c r="BI278" s="7">
        <f t="shared" si="137"/>
        <v>241110.96726936224</v>
      </c>
      <c r="BJ278" s="7">
        <f t="shared" si="137"/>
        <v>2846222.1441412461</v>
      </c>
      <c r="BK278" s="7">
        <f t="shared" si="137"/>
        <v>11067242.313914524</v>
      </c>
      <c r="BL278" s="7">
        <f t="shared" si="137"/>
        <v>82561.460373204944</v>
      </c>
      <c r="BM278" s="7">
        <f t="shared" si="137"/>
        <v>396650.24049345305</v>
      </c>
      <c r="BN278" s="7">
        <f t="shared" si="137"/>
        <v>1938189.9087948226</v>
      </c>
      <c r="BO278" s="7">
        <f t="shared" si="137"/>
        <v>982847.09158799471</v>
      </c>
      <c r="BP278" s="7">
        <f t="shared" si="137"/>
        <v>117815.55602096832</v>
      </c>
      <c r="BQ278" s="7">
        <f t="shared" si="137"/>
        <v>2891628.4715609546</v>
      </c>
      <c r="BR278" s="7">
        <f t="shared" si="137"/>
        <v>2287490.4209619872</v>
      </c>
      <c r="BS278" s="7">
        <f t="shared" si="137"/>
        <v>562639.48752807383</v>
      </c>
      <c r="BT278" s="7">
        <f t="shared" si="137"/>
        <v>216225.53547308687</v>
      </c>
      <c r="BU278" s="7">
        <f t="shared" si="137"/>
        <v>232339.53380005827</v>
      </c>
      <c r="BV278" s="7">
        <f t="shared" si="137"/>
        <v>683641.06110556971</v>
      </c>
      <c r="BW278" s="7">
        <f t="shared" si="137"/>
        <v>846721.21781425888</v>
      </c>
      <c r="BX278" s="7">
        <f t="shared" si="137"/>
        <v>58107.016577187038</v>
      </c>
      <c r="BY278" s="7">
        <f t="shared" si="137"/>
        <v>428323.47825513745</v>
      </c>
      <c r="BZ278" s="7">
        <f t="shared" si="137"/>
        <v>149598.21046641792</v>
      </c>
      <c r="CA278" s="7">
        <f t="shared" si="137"/>
        <v>57816.581214433165</v>
      </c>
      <c r="CB278" s="7">
        <f t="shared" si="137"/>
        <v>39322975.835512385</v>
      </c>
      <c r="CC278" s="7">
        <f t="shared" si="137"/>
        <v>129384.2568167835</v>
      </c>
      <c r="CD278" s="7">
        <f t="shared" si="137"/>
        <v>27599.405618017885</v>
      </c>
      <c r="CE278" s="7">
        <f t="shared" si="137"/>
        <v>151475.69035242582</v>
      </c>
      <c r="CF278" s="7">
        <f t="shared" si="137"/>
        <v>72740.328148000757</v>
      </c>
      <c r="CG278" s="7">
        <f t="shared" si="137"/>
        <v>122773.86791181409</v>
      </c>
      <c r="CH278" s="7">
        <f t="shared" si="137"/>
        <v>81934.396361887222</v>
      </c>
      <c r="CI278" s="7">
        <f t="shared" si="137"/>
        <v>498560.82741916185</v>
      </c>
      <c r="CJ278" s="7">
        <f t="shared" si="137"/>
        <v>621085.91641571827</v>
      </c>
      <c r="CK278" s="7">
        <f t="shared" si="137"/>
        <v>3235219.7712578927</v>
      </c>
      <c r="CL278" s="7">
        <f t="shared" si="137"/>
        <v>887033.79710856453</v>
      </c>
      <c r="CM278" s="7">
        <f t="shared" si="137"/>
        <v>528492.52589113661</v>
      </c>
      <c r="CN278" s="7">
        <f t="shared" si="137"/>
        <v>15541079.608868385</v>
      </c>
      <c r="CO278" s="7">
        <f t="shared" si="137"/>
        <v>7951642.5939582326</v>
      </c>
      <c r="CP278" s="7">
        <f t="shared" si="137"/>
        <v>467722.82009106758</v>
      </c>
      <c r="CQ278" s="7">
        <f t="shared" si="137"/>
        <v>613383.0888482664</v>
      </c>
      <c r="CR278" s="7">
        <f t="shared" si="137"/>
        <v>175619.76823391014</v>
      </c>
      <c r="CS278" s="7">
        <f t="shared" si="137"/>
        <v>172824.97477906602</v>
      </c>
      <c r="CT278" s="7">
        <f t="shared" si="137"/>
        <v>102289.6096285465</v>
      </c>
      <c r="CU278" s="7">
        <f t="shared" si="137"/>
        <v>96441.5474873106</v>
      </c>
      <c r="CV278" s="7">
        <f t="shared" si="137"/>
        <v>46466.156612030383</v>
      </c>
      <c r="CW278" s="7">
        <f t="shared" si="137"/>
        <v>185389.55671093561</v>
      </c>
      <c r="CX278" s="7">
        <f t="shared" si="137"/>
        <v>378680.81769251748</v>
      </c>
      <c r="CY278" s="7">
        <f t="shared" si="137"/>
        <v>40319.767191755403</v>
      </c>
      <c r="CZ278" s="7">
        <f t="shared" si="137"/>
        <v>1445360.3518001593</v>
      </c>
      <c r="DA278" s="7">
        <f t="shared" si="137"/>
        <v>118761.57728543418</v>
      </c>
      <c r="DB278" s="7">
        <f t="shared" si="137"/>
        <v>230980.96268869838</v>
      </c>
      <c r="DC278" s="7">
        <f t="shared" si="137"/>
        <v>184644.23070619485</v>
      </c>
      <c r="DD278" s="7">
        <f t="shared" si="137"/>
        <v>107823.8875335956</v>
      </c>
      <c r="DE278" s="7">
        <f t="shared" si="137"/>
        <v>170910.24276903531</v>
      </c>
      <c r="DF278" s="7">
        <f t="shared" si="137"/>
        <v>13856826.092310289</v>
      </c>
      <c r="DG278" s="7">
        <f t="shared" si="137"/>
        <v>46615.189704227072</v>
      </c>
      <c r="DH278" s="7">
        <f t="shared" si="137"/>
        <v>1180004.4695122996</v>
      </c>
      <c r="DI278" s="7">
        <f t="shared" si="137"/>
        <v>1803958.9666310013</v>
      </c>
      <c r="DJ278" s="7">
        <f t="shared" si="137"/>
        <v>384848.61456185119</v>
      </c>
      <c r="DK278" s="7">
        <f t="shared" si="137"/>
        <v>277162.55962692905</v>
      </c>
      <c r="DL278" s="7">
        <f t="shared" si="137"/>
        <v>3301078.4921195148</v>
      </c>
      <c r="DM278" s="7">
        <f t="shared" si="137"/>
        <v>258586.006587004</v>
      </c>
      <c r="DN278" s="7">
        <f t="shared" si="137"/>
        <v>788062.09909076511</v>
      </c>
      <c r="DO278" s="7">
        <f t="shared" si="137"/>
        <v>1688269.4853138258</v>
      </c>
      <c r="DP278" s="7">
        <f t="shared" si="137"/>
        <v>166594.73793269598</v>
      </c>
      <c r="DQ278" s="7">
        <f t="shared" si="137"/>
        <v>358354.62037811964</v>
      </c>
      <c r="DR278" s="7">
        <f t="shared" si="137"/>
        <v>767204.8997198554</v>
      </c>
      <c r="DS278" s="7">
        <f t="shared" si="137"/>
        <v>345603.91752007912</v>
      </c>
      <c r="DT278" s="7">
        <f t="shared" si="137"/>
        <v>63361.576432750931</v>
      </c>
      <c r="DU278" s="7">
        <f t="shared" si="137"/>
        <v>149205.17810480119</v>
      </c>
      <c r="DV278" s="7">
        <f t="shared" si="137"/>
        <v>98441.847109261129</v>
      </c>
      <c r="DW278" s="7">
        <f t="shared" si="137"/>
        <v>123873.17229779011</v>
      </c>
      <c r="DX278" s="7">
        <f t="shared" si="137"/>
        <v>93206.578928209172</v>
      </c>
      <c r="DY278" s="7">
        <f t="shared" si="137"/>
        <v>196534.16107701175</v>
      </c>
      <c r="DZ278" s="7">
        <f t="shared" si="137"/>
        <v>625321.34965118638</v>
      </c>
      <c r="EA278" s="7">
        <f t="shared" si="137"/>
        <v>532449.43882370694</v>
      </c>
      <c r="EB278" s="7">
        <f t="shared" si="137"/>
        <v>414187.58427971142</v>
      </c>
      <c r="EC278" s="7">
        <f t="shared" si="137"/>
        <v>207798.65111541696</v>
      </c>
      <c r="ED278" s="7">
        <f t="shared" si="137"/>
        <v>925536.09880404407</v>
      </c>
      <c r="EE278" s="7">
        <f t="shared" si="137"/>
        <v>94435.066005391389</v>
      </c>
      <c r="EF278" s="7">
        <f t="shared" si="137"/>
        <v>766840.28550778679</v>
      </c>
      <c r="EG278" s="7">
        <f t="shared" si="137"/>
        <v>132080.91287295337</v>
      </c>
      <c r="EH278" s="7">
        <f t="shared" si="137"/>
        <v>111448.8269026858</v>
      </c>
      <c r="EI278" s="7">
        <f t="shared" si="137"/>
        <v>8409210.7053326871</v>
      </c>
      <c r="EJ278" s="7">
        <f t="shared" si="137"/>
        <v>6070945.2586546866</v>
      </c>
      <c r="EK278" s="7">
        <f t="shared" si="137"/>
        <v>331709.13961849996</v>
      </c>
      <c r="EL278" s="7">
        <f t="shared" si="137"/>
        <v>359004.14726938715</v>
      </c>
      <c r="EM278" s="7">
        <f t="shared" si="137"/>
        <v>133629.31033063785</v>
      </c>
      <c r="EN278" s="7">
        <f t="shared" si="137"/>
        <v>599040.85408002674</v>
      </c>
      <c r="EO278" s="7">
        <f t="shared" si="137"/>
        <v>110515.75472165953</v>
      </c>
      <c r="EP278" s="7">
        <f t="shared" si="137"/>
        <v>198467.1499845293</v>
      </c>
      <c r="EQ278" s="7">
        <f t="shared" si="137"/>
        <v>1482699.5302336456</v>
      </c>
      <c r="ER278" s="7">
        <f t="shared" si="137"/>
        <v>178186.99681049981</v>
      </c>
      <c r="ES278" s="7">
        <f t="shared" si="137"/>
        <v>86407.437255903089</v>
      </c>
      <c r="ET278" s="7">
        <f t="shared" si="137"/>
        <v>99167.860137511045</v>
      </c>
      <c r="EU278" s="7">
        <f t="shared" si="137"/>
        <v>322912.49758654094</v>
      </c>
      <c r="EV278" s="7">
        <f t="shared" si="137"/>
        <v>43628.739060467371</v>
      </c>
      <c r="EW278" s="7">
        <f t="shared" si="137"/>
        <v>369514.55207151332</v>
      </c>
      <c r="EX278" s="7">
        <f t="shared" si="137"/>
        <v>81318.092788917696</v>
      </c>
      <c r="EY278" s="7">
        <f t="shared" si="137"/>
        <v>429529.24359690119</v>
      </c>
      <c r="EZ278" s="7">
        <f t="shared" si="137"/>
        <v>87699.390095574476</v>
      </c>
      <c r="FA278" s="7">
        <f t="shared" si="137"/>
        <v>1826713.564192686</v>
      </c>
      <c r="FB278" s="7">
        <f t="shared" si="137"/>
        <v>261415.66140057801</v>
      </c>
      <c r="FC278" s="7">
        <f t="shared" si="137"/>
        <v>1118743.3030608119</v>
      </c>
      <c r="FD278" s="7">
        <f t="shared" si="137"/>
        <v>347007.27838893526</v>
      </c>
      <c r="FE278" s="7">
        <f t="shared" si="137"/>
        <v>73495.369355636954</v>
      </c>
      <c r="FF278" s="7">
        <f t="shared" si="137"/>
        <v>194612.29182576112</v>
      </c>
      <c r="FG278" s="7">
        <f t="shared" si="137"/>
        <v>84433.012111264994</v>
      </c>
      <c r="FH278" s="7">
        <f t="shared" si="137"/>
        <v>86807.970763982477</v>
      </c>
      <c r="FI278" s="7">
        <f t="shared" si="137"/>
        <v>1197393.3302733083</v>
      </c>
      <c r="FJ278" s="7">
        <f t="shared" si="137"/>
        <v>801762.05190615822</v>
      </c>
      <c r="FK278" s="7">
        <f t="shared" si="137"/>
        <v>1253001.4648258083</v>
      </c>
      <c r="FL278" s="7">
        <f t="shared" si="137"/>
        <v>3501094.1756532299</v>
      </c>
      <c r="FM278" s="7">
        <f t="shared" si="137"/>
        <v>1963488.5233917458</v>
      </c>
      <c r="FN278" s="7">
        <f t="shared" si="137"/>
        <v>11231428.410913067</v>
      </c>
      <c r="FO278" s="7">
        <f t="shared" si="137"/>
        <v>607592.63138315966</v>
      </c>
      <c r="FP278" s="7">
        <f t="shared" si="137"/>
        <v>1267504.9977336868</v>
      </c>
      <c r="FQ278" s="7">
        <f t="shared" si="137"/>
        <v>603021.10860051261</v>
      </c>
      <c r="FR278" s="7">
        <f t="shared" si="137"/>
        <v>88488.239989595269</v>
      </c>
      <c r="FS278" s="7">
        <f t="shared" si="137"/>
        <v>82384.211328193938</v>
      </c>
      <c r="FT278" s="7">
        <f t="shared" si="137"/>
        <v>69243.539168030751</v>
      </c>
      <c r="FU278" s="7">
        <f t="shared" si="137"/>
        <v>591729.33694608184</v>
      </c>
      <c r="FV278" s="7">
        <f t="shared" si="137"/>
        <v>438814.89076443302</v>
      </c>
      <c r="FW278" s="7">
        <f t="shared" si="137"/>
        <v>104794.87353843845</v>
      </c>
      <c r="FX278" s="7">
        <f t="shared" si="137"/>
        <v>35710.539170131822</v>
      </c>
      <c r="FY278" s="7"/>
      <c r="FZ278" s="7"/>
      <c r="GA278" s="45"/>
      <c r="GB278" s="45"/>
      <c r="GC278" s="45"/>
      <c r="GD278" s="45"/>
      <c r="GE278" s="7"/>
      <c r="GF278" s="7"/>
      <c r="GG278" s="7"/>
      <c r="GH278" s="7"/>
      <c r="GI278" s="7"/>
      <c r="GJ278" s="7"/>
      <c r="GK278" s="7"/>
    </row>
    <row r="279" spans="1:193" ht="15.5" x14ac:dyDescent="0.35">
      <c r="A279" s="12" t="s">
        <v>697</v>
      </c>
      <c r="B279" s="7" t="s">
        <v>1052</v>
      </c>
      <c r="C279" s="45">
        <f t="shared" ref="C279:FX279" si="138">ROUND(C278/C48,6)</f>
        <v>3.1970000000000002E-3</v>
      </c>
      <c r="D279" s="45">
        <f t="shared" si="138"/>
        <v>4.548E-3</v>
      </c>
      <c r="E279" s="45">
        <f t="shared" si="138"/>
        <v>3.2330000000000002E-3</v>
      </c>
      <c r="F279" s="45">
        <f t="shared" si="138"/>
        <v>3.545E-3</v>
      </c>
      <c r="G279" s="45">
        <f t="shared" si="138"/>
        <v>1.305E-3</v>
      </c>
      <c r="H279" s="45">
        <f t="shared" si="138"/>
        <v>6.0099999999999997E-3</v>
      </c>
      <c r="I279" s="45">
        <f t="shared" si="138"/>
        <v>4.1869999999999997E-3</v>
      </c>
      <c r="J279" s="45">
        <f t="shared" si="138"/>
        <v>6.0270000000000002E-3</v>
      </c>
      <c r="K279" s="45">
        <f t="shared" si="138"/>
        <v>2.8730000000000001E-3</v>
      </c>
      <c r="L279" s="45">
        <f t="shared" si="138"/>
        <v>2.0279999999999999E-3</v>
      </c>
      <c r="M279" s="45">
        <f t="shared" si="138"/>
        <v>2.199E-3</v>
      </c>
      <c r="N279" s="45">
        <f t="shared" si="138"/>
        <v>3.5010000000000002E-3</v>
      </c>
      <c r="O279" s="45">
        <f t="shared" si="138"/>
        <v>2.9099999999999998E-3</v>
      </c>
      <c r="P279" s="45">
        <f t="shared" si="138"/>
        <v>4.1599999999999996E-3</v>
      </c>
      <c r="Q279" s="45">
        <f t="shared" si="138"/>
        <v>4.2469999999999999E-3</v>
      </c>
      <c r="R279" s="45">
        <f t="shared" si="138"/>
        <v>2.7505000000000002E-2</v>
      </c>
      <c r="S279" s="45">
        <f t="shared" si="138"/>
        <v>1.3829999999999999E-3</v>
      </c>
      <c r="T279" s="45">
        <f t="shared" si="138"/>
        <v>4.0080000000000003E-3</v>
      </c>
      <c r="U279" s="45">
        <f t="shared" si="138"/>
        <v>1.1969999999999999E-3</v>
      </c>
      <c r="V279" s="45">
        <f t="shared" si="138"/>
        <v>4.2709999999999996E-3</v>
      </c>
      <c r="W279" s="45">
        <f t="shared" si="138"/>
        <v>4.9610000000000001E-3</v>
      </c>
      <c r="X279" s="45">
        <f t="shared" si="138"/>
        <v>1.4059999999999999E-3</v>
      </c>
      <c r="Y279" s="45">
        <f t="shared" si="138"/>
        <v>5.3299999999999997E-3</v>
      </c>
      <c r="Z279" s="45">
        <f t="shared" si="138"/>
        <v>5.228E-3</v>
      </c>
      <c r="AA279" s="45">
        <f t="shared" si="138"/>
        <v>2.6059999999999998E-3</v>
      </c>
      <c r="AB279" s="45">
        <f t="shared" si="138"/>
        <v>1.676E-3</v>
      </c>
      <c r="AC279" s="45">
        <f t="shared" si="138"/>
        <v>1.1490000000000001E-3</v>
      </c>
      <c r="AD279" s="45">
        <f t="shared" si="138"/>
        <v>1.1050000000000001E-3</v>
      </c>
      <c r="AE279" s="45">
        <f t="shared" si="138"/>
        <v>1.583E-3</v>
      </c>
      <c r="AF279" s="45">
        <f t="shared" si="138"/>
        <v>1.255E-3</v>
      </c>
      <c r="AG279" s="45">
        <f t="shared" si="138"/>
        <v>1.1329999999999999E-3</v>
      </c>
      <c r="AH279" s="45">
        <f t="shared" si="138"/>
        <v>1.0810999999999999E-2</v>
      </c>
      <c r="AI279" s="45">
        <f t="shared" si="138"/>
        <v>1.004E-2</v>
      </c>
      <c r="AJ279" s="45">
        <f t="shared" si="138"/>
        <v>2.238E-3</v>
      </c>
      <c r="AK279" s="45">
        <f t="shared" si="138"/>
        <v>1.6000000000000001E-3</v>
      </c>
      <c r="AL279" s="45">
        <f t="shared" si="138"/>
        <v>1.0740000000000001E-3</v>
      </c>
      <c r="AM279" s="45">
        <f t="shared" si="138"/>
        <v>4.0489999999999996E-3</v>
      </c>
      <c r="AN279" s="45">
        <f t="shared" si="138"/>
        <v>9.7999999999999997E-4</v>
      </c>
      <c r="AO279" s="45">
        <f t="shared" si="138"/>
        <v>4.5459999999999997E-3</v>
      </c>
      <c r="AP279" s="45">
        <f t="shared" si="138"/>
        <v>1.9729999999999999E-3</v>
      </c>
      <c r="AQ279" s="45">
        <f t="shared" si="138"/>
        <v>2.14E-3</v>
      </c>
      <c r="AR279" s="45">
        <f t="shared" si="138"/>
        <v>2.9789999999999999E-3</v>
      </c>
      <c r="AS279" s="45">
        <f t="shared" si="138"/>
        <v>7.2400000000000003E-4</v>
      </c>
      <c r="AT279" s="45">
        <f t="shared" si="138"/>
        <v>3.1930000000000001E-3</v>
      </c>
      <c r="AU279" s="45">
        <f t="shared" si="138"/>
        <v>3.0100000000000001E-3</v>
      </c>
      <c r="AV279" s="45">
        <f t="shared" si="138"/>
        <v>5.496E-3</v>
      </c>
      <c r="AW279" s="45">
        <f t="shared" si="138"/>
        <v>3.9560000000000003E-3</v>
      </c>
      <c r="AX279" s="45">
        <f t="shared" si="138"/>
        <v>2.666E-3</v>
      </c>
      <c r="AY279" s="45">
        <f t="shared" si="138"/>
        <v>4.927E-3</v>
      </c>
      <c r="AZ279" s="45">
        <f t="shared" si="138"/>
        <v>5.6569999999999997E-3</v>
      </c>
      <c r="BA279" s="45">
        <f t="shared" si="138"/>
        <v>5.633E-3</v>
      </c>
      <c r="BB279" s="45">
        <f t="shared" si="138"/>
        <v>2.1343000000000001E-2</v>
      </c>
      <c r="BC279" s="45">
        <f t="shared" si="138"/>
        <v>2.3249999999999998E-3</v>
      </c>
      <c r="BD279" s="45">
        <f t="shared" si="138"/>
        <v>2.4520000000000002E-3</v>
      </c>
      <c r="BE279" s="45">
        <f t="shared" si="138"/>
        <v>3.3219999999999999E-3</v>
      </c>
      <c r="BF279" s="45">
        <f t="shared" si="138"/>
        <v>3.258E-3</v>
      </c>
      <c r="BG279" s="45">
        <f t="shared" si="138"/>
        <v>8.6199999999999992E-3</v>
      </c>
      <c r="BH279" s="45">
        <f t="shared" si="138"/>
        <v>3.8500000000000001E-3</v>
      </c>
      <c r="BI279" s="45">
        <f t="shared" si="138"/>
        <v>4.3579999999999999E-3</v>
      </c>
      <c r="BJ279" s="45">
        <f t="shared" si="138"/>
        <v>2.7590000000000002E-3</v>
      </c>
      <c r="BK279" s="45">
        <f t="shared" si="138"/>
        <v>5.5250000000000004E-3</v>
      </c>
      <c r="BL279" s="45">
        <f t="shared" si="138"/>
        <v>1.0260999999999999E-2</v>
      </c>
      <c r="BM279" s="45">
        <f t="shared" si="138"/>
        <v>9.0329999999999994E-3</v>
      </c>
      <c r="BN279" s="45">
        <f t="shared" si="138"/>
        <v>4.8339999999999998E-3</v>
      </c>
      <c r="BO279" s="45">
        <f t="shared" si="138"/>
        <v>4.5750000000000001E-3</v>
      </c>
      <c r="BP279" s="45">
        <f t="shared" si="138"/>
        <v>1.122E-3</v>
      </c>
      <c r="BQ279" s="45">
        <f t="shared" si="138"/>
        <v>1.343E-3</v>
      </c>
      <c r="BR279" s="45">
        <f t="shared" si="138"/>
        <v>1.884E-3</v>
      </c>
      <c r="BS279" s="45">
        <f t="shared" si="138"/>
        <v>6.0700000000000001E-4</v>
      </c>
      <c r="BT279" s="45">
        <f t="shared" si="138"/>
        <v>4.66E-4</v>
      </c>
      <c r="BU279" s="45">
        <f t="shared" si="138"/>
        <v>1.3140000000000001E-3</v>
      </c>
      <c r="BV279" s="45">
        <f t="shared" si="138"/>
        <v>4.6200000000000001E-4</v>
      </c>
      <c r="BW279" s="45">
        <f t="shared" si="138"/>
        <v>7.1500000000000003E-4</v>
      </c>
      <c r="BX279" s="45">
        <f t="shared" si="138"/>
        <v>8.12E-4</v>
      </c>
      <c r="BY279" s="45">
        <f t="shared" si="138"/>
        <v>3.0860000000000002E-3</v>
      </c>
      <c r="BZ279" s="45">
        <f t="shared" si="138"/>
        <v>3.32E-3</v>
      </c>
      <c r="CA279" s="45">
        <f t="shared" si="138"/>
        <v>5.2700000000000002E-4</v>
      </c>
      <c r="CB279" s="45">
        <f t="shared" si="138"/>
        <v>2.6619999999999999E-3</v>
      </c>
      <c r="CC279" s="45">
        <f t="shared" si="138"/>
        <v>5.9620000000000003E-3</v>
      </c>
      <c r="CD279" s="45">
        <f t="shared" si="138"/>
        <v>1.39E-3</v>
      </c>
      <c r="CE279" s="45">
        <f t="shared" si="138"/>
        <v>3.287E-3</v>
      </c>
      <c r="CF279" s="45">
        <f t="shared" si="138"/>
        <v>2.2560000000000002E-3</v>
      </c>
      <c r="CG279" s="45">
        <f t="shared" si="138"/>
        <v>4.6940000000000003E-3</v>
      </c>
      <c r="CH279" s="45">
        <f t="shared" si="138"/>
        <v>4.3860000000000001E-3</v>
      </c>
      <c r="CI279" s="45">
        <f t="shared" si="138"/>
        <v>3.9610000000000001E-3</v>
      </c>
      <c r="CJ279" s="45">
        <f t="shared" si="138"/>
        <v>1.4059999999999999E-3</v>
      </c>
      <c r="CK279" s="45">
        <f t="shared" si="138"/>
        <v>1.8519999999999999E-3</v>
      </c>
      <c r="CL279" s="45">
        <f t="shared" si="138"/>
        <v>3.2469999999999999E-3</v>
      </c>
      <c r="CM279" s="45">
        <f t="shared" si="138"/>
        <v>1.8209999999999999E-3</v>
      </c>
      <c r="CN279" s="45">
        <f t="shared" si="138"/>
        <v>2.885E-3</v>
      </c>
      <c r="CO279" s="45">
        <f t="shared" si="138"/>
        <v>2.2060000000000001E-3</v>
      </c>
      <c r="CP279" s="45">
        <f t="shared" si="138"/>
        <v>6.8599999999999998E-4</v>
      </c>
      <c r="CQ279" s="45">
        <f t="shared" si="138"/>
        <v>3.3409999999999998E-3</v>
      </c>
      <c r="CR279" s="45">
        <f t="shared" si="138"/>
        <v>1.07E-3</v>
      </c>
      <c r="CS279" s="45">
        <f t="shared" si="138"/>
        <v>2.96E-3</v>
      </c>
      <c r="CT279" s="45">
        <f t="shared" si="138"/>
        <v>1.554E-3</v>
      </c>
      <c r="CU279" s="45">
        <f t="shared" si="138"/>
        <v>4.862E-3</v>
      </c>
      <c r="CV279" s="45">
        <f t="shared" si="138"/>
        <v>1.8829999999999999E-3</v>
      </c>
      <c r="CW279" s="45">
        <f t="shared" si="138"/>
        <v>2.3679999999999999E-3</v>
      </c>
      <c r="CX279" s="45">
        <f t="shared" si="138"/>
        <v>4.1710000000000002E-3</v>
      </c>
      <c r="CY279" s="45">
        <f t="shared" si="138"/>
        <v>5.9280000000000001E-3</v>
      </c>
      <c r="CZ279" s="45">
        <f t="shared" si="138"/>
        <v>5.6239999999999997E-3</v>
      </c>
      <c r="DA279" s="45">
        <f t="shared" si="138"/>
        <v>2.4429999999999999E-3</v>
      </c>
      <c r="DB279" s="45">
        <f t="shared" si="138"/>
        <v>5.2909999999999997E-3</v>
      </c>
      <c r="DC279" s="45">
        <f t="shared" si="138"/>
        <v>3.003E-3</v>
      </c>
      <c r="DD279" s="45">
        <f t="shared" si="138"/>
        <v>3.6900000000000002E-4</v>
      </c>
      <c r="DE279" s="45">
        <f t="shared" si="138"/>
        <v>9.8900000000000008E-4</v>
      </c>
      <c r="DF279" s="45">
        <f t="shared" si="138"/>
        <v>4.8279999999999998E-3</v>
      </c>
      <c r="DG279" s="45">
        <f t="shared" si="138"/>
        <v>7.0799999999999997E-4</v>
      </c>
      <c r="DH279" s="45">
        <f t="shared" si="138"/>
        <v>2.9250000000000001E-3</v>
      </c>
      <c r="DI279" s="45">
        <f t="shared" si="138"/>
        <v>2.9750000000000002E-3</v>
      </c>
      <c r="DJ279" s="45">
        <f t="shared" si="138"/>
        <v>5.6020000000000002E-3</v>
      </c>
      <c r="DK279" s="45">
        <f t="shared" si="138"/>
        <v>4.28E-3</v>
      </c>
      <c r="DL279" s="45">
        <f t="shared" si="138"/>
        <v>3.5969999999999999E-3</v>
      </c>
      <c r="DM279" s="45">
        <f t="shared" si="138"/>
        <v>9.306E-3</v>
      </c>
      <c r="DN279" s="45">
        <f t="shared" si="138"/>
        <v>2.7910000000000001E-3</v>
      </c>
      <c r="DO279" s="45">
        <f t="shared" si="138"/>
        <v>4.4019999999999997E-3</v>
      </c>
      <c r="DP279" s="45">
        <f t="shared" si="138"/>
        <v>4.9020000000000001E-3</v>
      </c>
      <c r="DQ279" s="45">
        <f t="shared" si="138"/>
        <v>7.1599999999999995E-4</v>
      </c>
      <c r="DR279" s="45">
        <f t="shared" si="138"/>
        <v>7.8120000000000004E-3</v>
      </c>
      <c r="DS279" s="45">
        <f t="shared" si="138"/>
        <v>7.6800000000000002E-3</v>
      </c>
      <c r="DT279" s="45">
        <f t="shared" si="138"/>
        <v>5.1799999999999997E-3</v>
      </c>
      <c r="DU279" s="45">
        <f t="shared" si="138"/>
        <v>4.6309999999999997E-3</v>
      </c>
      <c r="DV279" s="45">
        <f t="shared" si="138"/>
        <v>1.0076E-2</v>
      </c>
      <c r="DW279" s="45">
        <f t="shared" si="138"/>
        <v>5.1000000000000004E-3</v>
      </c>
      <c r="DX279" s="45">
        <f t="shared" si="138"/>
        <v>7.9799999999999999E-4</v>
      </c>
      <c r="DY279" s="45">
        <f t="shared" si="138"/>
        <v>8.8199999999999997E-4</v>
      </c>
      <c r="DZ279" s="45">
        <f t="shared" si="138"/>
        <v>2.4199999999999998E-3</v>
      </c>
      <c r="EA279" s="45">
        <f t="shared" si="138"/>
        <v>8.0999999999999996E-4</v>
      </c>
      <c r="EB279" s="45">
        <f t="shared" si="138"/>
        <v>4.4980000000000003E-3</v>
      </c>
      <c r="EC279" s="45">
        <f t="shared" si="138"/>
        <v>5.1879999999999999E-3</v>
      </c>
      <c r="ED279" s="45">
        <f t="shared" si="138"/>
        <v>1.5799999999999999E-4</v>
      </c>
      <c r="EE279" s="45">
        <f t="shared" si="138"/>
        <v>5.0239999999999998E-3</v>
      </c>
      <c r="EF279" s="45">
        <f t="shared" si="138"/>
        <v>7.0470000000000003E-3</v>
      </c>
      <c r="EG279" s="45">
        <f t="shared" si="138"/>
        <v>4.0309999999999999E-3</v>
      </c>
      <c r="EH279" s="45">
        <f t="shared" si="138"/>
        <v>7.1960000000000001E-3</v>
      </c>
      <c r="EI279" s="45">
        <f t="shared" si="138"/>
        <v>5.5129999999999997E-3</v>
      </c>
      <c r="EJ279" s="45">
        <f t="shared" si="138"/>
        <v>4.9449999999999997E-3</v>
      </c>
      <c r="EK279" s="45">
        <f t="shared" si="138"/>
        <v>5.5000000000000003E-4</v>
      </c>
      <c r="EL279" s="45">
        <f t="shared" si="138"/>
        <v>1.242E-3</v>
      </c>
      <c r="EM279" s="45">
        <f t="shared" si="138"/>
        <v>9.8999999999999999E-4</v>
      </c>
      <c r="EN279" s="45">
        <f t="shared" si="138"/>
        <v>6.9839999999999998E-3</v>
      </c>
      <c r="EO279" s="45">
        <f t="shared" si="138"/>
        <v>2.3289999999999999E-3</v>
      </c>
      <c r="EP279" s="45">
        <f t="shared" si="138"/>
        <v>1.2769999999999999E-3</v>
      </c>
      <c r="EQ279" s="45">
        <f t="shared" si="138"/>
        <v>7.5900000000000002E-4</v>
      </c>
      <c r="ER279" s="45">
        <f t="shared" si="138"/>
        <v>1.199E-3</v>
      </c>
      <c r="ES279" s="45">
        <f t="shared" si="138"/>
        <v>2.2659999999999998E-3</v>
      </c>
      <c r="ET279" s="45">
        <f t="shared" si="138"/>
        <v>1.7669999999999999E-3</v>
      </c>
      <c r="EU279" s="45">
        <f t="shared" si="138"/>
        <v>6.7499999999999999E-3</v>
      </c>
      <c r="EV279" s="45">
        <f t="shared" si="138"/>
        <v>5.3200000000000003E-4</v>
      </c>
      <c r="EW279" s="45">
        <f t="shared" si="138"/>
        <v>2.7500000000000002E-4</v>
      </c>
      <c r="EX279" s="45">
        <f t="shared" si="138"/>
        <v>1.3929999999999999E-3</v>
      </c>
      <c r="EY279" s="45">
        <f t="shared" si="138"/>
        <v>1.2411999999999999E-2</v>
      </c>
      <c r="EZ279" s="45">
        <f t="shared" si="138"/>
        <v>2.9069999999999999E-3</v>
      </c>
      <c r="FA279" s="45">
        <f t="shared" si="138"/>
        <v>4.7800000000000002E-4</v>
      </c>
      <c r="FB279" s="45">
        <f t="shared" si="138"/>
        <v>5.3200000000000003E-4</v>
      </c>
      <c r="FC279" s="45">
        <f t="shared" si="138"/>
        <v>2.3470000000000001E-3</v>
      </c>
      <c r="FD279" s="45">
        <f t="shared" si="138"/>
        <v>6.2459999999999998E-3</v>
      </c>
      <c r="FE279" s="45">
        <f t="shared" si="138"/>
        <v>2.1770000000000001E-3</v>
      </c>
      <c r="FF279" s="45">
        <f t="shared" si="138"/>
        <v>7.7759999999999999E-3</v>
      </c>
      <c r="FG279" s="45">
        <f t="shared" si="138"/>
        <v>2.7390000000000001E-3</v>
      </c>
      <c r="FH279" s="45">
        <f t="shared" si="138"/>
        <v>2.2959999999999999E-3</v>
      </c>
      <c r="FI279" s="45">
        <f t="shared" si="138"/>
        <v>8.3900000000000001E-4</v>
      </c>
      <c r="FJ279" s="45">
        <f t="shared" si="138"/>
        <v>8.0699999999999999E-4</v>
      </c>
      <c r="FK279" s="45">
        <f t="shared" si="138"/>
        <v>5.7899999999999998E-4</v>
      </c>
      <c r="FL279" s="45">
        <f t="shared" si="138"/>
        <v>1.5250000000000001E-3</v>
      </c>
      <c r="FM279" s="45">
        <f t="shared" si="138"/>
        <v>1.66E-3</v>
      </c>
      <c r="FN279" s="45">
        <f t="shared" si="138"/>
        <v>3.7030000000000001E-3</v>
      </c>
      <c r="FO279" s="45">
        <f t="shared" si="138"/>
        <v>1.8799999999999999E-4</v>
      </c>
      <c r="FP279" s="45">
        <f t="shared" si="138"/>
        <v>8.2200000000000003E-4</v>
      </c>
      <c r="FQ279" s="45">
        <f t="shared" si="138"/>
        <v>1.116E-3</v>
      </c>
      <c r="FR279" s="45">
        <f t="shared" si="138"/>
        <v>1.55E-4</v>
      </c>
      <c r="FS279" s="45">
        <f t="shared" si="138"/>
        <v>1.85E-4</v>
      </c>
      <c r="FT279" s="45">
        <f t="shared" si="138"/>
        <v>1.5100000000000001E-4</v>
      </c>
      <c r="FU279" s="45">
        <f t="shared" si="138"/>
        <v>3.4199999999999999E-3</v>
      </c>
      <c r="FV279" s="45">
        <f t="shared" si="138"/>
        <v>3.0400000000000002E-3</v>
      </c>
      <c r="FW279" s="45">
        <f t="shared" si="138"/>
        <v>4.9909999999999998E-3</v>
      </c>
      <c r="FX279" s="45">
        <f t="shared" si="138"/>
        <v>2.0279999999999999E-3</v>
      </c>
      <c r="FY279" s="7"/>
      <c r="FZ279" s="7"/>
      <c r="GA279" s="45"/>
      <c r="GB279" s="7"/>
      <c r="GC279" s="7"/>
      <c r="GD279" s="7"/>
      <c r="GE279" s="7"/>
      <c r="GF279" s="7"/>
      <c r="GG279" s="7"/>
      <c r="GH279" s="7"/>
      <c r="GI279" s="7"/>
      <c r="GJ279" s="7"/>
      <c r="GK279" s="7"/>
    </row>
    <row r="280" spans="1:193" ht="15.5" x14ac:dyDescent="0.35">
      <c r="A280" s="7"/>
      <c r="B280" s="7" t="s">
        <v>1053</v>
      </c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 t="e">
        <f ca="1">IF(FT272&gt;0,FT272,FT270)</f>
        <v>#NAME?</v>
      </c>
      <c r="FQ280" s="45"/>
      <c r="FR280" s="45"/>
      <c r="FS280" s="45"/>
      <c r="FT280" s="45"/>
      <c r="FU280" s="45"/>
      <c r="FV280" s="45"/>
      <c r="FW280" s="45"/>
      <c r="FX280" s="45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</row>
    <row r="281" spans="1:193" ht="15.5" x14ac:dyDescent="0.35">
      <c r="A281" s="12" t="s">
        <v>699</v>
      </c>
      <c r="B281" s="7" t="s">
        <v>700</v>
      </c>
      <c r="C281" s="45" t="e">
        <f t="shared" ref="C281:AM281" ca="1" si="139">IF(ROUND(MIN(C279,(C262-C273),(C267-C273)),6)&lt;0,0,(ROUND(MIN(C279,(C262-C273),(C267-C273)),6)))</f>
        <v>#NAME?</v>
      </c>
      <c r="D281" s="45" t="e">
        <f t="shared" ca="1" si="139"/>
        <v>#NAME?</v>
      </c>
      <c r="E281" s="45" t="e">
        <f t="shared" ca="1" si="139"/>
        <v>#NAME?</v>
      </c>
      <c r="F281" s="45" t="e">
        <f t="shared" ca="1" si="139"/>
        <v>#NAME?</v>
      </c>
      <c r="G281" s="45" t="e">
        <f t="shared" ca="1" si="139"/>
        <v>#NAME?</v>
      </c>
      <c r="H281" s="45" t="e">
        <f t="shared" ca="1" si="139"/>
        <v>#NAME?</v>
      </c>
      <c r="I281" s="45" t="e">
        <f t="shared" ca="1" si="139"/>
        <v>#NAME?</v>
      </c>
      <c r="J281" s="45" t="e">
        <f t="shared" ca="1" si="139"/>
        <v>#NAME?</v>
      </c>
      <c r="K281" s="45" t="e">
        <f t="shared" ca="1" si="139"/>
        <v>#NAME?</v>
      </c>
      <c r="L281" s="45" t="e">
        <f t="shared" ca="1" si="139"/>
        <v>#NAME?</v>
      </c>
      <c r="M281" s="45" t="e">
        <f t="shared" ca="1" si="139"/>
        <v>#NAME?</v>
      </c>
      <c r="N281" s="45" t="e">
        <f t="shared" ca="1" si="139"/>
        <v>#NAME?</v>
      </c>
      <c r="O281" s="45" t="e">
        <f t="shared" ca="1" si="139"/>
        <v>#NAME?</v>
      </c>
      <c r="P281" s="45" t="e">
        <f t="shared" ca="1" si="139"/>
        <v>#NAME?</v>
      </c>
      <c r="Q281" s="45" t="e">
        <f t="shared" ca="1" si="139"/>
        <v>#NAME?</v>
      </c>
      <c r="R281" s="45" t="e">
        <f t="shared" ca="1" si="139"/>
        <v>#NAME?</v>
      </c>
      <c r="S281" s="45" t="e">
        <f t="shared" ca="1" si="139"/>
        <v>#NAME?</v>
      </c>
      <c r="T281" s="45" t="e">
        <f t="shared" ca="1" si="139"/>
        <v>#NAME?</v>
      </c>
      <c r="U281" s="45" t="e">
        <f t="shared" ca="1" si="139"/>
        <v>#NAME?</v>
      </c>
      <c r="V281" s="45" t="e">
        <f t="shared" ca="1" si="139"/>
        <v>#NAME?</v>
      </c>
      <c r="W281" s="45" t="e">
        <f t="shared" ca="1" si="139"/>
        <v>#NAME?</v>
      </c>
      <c r="X281" s="45" t="e">
        <f t="shared" ca="1" si="139"/>
        <v>#NAME?</v>
      </c>
      <c r="Y281" s="45" t="e">
        <f t="shared" ca="1" si="139"/>
        <v>#NAME?</v>
      </c>
      <c r="Z281" s="45" t="e">
        <f t="shared" ca="1" si="139"/>
        <v>#NAME?</v>
      </c>
      <c r="AA281" s="45" t="e">
        <f t="shared" ca="1" si="139"/>
        <v>#NAME?</v>
      </c>
      <c r="AB281" s="45" t="e">
        <f t="shared" ca="1" si="139"/>
        <v>#NAME?</v>
      </c>
      <c r="AC281" s="45" t="e">
        <f t="shared" ca="1" si="139"/>
        <v>#NAME?</v>
      </c>
      <c r="AD281" s="45" t="e">
        <f t="shared" ca="1" si="139"/>
        <v>#NAME?</v>
      </c>
      <c r="AE281" s="45" t="e">
        <f t="shared" ca="1" si="139"/>
        <v>#NAME?</v>
      </c>
      <c r="AF281" s="45" t="e">
        <f t="shared" ca="1" si="139"/>
        <v>#NAME?</v>
      </c>
      <c r="AG281" s="45" t="e">
        <f t="shared" ca="1" si="139"/>
        <v>#NAME?</v>
      </c>
      <c r="AH281" s="45" t="e">
        <f t="shared" ca="1" si="139"/>
        <v>#NAME?</v>
      </c>
      <c r="AI281" s="45" t="e">
        <f t="shared" ca="1" si="139"/>
        <v>#NAME?</v>
      </c>
      <c r="AJ281" s="45" t="e">
        <f t="shared" ca="1" si="139"/>
        <v>#NAME?</v>
      </c>
      <c r="AK281" s="45" t="e">
        <f t="shared" ca="1" si="139"/>
        <v>#NAME?</v>
      </c>
      <c r="AL281" s="45" t="e">
        <f t="shared" ca="1" si="139"/>
        <v>#NAME?</v>
      </c>
      <c r="AM281" s="45" t="e">
        <f t="shared" ca="1" si="139"/>
        <v>#NAME?</v>
      </c>
      <c r="AN281" s="45" t="e">
        <f ca="1">IF(ROUND(MIN(AN279,(AN262-AN273),(AN267-AN273)),6)&lt;0,0,(ROUND(MIN(AN279,(AN262-AN273),(AN267-AN273)),6)))-0.000001</f>
        <v>#NAME?</v>
      </c>
      <c r="AO281" s="45" t="e">
        <f t="shared" ref="AO281:BU281" ca="1" si="140">IF(ROUND(MIN(AO279,(AO262-AO273),(AO267-AO273)),6)&lt;0,0,(ROUND(MIN(AO279,(AO262-AO273),(AO267-AO273)),6)))</f>
        <v>#NAME?</v>
      </c>
      <c r="AP281" s="45" t="e">
        <f t="shared" ca="1" si="140"/>
        <v>#NAME?</v>
      </c>
      <c r="AQ281" s="45" t="e">
        <f t="shared" ca="1" si="140"/>
        <v>#NAME?</v>
      </c>
      <c r="AR281" s="45" t="e">
        <f t="shared" ca="1" si="140"/>
        <v>#NAME?</v>
      </c>
      <c r="AS281" s="45" t="e">
        <f t="shared" ca="1" si="140"/>
        <v>#NAME?</v>
      </c>
      <c r="AT281" s="45" t="e">
        <f t="shared" ca="1" si="140"/>
        <v>#NAME?</v>
      </c>
      <c r="AU281" s="45" t="e">
        <f t="shared" ca="1" si="140"/>
        <v>#NAME?</v>
      </c>
      <c r="AV281" s="45" t="e">
        <f t="shared" ca="1" si="140"/>
        <v>#NAME?</v>
      </c>
      <c r="AW281" s="45" t="e">
        <f t="shared" ca="1" si="140"/>
        <v>#NAME?</v>
      </c>
      <c r="AX281" s="45" t="e">
        <f t="shared" ca="1" si="140"/>
        <v>#NAME?</v>
      </c>
      <c r="AY281" s="45" t="e">
        <f t="shared" ca="1" si="140"/>
        <v>#NAME?</v>
      </c>
      <c r="AZ281" s="45" t="e">
        <f t="shared" ca="1" si="140"/>
        <v>#NAME?</v>
      </c>
      <c r="BA281" s="45" t="e">
        <f t="shared" ca="1" si="140"/>
        <v>#NAME?</v>
      </c>
      <c r="BB281" s="45" t="e">
        <f t="shared" ca="1" si="140"/>
        <v>#NAME?</v>
      </c>
      <c r="BC281" s="45" t="e">
        <f t="shared" ca="1" si="140"/>
        <v>#NAME?</v>
      </c>
      <c r="BD281" s="45" t="e">
        <f t="shared" ca="1" si="140"/>
        <v>#NAME?</v>
      </c>
      <c r="BE281" s="45" t="e">
        <f t="shared" ca="1" si="140"/>
        <v>#NAME?</v>
      </c>
      <c r="BF281" s="45" t="e">
        <f t="shared" ca="1" si="140"/>
        <v>#NAME?</v>
      </c>
      <c r="BG281" s="45" t="e">
        <f t="shared" ca="1" si="140"/>
        <v>#NAME?</v>
      </c>
      <c r="BH281" s="45" t="e">
        <f t="shared" ca="1" si="140"/>
        <v>#NAME?</v>
      </c>
      <c r="BI281" s="45" t="e">
        <f t="shared" ca="1" si="140"/>
        <v>#NAME?</v>
      </c>
      <c r="BJ281" s="45" t="e">
        <f t="shared" ca="1" si="140"/>
        <v>#NAME?</v>
      </c>
      <c r="BK281" s="45" t="e">
        <f t="shared" ca="1" si="140"/>
        <v>#NAME?</v>
      </c>
      <c r="BL281" s="45" t="e">
        <f t="shared" ca="1" si="140"/>
        <v>#NAME?</v>
      </c>
      <c r="BM281" s="45" t="e">
        <f t="shared" ca="1" si="140"/>
        <v>#NAME?</v>
      </c>
      <c r="BN281" s="45" t="e">
        <f t="shared" ca="1" si="140"/>
        <v>#NAME?</v>
      </c>
      <c r="BO281" s="45" t="e">
        <f t="shared" ca="1" si="140"/>
        <v>#NAME?</v>
      </c>
      <c r="BP281" s="45" t="e">
        <f t="shared" ca="1" si="140"/>
        <v>#NAME?</v>
      </c>
      <c r="BQ281" s="45" t="e">
        <f t="shared" ca="1" si="140"/>
        <v>#NAME?</v>
      </c>
      <c r="BR281" s="45" t="e">
        <f t="shared" ca="1" si="140"/>
        <v>#NAME?</v>
      </c>
      <c r="BS281" s="45" t="e">
        <f t="shared" ca="1" si="140"/>
        <v>#NAME?</v>
      </c>
      <c r="BT281" s="45" t="e">
        <f t="shared" ca="1" si="140"/>
        <v>#NAME?</v>
      </c>
      <c r="BU281" s="45" t="e">
        <f t="shared" ca="1" si="140"/>
        <v>#NAME?</v>
      </c>
      <c r="BV281" s="45" t="e">
        <f ca="1">IF(ROUND(MIN(BV279,(BV262-BV273),(BV267-BV273)),6)&lt;0,0,(ROUND(MIN(BV279,(BV262-BV273),(BV267-BV273)),6)))-0.000001</f>
        <v>#NAME?</v>
      </c>
      <c r="BW281" s="45" t="e">
        <f t="shared" ref="BW281:CI281" ca="1" si="141">IF(ROUND(MIN(BW279,(BW262-BW273),(BW267-BW273)),6)&lt;0,0,(ROUND(MIN(BW279,(BW262-BW273),(BW267-BW273)),6)))</f>
        <v>#NAME?</v>
      </c>
      <c r="BX281" s="45" t="e">
        <f t="shared" ca="1" si="141"/>
        <v>#NAME?</v>
      </c>
      <c r="BY281" s="45" t="e">
        <f t="shared" ca="1" si="141"/>
        <v>#NAME?</v>
      </c>
      <c r="BZ281" s="45" t="e">
        <f t="shared" ca="1" si="141"/>
        <v>#NAME?</v>
      </c>
      <c r="CA281" s="45" t="e">
        <f t="shared" ca="1" si="141"/>
        <v>#NAME?</v>
      </c>
      <c r="CB281" s="45" t="e">
        <f t="shared" ca="1" si="141"/>
        <v>#NAME?</v>
      </c>
      <c r="CC281" s="45" t="e">
        <f t="shared" ca="1" si="141"/>
        <v>#NAME?</v>
      </c>
      <c r="CD281" s="45" t="e">
        <f t="shared" ca="1" si="141"/>
        <v>#NAME?</v>
      </c>
      <c r="CE281" s="45" t="e">
        <f t="shared" ca="1" si="141"/>
        <v>#NAME?</v>
      </c>
      <c r="CF281" s="45" t="e">
        <f t="shared" ca="1" si="141"/>
        <v>#NAME?</v>
      </c>
      <c r="CG281" s="45" t="e">
        <f t="shared" ca="1" si="141"/>
        <v>#NAME?</v>
      </c>
      <c r="CH281" s="45" t="e">
        <f t="shared" ca="1" si="141"/>
        <v>#NAME?</v>
      </c>
      <c r="CI281" s="45" t="e">
        <f t="shared" ca="1" si="141"/>
        <v>#NAME?</v>
      </c>
      <c r="CJ281" s="45" t="e">
        <f ca="1">IF(ROUND(MIN(CJ279,(CJ262-CJ273),(CJ267-CJ273)),6)&lt;0,0,(ROUND(MIN(CJ279,(CJ262-CJ273),(CJ267-CJ273)),6)))-0.000001</f>
        <v>#NAME?</v>
      </c>
      <c r="CK281" s="45" t="e">
        <f t="shared" ref="CK281:CO281" ca="1" si="142">IF(ROUND(MIN(CK279,(CK262-CK273),(CK267-CK273)),6)&lt;0,0,(ROUND(MIN(CK279,(CK262-CK273),(CK267-CK273)),6)))</f>
        <v>#NAME?</v>
      </c>
      <c r="CL281" s="45" t="e">
        <f t="shared" ca="1" si="142"/>
        <v>#NAME?</v>
      </c>
      <c r="CM281" s="45" t="e">
        <f t="shared" ca="1" si="142"/>
        <v>#NAME?</v>
      </c>
      <c r="CN281" s="45" t="e">
        <f t="shared" ca="1" si="142"/>
        <v>#NAME?</v>
      </c>
      <c r="CO281" s="45" t="e">
        <f t="shared" ca="1" si="142"/>
        <v>#NAME?</v>
      </c>
      <c r="CP281" s="45" t="e">
        <f ca="1">IF(ROUND(MIN(CP279,(CP262-CP273),(CP267-CP273)),6)&lt;0,0,(ROUND(MIN(CP279,(CP262-CP273),(CP267-CP273)),6)))-0.000001</f>
        <v>#NAME?</v>
      </c>
      <c r="CQ281" s="45" t="e">
        <f t="shared" ref="CQ281:DP281" ca="1" si="143">IF(ROUND(MIN(CQ279,(CQ262-CQ273),(CQ267-CQ273)),6)&lt;0,0,(ROUND(MIN(CQ279,(CQ262-CQ273),(CQ267-CQ273)),6)))</f>
        <v>#NAME?</v>
      </c>
      <c r="CR281" s="45" t="e">
        <f t="shared" ca="1" si="143"/>
        <v>#NAME?</v>
      </c>
      <c r="CS281" s="45" t="e">
        <f t="shared" ca="1" si="143"/>
        <v>#NAME?</v>
      </c>
      <c r="CT281" s="45" t="e">
        <f t="shared" ca="1" si="143"/>
        <v>#NAME?</v>
      </c>
      <c r="CU281" s="45" t="e">
        <f t="shared" ca="1" si="143"/>
        <v>#NAME?</v>
      </c>
      <c r="CV281" s="45" t="e">
        <f t="shared" ca="1" si="143"/>
        <v>#NAME?</v>
      </c>
      <c r="CW281" s="45" t="e">
        <f t="shared" ca="1" si="143"/>
        <v>#NAME?</v>
      </c>
      <c r="CX281" s="45" t="e">
        <f t="shared" ca="1" si="143"/>
        <v>#NAME?</v>
      </c>
      <c r="CY281" s="45" t="e">
        <f t="shared" ca="1" si="143"/>
        <v>#NAME?</v>
      </c>
      <c r="CZ281" s="45" t="e">
        <f t="shared" ca="1" si="143"/>
        <v>#NAME?</v>
      </c>
      <c r="DA281" s="45" t="e">
        <f t="shared" ca="1" si="143"/>
        <v>#NAME?</v>
      </c>
      <c r="DB281" s="45" t="e">
        <f t="shared" ca="1" si="143"/>
        <v>#NAME?</v>
      </c>
      <c r="DC281" s="45" t="e">
        <f t="shared" ca="1" si="143"/>
        <v>#NAME?</v>
      </c>
      <c r="DD281" s="45" t="e">
        <f t="shared" ca="1" si="143"/>
        <v>#NAME?</v>
      </c>
      <c r="DE281" s="45" t="e">
        <f t="shared" ca="1" si="143"/>
        <v>#NAME?</v>
      </c>
      <c r="DF281" s="45" t="e">
        <f t="shared" ca="1" si="143"/>
        <v>#NAME?</v>
      </c>
      <c r="DG281" s="45" t="e">
        <f t="shared" ca="1" si="143"/>
        <v>#NAME?</v>
      </c>
      <c r="DH281" s="45" t="e">
        <f t="shared" ca="1" si="143"/>
        <v>#NAME?</v>
      </c>
      <c r="DI281" s="45" t="e">
        <f t="shared" ca="1" si="143"/>
        <v>#NAME?</v>
      </c>
      <c r="DJ281" s="45" t="e">
        <f t="shared" ca="1" si="143"/>
        <v>#NAME?</v>
      </c>
      <c r="DK281" s="45" t="e">
        <f t="shared" ca="1" si="143"/>
        <v>#NAME?</v>
      </c>
      <c r="DL281" s="45" t="e">
        <f t="shared" ca="1" si="143"/>
        <v>#NAME?</v>
      </c>
      <c r="DM281" s="45" t="e">
        <f t="shared" ca="1" si="143"/>
        <v>#NAME?</v>
      </c>
      <c r="DN281" s="45" t="e">
        <f t="shared" ca="1" si="143"/>
        <v>#NAME?</v>
      </c>
      <c r="DO281" s="45" t="e">
        <f t="shared" ca="1" si="143"/>
        <v>#NAME?</v>
      </c>
      <c r="DP281" s="45" t="e">
        <f t="shared" ca="1" si="143"/>
        <v>#NAME?</v>
      </c>
      <c r="DQ281" s="45" t="e">
        <f ca="1">IF(ROUND(MIN(DQ279,(DQ262-DQ273),(DQ267-DQ273)),6)&lt;0,0,(ROUND(MIN(DQ279,(DQ262-DQ273),(DQ267-DQ273)),6)))-0.000001</f>
        <v>#NAME?</v>
      </c>
      <c r="DR281" s="45" t="e">
        <f t="shared" ref="DR281:DZ281" ca="1" si="144">IF(ROUND(MIN(DR279,(DR262-DR273),(DR267-DR273)),6)&lt;0,0,(ROUND(MIN(DR279,(DR262-DR273),(DR267-DR273)),6)))</f>
        <v>#NAME?</v>
      </c>
      <c r="DS281" s="45" t="e">
        <f t="shared" ca="1" si="144"/>
        <v>#NAME?</v>
      </c>
      <c r="DT281" s="45" t="e">
        <f t="shared" ca="1" si="144"/>
        <v>#NAME?</v>
      </c>
      <c r="DU281" s="45" t="e">
        <f t="shared" ca="1" si="144"/>
        <v>#NAME?</v>
      </c>
      <c r="DV281" s="45" t="e">
        <f t="shared" ca="1" si="144"/>
        <v>#NAME?</v>
      </c>
      <c r="DW281" s="45" t="e">
        <f t="shared" ca="1" si="144"/>
        <v>#NAME?</v>
      </c>
      <c r="DX281" s="45" t="e">
        <f t="shared" ca="1" si="144"/>
        <v>#NAME?</v>
      </c>
      <c r="DY281" s="45" t="e">
        <f t="shared" ca="1" si="144"/>
        <v>#NAME?</v>
      </c>
      <c r="DZ281" s="45" t="e">
        <f t="shared" ca="1" si="144"/>
        <v>#NAME?</v>
      </c>
      <c r="EA281" s="45" t="e">
        <f ca="1">IF(ROUND(MIN(EA279,(EA262-EA273),(EA267-EA273)),6)&lt;0,0,(ROUND(MIN(EA279,(EA262-EA273),(EA267-EA273)),6)))-0.000001</f>
        <v>#NAME?</v>
      </c>
      <c r="EB281" s="45" t="e">
        <f t="shared" ref="EB281:FQ281" ca="1" si="145">IF(ROUND(MIN(EB279,(EB262-EB273),(EB267-EB273)),6)&lt;0,0,(ROUND(MIN(EB279,(EB262-EB273),(EB267-EB273)),6)))</f>
        <v>#NAME?</v>
      </c>
      <c r="EC281" s="45" t="e">
        <f t="shared" ca="1" si="145"/>
        <v>#NAME?</v>
      </c>
      <c r="ED281" s="45" t="e">
        <f t="shared" ca="1" si="145"/>
        <v>#NAME?</v>
      </c>
      <c r="EE281" s="45" t="e">
        <f t="shared" ca="1" si="145"/>
        <v>#NAME?</v>
      </c>
      <c r="EF281" s="45" t="e">
        <f t="shared" ca="1" si="145"/>
        <v>#NAME?</v>
      </c>
      <c r="EG281" s="45" t="e">
        <f t="shared" ca="1" si="145"/>
        <v>#NAME?</v>
      </c>
      <c r="EH281" s="45" t="e">
        <f t="shared" ca="1" si="145"/>
        <v>#NAME?</v>
      </c>
      <c r="EI281" s="45" t="e">
        <f t="shared" ca="1" si="145"/>
        <v>#NAME?</v>
      </c>
      <c r="EJ281" s="45" t="e">
        <f t="shared" ca="1" si="145"/>
        <v>#NAME?</v>
      </c>
      <c r="EK281" s="45" t="e">
        <f t="shared" ca="1" si="145"/>
        <v>#NAME?</v>
      </c>
      <c r="EL281" s="45" t="e">
        <f t="shared" ca="1" si="145"/>
        <v>#NAME?</v>
      </c>
      <c r="EM281" s="45" t="e">
        <f t="shared" ca="1" si="145"/>
        <v>#NAME?</v>
      </c>
      <c r="EN281" s="45" t="e">
        <f t="shared" ca="1" si="145"/>
        <v>#NAME?</v>
      </c>
      <c r="EO281" s="45" t="e">
        <f t="shared" ca="1" si="145"/>
        <v>#NAME?</v>
      </c>
      <c r="EP281" s="45" t="e">
        <f t="shared" ca="1" si="145"/>
        <v>#NAME?</v>
      </c>
      <c r="EQ281" s="45" t="e">
        <f t="shared" ca="1" si="145"/>
        <v>#NAME?</v>
      </c>
      <c r="ER281" s="45" t="e">
        <f t="shared" ca="1" si="145"/>
        <v>#NAME?</v>
      </c>
      <c r="ES281" s="45" t="e">
        <f t="shared" ca="1" si="145"/>
        <v>#NAME?</v>
      </c>
      <c r="ET281" s="45" t="e">
        <f t="shared" ca="1" si="145"/>
        <v>#NAME?</v>
      </c>
      <c r="EU281" s="45" t="e">
        <f t="shared" ca="1" si="145"/>
        <v>#NAME?</v>
      </c>
      <c r="EV281" s="45" t="e">
        <f t="shared" ca="1" si="145"/>
        <v>#NAME?</v>
      </c>
      <c r="EW281" s="45" t="e">
        <f t="shared" ca="1" si="145"/>
        <v>#NAME?</v>
      </c>
      <c r="EX281" s="45" t="e">
        <f t="shared" ca="1" si="145"/>
        <v>#NAME?</v>
      </c>
      <c r="EY281" s="45" t="e">
        <f t="shared" ca="1" si="145"/>
        <v>#NAME?</v>
      </c>
      <c r="EZ281" s="45" t="e">
        <f t="shared" ca="1" si="145"/>
        <v>#NAME?</v>
      </c>
      <c r="FA281" s="45" t="e">
        <f t="shared" ca="1" si="145"/>
        <v>#NAME?</v>
      </c>
      <c r="FB281" s="45" t="e">
        <f t="shared" ca="1" si="145"/>
        <v>#NAME?</v>
      </c>
      <c r="FC281" s="45" t="e">
        <f t="shared" ca="1" si="145"/>
        <v>#NAME?</v>
      </c>
      <c r="FD281" s="45" t="e">
        <f t="shared" ca="1" si="145"/>
        <v>#NAME?</v>
      </c>
      <c r="FE281" s="45" t="e">
        <f t="shared" ca="1" si="145"/>
        <v>#NAME?</v>
      </c>
      <c r="FF281" s="45" t="e">
        <f t="shared" ca="1" si="145"/>
        <v>#NAME?</v>
      </c>
      <c r="FG281" s="45" t="e">
        <f t="shared" ca="1" si="145"/>
        <v>#NAME?</v>
      </c>
      <c r="FH281" s="45" t="e">
        <f t="shared" ca="1" si="145"/>
        <v>#NAME?</v>
      </c>
      <c r="FI281" s="45" t="e">
        <f t="shared" ca="1" si="145"/>
        <v>#NAME?</v>
      </c>
      <c r="FJ281" s="45" t="e">
        <f t="shared" ca="1" si="145"/>
        <v>#NAME?</v>
      </c>
      <c r="FK281" s="45" t="e">
        <f t="shared" ca="1" si="145"/>
        <v>#NAME?</v>
      </c>
      <c r="FL281" s="45" t="e">
        <f t="shared" ca="1" si="145"/>
        <v>#NAME?</v>
      </c>
      <c r="FM281" s="45" t="e">
        <f t="shared" ca="1" si="145"/>
        <v>#NAME?</v>
      </c>
      <c r="FN281" s="45" t="e">
        <f t="shared" ca="1" si="145"/>
        <v>#NAME?</v>
      </c>
      <c r="FO281" s="45" t="e">
        <f t="shared" ca="1" si="145"/>
        <v>#NAME?</v>
      </c>
      <c r="FP281" s="45" t="e">
        <f t="shared" ca="1" si="145"/>
        <v>#NAME?</v>
      </c>
      <c r="FQ281" s="45" t="e">
        <f t="shared" ca="1" si="145"/>
        <v>#NAME?</v>
      </c>
      <c r="FR281" s="45" t="e">
        <f ca="1">IF(ROUND(MIN(FR279,(FR262-FR273),(FR267-FR273)),6)&lt;0,0,(ROUND(MIN(FR279,(FR262-FR273),(FR267-FR273)),6)))-0.000001</f>
        <v>#NAME?</v>
      </c>
      <c r="FS281" s="45" t="e">
        <f ca="1">IF(ROUND(MIN(FS279,(FS262-FS273),(FS267-FS273)),6)&lt;0,0,(ROUND(MIN(FS279,(FS262-FS273),(FS267-FS273)),6)))</f>
        <v>#NAME?</v>
      </c>
      <c r="FT281" s="45" t="e">
        <f ca="1">IF(ROUND(MIN(FT279,(FT262-FT273),(FT267-FT273)),6)&lt;0,0,(ROUND(MIN(FT279,(FT262-FT273),(FT267-FT273)),6)))-0.000001</f>
        <v>#NAME?</v>
      </c>
      <c r="FU281" s="45" t="e">
        <f t="shared" ref="FU281:FX281" ca="1" si="146">IF(ROUND(MIN(FU279,(FU262-FU273),(FU267-FU273)),6)&lt;0,0,(ROUND(MIN(FU279,(FU262-FU273),(FU267-FU273)),6)))</f>
        <v>#NAME?</v>
      </c>
      <c r="FV281" s="45" t="e">
        <f t="shared" ca="1" si="146"/>
        <v>#NAME?</v>
      </c>
      <c r="FW281" s="45" t="e">
        <f t="shared" ca="1" si="146"/>
        <v>#NAME?</v>
      </c>
      <c r="FX281" s="45" t="e">
        <f t="shared" ca="1" si="146"/>
        <v>#NAME?</v>
      </c>
      <c r="FY281" s="45"/>
      <c r="FZ281" s="45" t="e">
        <f ca="1">SUM(C281:FX281)</f>
        <v>#NAME?</v>
      </c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</row>
    <row r="282" spans="1:193" ht="15.5" x14ac:dyDescent="0.35">
      <c r="A282" s="7"/>
      <c r="B282" s="7" t="s">
        <v>1054</v>
      </c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</row>
    <row r="283" spans="1:193" ht="15.5" x14ac:dyDescent="0.35">
      <c r="A283" s="7"/>
      <c r="B283" s="7" t="s">
        <v>1055</v>
      </c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7"/>
      <c r="GB283" s="45"/>
      <c r="GC283" s="45"/>
      <c r="GD283" s="45"/>
      <c r="GE283" s="7"/>
      <c r="GF283" s="7"/>
      <c r="GG283" s="7"/>
      <c r="GH283" s="7"/>
      <c r="GI283" s="7"/>
      <c r="GJ283" s="7"/>
      <c r="GK283" s="7"/>
    </row>
    <row r="284" spans="1:193" ht="15.5" x14ac:dyDescent="0.35">
      <c r="A284" s="12" t="s">
        <v>1056</v>
      </c>
      <c r="B284" s="7" t="s">
        <v>1057</v>
      </c>
      <c r="C284" s="45">
        <v>0</v>
      </c>
      <c r="D284" s="45">
        <v>0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0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0</v>
      </c>
      <c r="BD284" s="45">
        <v>0</v>
      </c>
      <c r="BE284" s="45">
        <v>0</v>
      </c>
      <c r="BF284" s="45">
        <v>0</v>
      </c>
      <c r="BG284" s="45">
        <v>0</v>
      </c>
      <c r="BH284" s="45">
        <v>0</v>
      </c>
      <c r="BI284" s="45">
        <v>0</v>
      </c>
      <c r="BJ284" s="45">
        <v>0</v>
      </c>
      <c r="BK284" s="45">
        <v>0</v>
      </c>
      <c r="BL284" s="45">
        <v>0</v>
      </c>
      <c r="BM284" s="45">
        <v>0</v>
      </c>
      <c r="BN284" s="45">
        <v>0</v>
      </c>
      <c r="BO284" s="45">
        <v>0</v>
      </c>
      <c r="BP284" s="45">
        <v>0</v>
      </c>
      <c r="BQ284" s="45">
        <v>0</v>
      </c>
      <c r="BR284" s="45">
        <v>0</v>
      </c>
      <c r="BS284" s="45">
        <v>0</v>
      </c>
      <c r="BT284" s="45">
        <v>0</v>
      </c>
      <c r="BU284" s="45">
        <v>0</v>
      </c>
      <c r="BV284" s="45">
        <v>0</v>
      </c>
      <c r="BW284" s="45">
        <v>0</v>
      </c>
      <c r="BX284" s="45">
        <v>0</v>
      </c>
      <c r="BY284" s="45">
        <v>0</v>
      </c>
      <c r="BZ284" s="45">
        <v>0</v>
      </c>
      <c r="CA284" s="45">
        <v>0</v>
      </c>
      <c r="CB284" s="45">
        <v>0</v>
      </c>
      <c r="CC284" s="45">
        <v>0</v>
      </c>
      <c r="CD284" s="45">
        <v>0</v>
      </c>
      <c r="CE284" s="45">
        <v>0</v>
      </c>
      <c r="CF284" s="45">
        <v>0</v>
      </c>
      <c r="CG284" s="45">
        <v>0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5">
        <v>0</v>
      </c>
      <c r="DF284" s="45">
        <v>0</v>
      </c>
      <c r="DG284" s="45">
        <v>0</v>
      </c>
      <c r="DH284" s="45">
        <v>0</v>
      </c>
      <c r="DI284" s="45">
        <v>0</v>
      </c>
      <c r="DJ284" s="45">
        <v>0</v>
      </c>
      <c r="DK284" s="45">
        <v>0</v>
      </c>
      <c r="DL284" s="45">
        <v>0</v>
      </c>
      <c r="DM284" s="45">
        <v>0</v>
      </c>
      <c r="DN284" s="45">
        <v>0</v>
      </c>
      <c r="DO284" s="45">
        <v>0</v>
      </c>
      <c r="DP284" s="45">
        <v>0</v>
      </c>
      <c r="DQ284" s="45">
        <v>0</v>
      </c>
      <c r="DR284" s="45">
        <v>0</v>
      </c>
      <c r="DS284" s="45">
        <v>0</v>
      </c>
      <c r="DT284" s="45">
        <v>0</v>
      </c>
      <c r="DU284" s="45">
        <v>0</v>
      </c>
      <c r="DV284" s="45">
        <v>0</v>
      </c>
      <c r="DW284" s="45">
        <v>0</v>
      </c>
      <c r="DX284" s="45">
        <v>0</v>
      </c>
      <c r="DY284" s="45">
        <v>0</v>
      </c>
      <c r="DZ284" s="45">
        <v>0</v>
      </c>
      <c r="EA284" s="45">
        <v>0</v>
      </c>
      <c r="EB284" s="45">
        <v>0</v>
      </c>
      <c r="EC284" s="45">
        <v>0</v>
      </c>
      <c r="ED284" s="45">
        <v>0</v>
      </c>
      <c r="EE284" s="45">
        <v>0</v>
      </c>
      <c r="EF284" s="45">
        <v>0</v>
      </c>
      <c r="EG284" s="45">
        <v>0</v>
      </c>
      <c r="EH284" s="45">
        <v>0</v>
      </c>
      <c r="EI284" s="45">
        <v>0</v>
      </c>
      <c r="EJ284" s="45">
        <v>0</v>
      </c>
      <c r="EK284" s="45">
        <v>0</v>
      </c>
      <c r="EL284" s="45">
        <v>0</v>
      </c>
      <c r="EM284" s="45">
        <v>0</v>
      </c>
      <c r="EN284" s="45">
        <v>0</v>
      </c>
      <c r="EO284" s="45">
        <v>0</v>
      </c>
      <c r="EP284" s="45">
        <v>0</v>
      </c>
      <c r="EQ284" s="45">
        <v>0</v>
      </c>
      <c r="ER284" s="45">
        <v>0</v>
      </c>
      <c r="ES284" s="45">
        <v>0</v>
      </c>
      <c r="ET284" s="45">
        <v>0</v>
      </c>
      <c r="EU284" s="45">
        <v>0</v>
      </c>
      <c r="EV284" s="45">
        <v>0</v>
      </c>
      <c r="EW284" s="45">
        <v>0</v>
      </c>
      <c r="EX284" s="45">
        <v>0</v>
      </c>
      <c r="EY284" s="45">
        <v>0</v>
      </c>
      <c r="EZ284" s="45">
        <v>0</v>
      </c>
      <c r="FA284" s="45">
        <v>0</v>
      </c>
      <c r="FB284" s="45">
        <v>0</v>
      </c>
      <c r="FC284" s="45">
        <v>0</v>
      </c>
      <c r="FD284" s="45">
        <v>0</v>
      </c>
      <c r="FE284" s="45">
        <v>0</v>
      </c>
      <c r="FF284" s="45">
        <v>0</v>
      </c>
      <c r="FG284" s="45">
        <v>0</v>
      </c>
      <c r="FH284" s="45">
        <v>0</v>
      </c>
      <c r="FI284" s="45">
        <v>0</v>
      </c>
      <c r="FJ284" s="45">
        <v>0</v>
      </c>
      <c r="FK284" s="45">
        <v>0</v>
      </c>
      <c r="FL284" s="45">
        <v>0</v>
      </c>
      <c r="FM284" s="45">
        <v>0</v>
      </c>
      <c r="FN284" s="45">
        <v>0</v>
      </c>
      <c r="FO284" s="45">
        <v>0</v>
      </c>
      <c r="FP284" s="45">
        <v>0</v>
      </c>
      <c r="FQ284" s="45">
        <v>0</v>
      </c>
      <c r="FR284" s="45">
        <v>0</v>
      </c>
      <c r="FS284" s="45">
        <v>0</v>
      </c>
      <c r="FT284" s="45">
        <v>0</v>
      </c>
      <c r="FU284" s="45">
        <v>0</v>
      </c>
      <c r="FV284" s="45">
        <v>0</v>
      </c>
      <c r="FW284" s="45">
        <v>0</v>
      </c>
      <c r="FX284" s="45">
        <v>0</v>
      </c>
      <c r="FY284" s="45"/>
      <c r="FZ284" s="45"/>
      <c r="GA284" s="7"/>
      <c r="GB284" s="45"/>
      <c r="GC284" s="45"/>
      <c r="GD284" s="45"/>
      <c r="GE284" s="7"/>
      <c r="GF284" s="7"/>
      <c r="GG284" s="7"/>
      <c r="GH284" s="7"/>
      <c r="GI284" s="7"/>
      <c r="GJ284" s="7"/>
      <c r="GK284" s="7"/>
    </row>
    <row r="285" spans="1:193" ht="15.5" x14ac:dyDescent="0.35">
      <c r="A285" s="12" t="s">
        <v>1058</v>
      </c>
      <c r="B285" s="7" t="s">
        <v>1059</v>
      </c>
      <c r="C285" s="45" t="e">
        <f t="shared" ref="C285:FX285" ca="1" si="147">IF(C272&gt;0,C284,C281)</f>
        <v>#NAME?</v>
      </c>
      <c r="D285" s="45" t="e">
        <f t="shared" ca="1" si="147"/>
        <v>#NAME?</v>
      </c>
      <c r="E285" s="45" t="e">
        <f t="shared" ca="1" si="147"/>
        <v>#NAME?</v>
      </c>
      <c r="F285" s="45" t="e">
        <f t="shared" ca="1" si="147"/>
        <v>#NAME?</v>
      </c>
      <c r="G285" s="45" t="e">
        <f t="shared" ca="1" si="147"/>
        <v>#NAME?</v>
      </c>
      <c r="H285" s="45" t="e">
        <f t="shared" ca="1" si="147"/>
        <v>#NAME?</v>
      </c>
      <c r="I285" s="45" t="e">
        <f t="shared" ca="1" si="147"/>
        <v>#NAME?</v>
      </c>
      <c r="J285" s="45" t="e">
        <f t="shared" ca="1" si="147"/>
        <v>#NAME?</v>
      </c>
      <c r="K285" s="45" t="e">
        <f t="shared" ca="1" si="147"/>
        <v>#NAME?</v>
      </c>
      <c r="L285" s="45" t="e">
        <f t="shared" ca="1" si="147"/>
        <v>#NAME?</v>
      </c>
      <c r="M285" s="45" t="e">
        <f t="shared" ca="1" si="147"/>
        <v>#NAME?</v>
      </c>
      <c r="N285" s="45" t="e">
        <f t="shared" ca="1" si="147"/>
        <v>#NAME?</v>
      </c>
      <c r="O285" s="45" t="e">
        <f t="shared" ca="1" si="147"/>
        <v>#NAME?</v>
      </c>
      <c r="P285" s="45" t="e">
        <f t="shared" ca="1" si="147"/>
        <v>#NAME?</v>
      </c>
      <c r="Q285" s="45" t="e">
        <f t="shared" ca="1" si="147"/>
        <v>#NAME?</v>
      </c>
      <c r="R285" s="45" t="e">
        <f t="shared" ca="1" si="147"/>
        <v>#NAME?</v>
      </c>
      <c r="S285" s="45" t="e">
        <f t="shared" ca="1" si="147"/>
        <v>#NAME?</v>
      </c>
      <c r="T285" s="45" t="e">
        <f t="shared" ca="1" si="147"/>
        <v>#NAME?</v>
      </c>
      <c r="U285" s="45" t="e">
        <f t="shared" ca="1" si="147"/>
        <v>#NAME?</v>
      </c>
      <c r="V285" s="45" t="e">
        <f t="shared" ca="1" si="147"/>
        <v>#NAME?</v>
      </c>
      <c r="W285" s="45" t="e">
        <f t="shared" ca="1" si="147"/>
        <v>#NAME?</v>
      </c>
      <c r="X285" s="45" t="e">
        <f t="shared" ca="1" si="147"/>
        <v>#NAME?</v>
      </c>
      <c r="Y285" s="45" t="e">
        <f t="shared" ca="1" si="147"/>
        <v>#NAME?</v>
      </c>
      <c r="Z285" s="45" t="e">
        <f t="shared" ca="1" si="147"/>
        <v>#NAME?</v>
      </c>
      <c r="AA285" s="45" t="e">
        <f t="shared" ca="1" si="147"/>
        <v>#NAME?</v>
      </c>
      <c r="AB285" s="45" t="e">
        <f t="shared" ca="1" si="147"/>
        <v>#NAME?</v>
      </c>
      <c r="AC285" s="45" t="e">
        <f t="shared" ca="1" si="147"/>
        <v>#NAME?</v>
      </c>
      <c r="AD285" s="45" t="e">
        <f t="shared" ca="1" si="147"/>
        <v>#NAME?</v>
      </c>
      <c r="AE285" s="45" t="e">
        <f t="shared" ca="1" si="147"/>
        <v>#NAME?</v>
      </c>
      <c r="AF285" s="45" t="e">
        <f t="shared" ca="1" si="147"/>
        <v>#NAME?</v>
      </c>
      <c r="AG285" s="45" t="e">
        <f t="shared" ca="1" si="147"/>
        <v>#NAME?</v>
      </c>
      <c r="AH285" s="45" t="e">
        <f t="shared" ca="1" si="147"/>
        <v>#NAME?</v>
      </c>
      <c r="AI285" s="45" t="e">
        <f t="shared" ca="1" si="147"/>
        <v>#NAME?</v>
      </c>
      <c r="AJ285" s="45" t="e">
        <f t="shared" ca="1" si="147"/>
        <v>#NAME?</v>
      </c>
      <c r="AK285" s="45" t="e">
        <f t="shared" ca="1" si="147"/>
        <v>#NAME?</v>
      </c>
      <c r="AL285" s="45" t="e">
        <f t="shared" ca="1" si="147"/>
        <v>#NAME?</v>
      </c>
      <c r="AM285" s="45" t="e">
        <f t="shared" ca="1" si="147"/>
        <v>#NAME?</v>
      </c>
      <c r="AN285" s="45" t="e">
        <f t="shared" ca="1" si="147"/>
        <v>#NAME?</v>
      </c>
      <c r="AO285" s="45" t="e">
        <f t="shared" ca="1" si="147"/>
        <v>#NAME?</v>
      </c>
      <c r="AP285" s="45" t="e">
        <f t="shared" ca="1" si="147"/>
        <v>#NAME?</v>
      </c>
      <c r="AQ285" s="45" t="e">
        <f t="shared" ca="1" si="147"/>
        <v>#NAME?</v>
      </c>
      <c r="AR285" s="45" t="e">
        <f t="shared" ca="1" si="147"/>
        <v>#NAME?</v>
      </c>
      <c r="AS285" s="45" t="e">
        <f t="shared" ca="1" si="147"/>
        <v>#NAME?</v>
      </c>
      <c r="AT285" s="45" t="e">
        <f t="shared" ca="1" si="147"/>
        <v>#NAME?</v>
      </c>
      <c r="AU285" s="45" t="e">
        <f t="shared" ca="1" si="147"/>
        <v>#NAME?</v>
      </c>
      <c r="AV285" s="45" t="e">
        <f t="shared" ca="1" si="147"/>
        <v>#NAME?</v>
      </c>
      <c r="AW285" s="45" t="e">
        <f t="shared" ca="1" si="147"/>
        <v>#NAME?</v>
      </c>
      <c r="AX285" s="45" t="e">
        <f t="shared" ca="1" si="147"/>
        <v>#NAME?</v>
      </c>
      <c r="AY285" s="45" t="e">
        <f t="shared" ca="1" si="147"/>
        <v>#NAME?</v>
      </c>
      <c r="AZ285" s="45" t="e">
        <f t="shared" ca="1" si="147"/>
        <v>#NAME?</v>
      </c>
      <c r="BA285" s="45" t="e">
        <f t="shared" ca="1" si="147"/>
        <v>#NAME?</v>
      </c>
      <c r="BB285" s="45" t="e">
        <f t="shared" ca="1" si="147"/>
        <v>#NAME?</v>
      </c>
      <c r="BC285" s="45" t="e">
        <f t="shared" ca="1" si="147"/>
        <v>#NAME?</v>
      </c>
      <c r="BD285" s="45" t="e">
        <f t="shared" ca="1" si="147"/>
        <v>#NAME?</v>
      </c>
      <c r="BE285" s="45" t="e">
        <f t="shared" ca="1" si="147"/>
        <v>#NAME?</v>
      </c>
      <c r="BF285" s="45" t="e">
        <f t="shared" ca="1" si="147"/>
        <v>#NAME?</v>
      </c>
      <c r="BG285" s="45" t="e">
        <f t="shared" ca="1" si="147"/>
        <v>#NAME?</v>
      </c>
      <c r="BH285" s="45" t="e">
        <f t="shared" ca="1" si="147"/>
        <v>#NAME?</v>
      </c>
      <c r="BI285" s="45" t="e">
        <f t="shared" ca="1" si="147"/>
        <v>#NAME?</v>
      </c>
      <c r="BJ285" s="45" t="e">
        <f t="shared" ca="1" si="147"/>
        <v>#NAME?</v>
      </c>
      <c r="BK285" s="45" t="e">
        <f t="shared" ca="1" si="147"/>
        <v>#NAME?</v>
      </c>
      <c r="BL285" s="45" t="e">
        <f t="shared" ca="1" si="147"/>
        <v>#NAME?</v>
      </c>
      <c r="BM285" s="45" t="e">
        <f t="shared" ca="1" si="147"/>
        <v>#NAME?</v>
      </c>
      <c r="BN285" s="45" t="e">
        <f t="shared" ca="1" si="147"/>
        <v>#NAME?</v>
      </c>
      <c r="BO285" s="45" t="e">
        <f t="shared" ca="1" si="147"/>
        <v>#NAME?</v>
      </c>
      <c r="BP285" s="45" t="e">
        <f t="shared" ca="1" si="147"/>
        <v>#NAME?</v>
      </c>
      <c r="BQ285" s="45" t="e">
        <f t="shared" ca="1" si="147"/>
        <v>#NAME?</v>
      </c>
      <c r="BR285" s="45" t="e">
        <f t="shared" ca="1" si="147"/>
        <v>#NAME?</v>
      </c>
      <c r="BS285" s="45" t="e">
        <f t="shared" ca="1" si="147"/>
        <v>#NAME?</v>
      </c>
      <c r="BT285" s="45" t="e">
        <f t="shared" ca="1" si="147"/>
        <v>#NAME?</v>
      </c>
      <c r="BU285" s="45" t="e">
        <f t="shared" ca="1" si="147"/>
        <v>#NAME?</v>
      </c>
      <c r="BV285" s="45" t="e">
        <f t="shared" ca="1" si="147"/>
        <v>#NAME?</v>
      </c>
      <c r="BW285" s="45" t="e">
        <f t="shared" ca="1" si="147"/>
        <v>#NAME?</v>
      </c>
      <c r="BX285" s="45" t="e">
        <f t="shared" ca="1" si="147"/>
        <v>#NAME?</v>
      </c>
      <c r="BY285" s="45" t="e">
        <f t="shared" ca="1" si="147"/>
        <v>#NAME?</v>
      </c>
      <c r="BZ285" s="45" t="e">
        <f t="shared" ca="1" si="147"/>
        <v>#NAME?</v>
      </c>
      <c r="CA285" s="45" t="e">
        <f t="shared" ca="1" si="147"/>
        <v>#NAME?</v>
      </c>
      <c r="CB285" s="45" t="e">
        <f t="shared" ca="1" si="147"/>
        <v>#NAME?</v>
      </c>
      <c r="CC285" s="45" t="e">
        <f t="shared" ca="1" si="147"/>
        <v>#NAME?</v>
      </c>
      <c r="CD285" s="45" t="e">
        <f t="shared" ca="1" si="147"/>
        <v>#NAME?</v>
      </c>
      <c r="CE285" s="45" t="e">
        <f t="shared" ca="1" si="147"/>
        <v>#NAME?</v>
      </c>
      <c r="CF285" s="45" t="e">
        <f t="shared" ca="1" si="147"/>
        <v>#NAME?</v>
      </c>
      <c r="CG285" s="45" t="e">
        <f t="shared" ca="1" si="147"/>
        <v>#NAME?</v>
      </c>
      <c r="CH285" s="45" t="e">
        <f t="shared" ca="1" si="147"/>
        <v>#NAME?</v>
      </c>
      <c r="CI285" s="45" t="e">
        <f t="shared" ca="1" si="147"/>
        <v>#NAME?</v>
      </c>
      <c r="CJ285" s="45" t="e">
        <f t="shared" ca="1" si="147"/>
        <v>#NAME?</v>
      </c>
      <c r="CK285" s="45" t="e">
        <f t="shared" ca="1" si="147"/>
        <v>#NAME?</v>
      </c>
      <c r="CL285" s="45" t="e">
        <f t="shared" ca="1" si="147"/>
        <v>#NAME?</v>
      </c>
      <c r="CM285" s="45" t="e">
        <f t="shared" ca="1" si="147"/>
        <v>#NAME?</v>
      </c>
      <c r="CN285" s="45" t="e">
        <f t="shared" ca="1" si="147"/>
        <v>#NAME?</v>
      </c>
      <c r="CO285" s="45" t="e">
        <f t="shared" ca="1" si="147"/>
        <v>#NAME?</v>
      </c>
      <c r="CP285" s="45" t="e">
        <f t="shared" ca="1" si="147"/>
        <v>#NAME?</v>
      </c>
      <c r="CQ285" s="45" t="e">
        <f t="shared" ca="1" si="147"/>
        <v>#NAME?</v>
      </c>
      <c r="CR285" s="45" t="e">
        <f t="shared" ca="1" si="147"/>
        <v>#NAME?</v>
      </c>
      <c r="CS285" s="45" t="e">
        <f t="shared" ca="1" si="147"/>
        <v>#NAME?</v>
      </c>
      <c r="CT285" s="45" t="e">
        <f t="shared" ca="1" si="147"/>
        <v>#NAME?</v>
      </c>
      <c r="CU285" s="45" t="e">
        <f t="shared" ca="1" si="147"/>
        <v>#NAME?</v>
      </c>
      <c r="CV285" s="45" t="e">
        <f t="shared" ca="1" si="147"/>
        <v>#NAME?</v>
      </c>
      <c r="CW285" s="45" t="e">
        <f t="shared" ca="1" si="147"/>
        <v>#NAME?</v>
      </c>
      <c r="CX285" s="45" t="e">
        <f t="shared" ca="1" si="147"/>
        <v>#NAME?</v>
      </c>
      <c r="CY285" s="45" t="e">
        <f t="shared" ca="1" si="147"/>
        <v>#NAME?</v>
      </c>
      <c r="CZ285" s="45" t="e">
        <f t="shared" ca="1" si="147"/>
        <v>#NAME?</v>
      </c>
      <c r="DA285" s="45" t="e">
        <f t="shared" ca="1" si="147"/>
        <v>#NAME?</v>
      </c>
      <c r="DB285" s="45" t="e">
        <f t="shared" ca="1" si="147"/>
        <v>#NAME?</v>
      </c>
      <c r="DC285" s="45" t="e">
        <f t="shared" ca="1" si="147"/>
        <v>#NAME?</v>
      </c>
      <c r="DD285" s="45" t="e">
        <f t="shared" ca="1" si="147"/>
        <v>#NAME?</v>
      </c>
      <c r="DE285" s="45" t="e">
        <f t="shared" ca="1" si="147"/>
        <v>#NAME?</v>
      </c>
      <c r="DF285" s="45" t="e">
        <f t="shared" ca="1" si="147"/>
        <v>#NAME?</v>
      </c>
      <c r="DG285" s="45" t="e">
        <f t="shared" ca="1" si="147"/>
        <v>#NAME?</v>
      </c>
      <c r="DH285" s="45" t="e">
        <f t="shared" ca="1" si="147"/>
        <v>#NAME?</v>
      </c>
      <c r="DI285" s="45" t="e">
        <f t="shared" ca="1" si="147"/>
        <v>#NAME?</v>
      </c>
      <c r="DJ285" s="45" t="e">
        <f t="shared" ca="1" si="147"/>
        <v>#NAME?</v>
      </c>
      <c r="DK285" s="45" t="e">
        <f t="shared" ca="1" si="147"/>
        <v>#NAME?</v>
      </c>
      <c r="DL285" s="45" t="e">
        <f t="shared" ca="1" si="147"/>
        <v>#NAME?</v>
      </c>
      <c r="DM285" s="45" t="e">
        <f t="shared" ca="1" si="147"/>
        <v>#NAME?</v>
      </c>
      <c r="DN285" s="45" t="e">
        <f t="shared" ca="1" si="147"/>
        <v>#NAME?</v>
      </c>
      <c r="DO285" s="45" t="e">
        <f t="shared" ca="1" si="147"/>
        <v>#NAME?</v>
      </c>
      <c r="DP285" s="45" t="e">
        <f t="shared" ca="1" si="147"/>
        <v>#NAME?</v>
      </c>
      <c r="DQ285" s="45" t="e">
        <f t="shared" ca="1" si="147"/>
        <v>#NAME?</v>
      </c>
      <c r="DR285" s="45" t="e">
        <f t="shared" ca="1" si="147"/>
        <v>#NAME?</v>
      </c>
      <c r="DS285" s="45" t="e">
        <f t="shared" ca="1" si="147"/>
        <v>#NAME?</v>
      </c>
      <c r="DT285" s="45" t="e">
        <f t="shared" ca="1" si="147"/>
        <v>#NAME?</v>
      </c>
      <c r="DU285" s="45" t="e">
        <f t="shared" ca="1" si="147"/>
        <v>#NAME?</v>
      </c>
      <c r="DV285" s="45" t="e">
        <f t="shared" ca="1" si="147"/>
        <v>#NAME?</v>
      </c>
      <c r="DW285" s="45" t="e">
        <f t="shared" ca="1" si="147"/>
        <v>#NAME?</v>
      </c>
      <c r="DX285" s="45" t="e">
        <f t="shared" ca="1" si="147"/>
        <v>#NAME?</v>
      </c>
      <c r="DY285" s="45" t="e">
        <f t="shared" ca="1" si="147"/>
        <v>#NAME?</v>
      </c>
      <c r="DZ285" s="45" t="e">
        <f t="shared" ca="1" si="147"/>
        <v>#NAME?</v>
      </c>
      <c r="EA285" s="45" t="e">
        <f t="shared" ca="1" si="147"/>
        <v>#NAME?</v>
      </c>
      <c r="EB285" s="45" t="e">
        <f t="shared" ca="1" si="147"/>
        <v>#NAME?</v>
      </c>
      <c r="EC285" s="45" t="e">
        <f t="shared" ca="1" si="147"/>
        <v>#NAME?</v>
      </c>
      <c r="ED285" s="45" t="e">
        <f t="shared" ca="1" si="147"/>
        <v>#NAME?</v>
      </c>
      <c r="EE285" s="45" t="e">
        <f t="shared" ca="1" si="147"/>
        <v>#NAME?</v>
      </c>
      <c r="EF285" s="45" t="e">
        <f t="shared" ca="1" si="147"/>
        <v>#NAME?</v>
      </c>
      <c r="EG285" s="45" t="e">
        <f t="shared" ca="1" si="147"/>
        <v>#NAME?</v>
      </c>
      <c r="EH285" s="45" t="e">
        <f t="shared" ca="1" si="147"/>
        <v>#NAME?</v>
      </c>
      <c r="EI285" s="45" t="e">
        <f t="shared" ca="1" si="147"/>
        <v>#NAME?</v>
      </c>
      <c r="EJ285" s="45" t="e">
        <f t="shared" ca="1" si="147"/>
        <v>#NAME?</v>
      </c>
      <c r="EK285" s="45" t="e">
        <f t="shared" ca="1" si="147"/>
        <v>#NAME?</v>
      </c>
      <c r="EL285" s="45" t="e">
        <f t="shared" ca="1" si="147"/>
        <v>#NAME?</v>
      </c>
      <c r="EM285" s="45" t="e">
        <f t="shared" ca="1" si="147"/>
        <v>#NAME?</v>
      </c>
      <c r="EN285" s="45" t="e">
        <f t="shared" ca="1" si="147"/>
        <v>#NAME?</v>
      </c>
      <c r="EO285" s="45" t="e">
        <f t="shared" ca="1" si="147"/>
        <v>#NAME?</v>
      </c>
      <c r="EP285" s="45" t="e">
        <f t="shared" ca="1" si="147"/>
        <v>#NAME?</v>
      </c>
      <c r="EQ285" s="45" t="e">
        <f t="shared" ca="1" si="147"/>
        <v>#NAME?</v>
      </c>
      <c r="ER285" s="45" t="e">
        <f t="shared" ca="1" si="147"/>
        <v>#NAME?</v>
      </c>
      <c r="ES285" s="45" t="e">
        <f t="shared" ca="1" si="147"/>
        <v>#NAME?</v>
      </c>
      <c r="ET285" s="45" t="e">
        <f t="shared" ca="1" si="147"/>
        <v>#NAME?</v>
      </c>
      <c r="EU285" s="45" t="e">
        <f t="shared" ca="1" si="147"/>
        <v>#NAME?</v>
      </c>
      <c r="EV285" s="45" t="e">
        <f t="shared" ca="1" si="147"/>
        <v>#NAME?</v>
      </c>
      <c r="EW285" s="45" t="e">
        <f t="shared" ca="1" si="147"/>
        <v>#NAME?</v>
      </c>
      <c r="EX285" s="45" t="e">
        <f t="shared" ca="1" si="147"/>
        <v>#NAME?</v>
      </c>
      <c r="EY285" s="45" t="e">
        <f t="shared" ca="1" si="147"/>
        <v>#NAME?</v>
      </c>
      <c r="EZ285" s="45" t="e">
        <f t="shared" ca="1" si="147"/>
        <v>#NAME?</v>
      </c>
      <c r="FA285" s="45" t="e">
        <f t="shared" ca="1" si="147"/>
        <v>#NAME?</v>
      </c>
      <c r="FB285" s="45" t="e">
        <f t="shared" ca="1" si="147"/>
        <v>#NAME?</v>
      </c>
      <c r="FC285" s="45" t="e">
        <f t="shared" ca="1" si="147"/>
        <v>#NAME?</v>
      </c>
      <c r="FD285" s="45" t="e">
        <f t="shared" ca="1" si="147"/>
        <v>#NAME?</v>
      </c>
      <c r="FE285" s="45" t="e">
        <f t="shared" ca="1" si="147"/>
        <v>#NAME?</v>
      </c>
      <c r="FF285" s="45" t="e">
        <f t="shared" ca="1" si="147"/>
        <v>#NAME?</v>
      </c>
      <c r="FG285" s="45" t="e">
        <f t="shared" ca="1" si="147"/>
        <v>#NAME?</v>
      </c>
      <c r="FH285" s="45" t="e">
        <f t="shared" ca="1" si="147"/>
        <v>#NAME?</v>
      </c>
      <c r="FI285" s="45" t="e">
        <f t="shared" ca="1" si="147"/>
        <v>#NAME?</v>
      </c>
      <c r="FJ285" s="45" t="e">
        <f t="shared" ca="1" si="147"/>
        <v>#NAME?</v>
      </c>
      <c r="FK285" s="45" t="e">
        <f t="shared" ca="1" si="147"/>
        <v>#NAME?</v>
      </c>
      <c r="FL285" s="45" t="e">
        <f t="shared" ca="1" si="147"/>
        <v>#NAME?</v>
      </c>
      <c r="FM285" s="45" t="e">
        <f t="shared" ca="1" si="147"/>
        <v>#NAME?</v>
      </c>
      <c r="FN285" s="45" t="e">
        <f t="shared" ca="1" si="147"/>
        <v>#NAME?</v>
      </c>
      <c r="FO285" s="45" t="e">
        <f t="shared" ca="1" si="147"/>
        <v>#NAME?</v>
      </c>
      <c r="FP285" s="45" t="e">
        <f t="shared" ca="1" si="147"/>
        <v>#NAME?</v>
      </c>
      <c r="FQ285" s="45" t="e">
        <f t="shared" ca="1" si="147"/>
        <v>#NAME?</v>
      </c>
      <c r="FR285" s="45" t="e">
        <f t="shared" ca="1" si="147"/>
        <v>#NAME?</v>
      </c>
      <c r="FS285" s="45" t="e">
        <f t="shared" ca="1" si="147"/>
        <v>#NAME?</v>
      </c>
      <c r="FT285" s="45" t="e">
        <f t="shared" ca="1" si="147"/>
        <v>#NAME?</v>
      </c>
      <c r="FU285" s="45" t="e">
        <f t="shared" ca="1" si="147"/>
        <v>#NAME?</v>
      </c>
      <c r="FV285" s="45" t="e">
        <f t="shared" ca="1" si="147"/>
        <v>#NAME?</v>
      </c>
      <c r="FW285" s="45" t="e">
        <f t="shared" ca="1" si="147"/>
        <v>#NAME?</v>
      </c>
      <c r="FX285" s="45" t="e">
        <f t="shared" ca="1" si="147"/>
        <v>#NAME?</v>
      </c>
      <c r="FY285" s="45"/>
      <c r="FZ285" s="45" t="e">
        <f ca="1">SUM(C285:FX285)</f>
        <v>#NAME?</v>
      </c>
      <c r="GA285" s="7"/>
      <c r="GB285" s="45"/>
      <c r="GC285" s="45"/>
      <c r="GD285" s="45"/>
      <c r="GE285" s="7"/>
      <c r="GF285" s="7"/>
      <c r="GG285" s="7"/>
      <c r="GH285" s="7"/>
      <c r="GI285" s="7"/>
      <c r="GJ285" s="7"/>
      <c r="GK285" s="7"/>
    </row>
    <row r="286" spans="1:193" ht="15.5" x14ac:dyDescent="0.35">
      <c r="A286" s="7"/>
      <c r="B286" s="7" t="s">
        <v>1060</v>
      </c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45"/>
      <c r="FZ286" s="45" t="s">
        <v>739</v>
      </c>
      <c r="GA286" s="7"/>
      <c r="GB286" s="45"/>
      <c r="GC286" s="7"/>
      <c r="GD286" s="45"/>
      <c r="GE286" s="7"/>
      <c r="GF286" s="7"/>
      <c r="GG286" s="7"/>
      <c r="GH286" s="7"/>
      <c r="GI286" s="7"/>
      <c r="GJ286" s="7"/>
      <c r="GK286" s="7"/>
    </row>
    <row r="287" spans="1:193" ht="15.5" x14ac:dyDescent="0.35">
      <c r="A287" s="12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45"/>
      <c r="FZ287" s="45"/>
      <c r="GA287" s="7"/>
      <c r="GB287" s="112"/>
      <c r="GC287" s="7"/>
      <c r="GD287" s="45"/>
      <c r="GE287" s="7"/>
      <c r="GF287" s="7"/>
      <c r="GG287" s="7"/>
      <c r="GH287" s="7"/>
      <c r="GI287" s="7"/>
      <c r="GJ287" s="7"/>
      <c r="GK287" s="7"/>
    </row>
    <row r="288" spans="1:193" ht="15.5" x14ac:dyDescent="0.35">
      <c r="A288" s="12" t="s">
        <v>684</v>
      </c>
      <c r="B288" s="5" t="s">
        <v>1061</v>
      </c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</row>
    <row r="289" spans="1:193" ht="15.5" x14ac:dyDescent="0.35">
      <c r="A289" s="12" t="s">
        <v>703</v>
      </c>
      <c r="B289" s="7" t="s">
        <v>1062</v>
      </c>
      <c r="C289" s="7" t="e">
        <f t="shared" ref="C289:FX289" ca="1" si="148">C259</f>
        <v>#NAME?</v>
      </c>
      <c r="D289" s="7" t="e">
        <f t="shared" ca="1" si="148"/>
        <v>#NAME?</v>
      </c>
      <c r="E289" s="7" t="e">
        <f t="shared" ca="1" si="148"/>
        <v>#NAME?</v>
      </c>
      <c r="F289" s="7" t="e">
        <f t="shared" ca="1" si="148"/>
        <v>#NAME?</v>
      </c>
      <c r="G289" s="7" t="e">
        <f t="shared" ca="1" si="148"/>
        <v>#NAME?</v>
      </c>
      <c r="H289" s="7" t="e">
        <f t="shared" ca="1" si="148"/>
        <v>#NAME?</v>
      </c>
      <c r="I289" s="7" t="e">
        <f t="shared" ca="1" si="148"/>
        <v>#NAME?</v>
      </c>
      <c r="J289" s="7" t="e">
        <f t="shared" ca="1" si="148"/>
        <v>#NAME?</v>
      </c>
      <c r="K289" s="7" t="e">
        <f t="shared" ca="1" si="148"/>
        <v>#NAME?</v>
      </c>
      <c r="L289" s="7" t="e">
        <f t="shared" ca="1" si="148"/>
        <v>#NAME?</v>
      </c>
      <c r="M289" s="7" t="e">
        <f t="shared" ca="1" si="148"/>
        <v>#NAME?</v>
      </c>
      <c r="N289" s="7" t="e">
        <f t="shared" ca="1" si="148"/>
        <v>#NAME?</v>
      </c>
      <c r="O289" s="7" t="e">
        <f t="shared" ca="1" si="148"/>
        <v>#NAME?</v>
      </c>
      <c r="P289" s="7" t="e">
        <f t="shared" ca="1" si="148"/>
        <v>#NAME?</v>
      </c>
      <c r="Q289" s="7" t="e">
        <f t="shared" ca="1" si="148"/>
        <v>#NAME?</v>
      </c>
      <c r="R289" s="7" t="e">
        <f t="shared" ca="1" si="148"/>
        <v>#NAME?</v>
      </c>
      <c r="S289" s="7" t="e">
        <f t="shared" ca="1" si="148"/>
        <v>#NAME?</v>
      </c>
      <c r="T289" s="7" t="e">
        <f t="shared" ca="1" si="148"/>
        <v>#NAME?</v>
      </c>
      <c r="U289" s="7" t="e">
        <f t="shared" ca="1" si="148"/>
        <v>#NAME?</v>
      </c>
      <c r="V289" s="7" t="e">
        <f t="shared" ca="1" si="148"/>
        <v>#NAME?</v>
      </c>
      <c r="W289" s="7" t="e">
        <f t="shared" ca="1" si="148"/>
        <v>#NAME?</v>
      </c>
      <c r="X289" s="7" t="e">
        <f t="shared" ca="1" si="148"/>
        <v>#NAME?</v>
      </c>
      <c r="Y289" s="7" t="e">
        <f t="shared" ca="1" si="148"/>
        <v>#NAME?</v>
      </c>
      <c r="Z289" s="7" t="e">
        <f t="shared" ca="1" si="148"/>
        <v>#NAME?</v>
      </c>
      <c r="AA289" s="7" t="e">
        <f t="shared" ca="1" si="148"/>
        <v>#NAME?</v>
      </c>
      <c r="AB289" s="7" t="e">
        <f t="shared" ca="1" si="148"/>
        <v>#NAME?</v>
      </c>
      <c r="AC289" s="7" t="e">
        <f t="shared" ca="1" si="148"/>
        <v>#NAME?</v>
      </c>
      <c r="AD289" s="7" t="e">
        <f t="shared" ca="1" si="148"/>
        <v>#NAME?</v>
      </c>
      <c r="AE289" s="7" t="e">
        <f t="shared" ca="1" si="148"/>
        <v>#NAME?</v>
      </c>
      <c r="AF289" s="7" t="e">
        <f t="shared" ca="1" si="148"/>
        <v>#NAME?</v>
      </c>
      <c r="AG289" s="7" t="e">
        <f t="shared" ca="1" si="148"/>
        <v>#NAME?</v>
      </c>
      <c r="AH289" s="7" t="e">
        <f t="shared" ca="1" si="148"/>
        <v>#NAME?</v>
      </c>
      <c r="AI289" s="7" t="e">
        <f t="shared" ca="1" si="148"/>
        <v>#NAME?</v>
      </c>
      <c r="AJ289" s="7" t="e">
        <f t="shared" ca="1" si="148"/>
        <v>#NAME?</v>
      </c>
      <c r="AK289" s="7" t="e">
        <f t="shared" ca="1" si="148"/>
        <v>#NAME?</v>
      </c>
      <c r="AL289" s="7" t="e">
        <f t="shared" ca="1" si="148"/>
        <v>#NAME?</v>
      </c>
      <c r="AM289" s="7" t="e">
        <f t="shared" ca="1" si="148"/>
        <v>#NAME?</v>
      </c>
      <c r="AN289" s="7" t="e">
        <f t="shared" ca="1" si="148"/>
        <v>#NAME?</v>
      </c>
      <c r="AO289" s="7" t="e">
        <f t="shared" ca="1" si="148"/>
        <v>#NAME?</v>
      </c>
      <c r="AP289" s="7" t="e">
        <f t="shared" ca="1" si="148"/>
        <v>#NAME?</v>
      </c>
      <c r="AQ289" s="7" t="e">
        <f t="shared" ca="1" si="148"/>
        <v>#NAME?</v>
      </c>
      <c r="AR289" s="7" t="e">
        <f t="shared" ca="1" si="148"/>
        <v>#NAME?</v>
      </c>
      <c r="AS289" s="7" t="e">
        <f t="shared" ca="1" si="148"/>
        <v>#NAME?</v>
      </c>
      <c r="AT289" s="7" t="e">
        <f t="shared" ca="1" si="148"/>
        <v>#NAME?</v>
      </c>
      <c r="AU289" s="7" t="e">
        <f t="shared" ca="1" si="148"/>
        <v>#NAME?</v>
      </c>
      <c r="AV289" s="7" t="e">
        <f t="shared" ca="1" si="148"/>
        <v>#NAME?</v>
      </c>
      <c r="AW289" s="7" t="e">
        <f t="shared" ca="1" si="148"/>
        <v>#NAME?</v>
      </c>
      <c r="AX289" s="7" t="e">
        <f t="shared" ca="1" si="148"/>
        <v>#NAME?</v>
      </c>
      <c r="AY289" s="7" t="e">
        <f t="shared" ca="1" si="148"/>
        <v>#NAME?</v>
      </c>
      <c r="AZ289" s="7" t="e">
        <f t="shared" ca="1" si="148"/>
        <v>#NAME?</v>
      </c>
      <c r="BA289" s="7" t="e">
        <f t="shared" ca="1" si="148"/>
        <v>#NAME?</v>
      </c>
      <c r="BB289" s="7" t="e">
        <f t="shared" ca="1" si="148"/>
        <v>#NAME?</v>
      </c>
      <c r="BC289" s="7" t="e">
        <f t="shared" ca="1" si="148"/>
        <v>#NAME?</v>
      </c>
      <c r="BD289" s="7" t="e">
        <f t="shared" ca="1" si="148"/>
        <v>#NAME?</v>
      </c>
      <c r="BE289" s="7" t="e">
        <f t="shared" ca="1" si="148"/>
        <v>#NAME?</v>
      </c>
      <c r="BF289" s="7" t="e">
        <f t="shared" ca="1" si="148"/>
        <v>#NAME?</v>
      </c>
      <c r="BG289" s="7" t="e">
        <f t="shared" ca="1" si="148"/>
        <v>#NAME?</v>
      </c>
      <c r="BH289" s="7" t="e">
        <f t="shared" ca="1" si="148"/>
        <v>#NAME?</v>
      </c>
      <c r="BI289" s="7" t="e">
        <f t="shared" ca="1" si="148"/>
        <v>#NAME?</v>
      </c>
      <c r="BJ289" s="7" t="e">
        <f t="shared" ca="1" si="148"/>
        <v>#NAME?</v>
      </c>
      <c r="BK289" s="7" t="e">
        <f t="shared" ca="1" si="148"/>
        <v>#NAME?</v>
      </c>
      <c r="BL289" s="7" t="e">
        <f t="shared" ca="1" si="148"/>
        <v>#NAME?</v>
      </c>
      <c r="BM289" s="7" t="e">
        <f t="shared" ca="1" si="148"/>
        <v>#NAME?</v>
      </c>
      <c r="BN289" s="7" t="e">
        <f t="shared" ca="1" si="148"/>
        <v>#NAME?</v>
      </c>
      <c r="BO289" s="7" t="e">
        <f t="shared" ca="1" si="148"/>
        <v>#NAME?</v>
      </c>
      <c r="BP289" s="7" t="e">
        <f t="shared" ca="1" si="148"/>
        <v>#NAME?</v>
      </c>
      <c r="BQ289" s="7" t="e">
        <f t="shared" ca="1" si="148"/>
        <v>#NAME?</v>
      </c>
      <c r="BR289" s="7" t="e">
        <f t="shared" ca="1" si="148"/>
        <v>#NAME?</v>
      </c>
      <c r="BS289" s="7" t="e">
        <f t="shared" ca="1" si="148"/>
        <v>#NAME?</v>
      </c>
      <c r="BT289" s="7" t="e">
        <f t="shared" ca="1" si="148"/>
        <v>#NAME?</v>
      </c>
      <c r="BU289" s="7" t="e">
        <f t="shared" ca="1" si="148"/>
        <v>#NAME?</v>
      </c>
      <c r="BV289" s="7" t="e">
        <f t="shared" ca="1" si="148"/>
        <v>#NAME?</v>
      </c>
      <c r="BW289" s="7" t="e">
        <f t="shared" ca="1" si="148"/>
        <v>#NAME?</v>
      </c>
      <c r="BX289" s="7" t="e">
        <f t="shared" ca="1" si="148"/>
        <v>#NAME?</v>
      </c>
      <c r="BY289" s="7" t="e">
        <f t="shared" ca="1" si="148"/>
        <v>#NAME?</v>
      </c>
      <c r="BZ289" s="7" t="e">
        <f t="shared" ca="1" si="148"/>
        <v>#NAME?</v>
      </c>
      <c r="CA289" s="7" t="e">
        <f t="shared" ca="1" si="148"/>
        <v>#NAME?</v>
      </c>
      <c r="CB289" s="7" t="e">
        <f t="shared" ca="1" si="148"/>
        <v>#NAME?</v>
      </c>
      <c r="CC289" s="7" t="e">
        <f t="shared" ca="1" si="148"/>
        <v>#NAME?</v>
      </c>
      <c r="CD289" s="7" t="e">
        <f t="shared" ca="1" si="148"/>
        <v>#NAME?</v>
      </c>
      <c r="CE289" s="7" t="e">
        <f t="shared" ca="1" si="148"/>
        <v>#NAME?</v>
      </c>
      <c r="CF289" s="7" t="e">
        <f t="shared" ca="1" si="148"/>
        <v>#NAME?</v>
      </c>
      <c r="CG289" s="7" t="e">
        <f t="shared" ca="1" si="148"/>
        <v>#NAME?</v>
      </c>
      <c r="CH289" s="7" t="e">
        <f t="shared" ca="1" si="148"/>
        <v>#NAME?</v>
      </c>
      <c r="CI289" s="7" t="e">
        <f t="shared" ca="1" si="148"/>
        <v>#NAME?</v>
      </c>
      <c r="CJ289" s="7" t="e">
        <f t="shared" ca="1" si="148"/>
        <v>#NAME?</v>
      </c>
      <c r="CK289" s="7" t="e">
        <f t="shared" ca="1" si="148"/>
        <v>#NAME?</v>
      </c>
      <c r="CL289" s="7" t="e">
        <f t="shared" ca="1" si="148"/>
        <v>#NAME?</v>
      </c>
      <c r="CM289" s="7" t="e">
        <f t="shared" ca="1" si="148"/>
        <v>#NAME?</v>
      </c>
      <c r="CN289" s="7" t="e">
        <f t="shared" ca="1" si="148"/>
        <v>#NAME?</v>
      </c>
      <c r="CO289" s="7" t="e">
        <f t="shared" ca="1" si="148"/>
        <v>#NAME?</v>
      </c>
      <c r="CP289" s="7" t="e">
        <f t="shared" ca="1" si="148"/>
        <v>#NAME?</v>
      </c>
      <c r="CQ289" s="7" t="e">
        <f t="shared" ca="1" si="148"/>
        <v>#NAME?</v>
      </c>
      <c r="CR289" s="7" t="e">
        <f t="shared" ca="1" si="148"/>
        <v>#NAME?</v>
      </c>
      <c r="CS289" s="7" t="e">
        <f t="shared" ca="1" si="148"/>
        <v>#NAME?</v>
      </c>
      <c r="CT289" s="7" t="e">
        <f t="shared" ca="1" si="148"/>
        <v>#NAME?</v>
      </c>
      <c r="CU289" s="7" t="e">
        <f t="shared" ca="1" si="148"/>
        <v>#NAME?</v>
      </c>
      <c r="CV289" s="7" t="e">
        <f t="shared" ca="1" si="148"/>
        <v>#NAME?</v>
      </c>
      <c r="CW289" s="7" t="e">
        <f t="shared" ca="1" si="148"/>
        <v>#NAME?</v>
      </c>
      <c r="CX289" s="7" t="e">
        <f t="shared" ca="1" si="148"/>
        <v>#NAME?</v>
      </c>
      <c r="CY289" s="7" t="e">
        <f t="shared" ca="1" si="148"/>
        <v>#NAME?</v>
      </c>
      <c r="CZ289" s="7" t="e">
        <f t="shared" ca="1" si="148"/>
        <v>#NAME?</v>
      </c>
      <c r="DA289" s="7" t="e">
        <f t="shared" ca="1" si="148"/>
        <v>#NAME?</v>
      </c>
      <c r="DB289" s="7" t="e">
        <f t="shared" ca="1" si="148"/>
        <v>#NAME?</v>
      </c>
      <c r="DC289" s="7" t="e">
        <f t="shared" ca="1" si="148"/>
        <v>#NAME?</v>
      </c>
      <c r="DD289" s="7" t="e">
        <f t="shared" ca="1" si="148"/>
        <v>#NAME?</v>
      </c>
      <c r="DE289" s="7" t="e">
        <f t="shared" ca="1" si="148"/>
        <v>#NAME?</v>
      </c>
      <c r="DF289" s="7" t="e">
        <f t="shared" ca="1" si="148"/>
        <v>#NAME?</v>
      </c>
      <c r="DG289" s="7" t="e">
        <f t="shared" ca="1" si="148"/>
        <v>#NAME?</v>
      </c>
      <c r="DH289" s="7" t="e">
        <f t="shared" ca="1" si="148"/>
        <v>#NAME?</v>
      </c>
      <c r="DI289" s="7" t="e">
        <f t="shared" ca="1" si="148"/>
        <v>#NAME?</v>
      </c>
      <c r="DJ289" s="7" t="e">
        <f t="shared" ca="1" si="148"/>
        <v>#NAME?</v>
      </c>
      <c r="DK289" s="7" t="e">
        <f t="shared" ca="1" si="148"/>
        <v>#NAME?</v>
      </c>
      <c r="DL289" s="7" t="e">
        <f t="shared" ca="1" si="148"/>
        <v>#NAME?</v>
      </c>
      <c r="DM289" s="7" t="e">
        <f t="shared" ca="1" si="148"/>
        <v>#NAME?</v>
      </c>
      <c r="DN289" s="7" t="e">
        <f t="shared" ca="1" si="148"/>
        <v>#NAME?</v>
      </c>
      <c r="DO289" s="7" t="e">
        <f t="shared" ca="1" si="148"/>
        <v>#NAME?</v>
      </c>
      <c r="DP289" s="7" t="e">
        <f t="shared" ca="1" si="148"/>
        <v>#NAME?</v>
      </c>
      <c r="DQ289" s="7" t="e">
        <f t="shared" ca="1" si="148"/>
        <v>#NAME?</v>
      </c>
      <c r="DR289" s="7" t="e">
        <f t="shared" ca="1" si="148"/>
        <v>#NAME?</v>
      </c>
      <c r="DS289" s="7" t="e">
        <f t="shared" ca="1" si="148"/>
        <v>#NAME?</v>
      </c>
      <c r="DT289" s="7" t="e">
        <f t="shared" ca="1" si="148"/>
        <v>#NAME?</v>
      </c>
      <c r="DU289" s="7" t="e">
        <f t="shared" ca="1" si="148"/>
        <v>#NAME?</v>
      </c>
      <c r="DV289" s="7" t="e">
        <f t="shared" ca="1" si="148"/>
        <v>#NAME?</v>
      </c>
      <c r="DW289" s="7" t="e">
        <f t="shared" ca="1" si="148"/>
        <v>#NAME?</v>
      </c>
      <c r="DX289" s="7" t="e">
        <f t="shared" ca="1" si="148"/>
        <v>#NAME?</v>
      </c>
      <c r="DY289" s="7" t="e">
        <f t="shared" ca="1" si="148"/>
        <v>#NAME?</v>
      </c>
      <c r="DZ289" s="7" t="e">
        <f t="shared" ca="1" si="148"/>
        <v>#NAME?</v>
      </c>
      <c r="EA289" s="7" t="e">
        <f t="shared" ca="1" si="148"/>
        <v>#NAME?</v>
      </c>
      <c r="EB289" s="7" t="e">
        <f t="shared" ca="1" si="148"/>
        <v>#NAME?</v>
      </c>
      <c r="EC289" s="7" t="e">
        <f t="shared" ca="1" si="148"/>
        <v>#NAME?</v>
      </c>
      <c r="ED289" s="7" t="e">
        <f t="shared" ca="1" si="148"/>
        <v>#NAME?</v>
      </c>
      <c r="EE289" s="7" t="e">
        <f t="shared" ca="1" si="148"/>
        <v>#NAME?</v>
      </c>
      <c r="EF289" s="7" t="e">
        <f t="shared" ca="1" si="148"/>
        <v>#NAME?</v>
      </c>
      <c r="EG289" s="7" t="e">
        <f t="shared" ca="1" si="148"/>
        <v>#NAME?</v>
      </c>
      <c r="EH289" s="7" t="e">
        <f t="shared" ca="1" si="148"/>
        <v>#NAME?</v>
      </c>
      <c r="EI289" s="7" t="e">
        <f t="shared" ca="1" si="148"/>
        <v>#NAME?</v>
      </c>
      <c r="EJ289" s="7" t="e">
        <f t="shared" ca="1" si="148"/>
        <v>#NAME?</v>
      </c>
      <c r="EK289" s="7" t="e">
        <f t="shared" ca="1" si="148"/>
        <v>#NAME?</v>
      </c>
      <c r="EL289" s="7" t="e">
        <f t="shared" ca="1" si="148"/>
        <v>#NAME?</v>
      </c>
      <c r="EM289" s="7" t="e">
        <f t="shared" ca="1" si="148"/>
        <v>#NAME?</v>
      </c>
      <c r="EN289" s="7" t="e">
        <f t="shared" ca="1" si="148"/>
        <v>#NAME?</v>
      </c>
      <c r="EO289" s="7" t="e">
        <f t="shared" ca="1" si="148"/>
        <v>#NAME?</v>
      </c>
      <c r="EP289" s="7" t="e">
        <f t="shared" ca="1" si="148"/>
        <v>#NAME?</v>
      </c>
      <c r="EQ289" s="7" t="e">
        <f t="shared" ca="1" si="148"/>
        <v>#NAME?</v>
      </c>
      <c r="ER289" s="7" t="e">
        <f t="shared" ca="1" si="148"/>
        <v>#NAME?</v>
      </c>
      <c r="ES289" s="7" t="e">
        <f t="shared" ca="1" si="148"/>
        <v>#NAME?</v>
      </c>
      <c r="ET289" s="7" t="e">
        <f t="shared" ca="1" si="148"/>
        <v>#NAME?</v>
      </c>
      <c r="EU289" s="7" t="e">
        <f t="shared" ca="1" si="148"/>
        <v>#NAME?</v>
      </c>
      <c r="EV289" s="7" t="e">
        <f t="shared" ca="1" si="148"/>
        <v>#NAME?</v>
      </c>
      <c r="EW289" s="7" t="e">
        <f t="shared" ca="1" si="148"/>
        <v>#NAME?</v>
      </c>
      <c r="EX289" s="7" t="e">
        <f t="shared" ca="1" si="148"/>
        <v>#NAME?</v>
      </c>
      <c r="EY289" s="7" t="e">
        <f t="shared" ca="1" si="148"/>
        <v>#NAME?</v>
      </c>
      <c r="EZ289" s="7" t="e">
        <f t="shared" ca="1" si="148"/>
        <v>#NAME?</v>
      </c>
      <c r="FA289" s="7" t="e">
        <f t="shared" ca="1" si="148"/>
        <v>#NAME?</v>
      </c>
      <c r="FB289" s="7" t="e">
        <f t="shared" ca="1" si="148"/>
        <v>#NAME?</v>
      </c>
      <c r="FC289" s="7" t="e">
        <f t="shared" ca="1" si="148"/>
        <v>#NAME?</v>
      </c>
      <c r="FD289" s="7" t="e">
        <f t="shared" ca="1" si="148"/>
        <v>#NAME?</v>
      </c>
      <c r="FE289" s="7" t="e">
        <f t="shared" ca="1" si="148"/>
        <v>#NAME?</v>
      </c>
      <c r="FF289" s="7" t="e">
        <f t="shared" ca="1" si="148"/>
        <v>#NAME?</v>
      </c>
      <c r="FG289" s="7" t="e">
        <f t="shared" ca="1" si="148"/>
        <v>#NAME?</v>
      </c>
      <c r="FH289" s="7" t="e">
        <f t="shared" ca="1" si="148"/>
        <v>#NAME?</v>
      </c>
      <c r="FI289" s="7" t="e">
        <f t="shared" ca="1" si="148"/>
        <v>#NAME?</v>
      </c>
      <c r="FJ289" s="7" t="e">
        <f t="shared" ca="1" si="148"/>
        <v>#NAME?</v>
      </c>
      <c r="FK289" s="7" t="e">
        <f t="shared" ca="1" si="148"/>
        <v>#NAME?</v>
      </c>
      <c r="FL289" s="7" t="e">
        <f t="shared" ca="1" si="148"/>
        <v>#NAME?</v>
      </c>
      <c r="FM289" s="7" t="e">
        <f t="shared" ca="1" si="148"/>
        <v>#NAME?</v>
      </c>
      <c r="FN289" s="7" t="e">
        <f t="shared" ca="1" si="148"/>
        <v>#NAME?</v>
      </c>
      <c r="FO289" s="7" t="e">
        <f t="shared" ca="1" si="148"/>
        <v>#NAME?</v>
      </c>
      <c r="FP289" s="7" t="e">
        <f t="shared" ca="1" si="148"/>
        <v>#NAME?</v>
      </c>
      <c r="FQ289" s="7" t="e">
        <f t="shared" ca="1" si="148"/>
        <v>#NAME?</v>
      </c>
      <c r="FR289" s="7" t="e">
        <f t="shared" ca="1" si="148"/>
        <v>#NAME?</v>
      </c>
      <c r="FS289" s="7" t="e">
        <f t="shared" ca="1" si="148"/>
        <v>#NAME?</v>
      </c>
      <c r="FT289" s="7" t="e">
        <f t="shared" ca="1" si="148"/>
        <v>#NAME?</v>
      </c>
      <c r="FU289" s="7" t="e">
        <f t="shared" ca="1" si="148"/>
        <v>#NAME?</v>
      </c>
      <c r="FV289" s="7" t="e">
        <f t="shared" ca="1" si="148"/>
        <v>#NAME?</v>
      </c>
      <c r="FW289" s="7" t="e">
        <f t="shared" ca="1" si="148"/>
        <v>#NAME?</v>
      </c>
      <c r="FX289" s="7" t="e">
        <f t="shared" ca="1" si="148"/>
        <v>#NAME?</v>
      </c>
      <c r="FY289" s="7"/>
      <c r="FZ289" s="82" t="e">
        <f t="shared" ref="FZ289:FZ292" ca="1" si="149">SUM(C289:FX289)</f>
        <v>#NAME?</v>
      </c>
      <c r="GA289" s="62"/>
      <c r="GB289" s="7" t="e">
        <f ca="1">FZ289-GA289</f>
        <v>#NAME?</v>
      </c>
      <c r="GC289" s="7">
        <f>GC290</f>
        <v>9698534081.0699978</v>
      </c>
      <c r="GD289" s="7"/>
      <c r="GE289" s="7"/>
      <c r="GF289" s="7"/>
      <c r="GG289" s="7"/>
      <c r="GH289" s="7"/>
      <c r="GI289" s="7"/>
      <c r="GJ289" s="7"/>
      <c r="GK289" s="7"/>
    </row>
    <row r="290" spans="1:193" ht="15.5" x14ac:dyDescent="0.35">
      <c r="A290" s="12" t="s">
        <v>705</v>
      </c>
      <c r="B290" s="7" t="s">
        <v>1063</v>
      </c>
      <c r="C290" s="7" t="e">
        <f t="shared" ref="C290:FX290" ca="1" si="150">C273*C48-C297</f>
        <v>#NAME?</v>
      </c>
      <c r="D290" s="7" t="e">
        <f t="shared" ca="1" si="150"/>
        <v>#NAME?</v>
      </c>
      <c r="E290" s="7" t="e">
        <f t="shared" ca="1" si="150"/>
        <v>#NAME?</v>
      </c>
      <c r="F290" s="7" t="e">
        <f t="shared" ca="1" si="150"/>
        <v>#NAME?</v>
      </c>
      <c r="G290" s="7" t="e">
        <f t="shared" ca="1" si="150"/>
        <v>#NAME?</v>
      </c>
      <c r="H290" s="7" t="e">
        <f t="shared" ca="1" si="150"/>
        <v>#NAME?</v>
      </c>
      <c r="I290" s="7" t="e">
        <f t="shared" ca="1" si="150"/>
        <v>#NAME?</v>
      </c>
      <c r="J290" s="7" t="e">
        <f t="shared" ca="1" si="150"/>
        <v>#NAME?</v>
      </c>
      <c r="K290" s="7" t="e">
        <f t="shared" ca="1" si="150"/>
        <v>#NAME?</v>
      </c>
      <c r="L290" s="7" t="e">
        <f t="shared" ca="1" si="150"/>
        <v>#NAME?</v>
      </c>
      <c r="M290" s="7" t="e">
        <f t="shared" ca="1" si="150"/>
        <v>#NAME?</v>
      </c>
      <c r="N290" s="7" t="e">
        <f t="shared" ca="1" si="150"/>
        <v>#NAME?</v>
      </c>
      <c r="O290" s="7" t="e">
        <f t="shared" ca="1" si="150"/>
        <v>#NAME?</v>
      </c>
      <c r="P290" s="7" t="e">
        <f t="shared" ca="1" si="150"/>
        <v>#NAME?</v>
      </c>
      <c r="Q290" s="7" t="e">
        <f t="shared" ca="1" si="150"/>
        <v>#NAME?</v>
      </c>
      <c r="R290" s="7" t="e">
        <f t="shared" ca="1" si="150"/>
        <v>#NAME?</v>
      </c>
      <c r="S290" s="7" t="e">
        <f t="shared" ca="1" si="150"/>
        <v>#NAME?</v>
      </c>
      <c r="T290" s="7" t="e">
        <f t="shared" ca="1" si="150"/>
        <v>#NAME?</v>
      </c>
      <c r="U290" s="7" t="e">
        <f t="shared" ca="1" si="150"/>
        <v>#NAME?</v>
      </c>
      <c r="V290" s="7" t="e">
        <f t="shared" ca="1" si="150"/>
        <v>#NAME?</v>
      </c>
      <c r="W290" s="7" t="e">
        <f t="shared" ca="1" si="150"/>
        <v>#NAME?</v>
      </c>
      <c r="X290" s="7" t="e">
        <f t="shared" ca="1" si="150"/>
        <v>#NAME?</v>
      </c>
      <c r="Y290" s="7" t="e">
        <f t="shared" ca="1" si="150"/>
        <v>#NAME?</v>
      </c>
      <c r="Z290" s="7" t="e">
        <f t="shared" ca="1" si="150"/>
        <v>#NAME?</v>
      </c>
      <c r="AA290" s="7" t="e">
        <f t="shared" ca="1" si="150"/>
        <v>#NAME?</v>
      </c>
      <c r="AB290" s="7" t="e">
        <f t="shared" ca="1" si="150"/>
        <v>#NAME?</v>
      </c>
      <c r="AC290" s="7" t="e">
        <f t="shared" ca="1" si="150"/>
        <v>#NAME?</v>
      </c>
      <c r="AD290" s="7" t="e">
        <f t="shared" ca="1" si="150"/>
        <v>#NAME?</v>
      </c>
      <c r="AE290" s="7" t="e">
        <f t="shared" ca="1" si="150"/>
        <v>#NAME?</v>
      </c>
      <c r="AF290" s="7" t="e">
        <f t="shared" ca="1" si="150"/>
        <v>#NAME?</v>
      </c>
      <c r="AG290" s="7" t="e">
        <f t="shared" ca="1" si="150"/>
        <v>#NAME?</v>
      </c>
      <c r="AH290" s="7" t="e">
        <f t="shared" ca="1" si="150"/>
        <v>#NAME?</v>
      </c>
      <c r="AI290" s="7" t="e">
        <f t="shared" ca="1" si="150"/>
        <v>#NAME?</v>
      </c>
      <c r="AJ290" s="7" t="e">
        <f t="shared" ca="1" si="150"/>
        <v>#NAME?</v>
      </c>
      <c r="AK290" s="7" t="e">
        <f t="shared" ca="1" si="150"/>
        <v>#NAME?</v>
      </c>
      <c r="AL290" s="7" t="e">
        <f t="shared" ca="1" si="150"/>
        <v>#NAME?</v>
      </c>
      <c r="AM290" s="7" t="e">
        <f t="shared" ca="1" si="150"/>
        <v>#NAME?</v>
      </c>
      <c r="AN290" s="7" t="e">
        <f t="shared" ca="1" si="150"/>
        <v>#NAME?</v>
      </c>
      <c r="AO290" s="7" t="e">
        <f t="shared" ca="1" si="150"/>
        <v>#NAME?</v>
      </c>
      <c r="AP290" s="7" t="e">
        <f t="shared" ca="1" si="150"/>
        <v>#NAME?</v>
      </c>
      <c r="AQ290" s="7" t="e">
        <f t="shared" ca="1" si="150"/>
        <v>#NAME?</v>
      </c>
      <c r="AR290" s="7" t="e">
        <f t="shared" ca="1" si="150"/>
        <v>#NAME?</v>
      </c>
      <c r="AS290" s="7" t="e">
        <f t="shared" ca="1" si="150"/>
        <v>#NAME?</v>
      </c>
      <c r="AT290" s="7" t="e">
        <f t="shared" ca="1" si="150"/>
        <v>#NAME?</v>
      </c>
      <c r="AU290" s="7" t="e">
        <f t="shared" ca="1" si="150"/>
        <v>#NAME?</v>
      </c>
      <c r="AV290" s="7" t="e">
        <f t="shared" ca="1" si="150"/>
        <v>#NAME?</v>
      </c>
      <c r="AW290" s="7" t="e">
        <f t="shared" ca="1" si="150"/>
        <v>#NAME?</v>
      </c>
      <c r="AX290" s="7" t="e">
        <f t="shared" ca="1" si="150"/>
        <v>#NAME?</v>
      </c>
      <c r="AY290" s="7" t="e">
        <f t="shared" ca="1" si="150"/>
        <v>#NAME?</v>
      </c>
      <c r="AZ290" s="7" t="e">
        <f t="shared" ca="1" si="150"/>
        <v>#NAME?</v>
      </c>
      <c r="BA290" s="7" t="e">
        <f t="shared" ca="1" si="150"/>
        <v>#NAME?</v>
      </c>
      <c r="BB290" s="7" t="e">
        <f t="shared" ca="1" si="150"/>
        <v>#NAME?</v>
      </c>
      <c r="BC290" s="7" t="e">
        <f t="shared" ca="1" si="150"/>
        <v>#NAME?</v>
      </c>
      <c r="BD290" s="7" t="e">
        <f t="shared" ca="1" si="150"/>
        <v>#NAME?</v>
      </c>
      <c r="BE290" s="7" t="e">
        <f t="shared" ca="1" si="150"/>
        <v>#NAME?</v>
      </c>
      <c r="BF290" s="7" t="e">
        <f t="shared" ca="1" si="150"/>
        <v>#NAME?</v>
      </c>
      <c r="BG290" s="7" t="e">
        <f t="shared" ca="1" si="150"/>
        <v>#NAME?</v>
      </c>
      <c r="BH290" s="7" t="e">
        <f t="shared" ca="1" si="150"/>
        <v>#NAME?</v>
      </c>
      <c r="BI290" s="7" t="e">
        <f t="shared" ca="1" si="150"/>
        <v>#NAME?</v>
      </c>
      <c r="BJ290" s="7" t="e">
        <f t="shared" ca="1" si="150"/>
        <v>#NAME?</v>
      </c>
      <c r="BK290" s="7" t="e">
        <f t="shared" ca="1" si="150"/>
        <v>#NAME?</v>
      </c>
      <c r="BL290" s="7" t="e">
        <f t="shared" ca="1" si="150"/>
        <v>#NAME?</v>
      </c>
      <c r="BM290" s="7" t="e">
        <f t="shared" ca="1" si="150"/>
        <v>#NAME?</v>
      </c>
      <c r="BN290" s="7" t="e">
        <f t="shared" ca="1" si="150"/>
        <v>#NAME?</v>
      </c>
      <c r="BO290" s="7" t="e">
        <f t="shared" ca="1" si="150"/>
        <v>#NAME?</v>
      </c>
      <c r="BP290" s="7" t="e">
        <f t="shared" ca="1" si="150"/>
        <v>#NAME?</v>
      </c>
      <c r="BQ290" s="7" t="e">
        <f t="shared" ca="1" si="150"/>
        <v>#NAME?</v>
      </c>
      <c r="BR290" s="7" t="e">
        <f t="shared" ca="1" si="150"/>
        <v>#NAME?</v>
      </c>
      <c r="BS290" s="7" t="e">
        <f t="shared" ca="1" si="150"/>
        <v>#NAME?</v>
      </c>
      <c r="BT290" s="7" t="e">
        <f t="shared" ca="1" si="150"/>
        <v>#NAME?</v>
      </c>
      <c r="BU290" s="7" t="e">
        <f t="shared" ca="1" si="150"/>
        <v>#NAME?</v>
      </c>
      <c r="BV290" s="7" t="e">
        <f t="shared" ca="1" si="150"/>
        <v>#NAME?</v>
      </c>
      <c r="BW290" s="7" t="e">
        <f t="shared" ca="1" si="150"/>
        <v>#NAME?</v>
      </c>
      <c r="BX290" s="7" t="e">
        <f t="shared" ca="1" si="150"/>
        <v>#NAME?</v>
      </c>
      <c r="BY290" s="7" t="e">
        <f t="shared" ca="1" si="150"/>
        <v>#NAME?</v>
      </c>
      <c r="BZ290" s="7" t="e">
        <f t="shared" ca="1" si="150"/>
        <v>#NAME?</v>
      </c>
      <c r="CA290" s="7" t="e">
        <f t="shared" ca="1" si="150"/>
        <v>#NAME?</v>
      </c>
      <c r="CB290" s="7" t="e">
        <f t="shared" ca="1" si="150"/>
        <v>#NAME?</v>
      </c>
      <c r="CC290" s="7" t="e">
        <f t="shared" ca="1" si="150"/>
        <v>#NAME?</v>
      </c>
      <c r="CD290" s="7" t="e">
        <f t="shared" ca="1" si="150"/>
        <v>#NAME?</v>
      </c>
      <c r="CE290" s="7" t="e">
        <f t="shared" ca="1" si="150"/>
        <v>#NAME?</v>
      </c>
      <c r="CF290" s="7" t="e">
        <f t="shared" ca="1" si="150"/>
        <v>#NAME?</v>
      </c>
      <c r="CG290" s="7" t="e">
        <f t="shared" ca="1" si="150"/>
        <v>#NAME?</v>
      </c>
      <c r="CH290" s="7" t="e">
        <f t="shared" ca="1" si="150"/>
        <v>#NAME?</v>
      </c>
      <c r="CI290" s="7" t="e">
        <f t="shared" ca="1" si="150"/>
        <v>#NAME?</v>
      </c>
      <c r="CJ290" s="7" t="e">
        <f t="shared" ca="1" si="150"/>
        <v>#NAME?</v>
      </c>
      <c r="CK290" s="7" t="e">
        <f t="shared" ca="1" si="150"/>
        <v>#NAME?</v>
      </c>
      <c r="CL290" s="7" t="e">
        <f t="shared" ca="1" si="150"/>
        <v>#NAME?</v>
      </c>
      <c r="CM290" s="7" t="e">
        <f t="shared" ca="1" si="150"/>
        <v>#NAME?</v>
      </c>
      <c r="CN290" s="7" t="e">
        <f t="shared" ca="1" si="150"/>
        <v>#NAME?</v>
      </c>
      <c r="CO290" s="7" t="e">
        <f t="shared" ca="1" si="150"/>
        <v>#NAME?</v>
      </c>
      <c r="CP290" s="7" t="e">
        <f t="shared" ca="1" si="150"/>
        <v>#NAME?</v>
      </c>
      <c r="CQ290" s="7" t="e">
        <f t="shared" ca="1" si="150"/>
        <v>#NAME?</v>
      </c>
      <c r="CR290" s="7" t="e">
        <f t="shared" ca="1" si="150"/>
        <v>#NAME?</v>
      </c>
      <c r="CS290" s="7" t="e">
        <f t="shared" ca="1" si="150"/>
        <v>#NAME?</v>
      </c>
      <c r="CT290" s="7" t="e">
        <f t="shared" ca="1" si="150"/>
        <v>#NAME?</v>
      </c>
      <c r="CU290" s="7" t="e">
        <f t="shared" ca="1" si="150"/>
        <v>#NAME?</v>
      </c>
      <c r="CV290" s="7" t="e">
        <f t="shared" ca="1" si="150"/>
        <v>#NAME?</v>
      </c>
      <c r="CW290" s="7" t="e">
        <f t="shared" ca="1" si="150"/>
        <v>#NAME?</v>
      </c>
      <c r="CX290" s="7" t="e">
        <f t="shared" ca="1" si="150"/>
        <v>#NAME?</v>
      </c>
      <c r="CY290" s="7" t="e">
        <f t="shared" ca="1" si="150"/>
        <v>#NAME?</v>
      </c>
      <c r="CZ290" s="7" t="e">
        <f t="shared" ca="1" si="150"/>
        <v>#NAME?</v>
      </c>
      <c r="DA290" s="7" t="e">
        <f t="shared" ca="1" si="150"/>
        <v>#NAME?</v>
      </c>
      <c r="DB290" s="7" t="e">
        <f t="shared" ca="1" si="150"/>
        <v>#NAME?</v>
      </c>
      <c r="DC290" s="7" t="e">
        <f t="shared" ca="1" si="150"/>
        <v>#NAME?</v>
      </c>
      <c r="DD290" s="7" t="e">
        <f t="shared" ca="1" si="150"/>
        <v>#NAME?</v>
      </c>
      <c r="DE290" s="7" t="e">
        <f t="shared" ca="1" si="150"/>
        <v>#NAME?</v>
      </c>
      <c r="DF290" s="7" t="e">
        <f t="shared" ca="1" si="150"/>
        <v>#NAME?</v>
      </c>
      <c r="DG290" s="7" t="e">
        <f t="shared" ca="1" si="150"/>
        <v>#NAME?</v>
      </c>
      <c r="DH290" s="7" t="e">
        <f t="shared" ca="1" si="150"/>
        <v>#NAME?</v>
      </c>
      <c r="DI290" s="7" t="e">
        <f t="shared" ca="1" si="150"/>
        <v>#NAME?</v>
      </c>
      <c r="DJ290" s="7" t="e">
        <f t="shared" ca="1" si="150"/>
        <v>#NAME?</v>
      </c>
      <c r="DK290" s="7" t="e">
        <f t="shared" ca="1" si="150"/>
        <v>#NAME?</v>
      </c>
      <c r="DL290" s="7" t="e">
        <f t="shared" ca="1" si="150"/>
        <v>#NAME?</v>
      </c>
      <c r="DM290" s="7" t="e">
        <f t="shared" ca="1" si="150"/>
        <v>#NAME?</v>
      </c>
      <c r="DN290" s="7" t="e">
        <f t="shared" ca="1" si="150"/>
        <v>#NAME?</v>
      </c>
      <c r="DO290" s="7" t="e">
        <f t="shared" ca="1" si="150"/>
        <v>#NAME?</v>
      </c>
      <c r="DP290" s="7" t="e">
        <f t="shared" ca="1" si="150"/>
        <v>#NAME?</v>
      </c>
      <c r="DQ290" s="7" t="e">
        <f t="shared" ca="1" si="150"/>
        <v>#NAME?</v>
      </c>
      <c r="DR290" s="7" t="e">
        <f t="shared" ca="1" si="150"/>
        <v>#NAME?</v>
      </c>
      <c r="DS290" s="7" t="e">
        <f t="shared" ca="1" si="150"/>
        <v>#NAME?</v>
      </c>
      <c r="DT290" s="7" t="e">
        <f t="shared" ca="1" si="150"/>
        <v>#NAME?</v>
      </c>
      <c r="DU290" s="7" t="e">
        <f t="shared" ca="1" si="150"/>
        <v>#NAME?</v>
      </c>
      <c r="DV290" s="7" t="e">
        <f t="shared" ca="1" si="150"/>
        <v>#NAME?</v>
      </c>
      <c r="DW290" s="7" t="e">
        <f t="shared" ca="1" si="150"/>
        <v>#NAME?</v>
      </c>
      <c r="DX290" s="7" t="e">
        <f t="shared" ca="1" si="150"/>
        <v>#NAME?</v>
      </c>
      <c r="DY290" s="7" t="e">
        <f t="shared" ca="1" si="150"/>
        <v>#NAME?</v>
      </c>
      <c r="DZ290" s="7" t="e">
        <f t="shared" ca="1" si="150"/>
        <v>#NAME?</v>
      </c>
      <c r="EA290" s="7" t="e">
        <f t="shared" ca="1" si="150"/>
        <v>#NAME?</v>
      </c>
      <c r="EB290" s="7" t="e">
        <f t="shared" ca="1" si="150"/>
        <v>#NAME?</v>
      </c>
      <c r="EC290" s="7" t="e">
        <f t="shared" ca="1" si="150"/>
        <v>#NAME?</v>
      </c>
      <c r="ED290" s="7" t="e">
        <f t="shared" ca="1" si="150"/>
        <v>#NAME?</v>
      </c>
      <c r="EE290" s="7" t="e">
        <f t="shared" ca="1" si="150"/>
        <v>#NAME?</v>
      </c>
      <c r="EF290" s="7" t="e">
        <f t="shared" ca="1" si="150"/>
        <v>#NAME?</v>
      </c>
      <c r="EG290" s="7" t="e">
        <f t="shared" ca="1" si="150"/>
        <v>#NAME?</v>
      </c>
      <c r="EH290" s="7" t="e">
        <f t="shared" ca="1" si="150"/>
        <v>#NAME?</v>
      </c>
      <c r="EI290" s="7" t="e">
        <f t="shared" ca="1" si="150"/>
        <v>#NAME?</v>
      </c>
      <c r="EJ290" s="7" t="e">
        <f t="shared" ca="1" si="150"/>
        <v>#NAME?</v>
      </c>
      <c r="EK290" s="7" t="e">
        <f t="shared" ca="1" si="150"/>
        <v>#NAME?</v>
      </c>
      <c r="EL290" s="7" t="e">
        <f t="shared" ca="1" si="150"/>
        <v>#NAME?</v>
      </c>
      <c r="EM290" s="7" t="e">
        <f t="shared" ca="1" si="150"/>
        <v>#NAME?</v>
      </c>
      <c r="EN290" s="7" t="e">
        <f t="shared" ca="1" si="150"/>
        <v>#NAME?</v>
      </c>
      <c r="EO290" s="7" t="e">
        <f t="shared" ca="1" si="150"/>
        <v>#NAME?</v>
      </c>
      <c r="EP290" s="7" t="e">
        <f t="shared" ca="1" si="150"/>
        <v>#NAME?</v>
      </c>
      <c r="EQ290" s="7" t="e">
        <f t="shared" ca="1" si="150"/>
        <v>#NAME?</v>
      </c>
      <c r="ER290" s="7" t="e">
        <f t="shared" ca="1" si="150"/>
        <v>#NAME?</v>
      </c>
      <c r="ES290" s="7" t="e">
        <f t="shared" ca="1" si="150"/>
        <v>#NAME?</v>
      </c>
      <c r="ET290" s="7" t="e">
        <f t="shared" ca="1" si="150"/>
        <v>#NAME?</v>
      </c>
      <c r="EU290" s="7" t="e">
        <f t="shared" ca="1" si="150"/>
        <v>#NAME?</v>
      </c>
      <c r="EV290" s="7" t="e">
        <f t="shared" ca="1" si="150"/>
        <v>#NAME?</v>
      </c>
      <c r="EW290" s="7" t="e">
        <f t="shared" ca="1" si="150"/>
        <v>#NAME?</v>
      </c>
      <c r="EX290" s="7" t="e">
        <f t="shared" ca="1" si="150"/>
        <v>#NAME?</v>
      </c>
      <c r="EY290" s="7" t="e">
        <f t="shared" ca="1" si="150"/>
        <v>#NAME?</v>
      </c>
      <c r="EZ290" s="7" t="e">
        <f t="shared" ca="1" si="150"/>
        <v>#NAME?</v>
      </c>
      <c r="FA290" s="7" t="e">
        <f t="shared" ca="1" si="150"/>
        <v>#NAME?</v>
      </c>
      <c r="FB290" s="7" t="e">
        <f t="shared" ca="1" si="150"/>
        <v>#NAME?</v>
      </c>
      <c r="FC290" s="7" t="e">
        <f t="shared" ca="1" si="150"/>
        <v>#NAME?</v>
      </c>
      <c r="FD290" s="7" t="e">
        <f t="shared" ca="1" si="150"/>
        <v>#NAME?</v>
      </c>
      <c r="FE290" s="7" t="e">
        <f t="shared" ca="1" si="150"/>
        <v>#NAME?</v>
      </c>
      <c r="FF290" s="7" t="e">
        <f t="shared" ca="1" si="150"/>
        <v>#NAME?</v>
      </c>
      <c r="FG290" s="7" t="e">
        <f t="shared" ca="1" si="150"/>
        <v>#NAME?</v>
      </c>
      <c r="FH290" s="7" t="e">
        <f t="shared" ca="1" si="150"/>
        <v>#NAME?</v>
      </c>
      <c r="FI290" s="7" t="e">
        <f t="shared" ca="1" si="150"/>
        <v>#NAME?</v>
      </c>
      <c r="FJ290" s="7" t="e">
        <f t="shared" ca="1" si="150"/>
        <v>#NAME?</v>
      </c>
      <c r="FK290" s="7" t="e">
        <f t="shared" ca="1" si="150"/>
        <v>#NAME?</v>
      </c>
      <c r="FL290" s="7" t="e">
        <f t="shared" ca="1" si="150"/>
        <v>#NAME?</v>
      </c>
      <c r="FM290" s="7" t="e">
        <f t="shared" ca="1" si="150"/>
        <v>#NAME?</v>
      </c>
      <c r="FN290" s="7" t="e">
        <f t="shared" ca="1" si="150"/>
        <v>#NAME?</v>
      </c>
      <c r="FO290" s="7" t="e">
        <f t="shared" ca="1" si="150"/>
        <v>#NAME?</v>
      </c>
      <c r="FP290" s="7" t="e">
        <f t="shared" ca="1" si="150"/>
        <v>#NAME?</v>
      </c>
      <c r="FQ290" s="7" t="e">
        <f t="shared" ca="1" si="150"/>
        <v>#NAME?</v>
      </c>
      <c r="FR290" s="7" t="e">
        <f t="shared" ca="1" si="150"/>
        <v>#NAME?</v>
      </c>
      <c r="FS290" s="7" t="e">
        <f t="shared" ca="1" si="150"/>
        <v>#NAME?</v>
      </c>
      <c r="FT290" s="7" t="e">
        <f t="shared" ca="1" si="150"/>
        <v>#NAME?</v>
      </c>
      <c r="FU290" s="7" t="e">
        <f t="shared" ca="1" si="150"/>
        <v>#NAME?</v>
      </c>
      <c r="FV290" s="7" t="e">
        <f t="shared" ca="1" si="150"/>
        <v>#NAME?</v>
      </c>
      <c r="FW290" s="7" t="e">
        <f t="shared" ca="1" si="150"/>
        <v>#NAME?</v>
      </c>
      <c r="FX290" s="7" t="e">
        <f t="shared" ca="1" si="150"/>
        <v>#NAME?</v>
      </c>
      <c r="FY290" s="7"/>
      <c r="FZ290" s="82" t="e">
        <f t="shared" ca="1" si="149"/>
        <v>#NAME?</v>
      </c>
      <c r="GA290" s="62"/>
      <c r="GB290" s="7"/>
      <c r="GC290" s="7">
        <v>9698534081.0699978</v>
      </c>
      <c r="GD290" s="7"/>
      <c r="GE290" s="7"/>
      <c r="GF290" s="7"/>
      <c r="GG290" s="7"/>
      <c r="GH290" s="7"/>
      <c r="GI290" s="7"/>
      <c r="GJ290" s="7"/>
      <c r="GK290" s="7"/>
    </row>
    <row r="291" spans="1:193" ht="15.5" x14ac:dyDescent="0.35">
      <c r="A291" s="12" t="s">
        <v>707</v>
      </c>
      <c r="B291" s="7" t="s">
        <v>1159</v>
      </c>
      <c r="C291" s="7">
        <f t="shared" ref="C291:FX291" si="151">C47</f>
        <v>2560686.85</v>
      </c>
      <c r="D291" s="7">
        <f t="shared" si="151"/>
        <v>6068580.4500000002</v>
      </c>
      <c r="E291" s="7">
        <f t="shared" si="151"/>
        <v>1444121.25</v>
      </c>
      <c r="F291" s="7">
        <f t="shared" si="151"/>
        <v>2186086.4300000002</v>
      </c>
      <c r="G291" s="7">
        <f t="shared" si="151"/>
        <v>428862.04</v>
      </c>
      <c r="H291" s="7">
        <f t="shared" si="151"/>
        <v>184982.61</v>
      </c>
      <c r="I291" s="7">
        <f t="shared" si="151"/>
        <v>1809421.81</v>
      </c>
      <c r="J291" s="7">
        <f t="shared" si="151"/>
        <v>600359.41</v>
      </c>
      <c r="K291" s="7">
        <f t="shared" si="151"/>
        <v>149409.51999999999</v>
      </c>
      <c r="L291" s="7">
        <f t="shared" si="151"/>
        <v>1285932.06</v>
      </c>
      <c r="M291" s="7">
        <f t="shared" si="151"/>
        <v>495734.92</v>
      </c>
      <c r="N291" s="7">
        <f t="shared" si="151"/>
        <v>12893543.369999999</v>
      </c>
      <c r="O291" s="7">
        <f t="shared" si="151"/>
        <v>5184910.91</v>
      </c>
      <c r="P291" s="7">
        <f t="shared" si="151"/>
        <v>98033.26</v>
      </c>
      <c r="Q291" s="7">
        <f t="shared" si="151"/>
        <v>6984070.2400000002</v>
      </c>
      <c r="R291" s="7">
        <f t="shared" si="151"/>
        <v>117387.96</v>
      </c>
      <c r="S291" s="7">
        <f t="shared" si="151"/>
        <v>941027.17</v>
      </c>
      <c r="T291" s="7">
        <f t="shared" si="151"/>
        <v>50774.68</v>
      </c>
      <c r="U291" s="7">
        <f t="shared" si="151"/>
        <v>51513.32</v>
      </c>
      <c r="V291" s="7">
        <f t="shared" si="151"/>
        <v>91452.54</v>
      </c>
      <c r="W291" s="7">
        <f t="shared" si="151"/>
        <v>20485.07</v>
      </c>
      <c r="X291" s="7">
        <f t="shared" si="151"/>
        <v>23503.47</v>
      </c>
      <c r="Y291" s="7">
        <f t="shared" si="151"/>
        <v>145352.82</v>
      </c>
      <c r="Z291" s="7">
        <f t="shared" si="151"/>
        <v>63731.5</v>
      </c>
      <c r="AA291" s="7">
        <f t="shared" si="151"/>
        <v>6802241.46</v>
      </c>
      <c r="AB291" s="7">
        <f t="shared" si="151"/>
        <v>12251040.92</v>
      </c>
      <c r="AC291" s="7">
        <f t="shared" si="151"/>
        <v>578302.21</v>
      </c>
      <c r="AD291" s="7">
        <f t="shared" si="151"/>
        <v>703196.53</v>
      </c>
      <c r="AE291" s="7">
        <f t="shared" si="151"/>
        <v>48617.120000000003</v>
      </c>
      <c r="AF291" s="7">
        <f t="shared" si="151"/>
        <v>86811.59</v>
      </c>
      <c r="AG291" s="7">
        <f t="shared" si="151"/>
        <v>322958.38</v>
      </c>
      <c r="AH291" s="7">
        <f t="shared" si="151"/>
        <v>172657.77</v>
      </c>
      <c r="AI291" s="7">
        <f t="shared" si="151"/>
        <v>53122.47</v>
      </c>
      <c r="AJ291" s="7">
        <f t="shared" si="151"/>
        <v>128163.01</v>
      </c>
      <c r="AK291" s="7">
        <f t="shared" si="151"/>
        <v>74603.09</v>
      </c>
      <c r="AL291" s="7">
        <f t="shared" si="151"/>
        <v>98388.41</v>
      </c>
      <c r="AM291" s="7">
        <f t="shared" si="151"/>
        <v>115377.55</v>
      </c>
      <c r="AN291" s="7">
        <f t="shared" si="151"/>
        <v>413990.07</v>
      </c>
      <c r="AO291" s="7">
        <f t="shared" si="151"/>
        <v>1676936.43</v>
      </c>
      <c r="AP291" s="7">
        <f t="shared" si="151"/>
        <v>37700132.310000002</v>
      </c>
      <c r="AQ291" s="7">
        <f t="shared" si="151"/>
        <v>97428.55</v>
      </c>
      <c r="AR291" s="7">
        <f t="shared" si="151"/>
        <v>21880966.199999999</v>
      </c>
      <c r="AS291" s="7">
        <f t="shared" si="151"/>
        <v>2513262.4</v>
      </c>
      <c r="AT291" s="7">
        <f t="shared" si="151"/>
        <v>1167107.3600000001</v>
      </c>
      <c r="AU291" s="7">
        <f t="shared" si="151"/>
        <v>178802.57</v>
      </c>
      <c r="AV291" s="7">
        <f t="shared" si="151"/>
        <v>179035.75</v>
      </c>
      <c r="AW291" s="7">
        <f t="shared" si="151"/>
        <v>102589.94</v>
      </c>
      <c r="AX291" s="7">
        <f t="shared" si="151"/>
        <v>78396.2</v>
      </c>
      <c r="AY291" s="7">
        <f t="shared" si="151"/>
        <v>127245.96</v>
      </c>
      <c r="AZ291" s="7">
        <f t="shared" si="151"/>
        <v>1512386.73</v>
      </c>
      <c r="BA291" s="7">
        <f t="shared" si="151"/>
        <v>2187937.56</v>
      </c>
      <c r="BB291" s="7">
        <f t="shared" si="151"/>
        <v>485771.55</v>
      </c>
      <c r="BC291" s="7">
        <f t="shared" si="151"/>
        <v>8539684.5500000007</v>
      </c>
      <c r="BD291" s="7">
        <f t="shared" si="151"/>
        <v>1409316.74</v>
      </c>
      <c r="BE291" s="7">
        <f t="shared" si="151"/>
        <v>425098.36</v>
      </c>
      <c r="BF291" s="7">
        <f t="shared" si="151"/>
        <v>6979427.0599999996</v>
      </c>
      <c r="BG291" s="7">
        <f t="shared" si="151"/>
        <v>115579.55</v>
      </c>
      <c r="BH291" s="7">
        <f t="shared" si="151"/>
        <v>147663.12</v>
      </c>
      <c r="BI291" s="7">
        <f t="shared" si="151"/>
        <v>55868.160000000003</v>
      </c>
      <c r="BJ291" s="7">
        <f t="shared" si="151"/>
        <v>1934186.26</v>
      </c>
      <c r="BK291" s="7">
        <f t="shared" si="151"/>
        <v>1031173.03</v>
      </c>
      <c r="BL291" s="7">
        <f t="shared" si="151"/>
        <v>18195.330000000002</v>
      </c>
      <c r="BM291" s="7">
        <f t="shared" si="151"/>
        <v>91995.89</v>
      </c>
      <c r="BN291" s="7">
        <f t="shared" si="151"/>
        <v>1139858.77</v>
      </c>
      <c r="BO291" s="7">
        <f t="shared" si="151"/>
        <v>396388.6</v>
      </c>
      <c r="BP291" s="7">
        <f t="shared" si="151"/>
        <v>245997.25</v>
      </c>
      <c r="BQ291" s="7">
        <f t="shared" si="151"/>
        <v>1733716.34</v>
      </c>
      <c r="BR291" s="7">
        <f t="shared" si="151"/>
        <v>459017.22</v>
      </c>
      <c r="BS291" s="7">
        <f t="shared" si="151"/>
        <v>258944.15</v>
      </c>
      <c r="BT291" s="7">
        <f t="shared" si="151"/>
        <v>149392.14000000001</v>
      </c>
      <c r="BU291" s="7">
        <f t="shared" si="151"/>
        <v>109362.84</v>
      </c>
      <c r="BV291" s="7">
        <f t="shared" si="151"/>
        <v>817601.21</v>
      </c>
      <c r="BW291" s="7">
        <f t="shared" si="151"/>
        <v>711654.23</v>
      </c>
      <c r="BX291" s="7">
        <f t="shared" si="151"/>
        <v>99943.77</v>
      </c>
      <c r="BY291" s="7">
        <f t="shared" si="151"/>
        <v>193396.48000000001</v>
      </c>
      <c r="BZ291" s="7">
        <f t="shared" si="151"/>
        <v>99867.18</v>
      </c>
      <c r="CA291" s="7">
        <f t="shared" si="151"/>
        <v>394616.81</v>
      </c>
      <c r="CB291" s="7">
        <f t="shared" si="151"/>
        <v>24768877.350000001</v>
      </c>
      <c r="CC291" s="7">
        <f t="shared" si="151"/>
        <v>91062.73</v>
      </c>
      <c r="CD291" s="7">
        <f t="shared" si="151"/>
        <v>72919.69</v>
      </c>
      <c r="CE291" s="7">
        <f t="shared" si="151"/>
        <v>104487.79</v>
      </c>
      <c r="CF291" s="7">
        <f t="shared" si="151"/>
        <v>86249.23</v>
      </c>
      <c r="CG291" s="7">
        <f t="shared" si="151"/>
        <v>74426.7</v>
      </c>
      <c r="CH291" s="7">
        <f t="shared" si="151"/>
        <v>33444.1</v>
      </c>
      <c r="CI291" s="7">
        <f t="shared" si="151"/>
        <v>320790.64</v>
      </c>
      <c r="CJ291" s="7">
        <f t="shared" si="151"/>
        <v>313858.84000000003</v>
      </c>
      <c r="CK291" s="7">
        <f t="shared" si="151"/>
        <v>1519908.61</v>
      </c>
      <c r="CL291" s="7">
        <f t="shared" si="151"/>
        <v>233618.03</v>
      </c>
      <c r="CM291" s="7">
        <f t="shared" si="151"/>
        <v>113893.58</v>
      </c>
      <c r="CN291" s="7">
        <f t="shared" si="151"/>
        <v>8605084.4100000001</v>
      </c>
      <c r="CO291" s="7">
        <f t="shared" si="151"/>
        <v>5153394.09</v>
      </c>
      <c r="CP291" s="7">
        <f t="shared" si="151"/>
        <v>734189.06</v>
      </c>
      <c r="CQ291" s="7">
        <f t="shared" si="151"/>
        <v>386426.67</v>
      </c>
      <c r="CR291" s="7">
        <f t="shared" si="151"/>
        <v>80485.73</v>
      </c>
      <c r="CS291" s="7">
        <f t="shared" si="151"/>
        <v>248224.67</v>
      </c>
      <c r="CT291" s="7">
        <f t="shared" si="151"/>
        <v>85958.85</v>
      </c>
      <c r="CU291" s="7">
        <f t="shared" si="151"/>
        <v>58359.59</v>
      </c>
      <c r="CV291" s="7">
        <f t="shared" si="151"/>
        <v>47858.69</v>
      </c>
      <c r="CW291" s="7">
        <f t="shared" si="151"/>
        <v>134115.63</v>
      </c>
      <c r="CX291" s="7">
        <f t="shared" si="151"/>
        <v>243713.34</v>
      </c>
      <c r="CY291" s="7">
        <f t="shared" si="151"/>
        <v>18970.75</v>
      </c>
      <c r="CZ291" s="7">
        <f t="shared" si="151"/>
        <v>629899.39</v>
      </c>
      <c r="DA291" s="7">
        <f t="shared" si="151"/>
        <v>123499.93</v>
      </c>
      <c r="DB291" s="7">
        <f t="shared" si="151"/>
        <v>101395.44</v>
      </c>
      <c r="DC291" s="7">
        <f t="shared" si="151"/>
        <v>112080.46</v>
      </c>
      <c r="DD291" s="7">
        <f t="shared" si="151"/>
        <v>97944.92</v>
      </c>
      <c r="DE291" s="7">
        <f t="shared" si="151"/>
        <v>288400.14</v>
      </c>
      <c r="DF291" s="7">
        <f t="shared" si="151"/>
        <v>7817551.8200000003</v>
      </c>
      <c r="DG291" s="7">
        <f t="shared" si="151"/>
        <v>118174.05</v>
      </c>
      <c r="DH291" s="7">
        <f t="shared" si="151"/>
        <v>1002544.97</v>
      </c>
      <c r="DI291" s="7">
        <f t="shared" si="151"/>
        <v>1169415.45</v>
      </c>
      <c r="DJ291" s="7">
        <f t="shared" si="151"/>
        <v>169846.5</v>
      </c>
      <c r="DK291" s="7">
        <f t="shared" si="151"/>
        <v>88144.5</v>
      </c>
      <c r="DL291" s="7">
        <f t="shared" si="151"/>
        <v>2420056.54</v>
      </c>
      <c r="DM291" s="7">
        <f t="shared" si="151"/>
        <v>77790.55</v>
      </c>
      <c r="DN291" s="7">
        <f t="shared" si="151"/>
        <v>628414.66</v>
      </c>
      <c r="DO291" s="7">
        <f t="shared" si="151"/>
        <v>761258.72</v>
      </c>
      <c r="DP291" s="7">
        <f t="shared" si="151"/>
        <v>77422.7</v>
      </c>
      <c r="DQ291" s="7">
        <f t="shared" si="151"/>
        <v>409714.16</v>
      </c>
      <c r="DR291" s="7">
        <f t="shared" si="151"/>
        <v>475735.48</v>
      </c>
      <c r="DS291" s="7">
        <f t="shared" si="151"/>
        <v>198489</v>
      </c>
      <c r="DT291" s="7">
        <f t="shared" si="151"/>
        <v>53085.02</v>
      </c>
      <c r="DU291" s="7">
        <f t="shared" si="151"/>
        <v>128255.13</v>
      </c>
      <c r="DV291" s="7">
        <f t="shared" si="151"/>
        <v>49041.63</v>
      </c>
      <c r="DW291" s="7">
        <f t="shared" si="151"/>
        <v>105819.77</v>
      </c>
      <c r="DX291" s="7">
        <f t="shared" si="151"/>
        <v>165524.42000000001</v>
      </c>
      <c r="DY291" s="7">
        <f t="shared" si="151"/>
        <v>211849.28</v>
      </c>
      <c r="DZ291" s="7">
        <f t="shared" si="151"/>
        <v>440337.14</v>
      </c>
      <c r="EA291" s="7">
        <f t="shared" si="151"/>
        <v>606678.97</v>
      </c>
      <c r="EB291" s="7">
        <f t="shared" si="151"/>
        <v>264983.83</v>
      </c>
      <c r="EC291" s="7">
        <f t="shared" si="151"/>
        <v>112196.29</v>
      </c>
      <c r="ED291" s="7">
        <f t="shared" si="151"/>
        <v>606490.69999999995</v>
      </c>
      <c r="EE291" s="7">
        <f t="shared" si="151"/>
        <v>69368.460000000006</v>
      </c>
      <c r="EF291" s="7">
        <f t="shared" si="151"/>
        <v>327633.84999999998</v>
      </c>
      <c r="EG291" s="7">
        <f t="shared" si="151"/>
        <v>120677.96</v>
      </c>
      <c r="EH291" s="7">
        <f t="shared" si="151"/>
        <v>51207.78</v>
      </c>
      <c r="EI291" s="7">
        <f t="shared" si="151"/>
        <v>3323220.8</v>
      </c>
      <c r="EJ291" s="7">
        <f t="shared" si="151"/>
        <v>2056399.34</v>
      </c>
      <c r="EK291" s="7">
        <f t="shared" si="151"/>
        <v>137117.85</v>
      </c>
      <c r="EL291" s="7">
        <f t="shared" si="151"/>
        <v>36713.550000000003</v>
      </c>
      <c r="EM291" s="7">
        <f t="shared" si="151"/>
        <v>247634.55</v>
      </c>
      <c r="EN291" s="7">
        <f t="shared" si="151"/>
        <v>285190.57</v>
      </c>
      <c r="EO291" s="7">
        <f t="shared" si="151"/>
        <v>144936.91</v>
      </c>
      <c r="EP291" s="7">
        <f t="shared" si="151"/>
        <v>223170.3</v>
      </c>
      <c r="EQ291" s="7">
        <f t="shared" si="151"/>
        <v>1024267.5</v>
      </c>
      <c r="ER291" s="7">
        <f t="shared" si="151"/>
        <v>209171.85</v>
      </c>
      <c r="ES291" s="7">
        <f t="shared" si="151"/>
        <v>106678.02</v>
      </c>
      <c r="ET291" s="7">
        <f t="shared" si="151"/>
        <v>133939.82999999999</v>
      </c>
      <c r="EU291" s="7">
        <f t="shared" si="151"/>
        <v>189375.43</v>
      </c>
      <c r="EV291" s="7">
        <f t="shared" si="151"/>
        <v>43464.959999999999</v>
      </c>
      <c r="EW291" s="7">
        <f t="shared" si="151"/>
        <v>341846.47</v>
      </c>
      <c r="EX291" s="7">
        <f t="shared" si="151"/>
        <v>19788.41</v>
      </c>
      <c r="EY291" s="7">
        <f t="shared" si="151"/>
        <v>106184.84</v>
      </c>
      <c r="EZ291" s="7">
        <f t="shared" si="151"/>
        <v>92250.34</v>
      </c>
      <c r="FA291" s="7">
        <f t="shared" si="151"/>
        <v>1567984.63</v>
      </c>
      <c r="FB291" s="7">
        <f t="shared" si="151"/>
        <v>469609.63</v>
      </c>
      <c r="FC291" s="7">
        <f t="shared" si="151"/>
        <v>926616</v>
      </c>
      <c r="FD291" s="7">
        <f t="shared" si="151"/>
        <v>157711.57</v>
      </c>
      <c r="FE291" s="7">
        <f t="shared" si="151"/>
        <v>64813.09</v>
      </c>
      <c r="FF291" s="7">
        <f t="shared" si="151"/>
        <v>70542.399999999994</v>
      </c>
      <c r="FG291" s="7">
        <f t="shared" si="151"/>
        <v>71488.67</v>
      </c>
      <c r="FH291" s="7">
        <f t="shared" si="151"/>
        <v>112198.64</v>
      </c>
      <c r="FI291" s="7">
        <f t="shared" si="151"/>
        <v>558618.73</v>
      </c>
      <c r="FJ291" s="7">
        <f t="shared" si="151"/>
        <v>861473.15</v>
      </c>
      <c r="FK291" s="7">
        <f t="shared" si="151"/>
        <v>927120.98</v>
      </c>
      <c r="FL291" s="7">
        <f t="shared" si="151"/>
        <v>1829177.87</v>
      </c>
      <c r="FM291" s="7">
        <f t="shared" si="151"/>
        <v>532404.37</v>
      </c>
      <c r="FN291" s="7">
        <f t="shared" si="151"/>
        <v>3532207.73</v>
      </c>
      <c r="FO291" s="7">
        <f t="shared" si="151"/>
        <v>629176.46</v>
      </c>
      <c r="FP291" s="7">
        <f t="shared" si="151"/>
        <v>752042.46</v>
      </c>
      <c r="FQ291" s="7">
        <f t="shared" si="151"/>
        <v>409839.03</v>
      </c>
      <c r="FR291" s="7">
        <f t="shared" si="151"/>
        <v>177143.45</v>
      </c>
      <c r="FS291" s="7">
        <f t="shared" si="151"/>
        <v>72860.350000000006</v>
      </c>
      <c r="FT291" s="7">
        <f t="shared" si="151"/>
        <v>109456.97</v>
      </c>
      <c r="FU291" s="7">
        <f t="shared" si="151"/>
        <v>297429.19</v>
      </c>
      <c r="FV291" s="7">
        <f t="shared" si="151"/>
        <v>195022.78</v>
      </c>
      <c r="FW291" s="7">
        <f t="shared" si="151"/>
        <v>48430.720000000001</v>
      </c>
      <c r="FX291" s="7">
        <f t="shared" si="151"/>
        <v>39107.11</v>
      </c>
      <c r="FY291" s="7"/>
      <c r="FZ291" s="82">
        <f t="shared" si="149"/>
        <v>249920454.66999993</v>
      </c>
      <c r="GA291" s="62"/>
      <c r="GB291" s="7"/>
      <c r="GC291" s="7"/>
      <c r="GD291" s="15"/>
      <c r="GE291" s="7"/>
      <c r="GF291" s="15"/>
      <c r="GG291" s="7"/>
      <c r="GH291" s="7"/>
      <c r="GI291" s="7"/>
      <c r="GJ291" s="7"/>
      <c r="GK291" s="7"/>
    </row>
    <row r="292" spans="1:193" ht="15.5" x14ac:dyDescent="0.35">
      <c r="A292" s="12" t="s">
        <v>709</v>
      </c>
      <c r="B292" s="7" t="s">
        <v>1064</v>
      </c>
      <c r="C292" s="7" t="e">
        <f t="shared" ref="C292:FX292" ca="1" si="152">IF(C289-C290-C291&lt;0,0,C289-C290-C291)</f>
        <v>#NAME?</v>
      </c>
      <c r="D292" s="7" t="e">
        <f t="shared" ca="1" si="152"/>
        <v>#NAME?</v>
      </c>
      <c r="E292" s="7" t="e">
        <f t="shared" ca="1" si="152"/>
        <v>#NAME?</v>
      </c>
      <c r="F292" s="7" t="e">
        <f t="shared" ca="1" si="152"/>
        <v>#NAME?</v>
      </c>
      <c r="G292" s="7" t="e">
        <f t="shared" ca="1" si="152"/>
        <v>#NAME?</v>
      </c>
      <c r="H292" s="7" t="e">
        <f t="shared" ca="1" si="152"/>
        <v>#NAME?</v>
      </c>
      <c r="I292" s="7" t="e">
        <f t="shared" ca="1" si="152"/>
        <v>#NAME?</v>
      </c>
      <c r="J292" s="7" t="e">
        <f t="shared" ca="1" si="152"/>
        <v>#NAME?</v>
      </c>
      <c r="K292" s="7" t="e">
        <f t="shared" ca="1" si="152"/>
        <v>#NAME?</v>
      </c>
      <c r="L292" s="7" t="e">
        <f t="shared" ca="1" si="152"/>
        <v>#NAME?</v>
      </c>
      <c r="M292" s="7" t="e">
        <f t="shared" ca="1" si="152"/>
        <v>#NAME?</v>
      </c>
      <c r="N292" s="7" t="e">
        <f t="shared" ca="1" si="152"/>
        <v>#NAME?</v>
      </c>
      <c r="O292" s="7" t="e">
        <f t="shared" ca="1" si="152"/>
        <v>#NAME?</v>
      </c>
      <c r="P292" s="7" t="e">
        <f t="shared" ca="1" si="152"/>
        <v>#NAME?</v>
      </c>
      <c r="Q292" s="7" t="e">
        <f t="shared" ca="1" si="152"/>
        <v>#NAME?</v>
      </c>
      <c r="R292" s="7" t="e">
        <f t="shared" ca="1" si="152"/>
        <v>#NAME?</v>
      </c>
      <c r="S292" s="7" t="e">
        <f t="shared" ca="1" si="152"/>
        <v>#NAME?</v>
      </c>
      <c r="T292" s="7" t="e">
        <f t="shared" ca="1" si="152"/>
        <v>#NAME?</v>
      </c>
      <c r="U292" s="7" t="e">
        <f t="shared" ca="1" si="152"/>
        <v>#NAME?</v>
      </c>
      <c r="V292" s="7" t="e">
        <f t="shared" ca="1" si="152"/>
        <v>#NAME?</v>
      </c>
      <c r="W292" s="7" t="e">
        <f t="shared" ca="1" si="152"/>
        <v>#NAME?</v>
      </c>
      <c r="X292" s="7" t="e">
        <f t="shared" ca="1" si="152"/>
        <v>#NAME?</v>
      </c>
      <c r="Y292" s="7" t="e">
        <f t="shared" ca="1" si="152"/>
        <v>#NAME?</v>
      </c>
      <c r="Z292" s="7" t="e">
        <f t="shared" ca="1" si="152"/>
        <v>#NAME?</v>
      </c>
      <c r="AA292" s="7" t="e">
        <f t="shared" ca="1" si="152"/>
        <v>#NAME?</v>
      </c>
      <c r="AB292" s="7" t="e">
        <f t="shared" ca="1" si="152"/>
        <v>#NAME?</v>
      </c>
      <c r="AC292" s="7" t="e">
        <f t="shared" ca="1" si="152"/>
        <v>#NAME?</v>
      </c>
      <c r="AD292" s="7" t="e">
        <f t="shared" ca="1" si="152"/>
        <v>#NAME?</v>
      </c>
      <c r="AE292" s="7" t="e">
        <f t="shared" ca="1" si="152"/>
        <v>#NAME?</v>
      </c>
      <c r="AF292" s="7" t="e">
        <f t="shared" ca="1" si="152"/>
        <v>#NAME?</v>
      </c>
      <c r="AG292" s="7" t="e">
        <f t="shared" ca="1" si="152"/>
        <v>#NAME?</v>
      </c>
      <c r="AH292" s="7" t="e">
        <f t="shared" ca="1" si="152"/>
        <v>#NAME?</v>
      </c>
      <c r="AI292" s="7" t="e">
        <f t="shared" ca="1" si="152"/>
        <v>#NAME?</v>
      </c>
      <c r="AJ292" s="7" t="e">
        <f t="shared" ca="1" si="152"/>
        <v>#NAME?</v>
      </c>
      <c r="AK292" s="7" t="e">
        <f t="shared" ca="1" si="152"/>
        <v>#NAME?</v>
      </c>
      <c r="AL292" s="7" t="e">
        <f t="shared" ca="1" si="152"/>
        <v>#NAME?</v>
      </c>
      <c r="AM292" s="7" t="e">
        <f t="shared" ca="1" si="152"/>
        <v>#NAME?</v>
      </c>
      <c r="AN292" s="7" t="e">
        <f t="shared" ca="1" si="152"/>
        <v>#NAME?</v>
      </c>
      <c r="AO292" s="7" t="e">
        <f t="shared" ca="1" si="152"/>
        <v>#NAME?</v>
      </c>
      <c r="AP292" s="7" t="e">
        <f t="shared" ca="1" si="152"/>
        <v>#NAME?</v>
      </c>
      <c r="AQ292" s="7" t="e">
        <f t="shared" ca="1" si="152"/>
        <v>#NAME?</v>
      </c>
      <c r="AR292" s="7" t="e">
        <f t="shared" ca="1" si="152"/>
        <v>#NAME?</v>
      </c>
      <c r="AS292" s="7" t="e">
        <f t="shared" ca="1" si="152"/>
        <v>#NAME?</v>
      </c>
      <c r="AT292" s="7" t="e">
        <f t="shared" ca="1" si="152"/>
        <v>#NAME?</v>
      </c>
      <c r="AU292" s="7" t="e">
        <f t="shared" ca="1" si="152"/>
        <v>#NAME?</v>
      </c>
      <c r="AV292" s="7" t="e">
        <f t="shared" ca="1" si="152"/>
        <v>#NAME?</v>
      </c>
      <c r="AW292" s="7" t="e">
        <f t="shared" ca="1" si="152"/>
        <v>#NAME?</v>
      </c>
      <c r="AX292" s="7" t="e">
        <f t="shared" ca="1" si="152"/>
        <v>#NAME?</v>
      </c>
      <c r="AY292" s="7" t="e">
        <f t="shared" ca="1" si="152"/>
        <v>#NAME?</v>
      </c>
      <c r="AZ292" s="7" t="e">
        <f t="shared" ca="1" si="152"/>
        <v>#NAME?</v>
      </c>
      <c r="BA292" s="7" t="e">
        <f t="shared" ca="1" si="152"/>
        <v>#NAME?</v>
      </c>
      <c r="BB292" s="7" t="e">
        <f t="shared" ca="1" si="152"/>
        <v>#NAME?</v>
      </c>
      <c r="BC292" s="7" t="e">
        <f t="shared" ca="1" si="152"/>
        <v>#NAME?</v>
      </c>
      <c r="BD292" s="7" t="e">
        <f t="shared" ca="1" si="152"/>
        <v>#NAME?</v>
      </c>
      <c r="BE292" s="7" t="e">
        <f t="shared" ca="1" si="152"/>
        <v>#NAME?</v>
      </c>
      <c r="BF292" s="7" t="e">
        <f t="shared" ca="1" si="152"/>
        <v>#NAME?</v>
      </c>
      <c r="BG292" s="7" t="e">
        <f t="shared" ca="1" si="152"/>
        <v>#NAME?</v>
      </c>
      <c r="BH292" s="7" t="e">
        <f t="shared" ca="1" si="152"/>
        <v>#NAME?</v>
      </c>
      <c r="BI292" s="7" t="e">
        <f t="shared" ca="1" si="152"/>
        <v>#NAME?</v>
      </c>
      <c r="BJ292" s="7" t="e">
        <f t="shared" ca="1" si="152"/>
        <v>#NAME?</v>
      </c>
      <c r="BK292" s="7" t="e">
        <f t="shared" ca="1" si="152"/>
        <v>#NAME?</v>
      </c>
      <c r="BL292" s="7" t="e">
        <f t="shared" ca="1" si="152"/>
        <v>#NAME?</v>
      </c>
      <c r="BM292" s="7" t="e">
        <f t="shared" ca="1" si="152"/>
        <v>#NAME?</v>
      </c>
      <c r="BN292" s="7" t="e">
        <f t="shared" ca="1" si="152"/>
        <v>#NAME?</v>
      </c>
      <c r="BO292" s="7" t="e">
        <f t="shared" ca="1" si="152"/>
        <v>#NAME?</v>
      </c>
      <c r="BP292" s="7" t="e">
        <f t="shared" ca="1" si="152"/>
        <v>#NAME?</v>
      </c>
      <c r="BQ292" s="7" t="e">
        <f t="shared" ca="1" si="152"/>
        <v>#NAME?</v>
      </c>
      <c r="BR292" s="7" t="e">
        <f t="shared" ca="1" si="152"/>
        <v>#NAME?</v>
      </c>
      <c r="BS292" s="7" t="e">
        <f t="shared" ca="1" si="152"/>
        <v>#NAME?</v>
      </c>
      <c r="BT292" s="7" t="e">
        <f t="shared" ca="1" si="152"/>
        <v>#NAME?</v>
      </c>
      <c r="BU292" s="7" t="e">
        <f t="shared" ca="1" si="152"/>
        <v>#NAME?</v>
      </c>
      <c r="BV292" s="7" t="e">
        <f t="shared" ca="1" si="152"/>
        <v>#NAME?</v>
      </c>
      <c r="BW292" s="7" t="e">
        <f t="shared" ca="1" si="152"/>
        <v>#NAME?</v>
      </c>
      <c r="BX292" s="7" t="e">
        <f t="shared" ca="1" si="152"/>
        <v>#NAME?</v>
      </c>
      <c r="BY292" s="7" t="e">
        <f t="shared" ca="1" si="152"/>
        <v>#NAME?</v>
      </c>
      <c r="BZ292" s="7" t="e">
        <f t="shared" ca="1" si="152"/>
        <v>#NAME?</v>
      </c>
      <c r="CA292" s="7" t="e">
        <f t="shared" ca="1" si="152"/>
        <v>#NAME?</v>
      </c>
      <c r="CB292" s="7" t="e">
        <f t="shared" ca="1" si="152"/>
        <v>#NAME?</v>
      </c>
      <c r="CC292" s="7" t="e">
        <f t="shared" ca="1" si="152"/>
        <v>#NAME?</v>
      </c>
      <c r="CD292" s="7" t="e">
        <f t="shared" ca="1" si="152"/>
        <v>#NAME?</v>
      </c>
      <c r="CE292" s="7" t="e">
        <f t="shared" ca="1" si="152"/>
        <v>#NAME?</v>
      </c>
      <c r="CF292" s="7" t="e">
        <f t="shared" ca="1" si="152"/>
        <v>#NAME?</v>
      </c>
      <c r="CG292" s="7" t="e">
        <f t="shared" ca="1" si="152"/>
        <v>#NAME?</v>
      </c>
      <c r="CH292" s="7" t="e">
        <f t="shared" ca="1" si="152"/>
        <v>#NAME?</v>
      </c>
      <c r="CI292" s="7" t="e">
        <f t="shared" ca="1" si="152"/>
        <v>#NAME?</v>
      </c>
      <c r="CJ292" s="7" t="e">
        <f t="shared" ca="1" si="152"/>
        <v>#NAME?</v>
      </c>
      <c r="CK292" s="7" t="e">
        <f t="shared" ca="1" si="152"/>
        <v>#NAME?</v>
      </c>
      <c r="CL292" s="7" t="e">
        <f t="shared" ca="1" si="152"/>
        <v>#NAME?</v>
      </c>
      <c r="CM292" s="7" t="e">
        <f t="shared" ca="1" si="152"/>
        <v>#NAME?</v>
      </c>
      <c r="CN292" s="7" t="e">
        <f t="shared" ca="1" si="152"/>
        <v>#NAME?</v>
      </c>
      <c r="CO292" s="7" t="e">
        <f t="shared" ca="1" si="152"/>
        <v>#NAME?</v>
      </c>
      <c r="CP292" s="7" t="e">
        <f t="shared" ca="1" si="152"/>
        <v>#NAME?</v>
      </c>
      <c r="CQ292" s="7" t="e">
        <f t="shared" ca="1" si="152"/>
        <v>#NAME?</v>
      </c>
      <c r="CR292" s="7" t="e">
        <f t="shared" ca="1" si="152"/>
        <v>#NAME?</v>
      </c>
      <c r="CS292" s="7" t="e">
        <f t="shared" ca="1" si="152"/>
        <v>#NAME?</v>
      </c>
      <c r="CT292" s="7" t="e">
        <f t="shared" ca="1" si="152"/>
        <v>#NAME?</v>
      </c>
      <c r="CU292" s="7" t="e">
        <f t="shared" ca="1" si="152"/>
        <v>#NAME?</v>
      </c>
      <c r="CV292" s="7" t="e">
        <f t="shared" ca="1" si="152"/>
        <v>#NAME?</v>
      </c>
      <c r="CW292" s="7" t="e">
        <f t="shared" ca="1" si="152"/>
        <v>#NAME?</v>
      </c>
      <c r="CX292" s="7" t="e">
        <f t="shared" ca="1" si="152"/>
        <v>#NAME?</v>
      </c>
      <c r="CY292" s="7" t="e">
        <f t="shared" ca="1" si="152"/>
        <v>#NAME?</v>
      </c>
      <c r="CZ292" s="7" t="e">
        <f t="shared" ca="1" si="152"/>
        <v>#NAME?</v>
      </c>
      <c r="DA292" s="7" t="e">
        <f t="shared" ca="1" si="152"/>
        <v>#NAME?</v>
      </c>
      <c r="DB292" s="7" t="e">
        <f t="shared" ca="1" si="152"/>
        <v>#NAME?</v>
      </c>
      <c r="DC292" s="7" t="e">
        <f t="shared" ca="1" si="152"/>
        <v>#NAME?</v>
      </c>
      <c r="DD292" s="7" t="e">
        <f t="shared" ca="1" si="152"/>
        <v>#NAME?</v>
      </c>
      <c r="DE292" s="7" t="e">
        <f t="shared" ca="1" si="152"/>
        <v>#NAME?</v>
      </c>
      <c r="DF292" s="7" t="e">
        <f t="shared" ca="1" si="152"/>
        <v>#NAME?</v>
      </c>
      <c r="DG292" s="7" t="e">
        <f t="shared" ca="1" si="152"/>
        <v>#NAME?</v>
      </c>
      <c r="DH292" s="7" t="e">
        <f t="shared" ca="1" si="152"/>
        <v>#NAME?</v>
      </c>
      <c r="DI292" s="7" t="e">
        <f t="shared" ca="1" si="152"/>
        <v>#NAME?</v>
      </c>
      <c r="DJ292" s="7" t="e">
        <f t="shared" ca="1" si="152"/>
        <v>#NAME?</v>
      </c>
      <c r="DK292" s="7" t="e">
        <f t="shared" ca="1" si="152"/>
        <v>#NAME?</v>
      </c>
      <c r="DL292" s="7" t="e">
        <f t="shared" ca="1" si="152"/>
        <v>#NAME?</v>
      </c>
      <c r="DM292" s="7" t="e">
        <f t="shared" ca="1" si="152"/>
        <v>#NAME?</v>
      </c>
      <c r="DN292" s="7" t="e">
        <f t="shared" ca="1" si="152"/>
        <v>#NAME?</v>
      </c>
      <c r="DO292" s="7" t="e">
        <f t="shared" ca="1" si="152"/>
        <v>#NAME?</v>
      </c>
      <c r="DP292" s="7" t="e">
        <f t="shared" ca="1" si="152"/>
        <v>#NAME?</v>
      </c>
      <c r="DQ292" s="7" t="e">
        <f t="shared" ca="1" si="152"/>
        <v>#NAME?</v>
      </c>
      <c r="DR292" s="7" t="e">
        <f t="shared" ca="1" si="152"/>
        <v>#NAME?</v>
      </c>
      <c r="DS292" s="7" t="e">
        <f t="shared" ca="1" si="152"/>
        <v>#NAME?</v>
      </c>
      <c r="DT292" s="7" t="e">
        <f t="shared" ca="1" si="152"/>
        <v>#NAME?</v>
      </c>
      <c r="DU292" s="7" t="e">
        <f t="shared" ca="1" si="152"/>
        <v>#NAME?</v>
      </c>
      <c r="DV292" s="7" t="e">
        <f t="shared" ca="1" si="152"/>
        <v>#NAME?</v>
      </c>
      <c r="DW292" s="7" t="e">
        <f t="shared" ca="1" si="152"/>
        <v>#NAME?</v>
      </c>
      <c r="DX292" s="7" t="e">
        <f t="shared" ca="1" si="152"/>
        <v>#NAME?</v>
      </c>
      <c r="DY292" s="7" t="e">
        <f t="shared" ca="1" si="152"/>
        <v>#NAME?</v>
      </c>
      <c r="DZ292" s="7" t="e">
        <f t="shared" ca="1" si="152"/>
        <v>#NAME?</v>
      </c>
      <c r="EA292" s="7" t="e">
        <f t="shared" ca="1" si="152"/>
        <v>#NAME?</v>
      </c>
      <c r="EB292" s="7" t="e">
        <f t="shared" ca="1" si="152"/>
        <v>#NAME?</v>
      </c>
      <c r="EC292" s="7" t="e">
        <f t="shared" ca="1" si="152"/>
        <v>#NAME?</v>
      </c>
      <c r="ED292" s="7" t="e">
        <f t="shared" ca="1" si="152"/>
        <v>#NAME?</v>
      </c>
      <c r="EE292" s="7" t="e">
        <f t="shared" ca="1" si="152"/>
        <v>#NAME?</v>
      </c>
      <c r="EF292" s="7" t="e">
        <f t="shared" ca="1" si="152"/>
        <v>#NAME?</v>
      </c>
      <c r="EG292" s="7" t="e">
        <f t="shared" ca="1" si="152"/>
        <v>#NAME?</v>
      </c>
      <c r="EH292" s="7" t="e">
        <f t="shared" ca="1" si="152"/>
        <v>#NAME?</v>
      </c>
      <c r="EI292" s="7" t="e">
        <f t="shared" ca="1" si="152"/>
        <v>#NAME?</v>
      </c>
      <c r="EJ292" s="7" t="e">
        <f t="shared" ca="1" si="152"/>
        <v>#NAME?</v>
      </c>
      <c r="EK292" s="7" t="e">
        <f t="shared" ca="1" si="152"/>
        <v>#NAME?</v>
      </c>
      <c r="EL292" s="7" t="e">
        <f t="shared" ca="1" si="152"/>
        <v>#NAME?</v>
      </c>
      <c r="EM292" s="7" t="e">
        <f t="shared" ca="1" si="152"/>
        <v>#NAME?</v>
      </c>
      <c r="EN292" s="7" t="e">
        <f t="shared" ca="1" si="152"/>
        <v>#NAME?</v>
      </c>
      <c r="EO292" s="7" t="e">
        <f t="shared" ca="1" si="152"/>
        <v>#NAME?</v>
      </c>
      <c r="EP292" s="7" t="e">
        <f t="shared" ca="1" si="152"/>
        <v>#NAME?</v>
      </c>
      <c r="EQ292" s="7" t="e">
        <f t="shared" ca="1" si="152"/>
        <v>#NAME?</v>
      </c>
      <c r="ER292" s="7" t="e">
        <f t="shared" ca="1" si="152"/>
        <v>#NAME?</v>
      </c>
      <c r="ES292" s="7" t="e">
        <f t="shared" ca="1" si="152"/>
        <v>#NAME?</v>
      </c>
      <c r="ET292" s="7" t="e">
        <f t="shared" ca="1" si="152"/>
        <v>#NAME?</v>
      </c>
      <c r="EU292" s="7" t="e">
        <f t="shared" ca="1" si="152"/>
        <v>#NAME?</v>
      </c>
      <c r="EV292" s="7" t="e">
        <f t="shared" ca="1" si="152"/>
        <v>#NAME?</v>
      </c>
      <c r="EW292" s="7" t="e">
        <f t="shared" ca="1" si="152"/>
        <v>#NAME?</v>
      </c>
      <c r="EX292" s="7" t="e">
        <f t="shared" ca="1" si="152"/>
        <v>#NAME?</v>
      </c>
      <c r="EY292" s="7" t="e">
        <f t="shared" ca="1" si="152"/>
        <v>#NAME?</v>
      </c>
      <c r="EZ292" s="7" t="e">
        <f t="shared" ca="1" si="152"/>
        <v>#NAME?</v>
      </c>
      <c r="FA292" s="7" t="e">
        <f t="shared" ca="1" si="152"/>
        <v>#NAME?</v>
      </c>
      <c r="FB292" s="7" t="e">
        <f t="shared" ca="1" si="152"/>
        <v>#NAME?</v>
      </c>
      <c r="FC292" s="7" t="e">
        <f t="shared" ca="1" si="152"/>
        <v>#NAME?</v>
      </c>
      <c r="FD292" s="7" t="e">
        <f t="shared" ca="1" si="152"/>
        <v>#NAME?</v>
      </c>
      <c r="FE292" s="7" t="e">
        <f t="shared" ca="1" si="152"/>
        <v>#NAME?</v>
      </c>
      <c r="FF292" s="7" t="e">
        <f t="shared" ca="1" si="152"/>
        <v>#NAME?</v>
      </c>
      <c r="FG292" s="7" t="e">
        <f t="shared" ca="1" si="152"/>
        <v>#NAME?</v>
      </c>
      <c r="FH292" s="7" t="e">
        <f t="shared" ca="1" si="152"/>
        <v>#NAME?</v>
      </c>
      <c r="FI292" s="7" t="e">
        <f t="shared" ca="1" si="152"/>
        <v>#NAME?</v>
      </c>
      <c r="FJ292" s="7" t="e">
        <f t="shared" ca="1" si="152"/>
        <v>#NAME?</v>
      </c>
      <c r="FK292" s="7" t="e">
        <f t="shared" ca="1" si="152"/>
        <v>#NAME?</v>
      </c>
      <c r="FL292" s="7" t="e">
        <f t="shared" ca="1" si="152"/>
        <v>#NAME?</v>
      </c>
      <c r="FM292" s="7" t="e">
        <f t="shared" ca="1" si="152"/>
        <v>#NAME?</v>
      </c>
      <c r="FN292" s="7" t="e">
        <f t="shared" ca="1" si="152"/>
        <v>#NAME?</v>
      </c>
      <c r="FO292" s="7" t="e">
        <f t="shared" ca="1" si="152"/>
        <v>#NAME?</v>
      </c>
      <c r="FP292" s="7" t="e">
        <f t="shared" ca="1" si="152"/>
        <v>#NAME?</v>
      </c>
      <c r="FQ292" s="7" t="e">
        <f t="shared" ca="1" si="152"/>
        <v>#NAME?</v>
      </c>
      <c r="FR292" s="7" t="e">
        <f t="shared" ca="1" si="152"/>
        <v>#NAME?</v>
      </c>
      <c r="FS292" s="7" t="e">
        <f t="shared" ca="1" si="152"/>
        <v>#NAME?</v>
      </c>
      <c r="FT292" s="7" t="e">
        <f t="shared" ca="1" si="152"/>
        <v>#NAME?</v>
      </c>
      <c r="FU292" s="7" t="e">
        <f t="shared" ca="1" si="152"/>
        <v>#NAME?</v>
      </c>
      <c r="FV292" s="7" t="e">
        <f t="shared" ca="1" si="152"/>
        <v>#NAME?</v>
      </c>
      <c r="FW292" s="7" t="e">
        <f t="shared" ca="1" si="152"/>
        <v>#NAME?</v>
      </c>
      <c r="FX292" s="7" t="e">
        <f t="shared" ca="1" si="152"/>
        <v>#NAME?</v>
      </c>
      <c r="FY292" s="7"/>
      <c r="FZ292" s="82" t="e">
        <f t="shared" ca="1" si="149"/>
        <v>#NAME?</v>
      </c>
      <c r="GA292" s="62"/>
      <c r="GB292" s="7"/>
      <c r="GC292" s="85"/>
      <c r="GD292" s="7"/>
      <c r="GE292" s="7"/>
      <c r="GF292" s="7"/>
      <c r="GG292" s="7"/>
      <c r="GH292" s="7"/>
      <c r="GI292" s="7"/>
      <c r="GJ292" s="7"/>
      <c r="GK292" s="7"/>
    </row>
    <row r="293" spans="1:193" ht="15.5" x14ac:dyDescent="0.35">
      <c r="A293" s="7"/>
      <c r="B293" s="7" t="s">
        <v>1065</v>
      </c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  <c r="EJ293" s="49"/>
      <c r="EK293" s="49"/>
      <c r="EL293" s="49"/>
      <c r="EM293" s="49"/>
      <c r="EN293" s="49"/>
      <c r="EO293" s="49"/>
      <c r="EP293" s="49"/>
      <c r="EQ293" s="49"/>
      <c r="ER293" s="49"/>
      <c r="ES293" s="49"/>
      <c r="ET293" s="49"/>
      <c r="EU293" s="49"/>
      <c r="EV293" s="49"/>
      <c r="EW293" s="49"/>
      <c r="EX293" s="49"/>
      <c r="EY293" s="49"/>
      <c r="EZ293" s="49"/>
      <c r="FA293" s="49"/>
      <c r="FB293" s="49"/>
      <c r="FC293" s="49"/>
      <c r="FD293" s="49"/>
      <c r="FE293" s="49"/>
      <c r="FF293" s="49"/>
      <c r="FG293" s="49"/>
      <c r="FH293" s="49"/>
      <c r="FI293" s="49"/>
      <c r="FJ293" s="49"/>
      <c r="FK293" s="49"/>
      <c r="FL293" s="49"/>
      <c r="FM293" s="49"/>
      <c r="FN293" s="49"/>
      <c r="FO293" s="49"/>
      <c r="FP293" s="49"/>
      <c r="FQ293" s="49"/>
      <c r="FR293" s="49"/>
      <c r="FS293" s="49"/>
      <c r="FT293" s="49"/>
      <c r="FU293" s="49"/>
      <c r="FV293" s="49"/>
      <c r="FW293" s="49"/>
      <c r="FX293" s="49"/>
      <c r="FY293" s="7"/>
      <c r="FZ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</row>
    <row r="294" spans="1:193" ht="15.5" x14ac:dyDescent="0.35">
      <c r="A294" s="12" t="s">
        <v>711</v>
      </c>
      <c r="B294" s="7" t="s">
        <v>1066</v>
      </c>
      <c r="C294" s="7" t="e">
        <f t="shared" ref="C294:M294" ca="1" si="153">ROUND(C285*C48,2)</f>
        <v>#NAME?</v>
      </c>
      <c r="D294" s="7" t="e">
        <f t="shared" ca="1" si="153"/>
        <v>#NAME?</v>
      </c>
      <c r="E294" s="7" t="e">
        <f t="shared" ca="1" si="153"/>
        <v>#NAME?</v>
      </c>
      <c r="F294" s="7" t="e">
        <f t="shared" ca="1" si="153"/>
        <v>#NAME?</v>
      </c>
      <c r="G294" s="7" t="e">
        <f t="shared" ca="1" si="153"/>
        <v>#NAME?</v>
      </c>
      <c r="H294" s="7" t="e">
        <f t="shared" ca="1" si="153"/>
        <v>#NAME?</v>
      </c>
      <c r="I294" s="7" t="e">
        <f t="shared" ca="1" si="153"/>
        <v>#NAME?</v>
      </c>
      <c r="J294" s="7" t="e">
        <f t="shared" ca="1" si="153"/>
        <v>#NAME?</v>
      </c>
      <c r="K294" s="7" t="e">
        <f t="shared" ca="1" si="153"/>
        <v>#NAME?</v>
      </c>
      <c r="L294" s="7" t="e">
        <f t="shared" ca="1" si="153"/>
        <v>#NAME?</v>
      </c>
      <c r="M294" s="7" t="e">
        <f t="shared" ca="1" si="153"/>
        <v>#NAME?</v>
      </c>
      <c r="N294" s="7">
        <v>0</v>
      </c>
      <c r="O294" s="7" t="e">
        <f t="shared" ref="O294:BB294" ca="1" si="154">ROUND(O285*O48,2)</f>
        <v>#NAME?</v>
      </c>
      <c r="P294" s="7" t="e">
        <f t="shared" ca="1" si="154"/>
        <v>#NAME?</v>
      </c>
      <c r="Q294" s="7" t="e">
        <f t="shared" ca="1" si="154"/>
        <v>#NAME?</v>
      </c>
      <c r="R294" s="7" t="e">
        <f t="shared" ca="1" si="154"/>
        <v>#NAME?</v>
      </c>
      <c r="S294" s="7" t="e">
        <f t="shared" ca="1" si="154"/>
        <v>#NAME?</v>
      </c>
      <c r="T294" s="7" t="e">
        <f t="shared" ca="1" si="154"/>
        <v>#NAME?</v>
      </c>
      <c r="U294" s="7" t="e">
        <f t="shared" ca="1" si="154"/>
        <v>#NAME?</v>
      </c>
      <c r="V294" s="7" t="e">
        <f t="shared" ca="1" si="154"/>
        <v>#NAME?</v>
      </c>
      <c r="W294" s="7" t="e">
        <f t="shared" ca="1" si="154"/>
        <v>#NAME?</v>
      </c>
      <c r="X294" s="7" t="e">
        <f t="shared" ca="1" si="154"/>
        <v>#NAME?</v>
      </c>
      <c r="Y294" s="7" t="e">
        <f t="shared" ca="1" si="154"/>
        <v>#NAME?</v>
      </c>
      <c r="Z294" s="7" t="e">
        <f t="shared" ca="1" si="154"/>
        <v>#NAME?</v>
      </c>
      <c r="AA294" s="7" t="e">
        <f t="shared" ca="1" si="154"/>
        <v>#NAME?</v>
      </c>
      <c r="AB294" s="7" t="e">
        <f t="shared" ca="1" si="154"/>
        <v>#NAME?</v>
      </c>
      <c r="AC294" s="7" t="e">
        <f t="shared" ca="1" si="154"/>
        <v>#NAME?</v>
      </c>
      <c r="AD294" s="7" t="e">
        <f t="shared" ca="1" si="154"/>
        <v>#NAME?</v>
      </c>
      <c r="AE294" s="7" t="e">
        <f t="shared" ca="1" si="154"/>
        <v>#NAME?</v>
      </c>
      <c r="AF294" s="7" t="e">
        <f t="shared" ca="1" si="154"/>
        <v>#NAME?</v>
      </c>
      <c r="AG294" s="7" t="e">
        <f t="shared" ca="1" si="154"/>
        <v>#NAME?</v>
      </c>
      <c r="AH294" s="7" t="e">
        <f t="shared" ca="1" si="154"/>
        <v>#NAME?</v>
      </c>
      <c r="AI294" s="7" t="e">
        <f t="shared" ca="1" si="154"/>
        <v>#NAME?</v>
      </c>
      <c r="AJ294" s="7" t="e">
        <f t="shared" ca="1" si="154"/>
        <v>#NAME?</v>
      </c>
      <c r="AK294" s="7" t="e">
        <f t="shared" ca="1" si="154"/>
        <v>#NAME?</v>
      </c>
      <c r="AL294" s="7" t="e">
        <f t="shared" ca="1" si="154"/>
        <v>#NAME?</v>
      </c>
      <c r="AM294" s="7" t="e">
        <f t="shared" ca="1" si="154"/>
        <v>#NAME?</v>
      </c>
      <c r="AN294" s="7" t="e">
        <f t="shared" ca="1" si="154"/>
        <v>#NAME?</v>
      </c>
      <c r="AO294" s="7" t="e">
        <f t="shared" ca="1" si="154"/>
        <v>#NAME?</v>
      </c>
      <c r="AP294" s="7" t="e">
        <f t="shared" ca="1" si="154"/>
        <v>#NAME?</v>
      </c>
      <c r="AQ294" s="7" t="e">
        <f t="shared" ca="1" si="154"/>
        <v>#NAME?</v>
      </c>
      <c r="AR294" s="7" t="e">
        <f t="shared" ca="1" si="154"/>
        <v>#NAME?</v>
      </c>
      <c r="AS294" s="7" t="e">
        <f t="shared" ca="1" si="154"/>
        <v>#NAME?</v>
      </c>
      <c r="AT294" s="7" t="e">
        <f t="shared" ca="1" si="154"/>
        <v>#NAME?</v>
      </c>
      <c r="AU294" s="7" t="e">
        <f t="shared" ca="1" si="154"/>
        <v>#NAME?</v>
      </c>
      <c r="AV294" s="7" t="e">
        <f t="shared" ca="1" si="154"/>
        <v>#NAME?</v>
      </c>
      <c r="AW294" s="7" t="e">
        <f t="shared" ca="1" si="154"/>
        <v>#NAME?</v>
      </c>
      <c r="AX294" s="7" t="e">
        <f t="shared" ca="1" si="154"/>
        <v>#NAME?</v>
      </c>
      <c r="AY294" s="7" t="e">
        <f t="shared" ca="1" si="154"/>
        <v>#NAME?</v>
      </c>
      <c r="AZ294" s="7" t="e">
        <f t="shared" ca="1" si="154"/>
        <v>#NAME?</v>
      </c>
      <c r="BA294" s="7" t="e">
        <f t="shared" ca="1" si="154"/>
        <v>#NAME?</v>
      </c>
      <c r="BB294" s="7" t="e">
        <f t="shared" ca="1" si="154"/>
        <v>#NAME?</v>
      </c>
      <c r="BC294" s="7">
        <v>0</v>
      </c>
      <c r="BD294" s="7" t="e">
        <f t="shared" ref="BD294:FX294" ca="1" si="155">ROUND(BD285*BD48,2)</f>
        <v>#NAME?</v>
      </c>
      <c r="BE294" s="7" t="e">
        <f t="shared" ca="1" si="155"/>
        <v>#NAME?</v>
      </c>
      <c r="BF294" s="7" t="e">
        <f t="shared" ca="1" si="155"/>
        <v>#NAME?</v>
      </c>
      <c r="BG294" s="7" t="e">
        <f t="shared" ca="1" si="155"/>
        <v>#NAME?</v>
      </c>
      <c r="BH294" s="7" t="e">
        <f t="shared" ca="1" si="155"/>
        <v>#NAME?</v>
      </c>
      <c r="BI294" s="7" t="e">
        <f t="shared" ca="1" si="155"/>
        <v>#NAME?</v>
      </c>
      <c r="BJ294" s="7" t="e">
        <f t="shared" ca="1" si="155"/>
        <v>#NAME?</v>
      </c>
      <c r="BK294" s="7" t="e">
        <f t="shared" ca="1" si="155"/>
        <v>#NAME?</v>
      </c>
      <c r="BL294" s="7" t="e">
        <f t="shared" ca="1" si="155"/>
        <v>#NAME?</v>
      </c>
      <c r="BM294" s="7" t="e">
        <f t="shared" ca="1" si="155"/>
        <v>#NAME?</v>
      </c>
      <c r="BN294" s="7" t="e">
        <f t="shared" ca="1" si="155"/>
        <v>#NAME?</v>
      </c>
      <c r="BO294" s="7" t="e">
        <f t="shared" ca="1" si="155"/>
        <v>#NAME?</v>
      </c>
      <c r="BP294" s="7" t="e">
        <f t="shared" ca="1" si="155"/>
        <v>#NAME?</v>
      </c>
      <c r="BQ294" s="7" t="e">
        <f t="shared" ca="1" si="155"/>
        <v>#NAME?</v>
      </c>
      <c r="BR294" s="7" t="e">
        <f t="shared" ca="1" si="155"/>
        <v>#NAME?</v>
      </c>
      <c r="BS294" s="7" t="e">
        <f t="shared" ca="1" si="155"/>
        <v>#NAME?</v>
      </c>
      <c r="BT294" s="7" t="e">
        <f t="shared" ca="1" si="155"/>
        <v>#NAME?</v>
      </c>
      <c r="BU294" s="7" t="e">
        <f t="shared" ca="1" si="155"/>
        <v>#NAME?</v>
      </c>
      <c r="BV294" s="7" t="e">
        <f t="shared" ca="1" si="155"/>
        <v>#NAME?</v>
      </c>
      <c r="BW294" s="7" t="e">
        <f t="shared" ca="1" si="155"/>
        <v>#NAME?</v>
      </c>
      <c r="BX294" s="7" t="e">
        <f t="shared" ca="1" si="155"/>
        <v>#NAME?</v>
      </c>
      <c r="BY294" s="7" t="e">
        <f t="shared" ca="1" si="155"/>
        <v>#NAME?</v>
      </c>
      <c r="BZ294" s="7" t="e">
        <f t="shared" ca="1" si="155"/>
        <v>#NAME?</v>
      </c>
      <c r="CA294" s="7" t="e">
        <f t="shared" ca="1" si="155"/>
        <v>#NAME?</v>
      </c>
      <c r="CB294" s="7" t="e">
        <f t="shared" ca="1" si="155"/>
        <v>#NAME?</v>
      </c>
      <c r="CC294" s="7" t="e">
        <f t="shared" ca="1" si="155"/>
        <v>#NAME?</v>
      </c>
      <c r="CD294" s="7" t="e">
        <f t="shared" ca="1" si="155"/>
        <v>#NAME?</v>
      </c>
      <c r="CE294" s="7" t="e">
        <f t="shared" ca="1" si="155"/>
        <v>#NAME?</v>
      </c>
      <c r="CF294" s="7" t="e">
        <f t="shared" ca="1" si="155"/>
        <v>#NAME?</v>
      </c>
      <c r="CG294" s="7" t="e">
        <f t="shared" ca="1" si="155"/>
        <v>#NAME?</v>
      </c>
      <c r="CH294" s="7" t="e">
        <f t="shared" ca="1" si="155"/>
        <v>#NAME?</v>
      </c>
      <c r="CI294" s="7" t="e">
        <f t="shared" ca="1" si="155"/>
        <v>#NAME?</v>
      </c>
      <c r="CJ294" s="7" t="e">
        <f t="shared" ca="1" si="155"/>
        <v>#NAME?</v>
      </c>
      <c r="CK294" s="7" t="e">
        <f t="shared" ca="1" si="155"/>
        <v>#NAME?</v>
      </c>
      <c r="CL294" s="7" t="e">
        <f t="shared" ca="1" si="155"/>
        <v>#NAME?</v>
      </c>
      <c r="CM294" s="7" t="e">
        <f t="shared" ca="1" si="155"/>
        <v>#NAME?</v>
      </c>
      <c r="CN294" s="7" t="e">
        <f t="shared" ca="1" si="155"/>
        <v>#NAME?</v>
      </c>
      <c r="CO294" s="7" t="e">
        <f t="shared" ca="1" si="155"/>
        <v>#NAME?</v>
      </c>
      <c r="CP294" s="7" t="e">
        <f t="shared" ca="1" si="155"/>
        <v>#NAME?</v>
      </c>
      <c r="CQ294" s="7" t="e">
        <f t="shared" ca="1" si="155"/>
        <v>#NAME?</v>
      </c>
      <c r="CR294" s="7" t="e">
        <f t="shared" ca="1" si="155"/>
        <v>#NAME?</v>
      </c>
      <c r="CS294" s="7" t="e">
        <f t="shared" ca="1" si="155"/>
        <v>#NAME?</v>
      </c>
      <c r="CT294" s="7" t="e">
        <f t="shared" ca="1" si="155"/>
        <v>#NAME?</v>
      </c>
      <c r="CU294" s="7" t="e">
        <f t="shared" ca="1" si="155"/>
        <v>#NAME?</v>
      </c>
      <c r="CV294" s="7" t="e">
        <f t="shared" ca="1" si="155"/>
        <v>#NAME?</v>
      </c>
      <c r="CW294" s="7" t="e">
        <f t="shared" ca="1" si="155"/>
        <v>#NAME?</v>
      </c>
      <c r="CX294" s="7" t="e">
        <f t="shared" ca="1" si="155"/>
        <v>#NAME?</v>
      </c>
      <c r="CY294" s="7" t="e">
        <f t="shared" ca="1" si="155"/>
        <v>#NAME?</v>
      </c>
      <c r="CZ294" s="7" t="e">
        <f t="shared" ca="1" si="155"/>
        <v>#NAME?</v>
      </c>
      <c r="DA294" s="7" t="e">
        <f t="shared" ca="1" si="155"/>
        <v>#NAME?</v>
      </c>
      <c r="DB294" s="7" t="e">
        <f t="shared" ca="1" si="155"/>
        <v>#NAME?</v>
      </c>
      <c r="DC294" s="7" t="e">
        <f t="shared" ca="1" si="155"/>
        <v>#NAME?</v>
      </c>
      <c r="DD294" s="7" t="e">
        <f t="shared" ca="1" si="155"/>
        <v>#NAME?</v>
      </c>
      <c r="DE294" s="7" t="e">
        <f t="shared" ca="1" si="155"/>
        <v>#NAME?</v>
      </c>
      <c r="DF294" s="7" t="e">
        <f t="shared" ca="1" si="155"/>
        <v>#NAME?</v>
      </c>
      <c r="DG294" s="7" t="e">
        <f t="shared" ca="1" si="155"/>
        <v>#NAME?</v>
      </c>
      <c r="DH294" s="7" t="e">
        <f t="shared" ca="1" si="155"/>
        <v>#NAME?</v>
      </c>
      <c r="DI294" s="7" t="e">
        <f t="shared" ca="1" si="155"/>
        <v>#NAME?</v>
      </c>
      <c r="DJ294" s="7" t="e">
        <f t="shared" ca="1" si="155"/>
        <v>#NAME?</v>
      </c>
      <c r="DK294" s="7" t="e">
        <f t="shared" ca="1" si="155"/>
        <v>#NAME?</v>
      </c>
      <c r="DL294" s="7" t="e">
        <f t="shared" ca="1" si="155"/>
        <v>#NAME?</v>
      </c>
      <c r="DM294" s="7" t="e">
        <f t="shared" ca="1" si="155"/>
        <v>#NAME?</v>
      </c>
      <c r="DN294" s="7" t="e">
        <f t="shared" ca="1" si="155"/>
        <v>#NAME?</v>
      </c>
      <c r="DO294" s="7" t="e">
        <f t="shared" ca="1" si="155"/>
        <v>#NAME?</v>
      </c>
      <c r="DP294" s="7" t="e">
        <f t="shared" ca="1" si="155"/>
        <v>#NAME?</v>
      </c>
      <c r="DQ294" s="7" t="e">
        <f t="shared" ca="1" si="155"/>
        <v>#NAME?</v>
      </c>
      <c r="DR294" s="7" t="e">
        <f t="shared" ca="1" si="155"/>
        <v>#NAME?</v>
      </c>
      <c r="DS294" s="7" t="e">
        <f t="shared" ca="1" si="155"/>
        <v>#NAME?</v>
      </c>
      <c r="DT294" s="7" t="e">
        <f t="shared" ca="1" si="155"/>
        <v>#NAME?</v>
      </c>
      <c r="DU294" s="7" t="e">
        <f t="shared" ca="1" si="155"/>
        <v>#NAME?</v>
      </c>
      <c r="DV294" s="7" t="e">
        <f t="shared" ca="1" si="155"/>
        <v>#NAME?</v>
      </c>
      <c r="DW294" s="7" t="e">
        <f t="shared" ca="1" si="155"/>
        <v>#NAME?</v>
      </c>
      <c r="DX294" s="7" t="e">
        <f t="shared" ca="1" si="155"/>
        <v>#NAME?</v>
      </c>
      <c r="DY294" s="7" t="e">
        <f t="shared" ca="1" si="155"/>
        <v>#NAME?</v>
      </c>
      <c r="DZ294" s="7" t="e">
        <f t="shared" ca="1" si="155"/>
        <v>#NAME?</v>
      </c>
      <c r="EA294" s="7" t="e">
        <f t="shared" ca="1" si="155"/>
        <v>#NAME?</v>
      </c>
      <c r="EB294" s="7" t="e">
        <f t="shared" ca="1" si="155"/>
        <v>#NAME?</v>
      </c>
      <c r="EC294" s="7" t="e">
        <f t="shared" ca="1" si="155"/>
        <v>#NAME?</v>
      </c>
      <c r="ED294" s="7" t="e">
        <f t="shared" ca="1" si="155"/>
        <v>#NAME?</v>
      </c>
      <c r="EE294" s="7" t="e">
        <f t="shared" ca="1" si="155"/>
        <v>#NAME?</v>
      </c>
      <c r="EF294" s="7" t="e">
        <f t="shared" ca="1" si="155"/>
        <v>#NAME?</v>
      </c>
      <c r="EG294" s="7" t="e">
        <f t="shared" ca="1" si="155"/>
        <v>#NAME?</v>
      </c>
      <c r="EH294" s="7" t="e">
        <f t="shared" ca="1" si="155"/>
        <v>#NAME?</v>
      </c>
      <c r="EI294" s="7" t="e">
        <f t="shared" ca="1" si="155"/>
        <v>#NAME?</v>
      </c>
      <c r="EJ294" s="7" t="e">
        <f t="shared" ca="1" si="155"/>
        <v>#NAME?</v>
      </c>
      <c r="EK294" s="7" t="e">
        <f t="shared" ca="1" si="155"/>
        <v>#NAME?</v>
      </c>
      <c r="EL294" s="7" t="e">
        <f t="shared" ca="1" si="155"/>
        <v>#NAME?</v>
      </c>
      <c r="EM294" s="7" t="e">
        <f t="shared" ca="1" si="155"/>
        <v>#NAME?</v>
      </c>
      <c r="EN294" s="7" t="e">
        <f t="shared" ca="1" si="155"/>
        <v>#NAME?</v>
      </c>
      <c r="EO294" s="7" t="e">
        <f t="shared" ca="1" si="155"/>
        <v>#NAME?</v>
      </c>
      <c r="EP294" s="7" t="e">
        <f t="shared" ca="1" si="155"/>
        <v>#NAME?</v>
      </c>
      <c r="EQ294" s="7" t="e">
        <f t="shared" ca="1" si="155"/>
        <v>#NAME?</v>
      </c>
      <c r="ER294" s="7" t="e">
        <f t="shared" ca="1" si="155"/>
        <v>#NAME?</v>
      </c>
      <c r="ES294" s="7" t="e">
        <f t="shared" ca="1" si="155"/>
        <v>#NAME?</v>
      </c>
      <c r="ET294" s="7" t="e">
        <f t="shared" ca="1" si="155"/>
        <v>#NAME?</v>
      </c>
      <c r="EU294" s="7" t="e">
        <f t="shared" ca="1" si="155"/>
        <v>#NAME?</v>
      </c>
      <c r="EV294" s="7" t="e">
        <f t="shared" ca="1" si="155"/>
        <v>#NAME?</v>
      </c>
      <c r="EW294" s="7" t="e">
        <f t="shared" ca="1" si="155"/>
        <v>#NAME?</v>
      </c>
      <c r="EX294" s="7" t="e">
        <f t="shared" ca="1" si="155"/>
        <v>#NAME?</v>
      </c>
      <c r="EY294" s="7" t="e">
        <f t="shared" ca="1" si="155"/>
        <v>#NAME?</v>
      </c>
      <c r="EZ294" s="7" t="e">
        <f t="shared" ca="1" si="155"/>
        <v>#NAME?</v>
      </c>
      <c r="FA294" s="7" t="e">
        <f t="shared" ca="1" si="155"/>
        <v>#NAME?</v>
      </c>
      <c r="FB294" s="7" t="e">
        <f t="shared" ca="1" si="155"/>
        <v>#NAME?</v>
      </c>
      <c r="FC294" s="7" t="e">
        <f t="shared" ca="1" si="155"/>
        <v>#NAME?</v>
      </c>
      <c r="FD294" s="7" t="e">
        <f t="shared" ca="1" si="155"/>
        <v>#NAME?</v>
      </c>
      <c r="FE294" s="7" t="e">
        <f t="shared" ca="1" si="155"/>
        <v>#NAME?</v>
      </c>
      <c r="FF294" s="7" t="e">
        <f t="shared" ca="1" si="155"/>
        <v>#NAME?</v>
      </c>
      <c r="FG294" s="7" t="e">
        <f t="shared" ca="1" si="155"/>
        <v>#NAME?</v>
      </c>
      <c r="FH294" s="7" t="e">
        <f t="shared" ca="1" si="155"/>
        <v>#NAME?</v>
      </c>
      <c r="FI294" s="7" t="e">
        <f t="shared" ca="1" si="155"/>
        <v>#NAME?</v>
      </c>
      <c r="FJ294" s="7" t="e">
        <f t="shared" ca="1" si="155"/>
        <v>#NAME?</v>
      </c>
      <c r="FK294" s="7" t="e">
        <f t="shared" ca="1" si="155"/>
        <v>#NAME?</v>
      </c>
      <c r="FL294" s="7" t="e">
        <f t="shared" ca="1" si="155"/>
        <v>#NAME?</v>
      </c>
      <c r="FM294" s="7" t="e">
        <f t="shared" ca="1" si="155"/>
        <v>#NAME?</v>
      </c>
      <c r="FN294" s="7" t="e">
        <f t="shared" ca="1" si="155"/>
        <v>#NAME?</v>
      </c>
      <c r="FO294" s="7" t="e">
        <f t="shared" ca="1" si="155"/>
        <v>#NAME?</v>
      </c>
      <c r="FP294" s="7" t="e">
        <f t="shared" ca="1" si="155"/>
        <v>#NAME?</v>
      </c>
      <c r="FQ294" s="7" t="e">
        <f t="shared" ca="1" si="155"/>
        <v>#NAME?</v>
      </c>
      <c r="FR294" s="7" t="e">
        <f t="shared" ca="1" si="155"/>
        <v>#NAME?</v>
      </c>
      <c r="FS294" s="7" t="e">
        <f t="shared" ca="1" si="155"/>
        <v>#NAME?</v>
      </c>
      <c r="FT294" s="7" t="e">
        <f t="shared" ca="1" si="155"/>
        <v>#NAME?</v>
      </c>
      <c r="FU294" s="7" t="e">
        <f t="shared" ca="1" si="155"/>
        <v>#NAME?</v>
      </c>
      <c r="FV294" s="7" t="e">
        <f t="shared" ca="1" si="155"/>
        <v>#NAME?</v>
      </c>
      <c r="FW294" s="7" t="e">
        <f t="shared" ca="1" si="155"/>
        <v>#NAME?</v>
      </c>
      <c r="FX294" s="7" t="e">
        <f t="shared" ca="1" si="155"/>
        <v>#NAME?</v>
      </c>
      <c r="FY294" s="7"/>
      <c r="FZ294" s="82" t="e">
        <f ca="1">SUM(C294:FX294)</f>
        <v>#NAME?</v>
      </c>
      <c r="GA294" s="62"/>
      <c r="GB294" s="7"/>
      <c r="GC294" s="7"/>
      <c r="GD294" s="7"/>
      <c r="GE294" s="7"/>
      <c r="GF294" s="7"/>
      <c r="GG294" s="7"/>
      <c r="GH294" s="7"/>
      <c r="GI294" s="7"/>
      <c r="GJ294" s="7"/>
      <c r="GK294" s="7"/>
    </row>
    <row r="295" spans="1:193" ht="15.5" x14ac:dyDescent="0.35">
      <c r="A295" s="7"/>
      <c r="B295" s="7" t="s">
        <v>1067</v>
      </c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49"/>
      <c r="FZ295" s="7"/>
      <c r="GB295" s="7">
        <f>FZ295-GA296</f>
        <v>0</v>
      </c>
      <c r="GC295" s="7"/>
      <c r="GD295" s="7"/>
      <c r="GE295" s="7"/>
      <c r="GF295" s="7"/>
      <c r="GG295" s="7"/>
      <c r="GH295" s="7"/>
      <c r="GI295" s="7"/>
      <c r="GJ295" s="7"/>
      <c r="GK295" s="7"/>
    </row>
    <row r="296" spans="1:193" ht="15.5" x14ac:dyDescent="0.35">
      <c r="A296" s="12" t="s">
        <v>713</v>
      </c>
      <c r="B296" s="7" t="s">
        <v>716</v>
      </c>
      <c r="C296" s="7" t="e">
        <f t="shared" ref="C296:FX296" ca="1" si="156">ROUND(C289/C103,2)</f>
        <v>#NAME?</v>
      </c>
      <c r="D296" s="7" t="e">
        <f t="shared" ca="1" si="156"/>
        <v>#NAME?</v>
      </c>
      <c r="E296" s="7" t="e">
        <f t="shared" ca="1" si="156"/>
        <v>#NAME?</v>
      </c>
      <c r="F296" s="7" t="e">
        <f t="shared" ca="1" si="156"/>
        <v>#NAME?</v>
      </c>
      <c r="G296" s="7" t="e">
        <f t="shared" ca="1" si="156"/>
        <v>#NAME?</v>
      </c>
      <c r="H296" s="7" t="e">
        <f t="shared" ca="1" si="156"/>
        <v>#NAME?</v>
      </c>
      <c r="I296" s="7" t="e">
        <f t="shared" ca="1" si="156"/>
        <v>#NAME?</v>
      </c>
      <c r="J296" s="7" t="e">
        <f t="shared" ca="1" si="156"/>
        <v>#NAME?</v>
      </c>
      <c r="K296" s="7" t="e">
        <f t="shared" ca="1" si="156"/>
        <v>#NAME?</v>
      </c>
      <c r="L296" s="7" t="e">
        <f t="shared" ca="1" si="156"/>
        <v>#NAME?</v>
      </c>
      <c r="M296" s="7" t="e">
        <f t="shared" ca="1" si="156"/>
        <v>#NAME?</v>
      </c>
      <c r="N296" s="7" t="e">
        <f t="shared" ca="1" si="156"/>
        <v>#NAME?</v>
      </c>
      <c r="O296" s="7" t="e">
        <f t="shared" ca="1" si="156"/>
        <v>#NAME?</v>
      </c>
      <c r="P296" s="7" t="e">
        <f t="shared" ca="1" si="156"/>
        <v>#NAME?</v>
      </c>
      <c r="Q296" s="7" t="e">
        <f t="shared" ca="1" si="156"/>
        <v>#NAME?</v>
      </c>
      <c r="R296" s="7" t="e">
        <f t="shared" ca="1" si="156"/>
        <v>#NAME?</v>
      </c>
      <c r="S296" s="7" t="e">
        <f t="shared" ca="1" si="156"/>
        <v>#NAME?</v>
      </c>
      <c r="T296" s="7" t="e">
        <f t="shared" ca="1" si="156"/>
        <v>#NAME?</v>
      </c>
      <c r="U296" s="7" t="e">
        <f t="shared" ca="1" si="156"/>
        <v>#NAME?</v>
      </c>
      <c r="V296" s="7" t="e">
        <f t="shared" ca="1" si="156"/>
        <v>#NAME?</v>
      </c>
      <c r="W296" s="7" t="e">
        <f t="shared" ca="1" si="156"/>
        <v>#NAME?</v>
      </c>
      <c r="X296" s="7" t="e">
        <f t="shared" ca="1" si="156"/>
        <v>#NAME?</v>
      </c>
      <c r="Y296" s="7" t="e">
        <f t="shared" ca="1" si="156"/>
        <v>#NAME?</v>
      </c>
      <c r="Z296" s="7" t="e">
        <f t="shared" ca="1" si="156"/>
        <v>#NAME?</v>
      </c>
      <c r="AA296" s="7" t="e">
        <f t="shared" ca="1" si="156"/>
        <v>#NAME?</v>
      </c>
      <c r="AB296" s="7" t="e">
        <f t="shared" ca="1" si="156"/>
        <v>#NAME?</v>
      </c>
      <c r="AC296" s="7" t="e">
        <f t="shared" ca="1" si="156"/>
        <v>#NAME?</v>
      </c>
      <c r="AD296" s="7" t="e">
        <f t="shared" ca="1" si="156"/>
        <v>#NAME?</v>
      </c>
      <c r="AE296" s="7" t="e">
        <f t="shared" ca="1" si="156"/>
        <v>#NAME?</v>
      </c>
      <c r="AF296" s="7" t="e">
        <f t="shared" ca="1" si="156"/>
        <v>#NAME?</v>
      </c>
      <c r="AG296" s="7" t="e">
        <f t="shared" ca="1" si="156"/>
        <v>#NAME?</v>
      </c>
      <c r="AH296" s="7" t="e">
        <f t="shared" ca="1" si="156"/>
        <v>#NAME?</v>
      </c>
      <c r="AI296" s="7" t="e">
        <f t="shared" ca="1" si="156"/>
        <v>#NAME?</v>
      </c>
      <c r="AJ296" s="7" t="e">
        <f t="shared" ca="1" si="156"/>
        <v>#NAME?</v>
      </c>
      <c r="AK296" s="7" t="e">
        <f t="shared" ca="1" si="156"/>
        <v>#NAME?</v>
      </c>
      <c r="AL296" s="7" t="e">
        <f t="shared" ca="1" si="156"/>
        <v>#NAME?</v>
      </c>
      <c r="AM296" s="7" t="e">
        <f t="shared" ca="1" si="156"/>
        <v>#NAME?</v>
      </c>
      <c r="AN296" s="7" t="e">
        <f t="shared" ca="1" si="156"/>
        <v>#NAME?</v>
      </c>
      <c r="AO296" s="7" t="e">
        <f t="shared" ca="1" si="156"/>
        <v>#NAME?</v>
      </c>
      <c r="AP296" s="7" t="e">
        <f t="shared" ca="1" si="156"/>
        <v>#NAME?</v>
      </c>
      <c r="AQ296" s="7" t="e">
        <f t="shared" ca="1" si="156"/>
        <v>#NAME?</v>
      </c>
      <c r="AR296" s="7" t="e">
        <f t="shared" ca="1" si="156"/>
        <v>#NAME?</v>
      </c>
      <c r="AS296" s="7" t="e">
        <f t="shared" ca="1" si="156"/>
        <v>#NAME?</v>
      </c>
      <c r="AT296" s="7" t="e">
        <f t="shared" ca="1" si="156"/>
        <v>#NAME?</v>
      </c>
      <c r="AU296" s="7" t="e">
        <f t="shared" ca="1" si="156"/>
        <v>#NAME?</v>
      </c>
      <c r="AV296" s="7" t="e">
        <f t="shared" ca="1" si="156"/>
        <v>#NAME?</v>
      </c>
      <c r="AW296" s="7" t="e">
        <f t="shared" ca="1" si="156"/>
        <v>#NAME?</v>
      </c>
      <c r="AX296" s="7" t="e">
        <f t="shared" ca="1" si="156"/>
        <v>#NAME?</v>
      </c>
      <c r="AY296" s="7" t="e">
        <f t="shared" ca="1" si="156"/>
        <v>#NAME?</v>
      </c>
      <c r="AZ296" s="7" t="e">
        <f t="shared" ca="1" si="156"/>
        <v>#NAME?</v>
      </c>
      <c r="BA296" s="7" t="e">
        <f t="shared" ca="1" si="156"/>
        <v>#NAME?</v>
      </c>
      <c r="BB296" s="7" t="e">
        <f t="shared" ca="1" si="156"/>
        <v>#NAME?</v>
      </c>
      <c r="BC296" s="7" t="e">
        <f t="shared" ca="1" si="156"/>
        <v>#NAME?</v>
      </c>
      <c r="BD296" s="7" t="e">
        <f t="shared" ca="1" si="156"/>
        <v>#NAME?</v>
      </c>
      <c r="BE296" s="7" t="e">
        <f t="shared" ca="1" si="156"/>
        <v>#NAME?</v>
      </c>
      <c r="BF296" s="7" t="e">
        <f t="shared" ca="1" si="156"/>
        <v>#NAME?</v>
      </c>
      <c r="BG296" s="7" t="e">
        <f t="shared" ca="1" si="156"/>
        <v>#NAME?</v>
      </c>
      <c r="BH296" s="7" t="e">
        <f t="shared" ca="1" si="156"/>
        <v>#NAME?</v>
      </c>
      <c r="BI296" s="7" t="e">
        <f t="shared" ca="1" si="156"/>
        <v>#NAME?</v>
      </c>
      <c r="BJ296" s="7" t="e">
        <f t="shared" ca="1" si="156"/>
        <v>#NAME?</v>
      </c>
      <c r="BK296" s="7" t="e">
        <f t="shared" ca="1" si="156"/>
        <v>#NAME?</v>
      </c>
      <c r="BL296" s="7" t="e">
        <f t="shared" ca="1" si="156"/>
        <v>#NAME?</v>
      </c>
      <c r="BM296" s="7" t="e">
        <f t="shared" ca="1" si="156"/>
        <v>#NAME?</v>
      </c>
      <c r="BN296" s="7" t="e">
        <f t="shared" ca="1" si="156"/>
        <v>#NAME?</v>
      </c>
      <c r="BO296" s="7" t="e">
        <f t="shared" ca="1" si="156"/>
        <v>#NAME?</v>
      </c>
      <c r="BP296" s="7" t="e">
        <f t="shared" ca="1" si="156"/>
        <v>#NAME?</v>
      </c>
      <c r="BQ296" s="7" t="e">
        <f t="shared" ca="1" si="156"/>
        <v>#NAME?</v>
      </c>
      <c r="BR296" s="7" t="e">
        <f t="shared" ca="1" si="156"/>
        <v>#NAME?</v>
      </c>
      <c r="BS296" s="7" t="e">
        <f t="shared" ca="1" si="156"/>
        <v>#NAME?</v>
      </c>
      <c r="BT296" s="7" t="e">
        <f t="shared" ca="1" si="156"/>
        <v>#NAME?</v>
      </c>
      <c r="BU296" s="7" t="e">
        <f t="shared" ca="1" si="156"/>
        <v>#NAME?</v>
      </c>
      <c r="BV296" s="7" t="e">
        <f t="shared" ca="1" si="156"/>
        <v>#NAME?</v>
      </c>
      <c r="BW296" s="7" t="e">
        <f t="shared" ca="1" si="156"/>
        <v>#NAME?</v>
      </c>
      <c r="BX296" s="7" t="e">
        <f t="shared" ca="1" si="156"/>
        <v>#NAME?</v>
      </c>
      <c r="BY296" s="7" t="e">
        <f t="shared" ca="1" si="156"/>
        <v>#NAME?</v>
      </c>
      <c r="BZ296" s="7" t="e">
        <f t="shared" ca="1" si="156"/>
        <v>#NAME?</v>
      </c>
      <c r="CA296" s="7" t="e">
        <f t="shared" ca="1" si="156"/>
        <v>#NAME?</v>
      </c>
      <c r="CB296" s="7" t="e">
        <f t="shared" ca="1" si="156"/>
        <v>#NAME?</v>
      </c>
      <c r="CC296" s="7" t="e">
        <f t="shared" ca="1" si="156"/>
        <v>#NAME?</v>
      </c>
      <c r="CD296" s="7" t="e">
        <f t="shared" ca="1" si="156"/>
        <v>#NAME?</v>
      </c>
      <c r="CE296" s="7" t="e">
        <f t="shared" ca="1" si="156"/>
        <v>#NAME?</v>
      </c>
      <c r="CF296" s="7" t="e">
        <f t="shared" ca="1" si="156"/>
        <v>#NAME?</v>
      </c>
      <c r="CG296" s="7" t="e">
        <f t="shared" ca="1" si="156"/>
        <v>#NAME?</v>
      </c>
      <c r="CH296" s="7" t="e">
        <f t="shared" ca="1" si="156"/>
        <v>#NAME?</v>
      </c>
      <c r="CI296" s="7" t="e">
        <f t="shared" ca="1" si="156"/>
        <v>#NAME?</v>
      </c>
      <c r="CJ296" s="7" t="e">
        <f t="shared" ca="1" si="156"/>
        <v>#NAME?</v>
      </c>
      <c r="CK296" s="7" t="e">
        <f t="shared" ca="1" si="156"/>
        <v>#NAME?</v>
      </c>
      <c r="CL296" s="7" t="e">
        <f t="shared" ca="1" si="156"/>
        <v>#NAME?</v>
      </c>
      <c r="CM296" s="7" t="e">
        <f t="shared" ca="1" si="156"/>
        <v>#NAME?</v>
      </c>
      <c r="CN296" s="7" t="e">
        <f t="shared" ca="1" si="156"/>
        <v>#NAME?</v>
      </c>
      <c r="CO296" s="7" t="e">
        <f t="shared" ca="1" si="156"/>
        <v>#NAME?</v>
      </c>
      <c r="CP296" s="7" t="e">
        <f t="shared" ca="1" si="156"/>
        <v>#NAME?</v>
      </c>
      <c r="CQ296" s="7" t="e">
        <f t="shared" ca="1" si="156"/>
        <v>#NAME?</v>
      </c>
      <c r="CR296" s="7" t="e">
        <f t="shared" ca="1" si="156"/>
        <v>#NAME?</v>
      </c>
      <c r="CS296" s="7" t="e">
        <f t="shared" ca="1" si="156"/>
        <v>#NAME?</v>
      </c>
      <c r="CT296" s="7" t="e">
        <f t="shared" ca="1" si="156"/>
        <v>#NAME?</v>
      </c>
      <c r="CU296" s="7" t="e">
        <f t="shared" ca="1" si="156"/>
        <v>#NAME?</v>
      </c>
      <c r="CV296" s="7" t="e">
        <f t="shared" ca="1" si="156"/>
        <v>#NAME?</v>
      </c>
      <c r="CW296" s="7" t="e">
        <f t="shared" ca="1" si="156"/>
        <v>#NAME?</v>
      </c>
      <c r="CX296" s="7" t="e">
        <f t="shared" ca="1" si="156"/>
        <v>#NAME?</v>
      </c>
      <c r="CY296" s="7" t="e">
        <f t="shared" ca="1" si="156"/>
        <v>#NAME?</v>
      </c>
      <c r="CZ296" s="7" t="e">
        <f t="shared" ca="1" si="156"/>
        <v>#NAME?</v>
      </c>
      <c r="DA296" s="7" t="e">
        <f t="shared" ca="1" si="156"/>
        <v>#NAME?</v>
      </c>
      <c r="DB296" s="7" t="e">
        <f t="shared" ca="1" si="156"/>
        <v>#NAME?</v>
      </c>
      <c r="DC296" s="7" t="e">
        <f t="shared" ca="1" si="156"/>
        <v>#NAME?</v>
      </c>
      <c r="DD296" s="7" t="e">
        <f t="shared" ca="1" si="156"/>
        <v>#NAME?</v>
      </c>
      <c r="DE296" s="7" t="e">
        <f t="shared" ca="1" si="156"/>
        <v>#NAME?</v>
      </c>
      <c r="DF296" s="7" t="e">
        <f t="shared" ca="1" si="156"/>
        <v>#NAME?</v>
      </c>
      <c r="DG296" s="7" t="e">
        <f t="shared" ca="1" si="156"/>
        <v>#NAME?</v>
      </c>
      <c r="DH296" s="7" t="e">
        <f t="shared" ca="1" si="156"/>
        <v>#NAME?</v>
      </c>
      <c r="DI296" s="7" t="e">
        <f t="shared" ca="1" si="156"/>
        <v>#NAME?</v>
      </c>
      <c r="DJ296" s="7" t="e">
        <f t="shared" ca="1" si="156"/>
        <v>#NAME?</v>
      </c>
      <c r="DK296" s="7" t="e">
        <f t="shared" ca="1" si="156"/>
        <v>#NAME?</v>
      </c>
      <c r="DL296" s="7" t="e">
        <f t="shared" ca="1" si="156"/>
        <v>#NAME?</v>
      </c>
      <c r="DM296" s="7" t="e">
        <f t="shared" ca="1" si="156"/>
        <v>#NAME?</v>
      </c>
      <c r="DN296" s="7" t="e">
        <f t="shared" ca="1" si="156"/>
        <v>#NAME?</v>
      </c>
      <c r="DO296" s="7" t="e">
        <f t="shared" ca="1" si="156"/>
        <v>#NAME?</v>
      </c>
      <c r="DP296" s="7" t="e">
        <f t="shared" ca="1" si="156"/>
        <v>#NAME?</v>
      </c>
      <c r="DQ296" s="7" t="e">
        <f t="shared" ca="1" si="156"/>
        <v>#NAME?</v>
      </c>
      <c r="DR296" s="7" t="e">
        <f t="shared" ca="1" si="156"/>
        <v>#NAME?</v>
      </c>
      <c r="DS296" s="7" t="e">
        <f t="shared" ca="1" si="156"/>
        <v>#NAME?</v>
      </c>
      <c r="DT296" s="7" t="e">
        <f t="shared" ca="1" si="156"/>
        <v>#NAME?</v>
      </c>
      <c r="DU296" s="7" t="e">
        <f t="shared" ca="1" si="156"/>
        <v>#NAME?</v>
      </c>
      <c r="DV296" s="7" t="e">
        <f t="shared" ca="1" si="156"/>
        <v>#NAME?</v>
      </c>
      <c r="DW296" s="7" t="e">
        <f t="shared" ca="1" si="156"/>
        <v>#NAME?</v>
      </c>
      <c r="DX296" s="7" t="e">
        <f t="shared" ca="1" si="156"/>
        <v>#NAME?</v>
      </c>
      <c r="DY296" s="7" t="e">
        <f t="shared" ca="1" si="156"/>
        <v>#NAME?</v>
      </c>
      <c r="DZ296" s="7" t="e">
        <f t="shared" ca="1" si="156"/>
        <v>#NAME?</v>
      </c>
      <c r="EA296" s="7" t="e">
        <f t="shared" ca="1" si="156"/>
        <v>#NAME?</v>
      </c>
      <c r="EB296" s="7" t="e">
        <f t="shared" ca="1" si="156"/>
        <v>#NAME?</v>
      </c>
      <c r="EC296" s="7" t="e">
        <f t="shared" ca="1" si="156"/>
        <v>#NAME?</v>
      </c>
      <c r="ED296" s="7" t="e">
        <f t="shared" ca="1" si="156"/>
        <v>#NAME?</v>
      </c>
      <c r="EE296" s="7" t="e">
        <f t="shared" ca="1" si="156"/>
        <v>#NAME?</v>
      </c>
      <c r="EF296" s="7" t="e">
        <f t="shared" ca="1" si="156"/>
        <v>#NAME?</v>
      </c>
      <c r="EG296" s="7" t="e">
        <f t="shared" ca="1" si="156"/>
        <v>#NAME?</v>
      </c>
      <c r="EH296" s="7" t="e">
        <f t="shared" ca="1" si="156"/>
        <v>#NAME?</v>
      </c>
      <c r="EI296" s="7" t="e">
        <f t="shared" ca="1" si="156"/>
        <v>#NAME?</v>
      </c>
      <c r="EJ296" s="7" t="e">
        <f t="shared" ca="1" si="156"/>
        <v>#NAME?</v>
      </c>
      <c r="EK296" s="7" t="e">
        <f t="shared" ca="1" si="156"/>
        <v>#NAME?</v>
      </c>
      <c r="EL296" s="7" t="e">
        <f t="shared" ca="1" si="156"/>
        <v>#NAME?</v>
      </c>
      <c r="EM296" s="7" t="e">
        <f t="shared" ca="1" si="156"/>
        <v>#NAME?</v>
      </c>
      <c r="EN296" s="7" t="e">
        <f t="shared" ca="1" si="156"/>
        <v>#NAME?</v>
      </c>
      <c r="EO296" s="7" t="e">
        <f t="shared" ca="1" si="156"/>
        <v>#NAME?</v>
      </c>
      <c r="EP296" s="7" t="e">
        <f t="shared" ca="1" si="156"/>
        <v>#NAME?</v>
      </c>
      <c r="EQ296" s="7" t="e">
        <f t="shared" ca="1" si="156"/>
        <v>#NAME?</v>
      </c>
      <c r="ER296" s="7" t="e">
        <f t="shared" ca="1" si="156"/>
        <v>#NAME?</v>
      </c>
      <c r="ES296" s="7" t="e">
        <f t="shared" ca="1" si="156"/>
        <v>#NAME?</v>
      </c>
      <c r="ET296" s="7" t="e">
        <f t="shared" ca="1" si="156"/>
        <v>#NAME?</v>
      </c>
      <c r="EU296" s="7" t="e">
        <f t="shared" ca="1" si="156"/>
        <v>#NAME?</v>
      </c>
      <c r="EV296" s="7" t="e">
        <f t="shared" ca="1" si="156"/>
        <v>#NAME?</v>
      </c>
      <c r="EW296" s="7" t="e">
        <f t="shared" ca="1" si="156"/>
        <v>#NAME?</v>
      </c>
      <c r="EX296" s="7" t="e">
        <f t="shared" ca="1" si="156"/>
        <v>#NAME?</v>
      </c>
      <c r="EY296" s="7" t="e">
        <f t="shared" ca="1" si="156"/>
        <v>#NAME?</v>
      </c>
      <c r="EZ296" s="7" t="e">
        <f t="shared" ca="1" si="156"/>
        <v>#NAME?</v>
      </c>
      <c r="FA296" s="7" t="e">
        <f t="shared" ca="1" si="156"/>
        <v>#NAME?</v>
      </c>
      <c r="FB296" s="7" t="e">
        <f t="shared" ca="1" si="156"/>
        <v>#NAME?</v>
      </c>
      <c r="FC296" s="7" t="e">
        <f t="shared" ca="1" si="156"/>
        <v>#NAME?</v>
      </c>
      <c r="FD296" s="7" t="e">
        <f t="shared" ca="1" si="156"/>
        <v>#NAME?</v>
      </c>
      <c r="FE296" s="7" t="e">
        <f t="shared" ca="1" si="156"/>
        <v>#NAME?</v>
      </c>
      <c r="FF296" s="7" t="e">
        <f t="shared" ca="1" si="156"/>
        <v>#NAME?</v>
      </c>
      <c r="FG296" s="7" t="e">
        <f t="shared" ca="1" si="156"/>
        <v>#NAME?</v>
      </c>
      <c r="FH296" s="7" t="e">
        <f t="shared" ca="1" si="156"/>
        <v>#NAME?</v>
      </c>
      <c r="FI296" s="7" t="e">
        <f t="shared" ca="1" si="156"/>
        <v>#NAME?</v>
      </c>
      <c r="FJ296" s="7" t="e">
        <f t="shared" ca="1" si="156"/>
        <v>#NAME?</v>
      </c>
      <c r="FK296" s="7" t="e">
        <f t="shared" ca="1" si="156"/>
        <v>#NAME?</v>
      </c>
      <c r="FL296" s="7" t="e">
        <f t="shared" ca="1" si="156"/>
        <v>#NAME?</v>
      </c>
      <c r="FM296" s="7" t="e">
        <f t="shared" ca="1" si="156"/>
        <v>#NAME?</v>
      </c>
      <c r="FN296" s="7" t="e">
        <f t="shared" ca="1" si="156"/>
        <v>#NAME?</v>
      </c>
      <c r="FO296" s="7" t="e">
        <f t="shared" ca="1" si="156"/>
        <v>#NAME?</v>
      </c>
      <c r="FP296" s="7" t="e">
        <f t="shared" ca="1" si="156"/>
        <v>#NAME?</v>
      </c>
      <c r="FQ296" s="7" t="e">
        <f t="shared" ca="1" si="156"/>
        <v>#NAME?</v>
      </c>
      <c r="FR296" s="7" t="e">
        <f t="shared" ca="1" si="156"/>
        <v>#NAME?</v>
      </c>
      <c r="FS296" s="7" t="e">
        <f t="shared" ca="1" si="156"/>
        <v>#NAME?</v>
      </c>
      <c r="FT296" s="7" t="e">
        <f t="shared" ca="1" si="156"/>
        <v>#NAME?</v>
      </c>
      <c r="FU296" s="7" t="e">
        <f t="shared" ca="1" si="156"/>
        <v>#NAME?</v>
      </c>
      <c r="FV296" s="7" t="e">
        <f t="shared" ca="1" si="156"/>
        <v>#NAME?</v>
      </c>
      <c r="FW296" s="7" t="e">
        <f t="shared" ca="1" si="156"/>
        <v>#NAME?</v>
      </c>
      <c r="FX296" s="7" t="e">
        <f t="shared" ca="1" si="156"/>
        <v>#NAME?</v>
      </c>
      <c r="FY296" s="7"/>
      <c r="FZ296" s="7" t="e">
        <f ca="1">ROUND(FZ289/FZ103,2)</f>
        <v>#NAME?</v>
      </c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</row>
    <row r="297" spans="1:193" ht="15.5" x14ac:dyDescent="0.35">
      <c r="A297" s="7"/>
      <c r="B297" s="7" t="s">
        <v>1068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71.476213418878615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226.59271679073572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48.350032929331064</v>
      </c>
      <c r="DR297" s="7">
        <v>0</v>
      </c>
      <c r="DS297" s="7">
        <v>0</v>
      </c>
      <c r="DT297" s="7">
        <v>0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0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0</v>
      </c>
      <c r="EY297" s="7">
        <v>0</v>
      </c>
      <c r="EZ297" s="7">
        <v>0</v>
      </c>
      <c r="FA297" s="7">
        <v>0</v>
      </c>
      <c r="FB297" s="7">
        <v>14.786300107836723</v>
      </c>
      <c r="FC297" s="7">
        <v>0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  <c r="FK297" s="7">
        <v>0</v>
      </c>
      <c r="FL297" s="7">
        <v>0</v>
      </c>
      <c r="FM297" s="7">
        <v>0</v>
      </c>
      <c r="FN297" s="7">
        <v>0</v>
      </c>
      <c r="FO297" s="7">
        <v>0</v>
      </c>
      <c r="FP297" s="7">
        <v>0</v>
      </c>
      <c r="FQ297" s="7">
        <v>0</v>
      </c>
      <c r="FR297" s="7">
        <v>37.615996275097132</v>
      </c>
      <c r="FS297" s="7">
        <v>0</v>
      </c>
      <c r="FT297" s="7">
        <v>31.819575678324327</v>
      </c>
      <c r="FU297" s="7">
        <v>0</v>
      </c>
      <c r="FV297" s="7">
        <v>0</v>
      </c>
      <c r="FW297" s="7">
        <v>0</v>
      </c>
      <c r="FX297" s="7">
        <v>0</v>
      </c>
      <c r="FY297" s="7">
        <f t="shared" ref="FY297:FY298" si="157">SUM(C297:FX297)</f>
        <v>430.64083520020358</v>
      </c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</row>
    <row r="298" spans="1:193" ht="15.5" x14ac:dyDescent="0.35">
      <c r="A298" s="12"/>
      <c r="B298" s="7" t="s">
        <v>1069</v>
      </c>
      <c r="C298" s="7" t="e">
        <f t="shared" ref="C298:FX298" ca="1" si="158">(C290+C291+C292)-C289</f>
        <v>#NAME?</v>
      </c>
      <c r="D298" s="7" t="e">
        <f t="shared" ca="1" si="158"/>
        <v>#NAME?</v>
      </c>
      <c r="E298" s="7" t="e">
        <f t="shared" ca="1" si="158"/>
        <v>#NAME?</v>
      </c>
      <c r="F298" s="7" t="e">
        <f t="shared" ca="1" si="158"/>
        <v>#NAME?</v>
      </c>
      <c r="G298" s="7" t="e">
        <f t="shared" ca="1" si="158"/>
        <v>#NAME?</v>
      </c>
      <c r="H298" s="7" t="e">
        <f t="shared" ca="1" si="158"/>
        <v>#NAME?</v>
      </c>
      <c r="I298" s="7" t="e">
        <f t="shared" ca="1" si="158"/>
        <v>#NAME?</v>
      </c>
      <c r="J298" s="7" t="e">
        <f t="shared" ca="1" si="158"/>
        <v>#NAME?</v>
      </c>
      <c r="K298" s="7" t="e">
        <f t="shared" ca="1" si="158"/>
        <v>#NAME?</v>
      </c>
      <c r="L298" s="7" t="e">
        <f t="shared" ca="1" si="158"/>
        <v>#NAME?</v>
      </c>
      <c r="M298" s="7" t="e">
        <f t="shared" ca="1" si="158"/>
        <v>#NAME?</v>
      </c>
      <c r="N298" s="7" t="e">
        <f t="shared" ca="1" si="158"/>
        <v>#NAME?</v>
      </c>
      <c r="O298" s="7" t="e">
        <f t="shared" ca="1" si="158"/>
        <v>#NAME?</v>
      </c>
      <c r="P298" s="7" t="e">
        <f t="shared" ca="1" si="158"/>
        <v>#NAME?</v>
      </c>
      <c r="Q298" s="7" t="e">
        <f t="shared" ca="1" si="158"/>
        <v>#NAME?</v>
      </c>
      <c r="R298" s="7" t="e">
        <f t="shared" ca="1" si="158"/>
        <v>#NAME?</v>
      </c>
      <c r="S298" s="7" t="e">
        <f t="shared" ca="1" si="158"/>
        <v>#NAME?</v>
      </c>
      <c r="T298" s="7" t="e">
        <f t="shared" ca="1" si="158"/>
        <v>#NAME?</v>
      </c>
      <c r="U298" s="7" t="e">
        <f t="shared" ca="1" si="158"/>
        <v>#NAME?</v>
      </c>
      <c r="V298" s="7" t="e">
        <f t="shared" ca="1" si="158"/>
        <v>#NAME?</v>
      </c>
      <c r="W298" s="7" t="e">
        <f t="shared" ca="1" si="158"/>
        <v>#NAME?</v>
      </c>
      <c r="X298" s="7" t="e">
        <f t="shared" ca="1" si="158"/>
        <v>#NAME?</v>
      </c>
      <c r="Y298" s="7" t="e">
        <f t="shared" ca="1" si="158"/>
        <v>#NAME?</v>
      </c>
      <c r="Z298" s="7" t="e">
        <f t="shared" ca="1" si="158"/>
        <v>#NAME?</v>
      </c>
      <c r="AA298" s="7" t="e">
        <f t="shared" ca="1" si="158"/>
        <v>#NAME?</v>
      </c>
      <c r="AB298" s="7" t="e">
        <f t="shared" ca="1" si="158"/>
        <v>#NAME?</v>
      </c>
      <c r="AC298" s="7" t="e">
        <f t="shared" ca="1" si="158"/>
        <v>#NAME?</v>
      </c>
      <c r="AD298" s="7" t="e">
        <f t="shared" ca="1" si="158"/>
        <v>#NAME?</v>
      </c>
      <c r="AE298" s="7" t="e">
        <f t="shared" ca="1" si="158"/>
        <v>#NAME?</v>
      </c>
      <c r="AF298" s="7" t="e">
        <f t="shared" ca="1" si="158"/>
        <v>#NAME?</v>
      </c>
      <c r="AG298" s="7" t="e">
        <f t="shared" ca="1" si="158"/>
        <v>#NAME?</v>
      </c>
      <c r="AH298" s="7" t="e">
        <f t="shared" ca="1" si="158"/>
        <v>#NAME?</v>
      </c>
      <c r="AI298" s="7" t="e">
        <f t="shared" ca="1" si="158"/>
        <v>#NAME?</v>
      </c>
      <c r="AJ298" s="7" t="e">
        <f t="shared" ca="1" si="158"/>
        <v>#NAME?</v>
      </c>
      <c r="AK298" s="7" t="e">
        <f t="shared" ca="1" si="158"/>
        <v>#NAME?</v>
      </c>
      <c r="AL298" s="7" t="e">
        <f t="shared" ca="1" si="158"/>
        <v>#NAME?</v>
      </c>
      <c r="AM298" s="7" t="e">
        <f t="shared" ca="1" si="158"/>
        <v>#NAME?</v>
      </c>
      <c r="AN298" s="7" t="e">
        <f t="shared" ca="1" si="158"/>
        <v>#NAME?</v>
      </c>
      <c r="AO298" s="7" t="e">
        <f t="shared" ca="1" si="158"/>
        <v>#NAME?</v>
      </c>
      <c r="AP298" s="7" t="e">
        <f t="shared" ca="1" si="158"/>
        <v>#NAME?</v>
      </c>
      <c r="AQ298" s="7" t="e">
        <f t="shared" ca="1" si="158"/>
        <v>#NAME?</v>
      </c>
      <c r="AR298" s="7" t="e">
        <f t="shared" ca="1" si="158"/>
        <v>#NAME?</v>
      </c>
      <c r="AS298" s="7" t="e">
        <f t="shared" ca="1" si="158"/>
        <v>#NAME?</v>
      </c>
      <c r="AT298" s="7" t="e">
        <f t="shared" ca="1" si="158"/>
        <v>#NAME?</v>
      </c>
      <c r="AU298" s="7" t="e">
        <f t="shared" ca="1" si="158"/>
        <v>#NAME?</v>
      </c>
      <c r="AV298" s="7" t="e">
        <f t="shared" ca="1" si="158"/>
        <v>#NAME?</v>
      </c>
      <c r="AW298" s="7" t="e">
        <f t="shared" ca="1" si="158"/>
        <v>#NAME?</v>
      </c>
      <c r="AX298" s="7" t="e">
        <f t="shared" ca="1" si="158"/>
        <v>#NAME?</v>
      </c>
      <c r="AY298" s="7" t="e">
        <f t="shared" ca="1" si="158"/>
        <v>#NAME?</v>
      </c>
      <c r="AZ298" s="7" t="e">
        <f t="shared" ca="1" si="158"/>
        <v>#NAME?</v>
      </c>
      <c r="BA298" s="7" t="e">
        <f t="shared" ca="1" si="158"/>
        <v>#NAME?</v>
      </c>
      <c r="BB298" s="7" t="e">
        <f t="shared" ca="1" si="158"/>
        <v>#NAME?</v>
      </c>
      <c r="BC298" s="7" t="e">
        <f t="shared" ca="1" si="158"/>
        <v>#NAME?</v>
      </c>
      <c r="BD298" s="7" t="e">
        <f t="shared" ca="1" si="158"/>
        <v>#NAME?</v>
      </c>
      <c r="BE298" s="7" t="e">
        <f t="shared" ca="1" si="158"/>
        <v>#NAME?</v>
      </c>
      <c r="BF298" s="7" t="e">
        <f t="shared" ca="1" si="158"/>
        <v>#NAME?</v>
      </c>
      <c r="BG298" s="7" t="e">
        <f t="shared" ca="1" si="158"/>
        <v>#NAME?</v>
      </c>
      <c r="BH298" s="7" t="e">
        <f t="shared" ca="1" si="158"/>
        <v>#NAME?</v>
      </c>
      <c r="BI298" s="7" t="e">
        <f t="shared" ca="1" si="158"/>
        <v>#NAME?</v>
      </c>
      <c r="BJ298" s="7" t="e">
        <f t="shared" ca="1" si="158"/>
        <v>#NAME?</v>
      </c>
      <c r="BK298" s="7" t="e">
        <f t="shared" ca="1" si="158"/>
        <v>#NAME?</v>
      </c>
      <c r="BL298" s="7" t="e">
        <f t="shared" ca="1" si="158"/>
        <v>#NAME?</v>
      </c>
      <c r="BM298" s="7" t="e">
        <f t="shared" ca="1" si="158"/>
        <v>#NAME?</v>
      </c>
      <c r="BN298" s="7" t="e">
        <f t="shared" ca="1" si="158"/>
        <v>#NAME?</v>
      </c>
      <c r="BO298" s="7" t="e">
        <f t="shared" ca="1" si="158"/>
        <v>#NAME?</v>
      </c>
      <c r="BP298" s="7" t="e">
        <f t="shared" ca="1" si="158"/>
        <v>#NAME?</v>
      </c>
      <c r="BQ298" s="7" t="e">
        <f t="shared" ca="1" si="158"/>
        <v>#NAME?</v>
      </c>
      <c r="BR298" s="7" t="e">
        <f t="shared" ca="1" si="158"/>
        <v>#NAME?</v>
      </c>
      <c r="BS298" s="7" t="e">
        <f t="shared" ca="1" si="158"/>
        <v>#NAME?</v>
      </c>
      <c r="BT298" s="7" t="e">
        <f t="shared" ca="1" si="158"/>
        <v>#NAME?</v>
      </c>
      <c r="BU298" s="7" t="e">
        <f t="shared" ca="1" si="158"/>
        <v>#NAME?</v>
      </c>
      <c r="BV298" s="7" t="e">
        <f t="shared" ca="1" si="158"/>
        <v>#NAME?</v>
      </c>
      <c r="BW298" s="7" t="e">
        <f t="shared" ca="1" si="158"/>
        <v>#NAME?</v>
      </c>
      <c r="BX298" s="7" t="e">
        <f t="shared" ca="1" si="158"/>
        <v>#NAME?</v>
      </c>
      <c r="BY298" s="7" t="e">
        <f t="shared" ca="1" si="158"/>
        <v>#NAME?</v>
      </c>
      <c r="BZ298" s="7" t="e">
        <f t="shared" ca="1" si="158"/>
        <v>#NAME?</v>
      </c>
      <c r="CA298" s="7" t="e">
        <f t="shared" ca="1" si="158"/>
        <v>#NAME?</v>
      </c>
      <c r="CB298" s="7" t="e">
        <f t="shared" ca="1" si="158"/>
        <v>#NAME?</v>
      </c>
      <c r="CC298" s="7" t="e">
        <f t="shared" ca="1" si="158"/>
        <v>#NAME?</v>
      </c>
      <c r="CD298" s="7" t="e">
        <f t="shared" ca="1" si="158"/>
        <v>#NAME?</v>
      </c>
      <c r="CE298" s="7" t="e">
        <f t="shared" ca="1" si="158"/>
        <v>#NAME?</v>
      </c>
      <c r="CF298" s="7" t="e">
        <f t="shared" ca="1" si="158"/>
        <v>#NAME?</v>
      </c>
      <c r="CG298" s="7" t="e">
        <f t="shared" ca="1" si="158"/>
        <v>#NAME?</v>
      </c>
      <c r="CH298" s="7" t="e">
        <f t="shared" ca="1" si="158"/>
        <v>#NAME?</v>
      </c>
      <c r="CI298" s="7" t="e">
        <f t="shared" ca="1" si="158"/>
        <v>#NAME?</v>
      </c>
      <c r="CJ298" s="7" t="e">
        <f t="shared" ca="1" si="158"/>
        <v>#NAME?</v>
      </c>
      <c r="CK298" s="7" t="e">
        <f t="shared" ca="1" si="158"/>
        <v>#NAME?</v>
      </c>
      <c r="CL298" s="7" t="e">
        <f t="shared" ca="1" si="158"/>
        <v>#NAME?</v>
      </c>
      <c r="CM298" s="7" t="e">
        <f t="shared" ca="1" si="158"/>
        <v>#NAME?</v>
      </c>
      <c r="CN298" s="7" t="e">
        <f t="shared" ca="1" si="158"/>
        <v>#NAME?</v>
      </c>
      <c r="CO298" s="7" t="e">
        <f t="shared" ca="1" si="158"/>
        <v>#NAME?</v>
      </c>
      <c r="CP298" s="7" t="e">
        <f t="shared" ca="1" si="158"/>
        <v>#NAME?</v>
      </c>
      <c r="CQ298" s="7" t="e">
        <f t="shared" ca="1" si="158"/>
        <v>#NAME?</v>
      </c>
      <c r="CR298" s="7" t="e">
        <f t="shared" ca="1" si="158"/>
        <v>#NAME?</v>
      </c>
      <c r="CS298" s="7" t="e">
        <f t="shared" ca="1" si="158"/>
        <v>#NAME?</v>
      </c>
      <c r="CT298" s="7" t="e">
        <f t="shared" ca="1" si="158"/>
        <v>#NAME?</v>
      </c>
      <c r="CU298" s="7" t="e">
        <f t="shared" ca="1" si="158"/>
        <v>#NAME?</v>
      </c>
      <c r="CV298" s="7" t="e">
        <f t="shared" ca="1" si="158"/>
        <v>#NAME?</v>
      </c>
      <c r="CW298" s="7" t="e">
        <f t="shared" ca="1" si="158"/>
        <v>#NAME?</v>
      </c>
      <c r="CX298" s="7" t="e">
        <f t="shared" ca="1" si="158"/>
        <v>#NAME?</v>
      </c>
      <c r="CY298" s="7" t="e">
        <f t="shared" ca="1" si="158"/>
        <v>#NAME?</v>
      </c>
      <c r="CZ298" s="7" t="e">
        <f t="shared" ca="1" si="158"/>
        <v>#NAME?</v>
      </c>
      <c r="DA298" s="7" t="e">
        <f t="shared" ca="1" si="158"/>
        <v>#NAME?</v>
      </c>
      <c r="DB298" s="7" t="e">
        <f t="shared" ca="1" si="158"/>
        <v>#NAME?</v>
      </c>
      <c r="DC298" s="7" t="e">
        <f t="shared" ca="1" si="158"/>
        <v>#NAME?</v>
      </c>
      <c r="DD298" s="7" t="e">
        <f t="shared" ca="1" si="158"/>
        <v>#NAME?</v>
      </c>
      <c r="DE298" s="7" t="e">
        <f t="shared" ca="1" si="158"/>
        <v>#NAME?</v>
      </c>
      <c r="DF298" s="7" t="e">
        <f t="shared" ca="1" si="158"/>
        <v>#NAME?</v>
      </c>
      <c r="DG298" s="7" t="e">
        <f t="shared" ca="1" si="158"/>
        <v>#NAME?</v>
      </c>
      <c r="DH298" s="7" t="e">
        <f t="shared" ca="1" si="158"/>
        <v>#NAME?</v>
      </c>
      <c r="DI298" s="7" t="e">
        <f t="shared" ca="1" si="158"/>
        <v>#NAME?</v>
      </c>
      <c r="DJ298" s="7" t="e">
        <f t="shared" ca="1" si="158"/>
        <v>#NAME?</v>
      </c>
      <c r="DK298" s="7" t="e">
        <f t="shared" ca="1" si="158"/>
        <v>#NAME?</v>
      </c>
      <c r="DL298" s="7" t="e">
        <f t="shared" ca="1" si="158"/>
        <v>#NAME?</v>
      </c>
      <c r="DM298" s="7" t="e">
        <f t="shared" ca="1" si="158"/>
        <v>#NAME?</v>
      </c>
      <c r="DN298" s="7" t="e">
        <f t="shared" ca="1" si="158"/>
        <v>#NAME?</v>
      </c>
      <c r="DO298" s="7" t="e">
        <f t="shared" ca="1" si="158"/>
        <v>#NAME?</v>
      </c>
      <c r="DP298" s="7" t="e">
        <f t="shared" ca="1" si="158"/>
        <v>#NAME?</v>
      </c>
      <c r="DQ298" s="7" t="e">
        <f t="shared" ca="1" si="158"/>
        <v>#NAME?</v>
      </c>
      <c r="DR298" s="7" t="e">
        <f t="shared" ca="1" si="158"/>
        <v>#NAME?</v>
      </c>
      <c r="DS298" s="7" t="e">
        <f t="shared" ca="1" si="158"/>
        <v>#NAME?</v>
      </c>
      <c r="DT298" s="7" t="e">
        <f t="shared" ca="1" si="158"/>
        <v>#NAME?</v>
      </c>
      <c r="DU298" s="7" t="e">
        <f t="shared" ca="1" si="158"/>
        <v>#NAME?</v>
      </c>
      <c r="DV298" s="7" t="e">
        <f t="shared" ca="1" si="158"/>
        <v>#NAME?</v>
      </c>
      <c r="DW298" s="7" t="e">
        <f t="shared" ca="1" si="158"/>
        <v>#NAME?</v>
      </c>
      <c r="DX298" s="7" t="e">
        <f t="shared" ca="1" si="158"/>
        <v>#NAME?</v>
      </c>
      <c r="DY298" s="7" t="e">
        <f t="shared" ca="1" si="158"/>
        <v>#NAME?</v>
      </c>
      <c r="DZ298" s="7" t="e">
        <f t="shared" ca="1" si="158"/>
        <v>#NAME?</v>
      </c>
      <c r="EA298" s="7" t="e">
        <f t="shared" ca="1" si="158"/>
        <v>#NAME?</v>
      </c>
      <c r="EB298" s="7" t="e">
        <f t="shared" ca="1" si="158"/>
        <v>#NAME?</v>
      </c>
      <c r="EC298" s="7" t="e">
        <f t="shared" ca="1" si="158"/>
        <v>#NAME?</v>
      </c>
      <c r="ED298" s="7" t="e">
        <f t="shared" ca="1" si="158"/>
        <v>#NAME?</v>
      </c>
      <c r="EE298" s="7" t="e">
        <f t="shared" ca="1" si="158"/>
        <v>#NAME?</v>
      </c>
      <c r="EF298" s="7" t="e">
        <f t="shared" ca="1" si="158"/>
        <v>#NAME?</v>
      </c>
      <c r="EG298" s="7" t="e">
        <f t="shared" ca="1" si="158"/>
        <v>#NAME?</v>
      </c>
      <c r="EH298" s="7" t="e">
        <f t="shared" ca="1" si="158"/>
        <v>#NAME?</v>
      </c>
      <c r="EI298" s="7" t="e">
        <f t="shared" ca="1" si="158"/>
        <v>#NAME?</v>
      </c>
      <c r="EJ298" s="7" t="e">
        <f t="shared" ca="1" si="158"/>
        <v>#NAME?</v>
      </c>
      <c r="EK298" s="7" t="e">
        <f t="shared" ca="1" si="158"/>
        <v>#NAME?</v>
      </c>
      <c r="EL298" s="7" t="e">
        <f t="shared" ca="1" si="158"/>
        <v>#NAME?</v>
      </c>
      <c r="EM298" s="7" t="e">
        <f t="shared" ca="1" si="158"/>
        <v>#NAME?</v>
      </c>
      <c r="EN298" s="7" t="e">
        <f t="shared" ca="1" si="158"/>
        <v>#NAME?</v>
      </c>
      <c r="EO298" s="7" t="e">
        <f t="shared" ca="1" si="158"/>
        <v>#NAME?</v>
      </c>
      <c r="EP298" s="7" t="e">
        <f t="shared" ca="1" si="158"/>
        <v>#NAME?</v>
      </c>
      <c r="EQ298" s="7" t="e">
        <f t="shared" ca="1" si="158"/>
        <v>#NAME?</v>
      </c>
      <c r="ER298" s="7" t="e">
        <f t="shared" ca="1" si="158"/>
        <v>#NAME?</v>
      </c>
      <c r="ES298" s="7" t="e">
        <f t="shared" ca="1" si="158"/>
        <v>#NAME?</v>
      </c>
      <c r="ET298" s="7" t="e">
        <f t="shared" ca="1" si="158"/>
        <v>#NAME?</v>
      </c>
      <c r="EU298" s="7" t="e">
        <f t="shared" ca="1" si="158"/>
        <v>#NAME?</v>
      </c>
      <c r="EV298" s="7" t="e">
        <f t="shared" ca="1" si="158"/>
        <v>#NAME?</v>
      </c>
      <c r="EW298" s="7" t="e">
        <f t="shared" ca="1" si="158"/>
        <v>#NAME?</v>
      </c>
      <c r="EX298" s="7" t="e">
        <f t="shared" ca="1" si="158"/>
        <v>#NAME?</v>
      </c>
      <c r="EY298" s="7" t="e">
        <f t="shared" ca="1" si="158"/>
        <v>#NAME?</v>
      </c>
      <c r="EZ298" s="7" t="e">
        <f t="shared" ca="1" si="158"/>
        <v>#NAME?</v>
      </c>
      <c r="FA298" s="7" t="e">
        <f t="shared" ca="1" si="158"/>
        <v>#NAME?</v>
      </c>
      <c r="FB298" s="7" t="e">
        <f t="shared" ca="1" si="158"/>
        <v>#NAME?</v>
      </c>
      <c r="FC298" s="7" t="e">
        <f t="shared" ca="1" si="158"/>
        <v>#NAME?</v>
      </c>
      <c r="FD298" s="7" t="e">
        <f t="shared" ca="1" si="158"/>
        <v>#NAME?</v>
      </c>
      <c r="FE298" s="7" t="e">
        <f t="shared" ca="1" si="158"/>
        <v>#NAME?</v>
      </c>
      <c r="FF298" s="7" t="e">
        <f t="shared" ca="1" si="158"/>
        <v>#NAME?</v>
      </c>
      <c r="FG298" s="7" t="e">
        <f t="shared" ca="1" si="158"/>
        <v>#NAME?</v>
      </c>
      <c r="FH298" s="7" t="e">
        <f t="shared" ca="1" si="158"/>
        <v>#NAME?</v>
      </c>
      <c r="FI298" s="7" t="e">
        <f t="shared" ca="1" si="158"/>
        <v>#NAME?</v>
      </c>
      <c r="FJ298" s="7" t="e">
        <f t="shared" ca="1" si="158"/>
        <v>#NAME?</v>
      </c>
      <c r="FK298" s="7" t="e">
        <f t="shared" ca="1" si="158"/>
        <v>#NAME?</v>
      </c>
      <c r="FL298" s="7" t="e">
        <f t="shared" ca="1" si="158"/>
        <v>#NAME?</v>
      </c>
      <c r="FM298" s="7" t="e">
        <f t="shared" ca="1" si="158"/>
        <v>#NAME?</v>
      </c>
      <c r="FN298" s="7" t="e">
        <f t="shared" ca="1" si="158"/>
        <v>#NAME?</v>
      </c>
      <c r="FO298" s="7" t="e">
        <f t="shared" ca="1" si="158"/>
        <v>#NAME?</v>
      </c>
      <c r="FP298" s="7" t="e">
        <f t="shared" ca="1" si="158"/>
        <v>#NAME?</v>
      </c>
      <c r="FQ298" s="7" t="e">
        <f t="shared" ca="1" si="158"/>
        <v>#NAME?</v>
      </c>
      <c r="FR298" s="7" t="e">
        <f t="shared" ca="1" si="158"/>
        <v>#NAME?</v>
      </c>
      <c r="FS298" s="7" t="e">
        <f t="shared" ca="1" si="158"/>
        <v>#NAME?</v>
      </c>
      <c r="FT298" s="7" t="e">
        <f t="shared" ca="1" si="158"/>
        <v>#NAME?</v>
      </c>
      <c r="FU298" s="7" t="e">
        <f t="shared" ca="1" si="158"/>
        <v>#NAME?</v>
      </c>
      <c r="FV298" s="7" t="e">
        <f t="shared" ca="1" si="158"/>
        <v>#NAME?</v>
      </c>
      <c r="FW298" s="7" t="e">
        <f t="shared" ca="1" si="158"/>
        <v>#NAME?</v>
      </c>
      <c r="FX298" s="7" t="e">
        <f t="shared" ca="1" si="158"/>
        <v>#NAME?</v>
      </c>
      <c r="FY298" s="7" t="e">
        <f t="shared" ca="1" si="157"/>
        <v>#NAME?</v>
      </c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</row>
    <row r="299" spans="1:193" ht="15.5" x14ac:dyDescent="0.35">
      <c r="A299" s="12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</row>
    <row r="300" spans="1:193" ht="15.5" x14ac:dyDescent="0.35">
      <c r="A300" s="12" t="s">
        <v>715</v>
      </c>
      <c r="B300" s="5" t="s">
        <v>1070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7">
        <v>0</v>
      </c>
      <c r="AO300" s="7">
        <v>0</v>
      </c>
      <c r="AP300" s="7">
        <v>0</v>
      </c>
      <c r="AQ300" s="7">
        <v>0</v>
      </c>
      <c r="AR300" s="7">
        <v>0</v>
      </c>
      <c r="AS300" s="7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</v>
      </c>
      <c r="BC300" s="7">
        <v>0</v>
      </c>
      <c r="BD300" s="7">
        <v>0</v>
      </c>
      <c r="BE300" s="7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7">
        <v>0</v>
      </c>
      <c r="BL300" s="7">
        <v>0</v>
      </c>
      <c r="BM300" s="7">
        <v>0</v>
      </c>
      <c r="BN300" s="7">
        <v>0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0</v>
      </c>
      <c r="BX300" s="7">
        <v>0</v>
      </c>
      <c r="BY300" s="7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0</v>
      </c>
      <c r="EC300" s="7">
        <v>0</v>
      </c>
      <c r="ED300" s="7">
        <v>0</v>
      </c>
      <c r="EE300" s="7">
        <v>0</v>
      </c>
      <c r="EF300" s="7">
        <v>0</v>
      </c>
      <c r="EG300" s="7">
        <v>0</v>
      </c>
      <c r="EH300" s="7">
        <v>0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0</v>
      </c>
      <c r="EX300" s="7">
        <v>0</v>
      </c>
      <c r="EY300" s="7">
        <v>0</v>
      </c>
      <c r="EZ300" s="7">
        <v>0</v>
      </c>
      <c r="FA300" s="7">
        <v>0</v>
      </c>
      <c r="FB300" s="7">
        <v>0</v>
      </c>
      <c r="FC300" s="7">
        <v>0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  <c r="FK300" s="7">
        <v>0</v>
      </c>
      <c r="FL300" s="7">
        <v>0</v>
      </c>
      <c r="FM300" s="7">
        <v>0</v>
      </c>
      <c r="FN300" s="7">
        <v>0</v>
      </c>
      <c r="FO300" s="7">
        <v>0</v>
      </c>
      <c r="FP300" s="7">
        <v>0</v>
      </c>
      <c r="FQ300" s="7">
        <v>0</v>
      </c>
      <c r="FR300" s="7">
        <v>0</v>
      </c>
      <c r="FS300" s="7">
        <v>0</v>
      </c>
      <c r="FT300" s="7">
        <v>0</v>
      </c>
      <c r="FU300" s="7">
        <v>0</v>
      </c>
      <c r="FV300" s="7">
        <v>0</v>
      </c>
      <c r="FW300" s="7">
        <v>0</v>
      </c>
      <c r="FX300" s="7">
        <v>0</v>
      </c>
      <c r="FY300" s="7"/>
      <c r="FZ300" s="82">
        <f>SUM(C300:FX300)</f>
        <v>0</v>
      </c>
      <c r="GA300" s="80"/>
      <c r="GD300" s="7"/>
      <c r="GE300" s="7"/>
      <c r="GF300" s="7"/>
      <c r="GG300" s="7"/>
      <c r="GH300" s="7"/>
      <c r="GI300" s="7"/>
      <c r="GJ300" s="7"/>
      <c r="GK300" s="7"/>
    </row>
    <row r="301" spans="1:193" ht="15.5" x14ac:dyDescent="0.35">
      <c r="A301" s="12"/>
      <c r="B301" s="5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80"/>
      <c r="GB301" s="7"/>
      <c r="GC301" s="58"/>
      <c r="GD301" s="7"/>
      <c r="GE301" s="7"/>
      <c r="GF301" s="7"/>
      <c r="GG301" s="7"/>
      <c r="GH301" s="7"/>
      <c r="GI301" s="7"/>
      <c r="GJ301" s="7"/>
      <c r="GK301" s="7"/>
    </row>
    <row r="302" spans="1:193" ht="15.5" x14ac:dyDescent="0.35">
      <c r="A302" s="12"/>
      <c r="B302" s="5" t="s">
        <v>1071</v>
      </c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</row>
    <row r="303" spans="1:193" ht="15.5" x14ac:dyDescent="0.35">
      <c r="A303" s="12" t="s">
        <v>1072</v>
      </c>
      <c r="B303" s="7" t="s">
        <v>671</v>
      </c>
      <c r="C303" s="7" t="e">
        <f t="shared" ref="C303:FX303" ca="1" si="159">C289+C300</f>
        <v>#NAME?</v>
      </c>
      <c r="D303" s="7" t="e">
        <f t="shared" ca="1" si="159"/>
        <v>#NAME?</v>
      </c>
      <c r="E303" s="7" t="e">
        <f t="shared" ca="1" si="159"/>
        <v>#NAME?</v>
      </c>
      <c r="F303" s="7" t="e">
        <f t="shared" ca="1" si="159"/>
        <v>#NAME?</v>
      </c>
      <c r="G303" s="7" t="e">
        <f t="shared" ca="1" si="159"/>
        <v>#NAME?</v>
      </c>
      <c r="H303" s="7" t="e">
        <f t="shared" ca="1" si="159"/>
        <v>#NAME?</v>
      </c>
      <c r="I303" s="7" t="e">
        <f t="shared" ca="1" si="159"/>
        <v>#NAME?</v>
      </c>
      <c r="J303" s="7" t="e">
        <f t="shared" ca="1" si="159"/>
        <v>#NAME?</v>
      </c>
      <c r="K303" s="7" t="e">
        <f t="shared" ca="1" si="159"/>
        <v>#NAME?</v>
      </c>
      <c r="L303" s="7" t="e">
        <f t="shared" ca="1" si="159"/>
        <v>#NAME?</v>
      </c>
      <c r="M303" s="7" t="e">
        <f t="shared" ca="1" si="159"/>
        <v>#NAME?</v>
      </c>
      <c r="N303" s="7" t="e">
        <f t="shared" ca="1" si="159"/>
        <v>#NAME?</v>
      </c>
      <c r="O303" s="7" t="e">
        <f t="shared" ca="1" si="159"/>
        <v>#NAME?</v>
      </c>
      <c r="P303" s="7" t="e">
        <f t="shared" ca="1" si="159"/>
        <v>#NAME?</v>
      </c>
      <c r="Q303" s="7" t="e">
        <f t="shared" ca="1" si="159"/>
        <v>#NAME?</v>
      </c>
      <c r="R303" s="7" t="e">
        <f t="shared" ca="1" si="159"/>
        <v>#NAME?</v>
      </c>
      <c r="S303" s="7" t="e">
        <f t="shared" ca="1" si="159"/>
        <v>#NAME?</v>
      </c>
      <c r="T303" s="7" t="e">
        <f t="shared" ca="1" si="159"/>
        <v>#NAME?</v>
      </c>
      <c r="U303" s="7" t="e">
        <f t="shared" ca="1" si="159"/>
        <v>#NAME?</v>
      </c>
      <c r="V303" s="7" t="e">
        <f t="shared" ca="1" si="159"/>
        <v>#NAME?</v>
      </c>
      <c r="W303" s="7" t="e">
        <f t="shared" ca="1" si="159"/>
        <v>#NAME?</v>
      </c>
      <c r="X303" s="7" t="e">
        <f t="shared" ca="1" si="159"/>
        <v>#NAME?</v>
      </c>
      <c r="Y303" s="7" t="e">
        <f t="shared" ca="1" si="159"/>
        <v>#NAME?</v>
      </c>
      <c r="Z303" s="7" t="e">
        <f t="shared" ca="1" si="159"/>
        <v>#NAME?</v>
      </c>
      <c r="AA303" s="7" t="e">
        <f t="shared" ca="1" si="159"/>
        <v>#NAME?</v>
      </c>
      <c r="AB303" s="7" t="e">
        <f t="shared" ca="1" si="159"/>
        <v>#NAME?</v>
      </c>
      <c r="AC303" s="7" t="e">
        <f t="shared" ca="1" si="159"/>
        <v>#NAME?</v>
      </c>
      <c r="AD303" s="7" t="e">
        <f t="shared" ca="1" si="159"/>
        <v>#NAME?</v>
      </c>
      <c r="AE303" s="7" t="e">
        <f t="shared" ca="1" si="159"/>
        <v>#NAME?</v>
      </c>
      <c r="AF303" s="7" t="e">
        <f t="shared" ca="1" si="159"/>
        <v>#NAME?</v>
      </c>
      <c r="AG303" s="7" t="e">
        <f t="shared" ca="1" si="159"/>
        <v>#NAME?</v>
      </c>
      <c r="AH303" s="7" t="e">
        <f t="shared" ca="1" si="159"/>
        <v>#NAME?</v>
      </c>
      <c r="AI303" s="7" t="e">
        <f t="shared" ca="1" si="159"/>
        <v>#NAME?</v>
      </c>
      <c r="AJ303" s="7" t="e">
        <f t="shared" ca="1" si="159"/>
        <v>#NAME?</v>
      </c>
      <c r="AK303" s="7" t="e">
        <f t="shared" ca="1" si="159"/>
        <v>#NAME?</v>
      </c>
      <c r="AL303" s="7" t="e">
        <f t="shared" ca="1" si="159"/>
        <v>#NAME?</v>
      </c>
      <c r="AM303" s="7" t="e">
        <f t="shared" ca="1" si="159"/>
        <v>#NAME?</v>
      </c>
      <c r="AN303" s="7" t="e">
        <f t="shared" ca="1" si="159"/>
        <v>#NAME?</v>
      </c>
      <c r="AO303" s="7" t="e">
        <f t="shared" ca="1" si="159"/>
        <v>#NAME?</v>
      </c>
      <c r="AP303" s="7" t="e">
        <f t="shared" ca="1" si="159"/>
        <v>#NAME?</v>
      </c>
      <c r="AQ303" s="7" t="e">
        <f t="shared" ca="1" si="159"/>
        <v>#NAME?</v>
      </c>
      <c r="AR303" s="7" t="e">
        <f t="shared" ca="1" si="159"/>
        <v>#NAME?</v>
      </c>
      <c r="AS303" s="7" t="e">
        <f t="shared" ca="1" si="159"/>
        <v>#NAME?</v>
      </c>
      <c r="AT303" s="7" t="e">
        <f t="shared" ca="1" si="159"/>
        <v>#NAME?</v>
      </c>
      <c r="AU303" s="7" t="e">
        <f t="shared" ca="1" si="159"/>
        <v>#NAME?</v>
      </c>
      <c r="AV303" s="7" t="e">
        <f t="shared" ca="1" si="159"/>
        <v>#NAME?</v>
      </c>
      <c r="AW303" s="7" t="e">
        <f t="shared" ca="1" si="159"/>
        <v>#NAME?</v>
      </c>
      <c r="AX303" s="7" t="e">
        <f t="shared" ca="1" si="159"/>
        <v>#NAME?</v>
      </c>
      <c r="AY303" s="7" t="e">
        <f t="shared" ca="1" si="159"/>
        <v>#NAME?</v>
      </c>
      <c r="AZ303" s="7" t="e">
        <f t="shared" ca="1" si="159"/>
        <v>#NAME?</v>
      </c>
      <c r="BA303" s="7" t="e">
        <f t="shared" ca="1" si="159"/>
        <v>#NAME?</v>
      </c>
      <c r="BB303" s="7" t="e">
        <f t="shared" ca="1" si="159"/>
        <v>#NAME?</v>
      </c>
      <c r="BC303" s="7" t="e">
        <f t="shared" ca="1" si="159"/>
        <v>#NAME?</v>
      </c>
      <c r="BD303" s="7" t="e">
        <f t="shared" ca="1" si="159"/>
        <v>#NAME?</v>
      </c>
      <c r="BE303" s="7" t="e">
        <f t="shared" ca="1" si="159"/>
        <v>#NAME?</v>
      </c>
      <c r="BF303" s="7" t="e">
        <f t="shared" ca="1" si="159"/>
        <v>#NAME?</v>
      </c>
      <c r="BG303" s="7" t="e">
        <f t="shared" ca="1" si="159"/>
        <v>#NAME?</v>
      </c>
      <c r="BH303" s="7" t="e">
        <f t="shared" ca="1" si="159"/>
        <v>#NAME?</v>
      </c>
      <c r="BI303" s="7" t="e">
        <f t="shared" ca="1" si="159"/>
        <v>#NAME?</v>
      </c>
      <c r="BJ303" s="7" t="e">
        <f t="shared" ca="1" si="159"/>
        <v>#NAME?</v>
      </c>
      <c r="BK303" s="7" t="e">
        <f t="shared" ca="1" si="159"/>
        <v>#NAME?</v>
      </c>
      <c r="BL303" s="7" t="e">
        <f t="shared" ca="1" si="159"/>
        <v>#NAME?</v>
      </c>
      <c r="BM303" s="7" t="e">
        <f t="shared" ca="1" si="159"/>
        <v>#NAME?</v>
      </c>
      <c r="BN303" s="7" t="e">
        <f t="shared" ca="1" si="159"/>
        <v>#NAME?</v>
      </c>
      <c r="BO303" s="7" t="e">
        <f t="shared" ca="1" si="159"/>
        <v>#NAME?</v>
      </c>
      <c r="BP303" s="7" t="e">
        <f t="shared" ca="1" si="159"/>
        <v>#NAME?</v>
      </c>
      <c r="BQ303" s="7" t="e">
        <f t="shared" ca="1" si="159"/>
        <v>#NAME?</v>
      </c>
      <c r="BR303" s="7" t="e">
        <f t="shared" ca="1" si="159"/>
        <v>#NAME?</v>
      </c>
      <c r="BS303" s="7" t="e">
        <f t="shared" ca="1" si="159"/>
        <v>#NAME?</v>
      </c>
      <c r="BT303" s="7" t="e">
        <f t="shared" ca="1" si="159"/>
        <v>#NAME?</v>
      </c>
      <c r="BU303" s="7" t="e">
        <f t="shared" ca="1" si="159"/>
        <v>#NAME?</v>
      </c>
      <c r="BV303" s="7" t="e">
        <f t="shared" ca="1" si="159"/>
        <v>#NAME?</v>
      </c>
      <c r="BW303" s="7" t="e">
        <f t="shared" ca="1" si="159"/>
        <v>#NAME?</v>
      </c>
      <c r="BX303" s="7" t="e">
        <f t="shared" ca="1" si="159"/>
        <v>#NAME?</v>
      </c>
      <c r="BY303" s="7" t="e">
        <f t="shared" ca="1" si="159"/>
        <v>#NAME?</v>
      </c>
      <c r="BZ303" s="7" t="e">
        <f t="shared" ca="1" si="159"/>
        <v>#NAME?</v>
      </c>
      <c r="CA303" s="7" t="e">
        <f t="shared" ca="1" si="159"/>
        <v>#NAME?</v>
      </c>
      <c r="CB303" s="7" t="e">
        <f t="shared" ca="1" si="159"/>
        <v>#NAME?</v>
      </c>
      <c r="CC303" s="7" t="e">
        <f t="shared" ca="1" si="159"/>
        <v>#NAME?</v>
      </c>
      <c r="CD303" s="7" t="e">
        <f t="shared" ca="1" si="159"/>
        <v>#NAME?</v>
      </c>
      <c r="CE303" s="7" t="e">
        <f t="shared" ca="1" si="159"/>
        <v>#NAME?</v>
      </c>
      <c r="CF303" s="7" t="e">
        <f t="shared" ca="1" si="159"/>
        <v>#NAME?</v>
      </c>
      <c r="CG303" s="7" t="e">
        <f t="shared" ca="1" si="159"/>
        <v>#NAME?</v>
      </c>
      <c r="CH303" s="7" t="e">
        <f t="shared" ca="1" si="159"/>
        <v>#NAME?</v>
      </c>
      <c r="CI303" s="7" t="e">
        <f t="shared" ca="1" si="159"/>
        <v>#NAME?</v>
      </c>
      <c r="CJ303" s="7" t="e">
        <f t="shared" ca="1" si="159"/>
        <v>#NAME?</v>
      </c>
      <c r="CK303" s="7" t="e">
        <f t="shared" ca="1" si="159"/>
        <v>#NAME?</v>
      </c>
      <c r="CL303" s="7" t="e">
        <f t="shared" ca="1" si="159"/>
        <v>#NAME?</v>
      </c>
      <c r="CM303" s="7" t="e">
        <f t="shared" ca="1" si="159"/>
        <v>#NAME?</v>
      </c>
      <c r="CN303" s="7" t="e">
        <f t="shared" ca="1" si="159"/>
        <v>#NAME?</v>
      </c>
      <c r="CO303" s="7" t="e">
        <f t="shared" ca="1" si="159"/>
        <v>#NAME?</v>
      </c>
      <c r="CP303" s="7" t="e">
        <f t="shared" ca="1" si="159"/>
        <v>#NAME?</v>
      </c>
      <c r="CQ303" s="7" t="e">
        <f t="shared" ca="1" si="159"/>
        <v>#NAME?</v>
      </c>
      <c r="CR303" s="7" t="e">
        <f t="shared" ca="1" si="159"/>
        <v>#NAME?</v>
      </c>
      <c r="CS303" s="7" t="e">
        <f t="shared" ca="1" si="159"/>
        <v>#NAME?</v>
      </c>
      <c r="CT303" s="7" t="e">
        <f t="shared" ca="1" si="159"/>
        <v>#NAME?</v>
      </c>
      <c r="CU303" s="7" t="e">
        <f t="shared" ca="1" si="159"/>
        <v>#NAME?</v>
      </c>
      <c r="CV303" s="7" t="e">
        <f t="shared" ca="1" si="159"/>
        <v>#NAME?</v>
      </c>
      <c r="CW303" s="7" t="e">
        <f t="shared" ca="1" si="159"/>
        <v>#NAME?</v>
      </c>
      <c r="CX303" s="7" t="e">
        <f t="shared" ca="1" si="159"/>
        <v>#NAME?</v>
      </c>
      <c r="CY303" s="7" t="e">
        <f t="shared" ca="1" si="159"/>
        <v>#NAME?</v>
      </c>
      <c r="CZ303" s="7" t="e">
        <f t="shared" ca="1" si="159"/>
        <v>#NAME?</v>
      </c>
      <c r="DA303" s="7" t="e">
        <f t="shared" ca="1" si="159"/>
        <v>#NAME?</v>
      </c>
      <c r="DB303" s="7" t="e">
        <f t="shared" ca="1" si="159"/>
        <v>#NAME?</v>
      </c>
      <c r="DC303" s="7" t="e">
        <f t="shared" ca="1" si="159"/>
        <v>#NAME?</v>
      </c>
      <c r="DD303" s="7" t="e">
        <f t="shared" ca="1" si="159"/>
        <v>#NAME?</v>
      </c>
      <c r="DE303" s="7" t="e">
        <f t="shared" ca="1" si="159"/>
        <v>#NAME?</v>
      </c>
      <c r="DF303" s="7" t="e">
        <f t="shared" ca="1" si="159"/>
        <v>#NAME?</v>
      </c>
      <c r="DG303" s="7" t="e">
        <f t="shared" ca="1" si="159"/>
        <v>#NAME?</v>
      </c>
      <c r="DH303" s="7" t="e">
        <f t="shared" ca="1" si="159"/>
        <v>#NAME?</v>
      </c>
      <c r="DI303" s="7" t="e">
        <f t="shared" ca="1" si="159"/>
        <v>#NAME?</v>
      </c>
      <c r="DJ303" s="7" t="e">
        <f t="shared" ca="1" si="159"/>
        <v>#NAME?</v>
      </c>
      <c r="DK303" s="7" t="e">
        <f t="shared" ca="1" si="159"/>
        <v>#NAME?</v>
      </c>
      <c r="DL303" s="7" t="e">
        <f t="shared" ca="1" si="159"/>
        <v>#NAME?</v>
      </c>
      <c r="DM303" s="7" t="e">
        <f t="shared" ca="1" si="159"/>
        <v>#NAME?</v>
      </c>
      <c r="DN303" s="7" t="e">
        <f t="shared" ca="1" si="159"/>
        <v>#NAME?</v>
      </c>
      <c r="DO303" s="7" t="e">
        <f t="shared" ca="1" si="159"/>
        <v>#NAME?</v>
      </c>
      <c r="DP303" s="7" t="e">
        <f t="shared" ca="1" si="159"/>
        <v>#NAME?</v>
      </c>
      <c r="DQ303" s="7" t="e">
        <f t="shared" ca="1" si="159"/>
        <v>#NAME?</v>
      </c>
      <c r="DR303" s="7" t="e">
        <f t="shared" ca="1" si="159"/>
        <v>#NAME?</v>
      </c>
      <c r="DS303" s="7" t="e">
        <f t="shared" ca="1" si="159"/>
        <v>#NAME?</v>
      </c>
      <c r="DT303" s="7" t="e">
        <f t="shared" ca="1" si="159"/>
        <v>#NAME?</v>
      </c>
      <c r="DU303" s="7" t="e">
        <f t="shared" ca="1" si="159"/>
        <v>#NAME?</v>
      </c>
      <c r="DV303" s="7" t="e">
        <f t="shared" ca="1" si="159"/>
        <v>#NAME?</v>
      </c>
      <c r="DW303" s="7" t="e">
        <f t="shared" ca="1" si="159"/>
        <v>#NAME?</v>
      </c>
      <c r="DX303" s="7" t="e">
        <f t="shared" ca="1" si="159"/>
        <v>#NAME?</v>
      </c>
      <c r="DY303" s="7" t="e">
        <f t="shared" ca="1" si="159"/>
        <v>#NAME?</v>
      </c>
      <c r="DZ303" s="7" t="e">
        <f t="shared" ca="1" si="159"/>
        <v>#NAME?</v>
      </c>
      <c r="EA303" s="7" t="e">
        <f t="shared" ca="1" si="159"/>
        <v>#NAME?</v>
      </c>
      <c r="EB303" s="7" t="e">
        <f t="shared" ca="1" si="159"/>
        <v>#NAME?</v>
      </c>
      <c r="EC303" s="7" t="e">
        <f t="shared" ca="1" si="159"/>
        <v>#NAME?</v>
      </c>
      <c r="ED303" s="7" t="e">
        <f t="shared" ca="1" si="159"/>
        <v>#NAME?</v>
      </c>
      <c r="EE303" s="7" t="e">
        <f t="shared" ca="1" si="159"/>
        <v>#NAME?</v>
      </c>
      <c r="EF303" s="7" t="e">
        <f t="shared" ca="1" si="159"/>
        <v>#NAME?</v>
      </c>
      <c r="EG303" s="7" t="e">
        <f t="shared" ca="1" si="159"/>
        <v>#NAME?</v>
      </c>
      <c r="EH303" s="7" t="e">
        <f t="shared" ca="1" si="159"/>
        <v>#NAME?</v>
      </c>
      <c r="EI303" s="7" t="e">
        <f t="shared" ca="1" si="159"/>
        <v>#NAME?</v>
      </c>
      <c r="EJ303" s="7" t="e">
        <f t="shared" ca="1" si="159"/>
        <v>#NAME?</v>
      </c>
      <c r="EK303" s="7" t="e">
        <f t="shared" ca="1" si="159"/>
        <v>#NAME?</v>
      </c>
      <c r="EL303" s="7" t="e">
        <f t="shared" ca="1" si="159"/>
        <v>#NAME?</v>
      </c>
      <c r="EM303" s="7" t="e">
        <f t="shared" ca="1" si="159"/>
        <v>#NAME?</v>
      </c>
      <c r="EN303" s="7" t="e">
        <f t="shared" ca="1" si="159"/>
        <v>#NAME?</v>
      </c>
      <c r="EO303" s="7" t="e">
        <f t="shared" ca="1" si="159"/>
        <v>#NAME?</v>
      </c>
      <c r="EP303" s="7" t="e">
        <f t="shared" ca="1" si="159"/>
        <v>#NAME?</v>
      </c>
      <c r="EQ303" s="7" t="e">
        <f t="shared" ca="1" si="159"/>
        <v>#NAME?</v>
      </c>
      <c r="ER303" s="7" t="e">
        <f t="shared" ca="1" si="159"/>
        <v>#NAME?</v>
      </c>
      <c r="ES303" s="7" t="e">
        <f t="shared" ca="1" si="159"/>
        <v>#NAME?</v>
      </c>
      <c r="ET303" s="7" t="e">
        <f t="shared" ca="1" si="159"/>
        <v>#NAME?</v>
      </c>
      <c r="EU303" s="7" t="e">
        <f t="shared" ca="1" si="159"/>
        <v>#NAME?</v>
      </c>
      <c r="EV303" s="7" t="e">
        <f t="shared" ca="1" si="159"/>
        <v>#NAME?</v>
      </c>
      <c r="EW303" s="7" t="e">
        <f t="shared" ca="1" si="159"/>
        <v>#NAME?</v>
      </c>
      <c r="EX303" s="7" t="e">
        <f t="shared" ca="1" si="159"/>
        <v>#NAME?</v>
      </c>
      <c r="EY303" s="7" t="e">
        <f t="shared" ca="1" si="159"/>
        <v>#NAME?</v>
      </c>
      <c r="EZ303" s="7" t="e">
        <f t="shared" ca="1" si="159"/>
        <v>#NAME?</v>
      </c>
      <c r="FA303" s="7" t="e">
        <f t="shared" ca="1" si="159"/>
        <v>#NAME?</v>
      </c>
      <c r="FB303" s="7" t="e">
        <f t="shared" ca="1" si="159"/>
        <v>#NAME?</v>
      </c>
      <c r="FC303" s="7" t="e">
        <f t="shared" ca="1" si="159"/>
        <v>#NAME?</v>
      </c>
      <c r="FD303" s="7" t="e">
        <f t="shared" ca="1" si="159"/>
        <v>#NAME?</v>
      </c>
      <c r="FE303" s="7" t="e">
        <f t="shared" ca="1" si="159"/>
        <v>#NAME?</v>
      </c>
      <c r="FF303" s="7" t="e">
        <f t="shared" ca="1" si="159"/>
        <v>#NAME?</v>
      </c>
      <c r="FG303" s="7" t="e">
        <f t="shared" ca="1" si="159"/>
        <v>#NAME?</v>
      </c>
      <c r="FH303" s="7" t="e">
        <f t="shared" ca="1" si="159"/>
        <v>#NAME?</v>
      </c>
      <c r="FI303" s="7" t="e">
        <f t="shared" ca="1" si="159"/>
        <v>#NAME?</v>
      </c>
      <c r="FJ303" s="7" t="e">
        <f t="shared" ca="1" si="159"/>
        <v>#NAME?</v>
      </c>
      <c r="FK303" s="7" t="e">
        <f t="shared" ca="1" si="159"/>
        <v>#NAME?</v>
      </c>
      <c r="FL303" s="7" t="e">
        <f t="shared" ca="1" si="159"/>
        <v>#NAME?</v>
      </c>
      <c r="FM303" s="7" t="e">
        <f t="shared" ca="1" si="159"/>
        <v>#NAME?</v>
      </c>
      <c r="FN303" s="7" t="e">
        <f t="shared" ca="1" si="159"/>
        <v>#NAME?</v>
      </c>
      <c r="FO303" s="7" t="e">
        <f t="shared" ca="1" si="159"/>
        <v>#NAME?</v>
      </c>
      <c r="FP303" s="7" t="e">
        <f t="shared" ca="1" si="159"/>
        <v>#NAME?</v>
      </c>
      <c r="FQ303" s="7" t="e">
        <f t="shared" ca="1" si="159"/>
        <v>#NAME?</v>
      </c>
      <c r="FR303" s="7" t="e">
        <f t="shared" ca="1" si="159"/>
        <v>#NAME?</v>
      </c>
      <c r="FS303" s="7" t="e">
        <f t="shared" ca="1" si="159"/>
        <v>#NAME?</v>
      </c>
      <c r="FT303" s="7" t="e">
        <f t="shared" ca="1" si="159"/>
        <v>#NAME?</v>
      </c>
      <c r="FU303" s="7" t="e">
        <f t="shared" ca="1" si="159"/>
        <v>#NAME?</v>
      </c>
      <c r="FV303" s="7" t="e">
        <f t="shared" ca="1" si="159"/>
        <v>#NAME?</v>
      </c>
      <c r="FW303" s="7" t="e">
        <f t="shared" ca="1" si="159"/>
        <v>#NAME?</v>
      </c>
      <c r="FX303" s="7" t="e">
        <f t="shared" ca="1" si="159"/>
        <v>#NAME?</v>
      </c>
      <c r="FY303" s="7"/>
      <c r="FZ303" s="82" t="e">
        <f t="shared" ref="FZ303:FZ307" ca="1" si="160">SUM(C303:FX303)</f>
        <v>#NAME?</v>
      </c>
      <c r="GA303" s="62"/>
      <c r="GB303" s="62" t="e">
        <f t="shared" ref="GB303:GB307" ca="1" si="161">FZ303-GA303</f>
        <v>#NAME?</v>
      </c>
      <c r="GC303" s="7"/>
      <c r="GD303" s="7"/>
      <c r="GE303" s="7"/>
      <c r="GF303" s="7"/>
      <c r="GG303" s="7"/>
      <c r="GH303" s="7"/>
      <c r="GI303" s="7"/>
      <c r="GJ303" s="7"/>
      <c r="GK303" s="7"/>
    </row>
    <row r="304" spans="1:193" ht="15.5" x14ac:dyDescent="0.35">
      <c r="A304" s="12" t="s">
        <v>1073</v>
      </c>
      <c r="B304" s="7" t="s">
        <v>1074</v>
      </c>
      <c r="C304" s="7" t="e">
        <f t="shared" ref="C304:FX304" ca="1" si="162">C290</f>
        <v>#NAME?</v>
      </c>
      <c r="D304" s="7" t="e">
        <f t="shared" ca="1" si="162"/>
        <v>#NAME?</v>
      </c>
      <c r="E304" s="7" t="e">
        <f t="shared" ca="1" si="162"/>
        <v>#NAME?</v>
      </c>
      <c r="F304" s="7" t="e">
        <f t="shared" ca="1" si="162"/>
        <v>#NAME?</v>
      </c>
      <c r="G304" s="7" t="e">
        <f t="shared" ca="1" si="162"/>
        <v>#NAME?</v>
      </c>
      <c r="H304" s="7" t="e">
        <f t="shared" ca="1" si="162"/>
        <v>#NAME?</v>
      </c>
      <c r="I304" s="7" t="e">
        <f t="shared" ca="1" si="162"/>
        <v>#NAME?</v>
      </c>
      <c r="J304" s="7" t="e">
        <f t="shared" ca="1" si="162"/>
        <v>#NAME?</v>
      </c>
      <c r="K304" s="7" t="e">
        <f t="shared" ca="1" si="162"/>
        <v>#NAME?</v>
      </c>
      <c r="L304" s="7" t="e">
        <f t="shared" ca="1" si="162"/>
        <v>#NAME?</v>
      </c>
      <c r="M304" s="7" t="e">
        <f t="shared" ca="1" si="162"/>
        <v>#NAME?</v>
      </c>
      <c r="N304" s="7" t="e">
        <f t="shared" ca="1" si="162"/>
        <v>#NAME?</v>
      </c>
      <c r="O304" s="7" t="e">
        <f t="shared" ca="1" si="162"/>
        <v>#NAME?</v>
      </c>
      <c r="P304" s="7" t="e">
        <f t="shared" ca="1" si="162"/>
        <v>#NAME?</v>
      </c>
      <c r="Q304" s="7" t="e">
        <f t="shared" ca="1" si="162"/>
        <v>#NAME?</v>
      </c>
      <c r="R304" s="7" t="e">
        <f t="shared" ca="1" si="162"/>
        <v>#NAME?</v>
      </c>
      <c r="S304" s="7" t="e">
        <f t="shared" ca="1" si="162"/>
        <v>#NAME?</v>
      </c>
      <c r="T304" s="7" t="e">
        <f t="shared" ca="1" si="162"/>
        <v>#NAME?</v>
      </c>
      <c r="U304" s="7" t="e">
        <f t="shared" ca="1" si="162"/>
        <v>#NAME?</v>
      </c>
      <c r="V304" s="7" t="e">
        <f t="shared" ca="1" si="162"/>
        <v>#NAME?</v>
      </c>
      <c r="W304" s="7" t="e">
        <f t="shared" ca="1" si="162"/>
        <v>#NAME?</v>
      </c>
      <c r="X304" s="7" t="e">
        <f t="shared" ca="1" si="162"/>
        <v>#NAME?</v>
      </c>
      <c r="Y304" s="7" t="e">
        <f t="shared" ca="1" si="162"/>
        <v>#NAME?</v>
      </c>
      <c r="Z304" s="7" t="e">
        <f t="shared" ca="1" si="162"/>
        <v>#NAME?</v>
      </c>
      <c r="AA304" s="7" t="e">
        <f t="shared" ca="1" si="162"/>
        <v>#NAME?</v>
      </c>
      <c r="AB304" s="7" t="e">
        <f t="shared" ca="1" si="162"/>
        <v>#NAME?</v>
      </c>
      <c r="AC304" s="7" t="e">
        <f t="shared" ca="1" si="162"/>
        <v>#NAME?</v>
      </c>
      <c r="AD304" s="7" t="e">
        <f t="shared" ca="1" si="162"/>
        <v>#NAME?</v>
      </c>
      <c r="AE304" s="7" t="e">
        <f t="shared" ca="1" si="162"/>
        <v>#NAME?</v>
      </c>
      <c r="AF304" s="7" t="e">
        <f t="shared" ca="1" si="162"/>
        <v>#NAME?</v>
      </c>
      <c r="AG304" s="7" t="e">
        <f t="shared" ca="1" si="162"/>
        <v>#NAME?</v>
      </c>
      <c r="AH304" s="7" t="e">
        <f t="shared" ca="1" si="162"/>
        <v>#NAME?</v>
      </c>
      <c r="AI304" s="7" t="e">
        <f t="shared" ca="1" si="162"/>
        <v>#NAME?</v>
      </c>
      <c r="AJ304" s="7" t="e">
        <f t="shared" ca="1" si="162"/>
        <v>#NAME?</v>
      </c>
      <c r="AK304" s="7" t="e">
        <f t="shared" ca="1" si="162"/>
        <v>#NAME?</v>
      </c>
      <c r="AL304" s="7" t="e">
        <f t="shared" ca="1" si="162"/>
        <v>#NAME?</v>
      </c>
      <c r="AM304" s="7" t="e">
        <f t="shared" ca="1" si="162"/>
        <v>#NAME?</v>
      </c>
      <c r="AN304" s="7" t="e">
        <f t="shared" ca="1" si="162"/>
        <v>#NAME?</v>
      </c>
      <c r="AO304" s="7" t="e">
        <f t="shared" ca="1" si="162"/>
        <v>#NAME?</v>
      </c>
      <c r="AP304" s="7" t="e">
        <f t="shared" ca="1" si="162"/>
        <v>#NAME?</v>
      </c>
      <c r="AQ304" s="7" t="e">
        <f t="shared" ca="1" si="162"/>
        <v>#NAME?</v>
      </c>
      <c r="AR304" s="7" t="e">
        <f t="shared" ca="1" si="162"/>
        <v>#NAME?</v>
      </c>
      <c r="AS304" s="7" t="e">
        <f t="shared" ca="1" si="162"/>
        <v>#NAME?</v>
      </c>
      <c r="AT304" s="7" t="e">
        <f t="shared" ca="1" si="162"/>
        <v>#NAME?</v>
      </c>
      <c r="AU304" s="7" t="e">
        <f t="shared" ca="1" si="162"/>
        <v>#NAME?</v>
      </c>
      <c r="AV304" s="7" t="e">
        <f t="shared" ca="1" si="162"/>
        <v>#NAME?</v>
      </c>
      <c r="AW304" s="7" t="e">
        <f t="shared" ca="1" si="162"/>
        <v>#NAME?</v>
      </c>
      <c r="AX304" s="7" t="e">
        <f t="shared" ca="1" si="162"/>
        <v>#NAME?</v>
      </c>
      <c r="AY304" s="7" t="e">
        <f t="shared" ca="1" si="162"/>
        <v>#NAME?</v>
      </c>
      <c r="AZ304" s="7" t="e">
        <f t="shared" ca="1" si="162"/>
        <v>#NAME?</v>
      </c>
      <c r="BA304" s="7" t="e">
        <f t="shared" ca="1" si="162"/>
        <v>#NAME?</v>
      </c>
      <c r="BB304" s="7" t="e">
        <f t="shared" ca="1" si="162"/>
        <v>#NAME?</v>
      </c>
      <c r="BC304" s="7" t="e">
        <f t="shared" ca="1" si="162"/>
        <v>#NAME?</v>
      </c>
      <c r="BD304" s="7" t="e">
        <f t="shared" ca="1" si="162"/>
        <v>#NAME?</v>
      </c>
      <c r="BE304" s="7" t="e">
        <f t="shared" ca="1" si="162"/>
        <v>#NAME?</v>
      </c>
      <c r="BF304" s="7" t="e">
        <f t="shared" ca="1" si="162"/>
        <v>#NAME?</v>
      </c>
      <c r="BG304" s="7" t="e">
        <f t="shared" ca="1" si="162"/>
        <v>#NAME?</v>
      </c>
      <c r="BH304" s="7" t="e">
        <f t="shared" ca="1" si="162"/>
        <v>#NAME?</v>
      </c>
      <c r="BI304" s="7" t="e">
        <f t="shared" ca="1" si="162"/>
        <v>#NAME?</v>
      </c>
      <c r="BJ304" s="7" t="e">
        <f t="shared" ca="1" si="162"/>
        <v>#NAME?</v>
      </c>
      <c r="BK304" s="7" t="e">
        <f t="shared" ca="1" si="162"/>
        <v>#NAME?</v>
      </c>
      <c r="BL304" s="7" t="e">
        <f t="shared" ca="1" si="162"/>
        <v>#NAME?</v>
      </c>
      <c r="BM304" s="7" t="e">
        <f t="shared" ca="1" si="162"/>
        <v>#NAME?</v>
      </c>
      <c r="BN304" s="7" t="e">
        <f t="shared" ca="1" si="162"/>
        <v>#NAME?</v>
      </c>
      <c r="BO304" s="7" t="e">
        <f t="shared" ca="1" si="162"/>
        <v>#NAME?</v>
      </c>
      <c r="BP304" s="7" t="e">
        <f t="shared" ca="1" si="162"/>
        <v>#NAME?</v>
      </c>
      <c r="BQ304" s="7" t="e">
        <f t="shared" ca="1" si="162"/>
        <v>#NAME?</v>
      </c>
      <c r="BR304" s="7" t="e">
        <f t="shared" ca="1" si="162"/>
        <v>#NAME?</v>
      </c>
      <c r="BS304" s="7" t="e">
        <f t="shared" ca="1" si="162"/>
        <v>#NAME?</v>
      </c>
      <c r="BT304" s="7" t="e">
        <f t="shared" ca="1" si="162"/>
        <v>#NAME?</v>
      </c>
      <c r="BU304" s="7" t="e">
        <f t="shared" ca="1" si="162"/>
        <v>#NAME?</v>
      </c>
      <c r="BV304" s="7" t="e">
        <f t="shared" ca="1" si="162"/>
        <v>#NAME?</v>
      </c>
      <c r="BW304" s="7" t="e">
        <f t="shared" ca="1" si="162"/>
        <v>#NAME?</v>
      </c>
      <c r="BX304" s="7" t="e">
        <f t="shared" ca="1" si="162"/>
        <v>#NAME?</v>
      </c>
      <c r="BY304" s="7" t="e">
        <f t="shared" ca="1" si="162"/>
        <v>#NAME?</v>
      </c>
      <c r="BZ304" s="7" t="e">
        <f t="shared" ca="1" si="162"/>
        <v>#NAME?</v>
      </c>
      <c r="CA304" s="7" t="e">
        <f t="shared" ca="1" si="162"/>
        <v>#NAME?</v>
      </c>
      <c r="CB304" s="7" t="e">
        <f t="shared" ca="1" si="162"/>
        <v>#NAME?</v>
      </c>
      <c r="CC304" s="7" t="e">
        <f t="shared" ca="1" si="162"/>
        <v>#NAME?</v>
      </c>
      <c r="CD304" s="7" t="e">
        <f t="shared" ca="1" si="162"/>
        <v>#NAME?</v>
      </c>
      <c r="CE304" s="7" t="e">
        <f t="shared" ca="1" si="162"/>
        <v>#NAME?</v>
      </c>
      <c r="CF304" s="7" t="e">
        <f t="shared" ca="1" si="162"/>
        <v>#NAME?</v>
      </c>
      <c r="CG304" s="7" t="e">
        <f t="shared" ca="1" si="162"/>
        <v>#NAME?</v>
      </c>
      <c r="CH304" s="7" t="e">
        <f t="shared" ca="1" si="162"/>
        <v>#NAME?</v>
      </c>
      <c r="CI304" s="7" t="e">
        <f t="shared" ca="1" si="162"/>
        <v>#NAME?</v>
      </c>
      <c r="CJ304" s="7" t="e">
        <f t="shared" ca="1" si="162"/>
        <v>#NAME?</v>
      </c>
      <c r="CK304" s="7" t="e">
        <f t="shared" ca="1" si="162"/>
        <v>#NAME?</v>
      </c>
      <c r="CL304" s="7" t="e">
        <f t="shared" ca="1" si="162"/>
        <v>#NAME?</v>
      </c>
      <c r="CM304" s="7" t="e">
        <f t="shared" ca="1" si="162"/>
        <v>#NAME?</v>
      </c>
      <c r="CN304" s="7" t="e">
        <f t="shared" ca="1" si="162"/>
        <v>#NAME?</v>
      </c>
      <c r="CO304" s="7" t="e">
        <f t="shared" ca="1" si="162"/>
        <v>#NAME?</v>
      </c>
      <c r="CP304" s="7" t="e">
        <f t="shared" ca="1" si="162"/>
        <v>#NAME?</v>
      </c>
      <c r="CQ304" s="7" t="e">
        <f t="shared" ca="1" si="162"/>
        <v>#NAME?</v>
      </c>
      <c r="CR304" s="7" t="e">
        <f t="shared" ca="1" si="162"/>
        <v>#NAME?</v>
      </c>
      <c r="CS304" s="7" t="e">
        <f t="shared" ca="1" si="162"/>
        <v>#NAME?</v>
      </c>
      <c r="CT304" s="7" t="e">
        <f t="shared" ca="1" si="162"/>
        <v>#NAME?</v>
      </c>
      <c r="CU304" s="7" t="e">
        <f t="shared" ca="1" si="162"/>
        <v>#NAME?</v>
      </c>
      <c r="CV304" s="7" t="e">
        <f t="shared" ca="1" si="162"/>
        <v>#NAME?</v>
      </c>
      <c r="CW304" s="7" t="e">
        <f t="shared" ca="1" si="162"/>
        <v>#NAME?</v>
      </c>
      <c r="CX304" s="7" t="e">
        <f t="shared" ca="1" si="162"/>
        <v>#NAME?</v>
      </c>
      <c r="CY304" s="7" t="e">
        <f t="shared" ca="1" si="162"/>
        <v>#NAME?</v>
      </c>
      <c r="CZ304" s="7" t="e">
        <f t="shared" ca="1" si="162"/>
        <v>#NAME?</v>
      </c>
      <c r="DA304" s="7" t="e">
        <f t="shared" ca="1" si="162"/>
        <v>#NAME?</v>
      </c>
      <c r="DB304" s="7" t="e">
        <f t="shared" ca="1" si="162"/>
        <v>#NAME?</v>
      </c>
      <c r="DC304" s="7" t="e">
        <f t="shared" ca="1" si="162"/>
        <v>#NAME?</v>
      </c>
      <c r="DD304" s="7" t="e">
        <f t="shared" ca="1" si="162"/>
        <v>#NAME?</v>
      </c>
      <c r="DE304" s="7" t="e">
        <f t="shared" ca="1" si="162"/>
        <v>#NAME?</v>
      </c>
      <c r="DF304" s="7" t="e">
        <f t="shared" ca="1" si="162"/>
        <v>#NAME?</v>
      </c>
      <c r="DG304" s="7" t="e">
        <f t="shared" ca="1" si="162"/>
        <v>#NAME?</v>
      </c>
      <c r="DH304" s="7" t="e">
        <f t="shared" ca="1" si="162"/>
        <v>#NAME?</v>
      </c>
      <c r="DI304" s="7" t="e">
        <f t="shared" ca="1" si="162"/>
        <v>#NAME?</v>
      </c>
      <c r="DJ304" s="7" t="e">
        <f t="shared" ca="1" si="162"/>
        <v>#NAME?</v>
      </c>
      <c r="DK304" s="7" t="e">
        <f t="shared" ca="1" si="162"/>
        <v>#NAME?</v>
      </c>
      <c r="DL304" s="7" t="e">
        <f t="shared" ca="1" si="162"/>
        <v>#NAME?</v>
      </c>
      <c r="DM304" s="7" t="e">
        <f t="shared" ca="1" si="162"/>
        <v>#NAME?</v>
      </c>
      <c r="DN304" s="7" t="e">
        <f t="shared" ca="1" si="162"/>
        <v>#NAME?</v>
      </c>
      <c r="DO304" s="7" t="e">
        <f t="shared" ca="1" si="162"/>
        <v>#NAME?</v>
      </c>
      <c r="DP304" s="7" t="e">
        <f t="shared" ca="1" si="162"/>
        <v>#NAME?</v>
      </c>
      <c r="DQ304" s="7" t="e">
        <f t="shared" ca="1" si="162"/>
        <v>#NAME?</v>
      </c>
      <c r="DR304" s="7" t="e">
        <f t="shared" ca="1" si="162"/>
        <v>#NAME?</v>
      </c>
      <c r="DS304" s="7" t="e">
        <f t="shared" ca="1" si="162"/>
        <v>#NAME?</v>
      </c>
      <c r="DT304" s="7" t="e">
        <f t="shared" ca="1" si="162"/>
        <v>#NAME?</v>
      </c>
      <c r="DU304" s="7" t="e">
        <f t="shared" ca="1" si="162"/>
        <v>#NAME?</v>
      </c>
      <c r="DV304" s="7" t="e">
        <f t="shared" ca="1" si="162"/>
        <v>#NAME?</v>
      </c>
      <c r="DW304" s="7" t="e">
        <f t="shared" ca="1" si="162"/>
        <v>#NAME?</v>
      </c>
      <c r="DX304" s="7" t="e">
        <f t="shared" ca="1" si="162"/>
        <v>#NAME?</v>
      </c>
      <c r="DY304" s="7" t="e">
        <f t="shared" ca="1" si="162"/>
        <v>#NAME?</v>
      </c>
      <c r="DZ304" s="7" t="e">
        <f t="shared" ca="1" si="162"/>
        <v>#NAME?</v>
      </c>
      <c r="EA304" s="7" t="e">
        <f t="shared" ca="1" si="162"/>
        <v>#NAME?</v>
      </c>
      <c r="EB304" s="7" t="e">
        <f t="shared" ca="1" si="162"/>
        <v>#NAME?</v>
      </c>
      <c r="EC304" s="7" t="e">
        <f t="shared" ca="1" si="162"/>
        <v>#NAME?</v>
      </c>
      <c r="ED304" s="7" t="e">
        <f t="shared" ca="1" si="162"/>
        <v>#NAME?</v>
      </c>
      <c r="EE304" s="7" t="e">
        <f t="shared" ca="1" si="162"/>
        <v>#NAME?</v>
      </c>
      <c r="EF304" s="7" t="e">
        <f t="shared" ca="1" si="162"/>
        <v>#NAME?</v>
      </c>
      <c r="EG304" s="7" t="e">
        <f t="shared" ca="1" si="162"/>
        <v>#NAME?</v>
      </c>
      <c r="EH304" s="7" t="e">
        <f t="shared" ca="1" si="162"/>
        <v>#NAME?</v>
      </c>
      <c r="EI304" s="7" t="e">
        <f t="shared" ca="1" si="162"/>
        <v>#NAME?</v>
      </c>
      <c r="EJ304" s="7" t="e">
        <f t="shared" ca="1" si="162"/>
        <v>#NAME?</v>
      </c>
      <c r="EK304" s="7" t="e">
        <f t="shared" ca="1" si="162"/>
        <v>#NAME?</v>
      </c>
      <c r="EL304" s="7" t="e">
        <f t="shared" ca="1" si="162"/>
        <v>#NAME?</v>
      </c>
      <c r="EM304" s="7" t="e">
        <f t="shared" ca="1" si="162"/>
        <v>#NAME?</v>
      </c>
      <c r="EN304" s="7" t="e">
        <f t="shared" ca="1" si="162"/>
        <v>#NAME?</v>
      </c>
      <c r="EO304" s="7" t="e">
        <f t="shared" ca="1" si="162"/>
        <v>#NAME?</v>
      </c>
      <c r="EP304" s="7" t="e">
        <f t="shared" ca="1" si="162"/>
        <v>#NAME?</v>
      </c>
      <c r="EQ304" s="7" t="e">
        <f t="shared" ca="1" si="162"/>
        <v>#NAME?</v>
      </c>
      <c r="ER304" s="7" t="e">
        <f t="shared" ca="1" si="162"/>
        <v>#NAME?</v>
      </c>
      <c r="ES304" s="7" t="e">
        <f t="shared" ca="1" si="162"/>
        <v>#NAME?</v>
      </c>
      <c r="ET304" s="7" t="e">
        <f t="shared" ca="1" si="162"/>
        <v>#NAME?</v>
      </c>
      <c r="EU304" s="7" t="e">
        <f t="shared" ca="1" si="162"/>
        <v>#NAME?</v>
      </c>
      <c r="EV304" s="7" t="e">
        <f t="shared" ca="1" si="162"/>
        <v>#NAME?</v>
      </c>
      <c r="EW304" s="7" t="e">
        <f t="shared" ca="1" si="162"/>
        <v>#NAME?</v>
      </c>
      <c r="EX304" s="7" t="e">
        <f t="shared" ca="1" si="162"/>
        <v>#NAME?</v>
      </c>
      <c r="EY304" s="7" t="e">
        <f t="shared" ca="1" si="162"/>
        <v>#NAME?</v>
      </c>
      <c r="EZ304" s="7" t="e">
        <f t="shared" ca="1" si="162"/>
        <v>#NAME?</v>
      </c>
      <c r="FA304" s="7" t="e">
        <f t="shared" ca="1" si="162"/>
        <v>#NAME?</v>
      </c>
      <c r="FB304" s="7" t="e">
        <f t="shared" ca="1" si="162"/>
        <v>#NAME?</v>
      </c>
      <c r="FC304" s="7" t="e">
        <f t="shared" ca="1" si="162"/>
        <v>#NAME?</v>
      </c>
      <c r="FD304" s="7" t="e">
        <f t="shared" ca="1" si="162"/>
        <v>#NAME?</v>
      </c>
      <c r="FE304" s="7" t="e">
        <f t="shared" ca="1" si="162"/>
        <v>#NAME?</v>
      </c>
      <c r="FF304" s="7" t="e">
        <f t="shared" ca="1" si="162"/>
        <v>#NAME?</v>
      </c>
      <c r="FG304" s="7" t="e">
        <f t="shared" ca="1" si="162"/>
        <v>#NAME?</v>
      </c>
      <c r="FH304" s="7" t="e">
        <f t="shared" ca="1" si="162"/>
        <v>#NAME?</v>
      </c>
      <c r="FI304" s="7" t="e">
        <f t="shared" ca="1" si="162"/>
        <v>#NAME?</v>
      </c>
      <c r="FJ304" s="7" t="e">
        <f t="shared" ca="1" si="162"/>
        <v>#NAME?</v>
      </c>
      <c r="FK304" s="7" t="e">
        <f t="shared" ca="1" si="162"/>
        <v>#NAME?</v>
      </c>
      <c r="FL304" s="7" t="e">
        <f t="shared" ca="1" si="162"/>
        <v>#NAME?</v>
      </c>
      <c r="FM304" s="7" t="e">
        <f t="shared" ca="1" si="162"/>
        <v>#NAME?</v>
      </c>
      <c r="FN304" s="7" t="e">
        <f t="shared" ca="1" si="162"/>
        <v>#NAME?</v>
      </c>
      <c r="FO304" s="7" t="e">
        <f t="shared" ca="1" si="162"/>
        <v>#NAME?</v>
      </c>
      <c r="FP304" s="7" t="e">
        <f t="shared" ca="1" si="162"/>
        <v>#NAME?</v>
      </c>
      <c r="FQ304" s="7" t="e">
        <f t="shared" ca="1" si="162"/>
        <v>#NAME?</v>
      </c>
      <c r="FR304" s="7" t="e">
        <f t="shared" ca="1" si="162"/>
        <v>#NAME?</v>
      </c>
      <c r="FS304" s="7" t="e">
        <f t="shared" ca="1" si="162"/>
        <v>#NAME?</v>
      </c>
      <c r="FT304" s="7" t="e">
        <f t="shared" ca="1" si="162"/>
        <v>#NAME?</v>
      </c>
      <c r="FU304" s="7" t="e">
        <f t="shared" ca="1" si="162"/>
        <v>#NAME?</v>
      </c>
      <c r="FV304" s="7" t="e">
        <f t="shared" ca="1" si="162"/>
        <v>#NAME?</v>
      </c>
      <c r="FW304" s="7" t="e">
        <f t="shared" ca="1" si="162"/>
        <v>#NAME?</v>
      </c>
      <c r="FX304" s="7" t="e">
        <f t="shared" ca="1" si="162"/>
        <v>#NAME?</v>
      </c>
      <c r="FY304" s="7"/>
      <c r="FZ304" s="82" t="e">
        <f t="shared" ca="1" si="160"/>
        <v>#NAME?</v>
      </c>
      <c r="GA304" s="62"/>
      <c r="GB304" s="62" t="e">
        <f t="shared" ca="1" si="161"/>
        <v>#NAME?</v>
      </c>
      <c r="GC304" s="7"/>
      <c r="GD304" s="7"/>
      <c r="GE304" s="7"/>
      <c r="GF304" s="7"/>
      <c r="GG304" s="7"/>
      <c r="GH304" s="7"/>
      <c r="GI304" s="7"/>
      <c r="GJ304" s="7"/>
      <c r="GK304" s="7"/>
    </row>
    <row r="305" spans="1:193" ht="15.5" x14ac:dyDescent="0.35">
      <c r="A305" s="12" t="s">
        <v>1075</v>
      </c>
      <c r="B305" s="7" t="s">
        <v>1160</v>
      </c>
      <c r="C305" s="7">
        <f t="shared" ref="C305:FX305" si="163">C291</f>
        <v>2560686.85</v>
      </c>
      <c r="D305" s="7">
        <f t="shared" si="163"/>
        <v>6068580.4500000002</v>
      </c>
      <c r="E305" s="7">
        <f t="shared" si="163"/>
        <v>1444121.25</v>
      </c>
      <c r="F305" s="7">
        <f t="shared" si="163"/>
        <v>2186086.4300000002</v>
      </c>
      <c r="G305" s="7">
        <f t="shared" si="163"/>
        <v>428862.04</v>
      </c>
      <c r="H305" s="7">
        <f t="shared" si="163"/>
        <v>184982.61</v>
      </c>
      <c r="I305" s="7">
        <f t="shared" si="163"/>
        <v>1809421.81</v>
      </c>
      <c r="J305" s="7">
        <f t="shared" si="163"/>
        <v>600359.41</v>
      </c>
      <c r="K305" s="7">
        <f t="shared" si="163"/>
        <v>149409.51999999999</v>
      </c>
      <c r="L305" s="7">
        <f t="shared" si="163"/>
        <v>1285932.06</v>
      </c>
      <c r="M305" s="7">
        <f t="shared" si="163"/>
        <v>495734.92</v>
      </c>
      <c r="N305" s="7">
        <f t="shared" si="163"/>
        <v>12893543.369999999</v>
      </c>
      <c r="O305" s="7">
        <f t="shared" si="163"/>
        <v>5184910.91</v>
      </c>
      <c r="P305" s="7">
        <f t="shared" si="163"/>
        <v>98033.26</v>
      </c>
      <c r="Q305" s="7">
        <f t="shared" si="163"/>
        <v>6984070.2400000002</v>
      </c>
      <c r="R305" s="7">
        <f t="shared" si="163"/>
        <v>117387.96</v>
      </c>
      <c r="S305" s="7">
        <f t="shared" si="163"/>
        <v>941027.17</v>
      </c>
      <c r="T305" s="7">
        <f t="shared" si="163"/>
        <v>50774.68</v>
      </c>
      <c r="U305" s="7">
        <f t="shared" si="163"/>
        <v>51513.32</v>
      </c>
      <c r="V305" s="7">
        <f t="shared" si="163"/>
        <v>91452.54</v>
      </c>
      <c r="W305" s="7">
        <f t="shared" si="163"/>
        <v>20485.07</v>
      </c>
      <c r="X305" s="7">
        <f t="shared" si="163"/>
        <v>23503.47</v>
      </c>
      <c r="Y305" s="7">
        <f t="shared" si="163"/>
        <v>145352.82</v>
      </c>
      <c r="Z305" s="7">
        <f t="shared" si="163"/>
        <v>63731.5</v>
      </c>
      <c r="AA305" s="7">
        <f t="shared" si="163"/>
        <v>6802241.46</v>
      </c>
      <c r="AB305" s="7">
        <f t="shared" si="163"/>
        <v>12251040.92</v>
      </c>
      <c r="AC305" s="7">
        <f t="shared" si="163"/>
        <v>578302.21</v>
      </c>
      <c r="AD305" s="7">
        <f t="shared" si="163"/>
        <v>703196.53</v>
      </c>
      <c r="AE305" s="7">
        <f t="shared" si="163"/>
        <v>48617.120000000003</v>
      </c>
      <c r="AF305" s="7">
        <f t="shared" si="163"/>
        <v>86811.59</v>
      </c>
      <c r="AG305" s="7">
        <f t="shared" si="163"/>
        <v>322958.38</v>
      </c>
      <c r="AH305" s="7">
        <f t="shared" si="163"/>
        <v>172657.77</v>
      </c>
      <c r="AI305" s="7">
        <f t="shared" si="163"/>
        <v>53122.47</v>
      </c>
      <c r="AJ305" s="7">
        <f t="shared" si="163"/>
        <v>128163.01</v>
      </c>
      <c r="AK305" s="7">
        <f t="shared" si="163"/>
        <v>74603.09</v>
      </c>
      <c r="AL305" s="7">
        <f t="shared" si="163"/>
        <v>98388.41</v>
      </c>
      <c r="AM305" s="7">
        <f t="shared" si="163"/>
        <v>115377.55</v>
      </c>
      <c r="AN305" s="7">
        <f t="shared" si="163"/>
        <v>413990.07</v>
      </c>
      <c r="AO305" s="7">
        <f t="shared" si="163"/>
        <v>1676936.43</v>
      </c>
      <c r="AP305" s="7">
        <f t="shared" si="163"/>
        <v>37700132.310000002</v>
      </c>
      <c r="AQ305" s="7">
        <f t="shared" si="163"/>
        <v>97428.55</v>
      </c>
      <c r="AR305" s="7">
        <f t="shared" si="163"/>
        <v>21880966.199999999</v>
      </c>
      <c r="AS305" s="7">
        <f t="shared" si="163"/>
        <v>2513262.4</v>
      </c>
      <c r="AT305" s="7">
        <f t="shared" si="163"/>
        <v>1167107.3600000001</v>
      </c>
      <c r="AU305" s="7">
        <f t="shared" si="163"/>
        <v>178802.57</v>
      </c>
      <c r="AV305" s="7">
        <f t="shared" si="163"/>
        <v>179035.75</v>
      </c>
      <c r="AW305" s="7">
        <f t="shared" si="163"/>
        <v>102589.94</v>
      </c>
      <c r="AX305" s="7">
        <f t="shared" si="163"/>
        <v>78396.2</v>
      </c>
      <c r="AY305" s="7">
        <f t="shared" si="163"/>
        <v>127245.96</v>
      </c>
      <c r="AZ305" s="7">
        <f t="shared" si="163"/>
        <v>1512386.73</v>
      </c>
      <c r="BA305" s="7">
        <f t="shared" si="163"/>
        <v>2187937.56</v>
      </c>
      <c r="BB305" s="7">
        <f t="shared" si="163"/>
        <v>485771.55</v>
      </c>
      <c r="BC305" s="7">
        <f t="shared" si="163"/>
        <v>8539684.5500000007</v>
      </c>
      <c r="BD305" s="7">
        <f t="shared" si="163"/>
        <v>1409316.74</v>
      </c>
      <c r="BE305" s="7">
        <f t="shared" si="163"/>
        <v>425098.36</v>
      </c>
      <c r="BF305" s="7">
        <f t="shared" si="163"/>
        <v>6979427.0599999996</v>
      </c>
      <c r="BG305" s="7">
        <f t="shared" si="163"/>
        <v>115579.55</v>
      </c>
      <c r="BH305" s="7">
        <f t="shared" si="163"/>
        <v>147663.12</v>
      </c>
      <c r="BI305" s="7">
        <f t="shared" si="163"/>
        <v>55868.160000000003</v>
      </c>
      <c r="BJ305" s="7">
        <f t="shared" si="163"/>
        <v>1934186.26</v>
      </c>
      <c r="BK305" s="7">
        <f t="shared" si="163"/>
        <v>1031173.03</v>
      </c>
      <c r="BL305" s="7">
        <f t="shared" si="163"/>
        <v>18195.330000000002</v>
      </c>
      <c r="BM305" s="7">
        <f t="shared" si="163"/>
        <v>91995.89</v>
      </c>
      <c r="BN305" s="7">
        <f t="shared" si="163"/>
        <v>1139858.77</v>
      </c>
      <c r="BO305" s="7">
        <f t="shared" si="163"/>
        <v>396388.6</v>
      </c>
      <c r="BP305" s="7">
        <f t="shared" si="163"/>
        <v>245997.25</v>
      </c>
      <c r="BQ305" s="7">
        <f t="shared" si="163"/>
        <v>1733716.34</v>
      </c>
      <c r="BR305" s="7">
        <f t="shared" si="163"/>
        <v>459017.22</v>
      </c>
      <c r="BS305" s="7">
        <f t="shared" si="163"/>
        <v>258944.15</v>
      </c>
      <c r="BT305" s="7">
        <f t="shared" si="163"/>
        <v>149392.14000000001</v>
      </c>
      <c r="BU305" s="7">
        <f t="shared" si="163"/>
        <v>109362.84</v>
      </c>
      <c r="BV305" s="7">
        <f t="shared" si="163"/>
        <v>817601.21</v>
      </c>
      <c r="BW305" s="7">
        <f t="shared" si="163"/>
        <v>711654.23</v>
      </c>
      <c r="BX305" s="7">
        <f t="shared" si="163"/>
        <v>99943.77</v>
      </c>
      <c r="BY305" s="7">
        <f t="shared" si="163"/>
        <v>193396.48000000001</v>
      </c>
      <c r="BZ305" s="7">
        <f t="shared" si="163"/>
        <v>99867.18</v>
      </c>
      <c r="CA305" s="7">
        <f t="shared" si="163"/>
        <v>394616.81</v>
      </c>
      <c r="CB305" s="7">
        <f t="shared" si="163"/>
        <v>24768877.350000001</v>
      </c>
      <c r="CC305" s="7">
        <f t="shared" si="163"/>
        <v>91062.73</v>
      </c>
      <c r="CD305" s="7">
        <f t="shared" si="163"/>
        <v>72919.69</v>
      </c>
      <c r="CE305" s="7">
        <f t="shared" si="163"/>
        <v>104487.79</v>
      </c>
      <c r="CF305" s="7">
        <f t="shared" si="163"/>
        <v>86249.23</v>
      </c>
      <c r="CG305" s="7">
        <f t="shared" si="163"/>
        <v>74426.7</v>
      </c>
      <c r="CH305" s="7">
        <f t="shared" si="163"/>
        <v>33444.1</v>
      </c>
      <c r="CI305" s="7">
        <f t="shared" si="163"/>
        <v>320790.64</v>
      </c>
      <c r="CJ305" s="7">
        <f t="shared" si="163"/>
        <v>313858.84000000003</v>
      </c>
      <c r="CK305" s="7">
        <f t="shared" si="163"/>
        <v>1519908.61</v>
      </c>
      <c r="CL305" s="7">
        <f t="shared" si="163"/>
        <v>233618.03</v>
      </c>
      <c r="CM305" s="7">
        <f t="shared" si="163"/>
        <v>113893.58</v>
      </c>
      <c r="CN305" s="7">
        <f t="shared" si="163"/>
        <v>8605084.4100000001</v>
      </c>
      <c r="CO305" s="7">
        <f t="shared" si="163"/>
        <v>5153394.09</v>
      </c>
      <c r="CP305" s="7">
        <f t="shared" si="163"/>
        <v>734189.06</v>
      </c>
      <c r="CQ305" s="7">
        <f t="shared" si="163"/>
        <v>386426.67</v>
      </c>
      <c r="CR305" s="7">
        <f t="shared" si="163"/>
        <v>80485.73</v>
      </c>
      <c r="CS305" s="7">
        <f t="shared" si="163"/>
        <v>248224.67</v>
      </c>
      <c r="CT305" s="7">
        <f t="shared" si="163"/>
        <v>85958.85</v>
      </c>
      <c r="CU305" s="7">
        <f t="shared" si="163"/>
        <v>58359.59</v>
      </c>
      <c r="CV305" s="7">
        <f t="shared" si="163"/>
        <v>47858.69</v>
      </c>
      <c r="CW305" s="7">
        <f t="shared" si="163"/>
        <v>134115.63</v>
      </c>
      <c r="CX305" s="7">
        <f t="shared" si="163"/>
        <v>243713.34</v>
      </c>
      <c r="CY305" s="7">
        <f t="shared" si="163"/>
        <v>18970.75</v>
      </c>
      <c r="CZ305" s="7">
        <f t="shared" si="163"/>
        <v>629899.39</v>
      </c>
      <c r="DA305" s="7">
        <f t="shared" si="163"/>
        <v>123499.93</v>
      </c>
      <c r="DB305" s="7">
        <f t="shared" si="163"/>
        <v>101395.44</v>
      </c>
      <c r="DC305" s="7">
        <f t="shared" si="163"/>
        <v>112080.46</v>
      </c>
      <c r="DD305" s="7">
        <f t="shared" si="163"/>
        <v>97944.92</v>
      </c>
      <c r="DE305" s="7">
        <f t="shared" si="163"/>
        <v>288400.14</v>
      </c>
      <c r="DF305" s="7">
        <f t="shared" si="163"/>
        <v>7817551.8200000003</v>
      </c>
      <c r="DG305" s="7">
        <f t="shared" si="163"/>
        <v>118174.05</v>
      </c>
      <c r="DH305" s="7">
        <f t="shared" si="163"/>
        <v>1002544.97</v>
      </c>
      <c r="DI305" s="7">
        <f t="shared" si="163"/>
        <v>1169415.45</v>
      </c>
      <c r="DJ305" s="7">
        <f t="shared" si="163"/>
        <v>169846.5</v>
      </c>
      <c r="DK305" s="7">
        <f t="shared" si="163"/>
        <v>88144.5</v>
      </c>
      <c r="DL305" s="7">
        <f t="shared" si="163"/>
        <v>2420056.54</v>
      </c>
      <c r="DM305" s="7">
        <f t="shared" si="163"/>
        <v>77790.55</v>
      </c>
      <c r="DN305" s="7">
        <f t="shared" si="163"/>
        <v>628414.66</v>
      </c>
      <c r="DO305" s="7">
        <f t="shared" si="163"/>
        <v>761258.72</v>
      </c>
      <c r="DP305" s="7">
        <f t="shared" si="163"/>
        <v>77422.7</v>
      </c>
      <c r="DQ305" s="7">
        <f t="shared" si="163"/>
        <v>409714.16</v>
      </c>
      <c r="DR305" s="7">
        <f t="shared" si="163"/>
        <v>475735.48</v>
      </c>
      <c r="DS305" s="7">
        <f t="shared" si="163"/>
        <v>198489</v>
      </c>
      <c r="DT305" s="7">
        <f t="shared" si="163"/>
        <v>53085.02</v>
      </c>
      <c r="DU305" s="7">
        <f t="shared" si="163"/>
        <v>128255.13</v>
      </c>
      <c r="DV305" s="7">
        <f t="shared" si="163"/>
        <v>49041.63</v>
      </c>
      <c r="DW305" s="7">
        <f t="shared" si="163"/>
        <v>105819.77</v>
      </c>
      <c r="DX305" s="7">
        <f t="shared" si="163"/>
        <v>165524.42000000001</v>
      </c>
      <c r="DY305" s="7">
        <f t="shared" si="163"/>
        <v>211849.28</v>
      </c>
      <c r="DZ305" s="7">
        <f t="shared" si="163"/>
        <v>440337.14</v>
      </c>
      <c r="EA305" s="7">
        <f t="shared" si="163"/>
        <v>606678.97</v>
      </c>
      <c r="EB305" s="7">
        <f t="shared" si="163"/>
        <v>264983.83</v>
      </c>
      <c r="EC305" s="7">
        <f t="shared" si="163"/>
        <v>112196.29</v>
      </c>
      <c r="ED305" s="7">
        <f t="shared" si="163"/>
        <v>606490.69999999995</v>
      </c>
      <c r="EE305" s="7">
        <f t="shared" si="163"/>
        <v>69368.460000000006</v>
      </c>
      <c r="EF305" s="7">
        <f t="shared" si="163"/>
        <v>327633.84999999998</v>
      </c>
      <c r="EG305" s="7">
        <f t="shared" si="163"/>
        <v>120677.96</v>
      </c>
      <c r="EH305" s="7">
        <f t="shared" si="163"/>
        <v>51207.78</v>
      </c>
      <c r="EI305" s="7">
        <f t="shared" si="163"/>
        <v>3323220.8</v>
      </c>
      <c r="EJ305" s="7">
        <f t="shared" si="163"/>
        <v>2056399.34</v>
      </c>
      <c r="EK305" s="7">
        <f t="shared" si="163"/>
        <v>137117.85</v>
      </c>
      <c r="EL305" s="7">
        <f t="shared" si="163"/>
        <v>36713.550000000003</v>
      </c>
      <c r="EM305" s="7">
        <f t="shared" si="163"/>
        <v>247634.55</v>
      </c>
      <c r="EN305" s="7">
        <f t="shared" si="163"/>
        <v>285190.57</v>
      </c>
      <c r="EO305" s="7">
        <f t="shared" si="163"/>
        <v>144936.91</v>
      </c>
      <c r="EP305" s="7">
        <f t="shared" si="163"/>
        <v>223170.3</v>
      </c>
      <c r="EQ305" s="7">
        <f t="shared" si="163"/>
        <v>1024267.5</v>
      </c>
      <c r="ER305" s="7">
        <f t="shared" si="163"/>
        <v>209171.85</v>
      </c>
      <c r="ES305" s="7">
        <f t="shared" si="163"/>
        <v>106678.02</v>
      </c>
      <c r="ET305" s="7">
        <f t="shared" si="163"/>
        <v>133939.82999999999</v>
      </c>
      <c r="EU305" s="7">
        <f t="shared" si="163"/>
        <v>189375.43</v>
      </c>
      <c r="EV305" s="7">
        <f t="shared" si="163"/>
        <v>43464.959999999999</v>
      </c>
      <c r="EW305" s="7">
        <f t="shared" si="163"/>
        <v>341846.47</v>
      </c>
      <c r="EX305" s="7">
        <f t="shared" si="163"/>
        <v>19788.41</v>
      </c>
      <c r="EY305" s="7">
        <f t="shared" si="163"/>
        <v>106184.84</v>
      </c>
      <c r="EZ305" s="7">
        <f t="shared" si="163"/>
        <v>92250.34</v>
      </c>
      <c r="FA305" s="7">
        <f t="shared" si="163"/>
        <v>1567984.63</v>
      </c>
      <c r="FB305" s="7">
        <f t="shared" si="163"/>
        <v>469609.63</v>
      </c>
      <c r="FC305" s="7">
        <f t="shared" si="163"/>
        <v>926616</v>
      </c>
      <c r="FD305" s="7">
        <f t="shared" si="163"/>
        <v>157711.57</v>
      </c>
      <c r="FE305" s="7">
        <f t="shared" si="163"/>
        <v>64813.09</v>
      </c>
      <c r="FF305" s="7">
        <f t="shared" si="163"/>
        <v>70542.399999999994</v>
      </c>
      <c r="FG305" s="7">
        <f t="shared" si="163"/>
        <v>71488.67</v>
      </c>
      <c r="FH305" s="7">
        <f t="shared" si="163"/>
        <v>112198.64</v>
      </c>
      <c r="FI305" s="7">
        <f t="shared" si="163"/>
        <v>558618.73</v>
      </c>
      <c r="FJ305" s="7">
        <f t="shared" si="163"/>
        <v>861473.15</v>
      </c>
      <c r="FK305" s="7">
        <f t="shared" si="163"/>
        <v>927120.98</v>
      </c>
      <c r="FL305" s="7">
        <f t="shared" si="163"/>
        <v>1829177.87</v>
      </c>
      <c r="FM305" s="7">
        <f t="shared" si="163"/>
        <v>532404.37</v>
      </c>
      <c r="FN305" s="7">
        <f t="shared" si="163"/>
        <v>3532207.73</v>
      </c>
      <c r="FO305" s="7">
        <f t="shared" si="163"/>
        <v>629176.46</v>
      </c>
      <c r="FP305" s="7">
        <f t="shared" si="163"/>
        <v>752042.46</v>
      </c>
      <c r="FQ305" s="7">
        <f t="shared" si="163"/>
        <v>409839.03</v>
      </c>
      <c r="FR305" s="7">
        <f t="shared" si="163"/>
        <v>177143.45</v>
      </c>
      <c r="FS305" s="7">
        <f t="shared" si="163"/>
        <v>72860.350000000006</v>
      </c>
      <c r="FT305" s="7">
        <f t="shared" si="163"/>
        <v>109456.97</v>
      </c>
      <c r="FU305" s="7">
        <f t="shared" si="163"/>
        <v>297429.19</v>
      </c>
      <c r="FV305" s="7">
        <f t="shared" si="163"/>
        <v>195022.78</v>
      </c>
      <c r="FW305" s="7">
        <f t="shared" si="163"/>
        <v>48430.720000000001</v>
      </c>
      <c r="FX305" s="7">
        <f t="shared" si="163"/>
        <v>39107.11</v>
      </c>
      <c r="FY305" s="7"/>
      <c r="FZ305" s="82">
        <f t="shared" si="160"/>
        <v>249920454.66999993</v>
      </c>
      <c r="GA305" s="62"/>
      <c r="GB305" s="62">
        <f t="shared" si="161"/>
        <v>249920454.66999993</v>
      </c>
      <c r="GC305" s="7"/>
      <c r="GD305" s="7"/>
      <c r="GE305" s="7"/>
      <c r="GF305" s="7"/>
      <c r="GG305" s="7"/>
      <c r="GH305" s="7"/>
      <c r="GI305" s="7"/>
      <c r="GJ305" s="7"/>
      <c r="GK305" s="7"/>
    </row>
    <row r="306" spans="1:193" ht="15.5" x14ac:dyDescent="0.35">
      <c r="A306" s="12" t="s">
        <v>1076</v>
      </c>
      <c r="B306" s="7" t="s">
        <v>1064</v>
      </c>
      <c r="C306" s="7" t="e">
        <f t="shared" ref="C306:FX306" ca="1" si="164">IF(C303-C304-C305&lt;0,0,C303-C304-C305)</f>
        <v>#NAME?</v>
      </c>
      <c r="D306" s="7" t="e">
        <f t="shared" ca="1" si="164"/>
        <v>#NAME?</v>
      </c>
      <c r="E306" s="7" t="e">
        <f t="shared" ca="1" si="164"/>
        <v>#NAME?</v>
      </c>
      <c r="F306" s="7" t="e">
        <f t="shared" ca="1" si="164"/>
        <v>#NAME?</v>
      </c>
      <c r="G306" s="7" t="e">
        <f t="shared" ca="1" si="164"/>
        <v>#NAME?</v>
      </c>
      <c r="H306" s="7" t="e">
        <f t="shared" ca="1" si="164"/>
        <v>#NAME?</v>
      </c>
      <c r="I306" s="7" t="e">
        <f t="shared" ca="1" si="164"/>
        <v>#NAME?</v>
      </c>
      <c r="J306" s="7" t="e">
        <f t="shared" ca="1" si="164"/>
        <v>#NAME?</v>
      </c>
      <c r="K306" s="7" t="e">
        <f t="shared" ca="1" si="164"/>
        <v>#NAME?</v>
      </c>
      <c r="L306" s="7" t="e">
        <f t="shared" ca="1" si="164"/>
        <v>#NAME?</v>
      </c>
      <c r="M306" s="7" t="e">
        <f t="shared" ca="1" si="164"/>
        <v>#NAME?</v>
      </c>
      <c r="N306" s="7" t="e">
        <f t="shared" ca="1" si="164"/>
        <v>#NAME?</v>
      </c>
      <c r="O306" s="7" t="e">
        <f t="shared" ca="1" si="164"/>
        <v>#NAME?</v>
      </c>
      <c r="P306" s="7" t="e">
        <f t="shared" ca="1" si="164"/>
        <v>#NAME?</v>
      </c>
      <c r="Q306" s="7" t="e">
        <f t="shared" ca="1" si="164"/>
        <v>#NAME?</v>
      </c>
      <c r="R306" s="7" t="e">
        <f t="shared" ca="1" si="164"/>
        <v>#NAME?</v>
      </c>
      <c r="S306" s="7" t="e">
        <f t="shared" ca="1" si="164"/>
        <v>#NAME?</v>
      </c>
      <c r="T306" s="7" t="e">
        <f t="shared" ca="1" si="164"/>
        <v>#NAME?</v>
      </c>
      <c r="U306" s="7" t="e">
        <f t="shared" ca="1" si="164"/>
        <v>#NAME?</v>
      </c>
      <c r="V306" s="7" t="e">
        <f t="shared" ca="1" si="164"/>
        <v>#NAME?</v>
      </c>
      <c r="W306" s="7" t="e">
        <f t="shared" ca="1" si="164"/>
        <v>#NAME?</v>
      </c>
      <c r="X306" s="7" t="e">
        <f t="shared" ca="1" si="164"/>
        <v>#NAME?</v>
      </c>
      <c r="Y306" s="7" t="e">
        <f t="shared" ca="1" si="164"/>
        <v>#NAME?</v>
      </c>
      <c r="Z306" s="7" t="e">
        <f t="shared" ca="1" si="164"/>
        <v>#NAME?</v>
      </c>
      <c r="AA306" s="7" t="e">
        <f t="shared" ca="1" si="164"/>
        <v>#NAME?</v>
      </c>
      <c r="AB306" s="7" t="e">
        <f t="shared" ca="1" si="164"/>
        <v>#NAME?</v>
      </c>
      <c r="AC306" s="7" t="e">
        <f t="shared" ca="1" si="164"/>
        <v>#NAME?</v>
      </c>
      <c r="AD306" s="7" t="e">
        <f t="shared" ca="1" si="164"/>
        <v>#NAME?</v>
      </c>
      <c r="AE306" s="7" t="e">
        <f t="shared" ca="1" si="164"/>
        <v>#NAME?</v>
      </c>
      <c r="AF306" s="7" t="e">
        <f t="shared" ca="1" si="164"/>
        <v>#NAME?</v>
      </c>
      <c r="AG306" s="7" t="e">
        <f t="shared" ca="1" si="164"/>
        <v>#NAME?</v>
      </c>
      <c r="AH306" s="7" t="e">
        <f t="shared" ca="1" si="164"/>
        <v>#NAME?</v>
      </c>
      <c r="AI306" s="7" t="e">
        <f t="shared" ca="1" si="164"/>
        <v>#NAME?</v>
      </c>
      <c r="AJ306" s="7" t="e">
        <f t="shared" ca="1" si="164"/>
        <v>#NAME?</v>
      </c>
      <c r="AK306" s="7" t="e">
        <f t="shared" ca="1" si="164"/>
        <v>#NAME?</v>
      </c>
      <c r="AL306" s="7" t="e">
        <f t="shared" ca="1" si="164"/>
        <v>#NAME?</v>
      </c>
      <c r="AM306" s="7" t="e">
        <f t="shared" ca="1" si="164"/>
        <v>#NAME?</v>
      </c>
      <c r="AN306" s="7" t="e">
        <f t="shared" ca="1" si="164"/>
        <v>#NAME?</v>
      </c>
      <c r="AO306" s="7" t="e">
        <f t="shared" ca="1" si="164"/>
        <v>#NAME?</v>
      </c>
      <c r="AP306" s="7" t="e">
        <f t="shared" ca="1" si="164"/>
        <v>#NAME?</v>
      </c>
      <c r="AQ306" s="7" t="e">
        <f t="shared" ca="1" si="164"/>
        <v>#NAME?</v>
      </c>
      <c r="AR306" s="7" t="e">
        <f t="shared" ca="1" si="164"/>
        <v>#NAME?</v>
      </c>
      <c r="AS306" s="7" t="e">
        <f t="shared" ca="1" si="164"/>
        <v>#NAME?</v>
      </c>
      <c r="AT306" s="7" t="e">
        <f t="shared" ca="1" si="164"/>
        <v>#NAME?</v>
      </c>
      <c r="AU306" s="7" t="e">
        <f t="shared" ca="1" si="164"/>
        <v>#NAME?</v>
      </c>
      <c r="AV306" s="7" t="e">
        <f t="shared" ca="1" si="164"/>
        <v>#NAME?</v>
      </c>
      <c r="AW306" s="7" t="e">
        <f t="shared" ca="1" si="164"/>
        <v>#NAME?</v>
      </c>
      <c r="AX306" s="7" t="e">
        <f t="shared" ca="1" si="164"/>
        <v>#NAME?</v>
      </c>
      <c r="AY306" s="7" t="e">
        <f t="shared" ca="1" si="164"/>
        <v>#NAME?</v>
      </c>
      <c r="AZ306" s="7" t="e">
        <f t="shared" ca="1" si="164"/>
        <v>#NAME?</v>
      </c>
      <c r="BA306" s="7" t="e">
        <f t="shared" ca="1" si="164"/>
        <v>#NAME?</v>
      </c>
      <c r="BB306" s="7" t="e">
        <f t="shared" ca="1" si="164"/>
        <v>#NAME?</v>
      </c>
      <c r="BC306" s="7" t="e">
        <f t="shared" ca="1" si="164"/>
        <v>#NAME?</v>
      </c>
      <c r="BD306" s="7" t="e">
        <f t="shared" ca="1" si="164"/>
        <v>#NAME?</v>
      </c>
      <c r="BE306" s="7" t="e">
        <f t="shared" ca="1" si="164"/>
        <v>#NAME?</v>
      </c>
      <c r="BF306" s="7" t="e">
        <f t="shared" ca="1" si="164"/>
        <v>#NAME?</v>
      </c>
      <c r="BG306" s="7" t="e">
        <f t="shared" ca="1" si="164"/>
        <v>#NAME?</v>
      </c>
      <c r="BH306" s="7" t="e">
        <f t="shared" ca="1" si="164"/>
        <v>#NAME?</v>
      </c>
      <c r="BI306" s="7" t="e">
        <f t="shared" ca="1" si="164"/>
        <v>#NAME?</v>
      </c>
      <c r="BJ306" s="7" t="e">
        <f t="shared" ca="1" si="164"/>
        <v>#NAME?</v>
      </c>
      <c r="BK306" s="7" t="e">
        <f t="shared" ca="1" si="164"/>
        <v>#NAME?</v>
      </c>
      <c r="BL306" s="7" t="e">
        <f t="shared" ca="1" si="164"/>
        <v>#NAME?</v>
      </c>
      <c r="BM306" s="7" t="e">
        <f t="shared" ca="1" si="164"/>
        <v>#NAME?</v>
      </c>
      <c r="BN306" s="7" t="e">
        <f t="shared" ca="1" si="164"/>
        <v>#NAME?</v>
      </c>
      <c r="BO306" s="7" t="e">
        <f t="shared" ca="1" si="164"/>
        <v>#NAME?</v>
      </c>
      <c r="BP306" s="7" t="e">
        <f t="shared" ca="1" si="164"/>
        <v>#NAME?</v>
      </c>
      <c r="BQ306" s="7" t="e">
        <f t="shared" ca="1" si="164"/>
        <v>#NAME?</v>
      </c>
      <c r="BR306" s="7" t="e">
        <f t="shared" ca="1" si="164"/>
        <v>#NAME?</v>
      </c>
      <c r="BS306" s="7" t="e">
        <f t="shared" ca="1" si="164"/>
        <v>#NAME?</v>
      </c>
      <c r="BT306" s="7" t="e">
        <f t="shared" ca="1" si="164"/>
        <v>#NAME?</v>
      </c>
      <c r="BU306" s="7" t="e">
        <f t="shared" ca="1" si="164"/>
        <v>#NAME?</v>
      </c>
      <c r="BV306" s="7" t="e">
        <f t="shared" ca="1" si="164"/>
        <v>#NAME?</v>
      </c>
      <c r="BW306" s="7" t="e">
        <f t="shared" ca="1" si="164"/>
        <v>#NAME?</v>
      </c>
      <c r="BX306" s="7" t="e">
        <f t="shared" ca="1" si="164"/>
        <v>#NAME?</v>
      </c>
      <c r="BY306" s="7" t="e">
        <f t="shared" ca="1" si="164"/>
        <v>#NAME?</v>
      </c>
      <c r="BZ306" s="7" t="e">
        <f t="shared" ca="1" si="164"/>
        <v>#NAME?</v>
      </c>
      <c r="CA306" s="7" t="e">
        <f t="shared" ca="1" si="164"/>
        <v>#NAME?</v>
      </c>
      <c r="CB306" s="7" t="e">
        <f t="shared" ca="1" si="164"/>
        <v>#NAME?</v>
      </c>
      <c r="CC306" s="7" t="e">
        <f t="shared" ca="1" si="164"/>
        <v>#NAME?</v>
      </c>
      <c r="CD306" s="7" t="e">
        <f t="shared" ca="1" si="164"/>
        <v>#NAME?</v>
      </c>
      <c r="CE306" s="7" t="e">
        <f t="shared" ca="1" si="164"/>
        <v>#NAME?</v>
      </c>
      <c r="CF306" s="7" t="e">
        <f t="shared" ca="1" si="164"/>
        <v>#NAME?</v>
      </c>
      <c r="CG306" s="7" t="e">
        <f t="shared" ca="1" si="164"/>
        <v>#NAME?</v>
      </c>
      <c r="CH306" s="7" t="e">
        <f t="shared" ca="1" si="164"/>
        <v>#NAME?</v>
      </c>
      <c r="CI306" s="7" t="e">
        <f t="shared" ca="1" si="164"/>
        <v>#NAME?</v>
      </c>
      <c r="CJ306" s="7" t="e">
        <f t="shared" ca="1" si="164"/>
        <v>#NAME?</v>
      </c>
      <c r="CK306" s="7" t="e">
        <f t="shared" ca="1" si="164"/>
        <v>#NAME?</v>
      </c>
      <c r="CL306" s="7" t="e">
        <f t="shared" ca="1" si="164"/>
        <v>#NAME?</v>
      </c>
      <c r="CM306" s="7" t="e">
        <f t="shared" ca="1" si="164"/>
        <v>#NAME?</v>
      </c>
      <c r="CN306" s="7" t="e">
        <f t="shared" ca="1" si="164"/>
        <v>#NAME?</v>
      </c>
      <c r="CO306" s="7" t="e">
        <f t="shared" ca="1" si="164"/>
        <v>#NAME?</v>
      </c>
      <c r="CP306" s="7" t="e">
        <f t="shared" ca="1" si="164"/>
        <v>#NAME?</v>
      </c>
      <c r="CQ306" s="7" t="e">
        <f t="shared" ca="1" si="164"/>
        <v>#NAME?</v>
      </c>
      <c r="CR306" s="7" t="e">
        <f t="shared" ca="1" si="164"/>
        <v>#NAME?</v>
      </c>
      <c r="CS306" s="7" t="e">
        <f t="shared" ca="1" si="164"/>
        <v>#NAME?</v>
      </c>
      <c r="CT306" s="7" t="e">
        <f t="shared" ca="1" si="164"/>
        <v>#NAME?</v>
      </c>
      <c r="CU306" s="7" t="e">
        <f t="shared" ca="1" si="164"/>
        <v>#NAME?</v>
      </c>
      <c r="CV306" s="7" t="e">
        <f t="shared" ca="1" si="164"/>
        <v>#NAME?</v>
      </c>
      <c r="CW306" s="7" t="e">
        <f t="shared" ca="1" si="164"/>
        <v>#NAME?</v>
      </c>
      <c r="CX306" s="7" t="e">
        <f t="shared" ca="1" si="164"/>
        <v>#NAME?</v>
      </c>
      <c r="CY306" s="7" t="e">
        <f t="shared" ca="1" si="164"/>
        <v>#NAME?</v>
      </c>
      <c r="CZ306" s="7" t="e">
        <f t="shared" ca="1" si="164"/>
        <v>#NAME?</v>
      </c>
      <c r="DA306" s="7" t="e">
        <f t="shared" ca="1" si="164"/>
        <v>#NAME?</v>
      </c>
      <c r="DB306" s="7" t="e">
        <f t="shared" ca="1" si="164"/>
        <v>#NAME?</v>
      </c>
      <c r="DC306" s="7" t="e">
        <f t="shared" ca="1" si="164"/>
        <v>#NAME?</v>
      </c>
      <c r="DD306" s="7" t="e">
        <f t="shared" ca="1" si="164"/>
        <v>#NAME?</v>
      </c>
      <c r="DE306" s="7" t="e">
        <f t="shared" ca="1" si="164"/>
        <v>#NAME?</v>
      </c>
      <c r="DF306" s="7" t="e">
        <f t="shared" ca="1" si="164"/>
        <v>#NAME?</v>
      </c>
      <c r="DG306" s="7" t="e">
        <f t="shared" ca="1" si="164"/>
        <v>#NAME?</v>
      </c>
      <c r="DH306" s="7" t="e">
        <f t="shared" ca="1" si="164"/>
        <v>#NAME?</v>
      </c>
      <c r="DI306" s="7" t="e">
        <f t="shared" ca="1" si="164"/>
        <v>#NAME?</v>
      </c>
      <c r="DJ306" s="7" t="e">
        <f t="shared" ca="1" si="164"/>
        <v>#NAME?</v>
      </c>
      <c r="DK306" s="7" t="e">
        <f t="shared" ca="1" si="164"/>
        <v>#NAME?</v>
      </c>
      <c r="DL306" s="7" t="e">
        <f t="shared" ca="1" si="164"/>
        <v>#NAME?</v>
      </c>
      <c r="DM306" s="7" t="e">
        <f t="shared" ca="1" si="164"/>
        <v>#NAME?</v>
      </c>
      <c r="DN306" s="7" t="e">
        <f t="shared" ca="1" si="164"/>
        <v>#NAME?</v>
      </c>
      <c r="DO306" s="7" t="e">
        <f t="shared" ca="1" si="164"/>
        <v>#NAME?</v>
      </c>
      <c r="DP306" s="7" t="e">
        <f t="shared" ca="1" si="164"/>
        <v>#NAME?</v>
      </c>
      <c r="DQ306" s="7" t="e">
        <f t="shared" ca="1" si="164"/>
        <v>#NAME?</v>
      </c>
      <c r="DR306" s="7" t="e">
        <f t="shared" ca="1" si="164"/>
        <v>#NAME?</v>
      </c>
      <c r="DS306" s="7" t="e">
        <f t="shared" ca="1" si="164"/>
        <v>#NAME?</v>
      </c>
      <c r="DT306" s="7" t="e">
        <f t="shared" ca="1" si="164"/>
        <v>#NAME?</v>
      </c>
      <c r="DU306" s="7" t="e">
        <f t="shared" ca="1" si="164"/>
        <v>#NAME?</v>
      </c>
      <c r="DV306" s="7" t="e">
        <f t="shared" ca="1" si="164"/>
        <v>#NAME?</v>
      </c>
      <c r="DW306" s="7" t="e">
        <f t="shared" ca="1" si="164"/>
        <v>#NAME?</v>
      </c>
      <c r="DX306" s="7" t="e">
        <f t="shared" ca="1" si="164"/>
        <v>#NAME?</v>
      </c>
      <c r="DY306" s="7" t="e">
        <f t="shared" ca="1" si="164"/>
        <v>#NAME?</v>
      </c>
      <c r="DZ306" s="7" t="e">
        <f t="shared" ca="1" si="164"/>
        <v>#NAME?</v>
      </c>
      <c r="EA306" s="7" t="e">
        <f t="shared" ca="1" si="164"/>
        <v>#NAME?</v>
      </c>
      <c r="EB306" s="7" t="e">
        <f t="shared" ca="1" si="164"/>
        <v>#NAME?</v>
      </c>
      <c r="EC306" s="7" t="e">
        <f t="shared" ca="1" si="164"/>
        <v>#NAME?</v>
      </c>
      <c r="ED306" s="7" t="e">
        <f t="shared" ca="1" si="164"/>
        <v>#NAME?</v>
      </c>
      <c r="EE306" s="7" t="e">
        <f t="shared" ca="1" si="164"/>
        <v>#NAME?</v>
      </c>
      <c r="EF306" s="7" t="e">
        <f t="shared" ca="1" si="164"/>
        <v>#NAME?</v>
      </c>
      <c r="EG306" s="7" t="e">
        <f t="shared" ca="1" si="164"/>
        <v>#NAME?</v>
      </c>
      <c r="EH306" s="7" t="e">
        <f t="shared" ca="1" si="164"/>
        <v>#NAME?</v>
      </c>
      <c r="EI306" s="7" t="e">
        <f t="shared" ca="1" si="164"/>
        <v>#NAME?</v>
      </c>
      <c r="EJ306" s="7" t="e">
        <f t="shared" ca="1" si="164"/>
        <v>#NAME?</v>
      </c>
      <c r="EK306" s="7" t="e">
        <f t="shared" ca="1" si="164"/>
        <v>#NAME?</v>
      </c>
      <c r="EL306" s="7" t="e">
        <f t="shared" ca="1" si="164"/>
        <v>#NAME?</v>
      </c>
      <c r="EM306" s="7" t="e">
        <f t="shared" ca="1" si="164"/>
        <v>#NAME?</v>
      </c>
      <c r="EN306" s="7" t="e">
        <f t="shared" ca="1" si="164"/>
        <v>#NAME?</v>
      </c>
      <c r="EO306" s="7" t="e">
        <f t="shared" ca="1" si="164"/>
        <v>#NAME?</v>
      </c>
      <c r="EP306" s="7" t="e">
        <f t="shared" ca="1" si="164"/>
        <v>#NAME?</v>
      </c>
      <c r="EQ306" s="7" t="e">
        <f t="shared" ca="1" si="164"/>
        <v>#NAME?</v>
      </c>
      <c r="ER306" s="7" t="e">
        <f t="shared" ca="1" si="164"/>
        <v>#NAME?</v>
      </c>
      <c r="ES306" s="7" t="e">
        <f t="shared" ca="1" si="164"/>
        <v>#NAME?</v>
      </c>
      <c r="ET306" s="7" t="e">
        <f t="shared" ca="1" si="164"/>
        <v>#NAME?</v>
      </c>
      <c r="EU306" s="7" t="e">
        <f t="shared" ca="1" si="164"/>
        <v>#NAME?</v>
      </c>
      <c r="EV306" s="7" t="e">
        <f t="shared" ca="1" si="164"/>
        <v>#NAME?</v>
      </c>
      <c r="EW306" s="7" t="e">
        <f t="shared" ca="1" si="164"/>
        <v>#NAME?</v>
      </c>
      <c r="EX306" s="7" t="e">
        <f t="shared" ca="1" si="164"/>
        <v>#NAME?</v>
      </c>
      <c r="EY306" s="7" t="e">
        <f t="shared" ca="1" si="164"/>
        <v>#NAME?</v>
      </c>
      <c r="EZ306" s="7" t="e">
        <f t="shared" ca="1" si="164"/>
        <v>#NAME?</v>
      </c>
      <c r="FA306" s="7" t="e">
        <f t="shared" ca="1" si="164"/>
        <v>#NAME?</v>
      </c>
      <c r="FB306" s="7" t="e">
        <f t="shared" ca="1" si="164"/>
        <v>#NAME?</v>
      </c>
      <c r="FC306" s="7" t="e">
        <f t="shared" ca="1" si="164"/>
        <v>#NAME?</v>
      </c>
      <c r="FD306" s="7" t="e">
        <f t="shared" ca="1" si="164"/>
        <v>#NAME?</v>
      </c>
      <c r="FE306" s="7" t="e">
        <f t="shared" ca="1" si="164"/>
        <v>#NAME?</v>
      </c>
      <c r="FF306" s="7" t="e">
        <f t="shared" ca="1" si="164"/>
        <v>#NAME?</v>
      </c>
      <c r="FG306" s="7" t="e">
        <f t="shared" ca="1" si="164"/>
        <v>#NAME?</v>
      </c>
      <c r="FH306" s="7" t="e">
        <f t="shared" ca="1" si="164"/>
        <v>#NAME?</v>
      </c>
      <c r="FI306" s="7" t="e">
        <f t="shared" ca="1" si="164"/>
        <v>#NAME?</v>
      </c>
      <c r="FJ306" s="7" t="e">
        <f t="shared" ca="1" si="164"/>
        <v>#NAME?</v>
      </c>
      <c r="FK306" s="7" t="e">
        <f t="shared" ca="1" si="164"/>
        <v>#NAME?</v>
      </c>
      <c r="FL306" s="7" t="e">
        <f t="shared" ca="1" si="164"/>
        <v>#NAME?</v>
      </c>
      <c r="FM306" s="7" t="e">
        <f t="shared" ca="1" si="164"/>
        <v>#NAME?</v>
      </c>
      <c r="FN306" s="7" t="e">
        <f t="shared" ca="1" si="164"/>
        <v>#NAME?</v>
      </c>
      <c r="FO306" s="7" t="e">
        <f t="shared" ca="1" si="164"/>
        <v>#NAME?</v>
      </c>
      <c r="FP306" s="7" t="e">
        <f t="shared" ca="1" si="164"/>
        <v>#NAME?</v>
      </c>
      <c r="FQ306" s="7" t="e">
        <f t="shared" ca="1" si="164"/>
        <v>#NAME?</v>
      </c>
      <c r="FR306" s="7" t="e">
        <f t="shared" ca="1" si="164"/>
        <v>#NAME?</v>
      </c>
      <c r="FS306" s="7" t="e">
        <f t="shared" ca="1" si="164"/>
        <v>#NAME?</v>
      </c>
      <c r="FT306" s="7" t="e">
        <f t="shared" ca="1" si="164"/>
        <v>#NAME?</v>
      </c>
      <c r="FU306" s="7" t="e">
        <f t="shared" ca="1" si="164"/>
        <v>#NAME?</v>
      </c>
      <c r="FV306" s="7" t="e">
        <f t="shared" ca="1" si="164"/>
        <v>#NAME?</v>
      </c>
      <c r="FW306" s="7" t="e">
        <f t="shared" ca="1" si="164"/>
        <v>#NAME?</v>
      </c>
      <c r="FX306" s="7" t="e">
        <f t="shared" ca="1" si="164"/>
        <v>#NAME?</v>
      </c>
      <c r="FY306" s="7"/>
      <c r="FZ306" s="82" t="e">
        <f t="shared" ca="1" si="160"/>
        <v>#NAME?</v>
      </c>
      <c r="GA306" s="62"/>
      <c r="GB306" s="62" t="e">
        <f t="shared" ca="1" si="161"/>
        <v>#NAME?</v>
      </c>
      <c r="GC306" s="7"/>
      <c r="GD306" s="7"/>
      <c r="GE306" s="7"/>
      <c r="GF306" s="7"/>
      <c r="GG306" s="7"/>
      <c r="GH306" s="7"/>
      <c r="GI306" s="7"/>
      <c r="GJ306" s="7"/>
      <c r="GK306" s="7"/>
    </row>
    <row r="307" spans="1:193" ht="15.5" x14ac:dyDescent="0.35">
      <c r="A307" s="12" t="s">
        <v>1077</v>
      </c>
      <c r="B307" s="7" t="s">
        <v>1078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0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0</v>
      </c>
      <c r="BX307" s="7">
        <v>0</v>
      </c>
      <c r="BY307" s="7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0</v>
      </c>
      <c r="EY307" s="7">
        <v>0</v>
      </c>
      <c r="EZ307" s="7">
        <v>0</v>
      </c>
      <c r="FA307" s="7">
        <v>0</v>
      </c>
      <c r="FB307" s="7">
        <v>0</v>
      </c>
      <c r="FC307" s="7">
        <v>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  <c r="FK307" s="7">
        <v>0</v>
      </c>
      <c r="FL307" s="7">
        <v>0</v>
      </c>
      <c r="FM307" s="7">
        <v>0</v>
      </c>
      <c r="FN307" s="7">
        <v>0</v>
      </c>
      <c r="FO307" s="7">
        <v>0</v>
      </c>
      <c r="FP307" s="7">
        <v>0</v>
      </c>
      <c r="FQ307" s="7">
        <v>0</v>
      </c>
      <c r="FR307" s="7">
        <v>0</v>
      </c>
      <c r="FS307" s="7">
        <v>0</v>
      </c>
      <c r="FT307" s="7">
        <v>0</v>
      </c>
      <c r="FU307" s="7">
        <v>0</v>
      </c>
      <c r="FV307" s="7">
        <v>0</v>
      </c>
      <c r="FW307" s="7">
        <v>0</v>
      </c>
      <c r="FX307" s="7">
        <v>0</v>
      </c>
      <c r="FY307" s="7"/>
      <c r="FZ307" s="82">
        <f t="shared" si="160"/>
        <v>0</v>
      </c>
      <c r="GA307" s="62"/>
      <c r="GB307" s="62">
        <f t="shared" si="161"/>
        <v>0</v>
      </c>
      <c r="GC307" s="7"/>
      <c r="GD307" s="7"/>
      <c r="GE307" s="7"/>
      <c r="GF307" s="7"/>
      <c r="GG307" s="7"/>
      <c r="GH307" s="7"/>
      <c r="GI307" s="7"/>
      <c r="GJ307" s="7"/>
      <c r="GK307" s="7"/>
    </row>
    <row r="308" spans="1:193" ht="15.5" x14ac:dyDescent="0.3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>
        <v>115733</v>
      </c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>
        <f>FA307-FA308</f>
        <v>0</v>
      </c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>
        <v>410873</v>
      </c>
      <c r="FQ308" s="7"/>
      <c r="FR308" s="7"/>
      <c r="FS308" s="7"/>
      <c r="FT308" s="7"/>
      <c r="FU308" s="7"/>
      <c r="FV308" s="7"/>
      <c r="FW308" s="7"/>
      <c r="FX308" s="7"/>
      <c r="FY308" s="7"/>
      <c r="FZ308" s="82"/>
      <c r="GA308" s="86"/>
      <c r="GB308" s="7"/>
      <c r="GC308" s="113"/>
      <c r="GD308" s="7"/>
      <c r="GE308" s="7"/>
      <c r="GF308" s="7"/>
      <c r="GG308" s="7"/>
      <c r="GH308" s="7"/>
      <c r="GI308" s="7"/>
      <c r="GJ308" s="7"/>
      <c r="GK308" s="7"/>
    </row>
    <row r="309" spans="1:193" ht="15.5" x14ac:dyDescent="0.35">
      <c r="A309" s="12" t="s">
        <v>1079</v>
      </c>
      <c r="B309" s="7" t="s">
        <v>1080</v>
      </c>
      <c r="C309" s="7" t="e">
        <f t="shared" ref="C309:FX309" ca="1" si="165">(C303-C307)/C103</f>
        <v>#NAME?</v>
      </c>
      <c r="D309" s="7" t="e">
        <f t="shared" ca="1" si="165"/>
        <v>#NAME?</v>
      </c>
      <c r="E309" s="7" t="e">
        <f t="shared" ca="1" si="165"/>
        <v>#NAME?</v>
      </c>
      <c r="F309" s="7" t="e">
        <f t="shared" ca="1" si="165"/>
        <v>#NAME?</v>
      </c>
      <c r="G309" s="7" t="e">
        <f t="shared" ca="1" si="165"/>
        <v>#NAME?</v>
      </c>
      <c r="H309" s="7" t="e">
        <f t="shared" ca="1" si="165"/>
        <v>#NAME?</v>
      </c>
      <c r="I309" s="7" t="e">
        <f t="shared" ca="1" si="165"/>
        <v>#NAME?</v>
      </c>
      <c r="J309" s="7" t="e">
        <f t="shared" ca="1" si="165"/>
        <v>#NAME?</v>
      </c>
      <c r="K309" s="7" t="e">
        <f t="shared" ca="1" si="165"/>
        <v>#NAME?</v>
      </c>
      <c r="L309" s="7" t="e">
        <f t="shared" ca="1" si="165"/>
        <v>#NAME?</v>
      </c>
      <c r="M309" s="7" t="e">
        <f t="shared" ca="1" si="165"/>
        <v>#NAME?</v>
      </c>
      <c r="N309" s="7" t="e">
        <f t="shared" ca="1" si="165"/>
        <v>#NAME?</v>
      </c>
      <c r="O309" s="7" t="e">
        <f t="shared" ca="1" si="165"/>
        <v>#NAME?</v>
      </c>
      <c r="P309" s="7" t="e">
        <f t="shared" ca="1" si="165"/>
        <v>#NAME?</v>
      </c>
      <c r="Q309" s="7" t="e">
        <f t="shared" ca="1" si="165"/>
        <v>#NAME?</v>
      </c>
      <c r="R309" s="7" t="e">
        <f t="shared" ca="1" si="165"/>
        <v>#NAME?</v>
      </c>
      <c r="S309" s="7" t="e">
        <f t="shared" ca="1" si="165"/>
        <v>#NAME?</v>
      </c>
      <c r="T309" s="7" t="e">
        <f t="shared" ca="1" si="165"/>
        <v>#NAME?</v>
      </c>
      <c r="U309" s="7" t="e">
        <f t="shared" ca="1" si="165"/>
        <v>#NAME?</v>
      </c>
      <c r="V309" s="7" t="e">
        <f t="shared" ca="1" si="165"/>
        <v>#NAME?</v>
      </c>
      <c r="W309" s="7" t="e">
        <f t="shared" ca="1" si="165"/>
        <v>#NAME?</v>
      </c>
      <c r="X309" s="7" t="e">
        <f t="shared" ca="1" si="165"/>
        <v>#NAME?</v>
      </c>
      <c r="Y309" s="7" t="e">
        <f t="shared" ca="1" si="165"/>
        <v>#NAME?</v>
      </c>
      <c r="Z309" s="7" t="e">
        <f t="shared" ca="1" si="165"/>
        <v>#NAME?</v>
      </c>
      <c r="AA309" s="7" t="e">
        <f t="shared" ca="1" si="165"/>
        <v>#NAME?</v>
      </c>
      <c r="AB309" s="7" t="e">
        <f t="shared" ca="1" si="165"/>
        <v>#NAME?</v>
      </c>
      <c r="AC309" s="7" t="e">
        <f t="shared" ca="1" si="165"/>
        <v>#NAME?</v>
      </c>
      <c r="AD309" s="7" t="e">
        <f t="shared" ca="1" si="165"/>
        <v>#NAME?</v>
      </c>
      <c r="AE309" s="7" t="e">
        <f t="shared" ca="1" si="165"/>
        <v>#NAME?</v>
      </c>
      <c r="AF309" s="7" t="e">
        <f t="shared" ca="1" si="165"/>
        <v>#NAME?</v>
      </c>
      <c r="AG309" s="7" t="e">
        <f t="shared" ca="1" si="165"/>
        <v>#NAME?</v>
      </c>
      <c r="AH309" s="7" t="e">
        <f t="shared" ca="1" si="165"/>
        <v>#NAME?</v>
      </c>
      <c r="AI309" s="7" t="e">
        <f t="shared" ca="1" si="165"/>
        <v>#NAME?</v>
      </c>
      <c r="AJ309" s="7" t="e">
        <f t="shared" ca="1" si="165"/>
        <v>#NAME?</v>
      </c>
      <c r="AK309" s="7" t="e">
        <f t="shared" ca="1" si="165"/>
        <v>#NAME?</v>
      </c>
      <c r="AL309" s="7" t="e">
        <f t="shared" ca="1" si="165"/>
        <v>#NAME?</v>
      </c>
      <c r="AM309" s="7" t="e">
        <f t="shared" ca="1" si="165"/>
        <v>#NAME?</v>
      </c>
      <c r="AN309" s="7" t="e">
        <f t="shared" ca="1" si="165"/>
        <v>#NAME?</v>
      </c>
      <c r="AO309" s="7" t="e">
        <f t="shared" ca="1" si="165"/>
        <v>#NAME?</v>
      </c>
      <c r="AP309" s="7" t="e">
        <f t="shared" ca="1" si="165"/>
        <v>#NAME?</v>
      </c>
      <c r="AQ309" s="7" t="e">
        <f t="shared" ca="1" si="165"/>
        <v>#NAME?</v>
      </c>
      <c r="AR309" s="7" t="e">
        <f t="shared" ca="1" si="165"/>
        <v>#NAME?</v>
      </c>
      <c r="AS309" s="7" t="e">
        <f t="shared" ca="1" si="165"/>
        <v>#NAME?</v>
      </c>
      <c r="AT309" s="7" t="e">
        <f t="shared" ca="1" si="165"/>
        <v>#NAME?</v>
      </c>
      <c r="AU309" s="7" t="e">
        <f t="shared" ca="1" si="165"/>
        <v>#NAME?</v>
      </c>
      <c r="AV309" s="7" t="e">
        <f t="shared" ca="1" si="165"/>
        <v>#NAME?</v>
      </c>
      <c r="AW309" s="7" t="e">
        <f t="shared" ca="1" si="165"/>
        <v>#NAME?</v>
      </c>
      <c r="AX309" s="7" t="e">
        <f t="shared" ca="1" si="165"/>
        <v>#NAME?</v>
      </c>
      <c r="AY309" s="7" t="e">
        <f t="shared" ca="1" si="165"/>
        <v>#NAME?</v>
      </c>
      <c r="AZ309" s="7" t="e">
        <f t="shared" ca="1" si="165"/>
        <v>#NAME?</v>
      </c>
      <c r="BA309" s="7" t="e">
        <f t="shared" ca="1" si="165"/>
        <v>#NAME?</v>
      </c>
      <c r="BB309" s="7" t="e">
        <f t="shared" ca="1" si="165"/>
        <v>#NAME?</v>
      </c>
      <c r="BC309" s="7" t="e">
        <f t="shared" ca="1" si="165"/>
        <v>#NAME?</v>
      </c>
      <c r="BD309" s="7" t="e">
        <f t="shared" ca="1" si="165"/>
        <v>#NAME?</v>
      </c>
      <c r="BE309" s="7" t="e">
        <f t="shared" ca="1" si="165"/>
        <v>#NAME?</v>
      </c>
      <c r="BF309" s="7" t="e">
        <f t="shared" ca="1" si="165"/>
        <v>#NAME?</v>
      </c>
      <c r="BG309" s="7" t="e">
        <f t="shared" ca="1" si="165"/>
        <v>#NAME?</v>
      </c>
      <c r="BH309" s="7" t="e">
        <f t="shared" ca="1" si="165"/>
        <v>#NAME?</v>
      </c>
      <c r="BI309" s="7" t="e">
        <f t="shared" ca="1" si="165"/>
        <v>#NAME?</v>
      </c>
      <c r="BJ309" s="7" t="e">
        <f t="shared" ca="1" si="165"/>
        <v>#NAME?</v>
      </c>
      <c r="BK309" s="7" t="e">
        <f t="shared" ca="1" si="165"/>
        <v>#NAME?</v>
      </c>
      <c r="BL309" s="7" t="e">
        <f t="shared" ca="1" si="165"/>
        <v>#NAME?</v>
      </c>
      <c r="BM309" s="7" t="e">
        <f t="shared" ca="1" si="165"/>
        <v>#NAME?</v>
      </c>
      <c r="BN309" s="7" t="e">
        <f t="shared" ca="1" si="165"/>
        <v>#NAME?</v>
      </c>
      <c r="BO309" s="7" t="e">
        <f t="shared" ca="1" si="165"/>
        <v>#NAME?</v>
      </c>
      <c r="BP309" s="7" t="e">
        <f t="shared" ca="1" si="165"/>
        <v>#NAME?</v>
      </c>
      <c r="BQ309" s="7" t="e">
        <f t="shared" ca="1" si="165"/>
        <v>#NAME?</v>
      </c>
      <c r="BR309" s="7" t="e">
        <f t="shared" ca="1" si="165"/>
        <v>#NAME?</v>
      </c>
      <c r="BS309" s="7" t="e">
        <f t="shared" ca="1" si="165"/>
        <v>#NAME?</v>
      </c>
      <c r="BT309" s="7" t="e">
        <f t="shared" ca="1" si="165"/>
        <v>#NAME?</v>
      </c>
      <c r="BU309" s="7" t="e">
        <f t="shared" ca="1" si="165"/>
        <v>#NAME?</v>
      </c>
      <c r="BV309" s="7" t="e">
        <f t="shared" ca="1" si="165"/>
        <v>#NAME?</v>
      </c>
      <c r="BW309" s="7" t="e">
        <f t="shared" ca="1" si="165"/>
        <v>#NAME?</v>
      </c>
      <c r="BX309" s="7" t="e">
        <f t="shared" ca="1" si="165"/>
        <v>#NAME?</v>
      </c>
      <c r="BY309" s="7" t="e">
        <f t="shared" ca="1" si="165"/>
        <v>#NAME?</v>
      </c>
      <c r="BZ309" s="7" t="e">
        <f t="shared" ca="1" si="165"/>
        <v>#NAME?</v>
      </c>
      <c r="CA309" s="7" t="e">
        <f t="shared" ca="1" si="165"/>
        <v>#NAME?</v>
      </c>
      <c r="CB309" s="7" t="e">
        <f t="shared" ca="1" si="165"/>
        <v>#NAME?</v>
      </c>
      <c r="CC309" s="7" t="e">
        <f t="shared" ca="1" si="165"/>
        <v>#NAME?</v>
      </c>
      <c r="CD309" s="7" t="e">
        <f t="shared" ca="1" si="165"/>
        <v>#NAME?</v>
      </c>
      <c r="CE309" s="7" t="e">
        <f t="shared" ca="1" si="165"/>
        <v>#NAME?</v>
      </c>
      <c r="CF309" s="7" t="e">
        <f t="shared" ca="1" si="165"/>
        <v>#NAME?</v>
      </c>
      <c r="CG309" s="7" t="e">
        <f t="shared" ca="1" si="165"/>
        <v>#NAME?</v>
      </c>
      <c r="CH309" s="7" t="e">
        <f t="shared" ca="1" si="165"/>
        <v>#NAME?</v>
      </c>
      <c r="CI309" s="7" t="e">
        <f t="shared" ca="1" si="165"/>
        <v>#NAME?</v>
      </c>
      <c r="CJ309" s="7" t="e">
        <f t="shared" ca="1" si="165"/>
        <v>#NAME?</v>
      </c>
      <c r="CK309" s="7" t="e">
        <f t="shared" ca="1" si="165"/>
        <v>#NAME?</v>
      </c>
      <c r="CL309" s="7" t="e">
        <f t="shared" ca="1" si="165"/>
        <v>#NAME?</v>
      </c>
      <c r="CM309" s="7" t="e">
        <f t="shared" ca="1" si="165"/>
        <v>#NAME?</v>
      </c>
      <c r="CN309" s="7" t="e">
        <f t="shared" ca="1" si="165"/>
        <v>#NAME?</v>
      </c>
      <c r="CO309" s="7" t="e">
        <f t="shared" ca="1" si="165"/>
        <v>#NAME?</v>
      </c>
      <c r="CP309" s="7" t="e">
        <f t="shared" ca="1" si="165"/>
        <v>#NAME?</v>
      </c>
      <c r="CQ309" s="7" t="e">
        <f t="shared" ca="1" si="165"/>
        <v>#NAME?</v>
      </c>
      <c r="CR309" s="7" t="e">
        <f t="shared" ca="1" si="165"/>
        <v>#NAME?</v>
      </c>
      <c r="CS309" s="7" t="e">
        <f t="shared" ca="1" si="165"/>
        <v>#NAME?</v>
      </c>
      <c r="CT309" s="7" t="e">
        <f t="shared" ca="1" si="165"/>
        <v>#NAME?</v>
      </c>
      <c r="CU309" s="7" t="e">
        <f t="shared" ca="1" si="165"/>
        <v>#NAME?</v>
      </c>
      <c r="CV309" s="7" t="e">
        <f t="shared" ca="1" si="165"/>
        <v>#NAME?</v>
      </c>
      <c r="CW309" s="7" t="e">
        <f t="shared" ca="1" si="165"/>
        <v>#NAME?</v>
      </c>
      <c r="CX309" s="7" t="e">
        <f t="shared" ca="1" si="165"/>
        <v>#NAME?</v>
      </c>
      <c r="CY309" s="7" t="e">
        <f t="shared" ca="1" si="165"/>
        <v>#NAME?</v>
      </c>
      <c r="CZ309" s="7" t="e">
        <f t="shared" ca="1" si="165"/>
        <v>#NAME?</v>
      </c>
      <c r="DA309" s="7" t="e">
        <f t="shared" ca="1" si="165"/>
        <v>#NAME?</v>
      </c>
      <c r="DB309" s="7" t="e">
        <f t="shared" ca="1" si="165"/>
        <v>#NAME?</v>
      </c>
      <c r="DC309" s="7" t="e">
        <f t="shared" ca="1" si="165"/>
        <v>#NAME?</v>
      </c>
      <c r="DD309" s="7" t="e">
        <f t="shared" ca="1" si="165"/>
        <v>#NAME?</v>
      </c>
      <c r="DE309" s="7" t="e">
        <f t="shared" ca="1" si="165"/>
        <v>#NAME?</v>
      </c>
      <c r="DF309" s="7" t="e">
        <f t="shared" ca="1" si="165"/>
        <v>#NAME?</v>
      </c>
      <c r="DG309" s="7" t="e">
        <f t="shared" ca="1" si="165"/>
        <v>#NAME?</v>
      </c>
      <c r="DH309" s="7" t="e">
        <f t="shared" ca="1" si="165"/>
        <v>#NAME?</v>
      </c>
      <c r="DI309" s="7" t="e">
        <f t="shared" ca="1" si="165"/>
        <v>#NAME?</v>
      </c>
      <c r="DJ309" s="7" t="e">
        <f t="shared" ca="1" si="165"/>
        <v>#NAME?</v>
      </c>
      <c r="DK309" s="7" t="e">
        <f t="shared" ca="1" si="165"/>
        <v>#NAME?</v>
      </c>
      <c r="DL309" s="7" t="e">
        <f t="shared" ca="1" si="165"/>
        <v>#NAME?</v>
      </c>
      <c r="DM309" s="7" t="e">
        <f t="shared" ca="1" si="165"/>
        <v>#NAME?</v>
      </c>
      <c r="DN309" s="7" t="e">
        <f t="shared" ca="1" si="165"/>
        <v>#NAME?</v>
      </c>
      <c r="DO309" s="7" t="e">
        <f t="shared" ca="1" si="165"/>
        <v>#NAME?</v>
      </c>
      <c r="DP309" s="7" t="e">
        <f t="shared" ca="1" si="165"/>
        <v>#NAME?</v>
      </c>
      <c r="DQ309" s="7" t="e">
        <f t="shared" ca="1" si="165"/>
        <v>#NAME?</v>
      </c>
      <c r="DR309" s="7" t="e">
        <f t="shared" ca="1" si="165"/>
        <v>#NAME?</v>
      </c>
      <c r="DS309" s="7" t="e">
        <f t="shared" ca="1" si="165"/>
        <v>#NAME?</v>
      </c>
      <c r="DT309" s="7" t="e">
        <f t="shared" ca="1" si="165"/>
        <v>#NAME?</v>
      </c>
      <c r="DU309" s="7" t="e">
        <f t="shared" ca="1" si="165"/>
        <v>#NAME?</v>
      </c>
      <c r="DV309" s="7" t="e">
        <f t="shared" ca="1" si="165"/>
        <v>#NAME?</v>
      </c>
      <c r="DW309" s="7" t="e">
        <f t="shared" ca="1" si="165"/>
        <v>#NAME?</v>
      </c>
      <c r="DX309" s="7" t="e">
        <f t="shared" ca="1" si="165"/>
        <v>#NAME?</v>
      </c>
      <c r="DY309" s="7" t="e">
        <f t="shared" ca="1" si="165"/>
        <v>#NAME?</v>
      </c>
      <c r="DZ309" s="7" t="e">
        <f t="shared" ca="1" si="165"/>
        <v>#NAME?</v>
      </c>
      <c r="EA309" s="7" t="e">
        <f t="shared" ca="1" si="165"/>
        <v>#NAME?</v>
      </c>
      <c r="EB309" s="7" t="e">
        <f t="shared" ca="1" si="165"/>
        <v>#NAME?</v>
      </c>
      <c r="EC309" s="7" t="e">
        <f t="shared" ca="1" si="165"/>
        <v>#NAME?</v>
      </c>
      <c r="ED309" s="7" t="e">
        <f t="shared" ca="1" si="165"/>
        <v>#NAME?</v>
      </c>
      <c r="EE309" s="7" t="e">
        <f t="shared" ca="1" si="165"/>
        <v>#NAME?</v>
      </c>
      <c r="EF309" s="7" t="e">
        <f t="shared" ca="1" si="165"/>
        <v>#NAME?</v>
      </c>
      <c r="EG309" s="7" t="e">
        <f t="shared" ca="1" si="165"/>
        <v>#NAME?</v>
      </c>
      <c r="EH309" s="7" t="e">
        <f t="shared" ca="1" si="165"/>
        <v>#NAME?</v>
      </c>
      <c r="EI309" s="7" t="e">
        <f t="shared" ca="1" si="165"/>
        <v>#NAME?</v>
      </c>
      <c r="EJ309" s="7" t="e">
        <f t="shared" ca="1" si="165"/>
        <v>#NAME?</v>
      </c>
      <c r="EK309" s="7" t="e">
        <f t="shared" ca="1" si="165"/>
        <v>#NAME?</v>
      </c>
      <c r="EL309" s="7" t="e">
        <f t="shared" ca="1" si="165"/>
        <v>#NAME?</v>
      </c>
      <c r="EM309" s="7" t="e">
        <f t="shared" ca="1" si="165"/>
        <v>#NAME?</v>
      </c>
      <c r="EN309" s="7" t="e">
        <f t="shared" ca="1" si="165"/>
        <v>#NAME?</v>
      </c>
      <c r="EO309" s="7" t="e">
        <f t="shared" ca="1" si="165"/>
        <v>#NAME?</v>
      </c>
      <c r="EP309" s="7" t="e">
        <f t="shared" ca="1" si="165"/>
        <v>#NAME?</v>
      </c>
      <c r="EQ309" s="7" t="e">
        <f t="shared" ca="1" si="165"/>
        <v>#NAME?</v>
      </c>
      <c r="ER309" s="7" t="e">
        <f t="shared" ca="1" si="165"/>
        <v>#NAME?</v>
      </c>
      <c r="ES309" s="7" t="e">
        <f t="shared" ca="1" si="165"/>
        <v>#NAME?</v>
      </c>
      <c r="ET309" s="7" t="e">
        <f t="shared" ca="1" si="165"/>
        <v>#NAME?</v>
      </c>
      <c r="EU309" s="7" t="e">
        <f t="shared" ca="1" si="165"/>
        <v>#NAME?</v>
      </c>
      <c r="EV309" s="7" t="e">
        <f t="shared" ca="1" si="165"/>
        <v>#NAME?</v>
      </c>
      <c r="EW309" s="7" t="e">
        <f t="shared" ca="1" si="165"/>
        <v>#NAME?</v>
      </c>
      <c r="EX309" s="7" t="e">
        <f t="shared" ca="1" si="165"/>
        <v>#NAME?</v>
      </c>
      <c r="EY309" s="7" t="e">
        <f t="shared" ca="1" si="165"/>
        <v>#NAME?</v>
      </c>
      <c r="EZ309" s="7" t="e">
        <f t="shared" ca="1" si="165"/>
        <v>#NAME?</v>
      </c>
      <c r="FA309" s="7" t="e">
        <f t="shared" ca="1" si="165"/>
        <v>#NAME?</v>
      </c>
      <c r="FB309" s="7" t="e">
        <f t="shared" ca="1" si="165"/>
        <v>#NAME?</v>
      </c>
      <c r="FC309" s="7" t="e">
        <f t="shared" ca="1" si="165"/>
        <v>#NAME?</v>
      </c>
      <c r="FD309" s="7" t="e">
        <f t="shared" ca="1" si="165"/>
        <v>#NAME?</v>
      </c>
      <c r="FE309" s="7" t="e">
        <f t="shared" ca="1" si="165"/>
        <v>#NAME?</v>
      </c>
      <c r="FF309" s="7" t="e">
        <f t="shared" ca="1" si="165"/>
        <v>#NAME?</v>
      </c>
      <c r="FG309" s="7" t="e">
        <f t="shared" ca="1" si="165"/>
        <v>#NAME?</v>
      </c>
      <c r="FH309" s="7" t="e">
        <f t="shared" ca="1" si="165"/>
        <v>#NAME?</v>
      </c>
      <c r="FI309" s="7" t="e">
        <f t="shared" ca="1" si="165"/>
        <v>#NAME?</v>
      </c>
      <c r="FJ309" s="7" t="e">
        <f t="shared" ca="1" si="165"/>
        <v>#NAME?</v>
      </c>
      <c r="FK309" s="7" t="e">
        <f t="shared" ca="1" si="165"/>
        <v>#NAME?</v>
      </c>
      <c r="FL309" s="7" t="e">
        <f t="shared" ca="1" si="165"/>
        <v>#NAME?</v>
      </c>
      <c r="FM309" s="7" t="e">
        <f t="shared" ca="1" si="165"/>
        <v>#NAME?</v>
      </c>
      <c r="FN309" s="7" t="e">
        <f t="shared" ca="1" si="165"/>
        <v>#NAME?</v>
      </c>
      <c r="FO309" s="7" t="e">
        <f t="shared" ca="1" si="165"/>
        <v>#NAME?</v>
      </c>
      <c r="FP309" s="7" t="e">
        <f t="shared" ca="1" si="165"/>
        <v>#NAME?</v>
      </c>
      <c r="FQ309" s="7" t="e">
        <f t="shared" ca="1" si="165"/>
        <v>#NAME?</v>
      </c>
      <c r="FR309" s="7" t="e">
        <f t="shared" ca="1" si="165"/>
        <v>#NAME?</v>
      </c>
      <c r="FS309" s="7" t="e">
        <f t="shared" ca="1" si="165"/>
        <v>#NAME?</v>
      </c>
      <c r="FT309" s="7" t="e">
        <f t="shared" ca="1" si="165"/>
        <v>#NAME?</v>
      </c>
      <c r="FU309" s="7" t="e">
        <f t="shared" ca="1" si="165"/>
        <v>#NAME?</v>
      </c>
      <c r="FV309" s="7" t="e">
        <f t="shared" ca="1" si="165"/>
        <v>#NAME?</v>
      </c>
      <c r="FW309" s="7" t="e">
        <f t="shared" ca="1" si="165"/>
        <v>#NAME?</v>
      </c>
      <c r="FX309" s="7" t="e">
        <f t="shared" ca="1" si="165"/>
        <v>#NAME?</v>
      </c>
      <c r="FY309" s="7"/>
      <c r="FZ309" s="7" t="e">
        <f ca="1">(FZ303-FZ307)/FZ103</f>
        <v>#NAME?</v>
      </c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</row>
    <row r="310" spans="1:193" ht="15.5" x14ac:dyDescent="0.35">
      <c r="A310" s="7"/>
      <c r="B310" s="7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7" t="e">
        <f ca="1">FZ303/FZ103</f>
        <v>#NAME?</v>
      </c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</row>
    <row r="311" spans="1:193" ht="15.5" x14ac:dyDescent="0.35">
      <c r="A311" s="7"/>
      <c r="B311" s="5" t="s">
        <v>1081</v>
      </c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</row>
    <row r="312" spans="1:193" ht="15.5" x14ac:dyDescent="0.35">
      <c r="A312" s="12" t="s">
        <v>720</v>
      </c>
      <c r="B312" s="7" t="s">
        <v>721</v>
      </c>
      <c r="C312" s="39" t="e">
        <f t="shared" ref="C312:FX312" ca="1" si="166">ROUND(((C303-C307)-((C172+C176)*C313))/C96,2)</f>
        <v>#NAME?</v>
      </c>
      <c r="D312" s="39" t="e">
        <f t="shared" ca="1" si="166"/>
        <v>#NAME?</v>
      </c>
      <c r="E312" s="39" t="e">
        <f t="shared" ca="1" si="166"/>
        <v>#NAME?</v>
      </c>
      <c r="F312" s="39" t="e">
        <f t="shared" ca="1" si="166"/>
        <v>#NAME?</v>
      </c>
      <c r="G312" s="39" t="e">
        <f t="shared" ca="1" si="166"/>
        <v>#NAME?</v>
      </c>
      <c r="H312" s="39" t="e">
        <f t="shared" ca="1" si="166"/>
        <v>#NAME?</v>
      </c>
      <c r="I312" s="39" t="e">
        <f t="shared" ca="1" si="166"/>
        <v>#NAME?</v>
      </c>
      <c r="J312" s="39" t="e">
        <f t="shared" ca="1" si="166"/>
        <v>#NAME?</v>
      </c>
      <c r="K312" s="39" t="e">
        <f t="shared" ca="1" si="166"/>
        <v>#NAME?</v>
      </c>
      <c r="L312" s="39" t="e">
        <f t="shared" ca="1" si="166"/>
        <v>#NAME?</v>
      </c>
      <c r="M312" s="39" t="e">
        <f t="shared" ca="1" si="166"/>
        <v>#NAME?</v>
      </c>
      <c r="N312" s="39" t="e">
        <f t="shared" ca="1" si="166"/>
        <v>#NAME?</v>
      </c>
      <c r="O312" s="39" t="e">
        <f t="shared" ca="1" si="166"/>
        <v>#NAME?</v>
      </c>
      <c r="P312" s="39" t="e">
        <f t="shared" ca="1" si="166"/>
        <v>#NAME?</v>
      </c>
      <c r="Q312" s="39" t="e">
        <f t="shared" ca="1" si="166"/>
        <v>#NAME?</v>
      </c>
      <c r="R312" s="39" t="e">
        <f t="shared" ca="1" si="166"/>
        <v>#NAME?</v>
      </c>
      <c r="S312" s="39" t="e">
        <f t="shared" ca="1" si="166"/>
        <v>#NAME?</v>
      </c>
      <c r="T312" s="39" t="e">
        <f t="shared" ca="1" si="166"/>
        <v>#NAME?</v>
      </c>
      <c r="U312" s="39" t="e">
        <f t="shared" ca="1" si="166"/>
        <v>#NAME?</v>
      </c>
      <c r="V312" s="39" t="e">
        <f t="shared" ca="1" si="166"/>
        <v>#NAME?</v>
      </c>
      <c r="W312" s="39" t="e">
        <f t="shared" ca="1" si="166"/>
        <v>#NAME?</v>
      </c>
      <c r="X312" s="39" t="e">
        <f t="shared" ca="1" si="166"/>
        <v>#NAME?</v>
      </c>
      <c r="Y312" s="39" t="e">
        <f t="shared" ca="1" si="166"/>
        <v>#NAME?</v>
      </c>
      <c r="Z312" s="39" t="e">
        <f t="shared" ca="1" si="166"/>
        <v>#NAME?</v>
      </c>
      <c r="AA312" s="39" t="e">
        <f t="shared" ca="1" si="166"/>
        <v>#NAME?</v>
      </c>
      <c r="AB312" s="39" t="e">
        <f t="shared" ca="1" si="166"/>
        <v>#NAME?</v>
      </c>
      <c r="AC312" s="39" t="e">
        <f t="shared" ca="1" si="166"/>
        <v>#NAME?</v>
      </c>
      <c r="AD312" s="39" t="e">
        <f t="shared" ca="1" si="166"/>
        <v>#NAME?</v>
      </c>
      <c r="AE312" s="39" t="e">
        <f t="shared" ca="1" si="166"/>
        <v>#NAME?</v>
      </c>
      <c r="AF312" s="39" t="e">
        <f t="shared" ca="1" si="166"/>
        <v>#NAME?</v>
      </c>
      <c r="AG312" s="39" t="e">
        <f t="shared" ca="1" si="166"/>
        <v>#NAME?</v>
      </c>
      <c r="AH312" s="39" t="e">
        <f t="shared" ca="1" si="166"/>
        <v>#NAME?</v>
      </c>
      <c r="AI312" s="39" t="e">
        <f t="shared" ca="1" si="166"/>
        <v>#NAME?</v>
      </c>
      <c r="AJ312" s="39" t="e">
        <f t="shared" ca="1" si="166"/>
        <v>#NAME?</v>
      </c>
      <c r="AK312" s="39" t="e">
        <f t="shared" ca="1" si="166"/>
        <v>#NAME?</v>
      </c>
      <c r="AL312" s="39" t="e">
        <f t="shared" ca="1" si="166"/>
        <v>#NAME?</v>
      </c>
      <c r="AM312" s="39" t="e">
        <f t="shared" ca="1" si="166"/>
        <v>#NAME?</v>
      </c>
      <c r="AN312" s="39" t="e">
        <f t="shared" ca="1" si="166"/>
        <v>#NAME?</v>
      </c>
      <c r="AO312" s="39" t="e">
        <f t="shared" ca="1" si="166"/>
        <v>#NAME?</v>
      </c>
      <c r="AP312" s="39" t="e">
        <f t="shared" ca="1" si="166"/>
        <v>#NAME?</v>
      </c>
      <c r="AQ312" s="39" t="e">
        <f t="shared" ca="1" si="166"/>
        <v>#NAME?</v>
      </c>
      <c r="AR312" s="39" t="e">
        <f t="shared" ca="1" si="166"/>
        <v>#NAME?</v>
      </c>
      <c r="AS312" s="39" t="e">
        <f t="shared" ca="1" si="166"/>
        <v>#NAME?</v>
      </c>
      <c r="AT312" s="39" t="e">
        <f t="shared" ca="1" si="166"/>
        <v>#NAME?</v>
      </c>
      <c r="AU312" s="39" t="e">
        <f t="shared" ca="1" si="166"/>
        <v>#NAME?</v>
      </c>
      <c r="AV312" s="39" t="e">
        <f t="shared" ca="1" si="166"/>
        <v>#NAME?</v>
      </c>
      <c r="AW312" s="39" t="e">
        <f t="shared" ca="1" si="166"/>
        <v>#NAME?</v>
      </c>
      <c r="AX312" s="39" t="e">
        <f t="shared" ca="1" si="166"/>
        <v>#NAME?</v>
      </c>
      <c r="AY312" s="39" t="e">
        <f t="shared" ca="1" si="166"/>
        <v>#NAME?</v>
      </c>
      <c r="AZ312" s="39" t="e">
        <f t="shared" ca="1" si="166"/>
        <v>#NAME?</v>
      </c>
      <c r="BA312" s="39" t="e">
        <f t="shared" ca="1" si="166"/>
        <v>#NAME?</v>
      </c>
      <c r="BB312" s="39" t="e">
        <f t="shared" ca="1" si="166"/>
        <v>#NAME?</v>
      </c>
      <c r="BC312" s="39" t="e">
        <f t="shared" ca="1" si="166"/>
        <v>#NAME?</v>
      </c>
      <c r="BD312" s="39" t="e">
        <f t="shared" ca="1" si="166"/>
        <v>#NAME?</v>
      </c>
      <c r="BE312" s="39" t="e">
        <f t="shared" ca="1" si="166"/>
        <v>#NAME?</v>
      </c>
      <c r="BF312" s="39" t="e">
        <f t="shared" ca="1" si="166"/>
        <v>#NAME?</v>
      </c>
      <c r="BG312" s="39" t="e">
        <f t="shared" ca="1" si="166"/>
        <v>#NAME?</v>
      </c>
      <c r="BH312" s="39" t="e">
        <f t="shared" ca="1" si="166"/>
        <v>#NAME?</v>
      </c>
      <c r="BI312" s="39" t="e">
        <f t="shared" ca="1" si="166"/>
        <v>#NAME?</v>
      </c>
      <c r="BJ312" s="39" t="e">
        <f t="shared" ca="1" si="166"/>
        <v>#NAME?</v>
      </c>
      <c r="BK312" s="39" t="e">
        <f t="shared" ca="1" si="166"/>
        <v>#NAME?</v>
      </c>
      <c r="BL312" s="39" t="e">
        <f t="shared" ca="1" si="166"/>
        <v>#NAME?</v>
      </c>
      <c r="BM312" s="39" t="e">
        <f t="shared" ca="1" si="166"/>
        <v>#NAME?</v>
      </c>
      <c r="BN312" s="39" t="e">
        <f t="shared" ca="1" si="166"/>
        <v>#NAME?</v>
      </c>
      <c r="BO312" s="39" t="e">
        <f t="shared" ca="1" si="166"/>
        <v>#NAME?</v>
      </c>
      <c r="BP312" s="39" t="e">
        <f t="shared" ca="1" si="166"/>
        <v>#NAME?</v>
      </c>
      <c r="BQ312" s="39" t="e">
        <f t="shared" ca="1" si="166"/>
        <v>#NAME?</v>
      </c>
      <c r="BR312" s="39" t="e">
        <f t="shared" ca="1" si="166"/>
        <v>#NAME?</v>
      </c>
      <c r="BS312" s="39" t="e">
        <f t="shared" ca="1" si="166"/>
        <v>#NAME?</v>
      </c>
      <c r="BT312" s="39" t="e">
        <f t="shared" ca="1" si="166"/>
        <v>#NAME?</v>
      </c>
      <c r="BU312" s="39" t="e">
        <f t="shared" ca="1" si="166"/>
        <v>#NAME?</v>
      </c>
      <c r="BV312" s="39" t="e">
        <f t="shared" ca="1" si="166"/>
        <v>#NAME?</v>
      </c>
      <c r="BW312" s="39" t="e">
        <f t="shared" ca="1" si="166"/>
        <v>#NAME?</v>
      </c>
      <c r="BX312" s="39" t="e">
        <f t="shared" ca="1" si="166"/>
        <v>#NAME?</v>
      </c>
      <c r="BY312" s="39" t="e">
        <f t="shared" ca="1" si="166"/>
        <v>#NAME?</v>
      </c>
      <c r="BZ312" s="39" t="e">
        <f t="shared" ca="1" si="166"/>
        <v>#NAME?</v>
      </c>
      <c r="CA312" s="39" t="e">
        <f t="shared" ca="1" si="166"/>
        <v>#NAME?</v>
      </c>
      <c r="CB312" s="39" t="e">
        <f t="shared" ca="1" si="166"/>
        <v>#NAME?</v>
      </c>
      <c r="CC312" s="39" t="e">
        <f t="shared" ca="1" si="166"/>
        <v>#NAME?</v>
      </c>
      <c r="CD312" s="39" t="e">
        <f t="shared" ca="1" si="166"/>
        <v>#NAME?</v>
      </c>
      <c r="CE312" s="39" t="e">
        <f t="shared" ca="1" si="166"/>
        <v>#NAME?</v>
      </c>
      <c r="CF312" s="39" t="e">
        <f t="shared" ca="1" si="166"/>
        <v>#NAME?</v>
      </c>
      <c r="CG312" s="39" t="e">
        <f t="shared" ca="1" si="166"/>
        <v>#NAME?</v>
      </c>
      <c r="CH312" s="39" t="e">
        <f t="shared" ca="1" si="166"/>
        <v>#NAME?</v>
      </c>
      <c r="CI312" s="39" t="e">
        <f t="shared" ca="1" si="166"/>
        <v>#NAME?</v>
      </c>
      <c r="CJ312" s="39" t="e">
        <f t="shared" ca="1" si="166"/>
        <v>#NAME?</v>
      </c>
      <c r="CK312" s="39" t="e">
        <f t="shared" ca="1" si="166"/>
        <v>#NAME?</v>
      </c>
      <c r="CL312" s="39" t="e">
        <f t="shared" ca="1" si="166"/>
        <v>#NAME?</v>
      </c>
      <c r="CM312" s="39" t="e">
        <f t="shared" ca="1" si="166"/>
        <v>#NAME?</v>
      </c>
      <c r="CN312" s="39" t="e">
        <f t="shared" ca="1" si="166"/>
        <v>#NAME?</v>
      </c>
      <c r="CO312" s="39" t="e">
        <f t="shared" ca="1" si="166"/>
        <v>#NAME?</v>
      </c>
      <c r="CP312" s="39" t="e">
        <f t="shared" ca="1" si="166"/>
        <v>#NAME?</v>
      </c>
      <c r="CQ312" s="39" t="e">
        <f t="shared" ca="1" si="166"/>
        <v>#NAME?</v>
      </c>
      <c r="CR312" s="39" t="e">
        <f t="shared" ca="1" si="166"/>
        <v>#NAME?</v>
      </c>
      <c r="CS312" s="39" t="e">
        <f t="shared" ca="1" si="166"/>
        <v>#NAME?</v>
      </c>
      <c r="CT312" s="39" t="e">
        <f t="shared" ca="1" si="166"/>
        <v>#NAME?</v>
      </c>
      <c r="CU312" s="39" t="e">
        <f t="shared" ca="1" si="166"/>
        <v>#NAME?</v>
      </c>
      <c r="CV312" s="39" t="e">
        <f t="shared" ca="1" si="166"/>
        <v>#NAME?</v>
      </c>
      <c r="CW312" s="39" t="e">
        <f t="shared" ca="1" si="166"/>
        <v>#NAME?</v>
      </c>
      <c r="CX312" s="39" t="e">
        <f t="shared" ca="1" si="166"/>
        <v>#NAME?</v>
      </c>
      <c r="CY312" s="39" t="e">
        <f t="shared" ca="1" si="166"/>
        <v>#NAME?</v>
      </c>
      <c r="CZ312" s="39" t="e">
        <f t="shared" ca="1" si="166"/>
        <v>#NAME?</v>
      </c>
      <c r="DA312" s="39" t="e">
        <f t="shared" ca="1" si="166"/>
        <v>#NAME?</v>
      </c>
      <c r="DB312" s="39" t="e">
        <f t="shared" ca="1" si="166"/>
        <v>#NAME?</v>
      </c>
      <c r="DC312" s="39" t="e">
        <f t="shared" ca="1" si="166"/>
        <v>#NAME?</v>
      </c>
      <c r="DD312" s="39" t="e">
        <f t="shared" ca="1" si="166"/>
        <v>#NAME?</v>
      </c>
      <c r="DE312" s="39" t="e">
        <f t="shared" ca="1" si="166"/>
        <v>#NAME?</v>
      </c>
      <c r="DF312" s="39" t="e">
        <f t="shared" ca="1" si="166"/>
        <v>#NAME?</v>
      </c>
      <c r="DG312" s="39" t="e">
        <f t="shared" ca="1" si="166"/>
        <v>#NAME?</v>
      </c>
      <c r="DH312" s="39" t="e">
        <f t="shared" ca="1" si="166"/>
        <v>#NAME?</v>
      </c>
      <c r="DI312" s="39" t="e">
        <f t="shared" ca="1" si="166"/>
        <v>#NAME?</v>
      </c>
      <c r="DJ312" s="39" t="e">
        <f t="shared" ca="1" si="166"/>
        <v>#NAME?</v>
      </c>
      <c r="DK312" s="39" t="e">
        <f t="shared" ca="1" si="166"/>
        <v>#NAME?</v>
      </c>
      <c r="DL312" s="39" t="e">
        <f t="shared" ca="1" si="166"/>
        <v>#NAME?</v>
      </c>
      <c r="DM312" s="39" t="e">
        <f t="shared" ca="1" si="166"/>
        <v>#NAME?</v>
      </c>
      <c r="DN312" s="39" t="e">
        <f t="shared" ca="1" si="166"/>
        <v>#NAME?</v>
      </c>
      <c r="DO312" s="39" t="e">
        <f t="shared" ca="1" si="166"/>
        <v>#NAME?</v>
      </c>
      <c r="DP312" s="39" t="e">
        <f t="shared" ca="1" si="166"/>
        <v>#NAME?</v>
      </c>
      <c r="DQ312" s="39" t="e">
        <f t="shared" ca="1" si="166"/>
        <v>#NAME?</v>
      </c>
      <c r="DR312" s="39" t="e">
        <f t="shared" ca="1" si="166"/>
        <v>#NAME?</v>
      </c>
      <c r="DS312" s="39" t="e">
        <f t="shared" ca="1" si="166"/>
        <v>#NAME?</v>
      </c>
      <c r="DT312" s="39" t="e">
        <f t="shared" ca="1" si="166"/>
        <v>#NAME?</v>
      </c>
      <c r="DU312" s="39" t="e">
        <f t="shared" ca="1" si="166"/>
        <v>#NAME?</v>
      </c>
      <c r="DV312" s="39" t="e">
        <f t="shared" ca="1" si="166"/>
        <v>#NAME?</v>
      </c>
      <c r="DW312" s="39" t="e">
        <f t="shared" ca="1" si="166"/>
        <v>#NAME?</v>
      </c>
      <c r="DX312" s="39" t="e">
        <f t="shared" ca="1" si="166"/>
        <v>#NAME?</v>
      </c>
      <c r="DY312" s="39" t="e">
        <f t="shared" ca="1" si="166"/>
        <v>#NAME?</v>
      </c>
      <c r="DZ312" s="39" t="e">
        <f t="shared" ca="1" si="166"/>
        <v>#NAME?</v>
      </c>
      <c r="EA312" s="39" t="e">
        <f t="shared" ca="1" si="166"/>
        <v>#NAME?</v>
      </c>
      <c r="EB312" s="39" t="e">
        <f t="shared" ca="1" si="166"/>
        <v>#NAME?</v>
      </c>
      <c r="EC312" s="39" t="e">
        <f t="shared" ca="1" si="166"/>
        <v>#NAME?</v>
      </c>
      <c r="ED312" s="39" t="e">
        <f t="shared" ca="1" si="166"/>
        <v>#NAME?</v>
      </c>
      <c r="EE312" s="39" t="e">
        <f t="shared" ca="1" si="166"/>
        <v>#NAME?</v>
      </c>
      <c r="EF312" s="39" t="e">
        <f t="shared" ca="1" si="166"/>
        <v>#NAME?</v>
      </c>
      <c r="EG312" s="39" t="e">
        <f t="shared" ca="1" si="166"/>
        <v>#NAME?</v>
      </c>
      <c r="EH312" s="39" t="e">
        <f t="shared" ca="1" si="166"/>
        <v>#NAME?</v>
      </c>
      <c r="EI312" s="39" t="e">
        <f t="shared" ca="1" si="166"/>
        <v>#NAME?</v>
      </c>
      <c r="EJ312" s="39" t="e">
        <f t="shared" ca="1" si="166"/>
        <v>#NAME?</v>
      </c>
      <c r="EK312" s="39" t="e">
        <f t="shared" ca="1" si="166"/>
        <v>#NAME?</v>
      </c>
      <c r="EL312" s="39" t="e">
        <f t="shared" ca="1" si="166"/>
        <v>#NAME?</v>
      </c>
      <c r="EM312" s="39" t="e">
        <f t="shared" ca="1" si="166"/>
        <v>#NAME?</v>
      </c>
      <c r="EN312" s="39" t="e">
        <f t="shared" ca="1" si="166"/>
        <v>#NAME?</v>
      </c>
      <c r="EO312" s="39" t="e">
        <f t="shared" ca="1" si="166"/>
        <v>#NAME?</v>
      </c>
      <c r="EP312" s="39" t="e">
        <f t="shared" ca="1" si="166"/>
        <v>#NAME?</v>
      </c>
      <c r="EQ312" s="39" t="e">
        <f t="shared" ca="1" si="166"/>
        <v>#NAME?</v>
      </c>
      <c r="ER312" s="39" t="e">
        <f t="shared" ca="1" si="166"/>
        <v>#NAME?</v>
      </c>
      <c r="ES312" s="39" t="e">
        <f t="shared" ca="1" si="166"/>
        <v>#NAME?</v>
      </c>
      <c r="ET312" s="39" t="e">
        <f t="shared" ca="1" si="166"/>
        <v>#NAME?</v>
      </c>
      <c r="EU312" s="39" t="e">
        <f t="shared" ca="1" si="166"/>
        <v>#NAME?</v>
      </c>
      <c r="EV312" s="39" t="e">
        <f t="shared" ca="1" si="166"/>
        <v>#NAME?</v>
      </c>
      <c r="EW312" s="39" t="e">
        <f t="shared" ca="1" si="166"/>
        <v>#NAME?</v>
      </c>
      <c r="EX312" s="39" t="e">
        <f t="shared" ca="1" si="166"/>
        <v>#NAME?</v>
      </c>
      <c r="EY312" s="39" t="e">
        <f t="shared" ca="1" si="166"/>
        <v>#NAME?</v>
      </c>
      <c r="EZ312" s="39" t="e">
        <f t="shared" ca="1" si="166"/>
        <v>#NAME?</v>
      </c>
      <c r="FA312" s="39" t="e">
        <f t="shared" ca="1" si="166"/>
        <v>#NAME?</v>
      </c>
      <c r="FB312" s="39" t="e">
        <f t="shared" ca="1" si="166"/>
        <v>#NAME?</v>
      </c>
      <c r="FC312" s="39" t="e">
        <f t="shared" ca="1" si="166"/>
        <v>#NAME?</v>
      </c>
      <c r="FD312" s="39" t="e">
        <f t="shared" ca="1" si="166"/>
        <v>#NAME?</v>
      </c>
      <c r="FE312" s="39" t="e">
        <f t="shared" ca="1" si="166"/>
        <v>#NAME?</v>
      </c>
      <c r="FF312" s="39" t="e">
        <f t="shared" ca="1" si="166"/>
        <v>#NAME?</v>
      </c>
      <c r="FG312" s="39" t="e">
        <f t="shared" ca="1" si="166"/>
        <v>#NAME?</v>
      </c>
      <c r="FH312" s="39" t="e">
        <f t="shared" ca="1" si="166"/>
        <v>#NAME?</v>
      </c>
      <c r="FI312" s="39" t="e">
        <f t="shared" ca="1" si="166"/>
        <v>#NAME?</v>
      </c>
      <c r="FJ312" s="39" t="e">
        <f t="shared" ca="1" si="166"/>
        <v>#NAME?</v>
      </c>
      <c r="FK312" s="39" t="e">
        <f t="shared" ca="1" si="166"/>
        <v>#NAME?</v>
      </c>
      <c r="FL312" s="39" t="e">
        <f t="shared" ca="1" si="166"/>
        <v>#NAME?</v>
      </c>
      <c r="FM312" s="39" t="e">
        <f t="shared" ca="1" si="166"/>
        <v>#NAME?</v>
      </c>
      <c r="FN312" s="39" t="e">
        <f t="shared" ca="1" si="166"/>
        <v>#NAME?</v>
      </c>
      <c r="FO312" s="39" t="e">
        <f t="shared" ca="1" si="166"/>
        <v>#NAME?</v>
      </c>
      <c r="FP312" s="39" t="e">
        <f t="shared" ca="1" si="166"/>
        <v>#NAME?</v>
      </c>
      <c r="FQ312" s="39" t="e">
        <f t="shared" ca="1" si="166"/>
        <v>#NAME?</v>
      </c>
      <c r="FR312" s="39" t="e">
        <f t="shared" ca="1" si="166"/>
        <v>#NAME?</v>
      </c>
      <c r="FS312" s="39" t="e">
        <f t="shared" ca="1" si="166"/>
        <v>#NAME?</v>
      </c>
      <c r="FT312" s="39" t="e">
        <f t="shared" ca="1" si="166"/>
        <v>#NAME?</v>
      </c>
      <c r="FU312" s="39" t="e">
        <f t="shared" ca="1" si="166"/>
        <v>#NAME?</v>
      </c>
      <c r="FV312" s="39" t="e">
        <f t="shared" ca="1" si="166"/>
        <v>#NAME?</v>
      </c>
      <c r="FW312" s="39" t="e">
        <f t="shared" ca="1" si="166"/>
        <v>#NAME?</v>
      </c>
      <c r="FX312" s="39" t="e">
        <f t="shared" ca="1" si="166"/>
        <v>#NAME?</v>
      </c>
      <c r="FY312" s="7"/>
      <c r="FZ312" s="4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</row>
    <row r="313" spans="1:193" ht="15.5" x14ac:dyDescent="0.35">
      <c r="A313" s="12" t="s">
        <v>722</v>
      </c>
      <c r="B313" s="7" t="s">
        <v>1082</v>
      </c>
      <c r="C313" s="39">
        <f t="shared" ref="C313:FX313" si="167">ROUND((C173),2)</f>
        <v>10480</v>
      </c>
      <c r="D313" s="39">
        <f t="shared" si="167"/>
        <v>10480</v>
      </c>
      <c r="E313" s="39">
        <f t="shared" si="167"/>
        <v>10480</v>
      </c>
      <c r="F313" s="39">
        <f t="shared" si="167"/>
        <v>10480</v>
      </c>
      <c r="G313" s="39">
        <f t="shared" si="167"/>
        <v>10480</v>
      </c>
      <c r="H313" s="39">
        <f t="shared" si="167"/>
        <v>10480</v>
      </c>
      <c r="I313" s="39">
        <f t="shared" si="167"/>
        <v>10480</v>
      </c>
      <c r="J313" s="39">
        <f t="shared" si="167"/>
        <v>10480</v>
      </c>
      <c r="K313" s="39">
        <f t="shared" si="167"/>
        <v>10480</v>
      </c>
      <c r="L313" s="39">
        <f t="shared" si="167"/>
        <v>10480</v>
      </c>
      <c r="M313" s="39">
        <f t="shared" si="167"/>
        <v>10480</v>
      </c>
      <c r="N313" s="39">
        <f t="shared" si="167"/>
        <v>10480</v>
      </c>
      <c r="O313" s="39">
        <f t="shared" si="167"/>
        <v>10480</v>
      </c>
      <c r="P313" s="39">
        <f t="shared" si="167"/>
        <v>10480</v>
      </c>
      <c r="Q313" s="39">
        <f t="shared" si="167"/>
        <v>10480</v>
      </c>
      <c r="R313" s="39">
        <f t="shared" si="167"/>
        <v>10480</v>
      </c>
      <c r="S313" s="39">
        <f t="shared" si="167"/>
        <v>10480</v>
      </c>
      <c r="T313" s="39">
        <f t="shared" si="167"/>
        <v>10480</v>
      </c>
      <c r="U313" s="39">
        <f t="shared" si="167"/>
        <v>10480</v>
      </c>
      <c r="V313" s="39">
        <f t="shared" si="167"/>
        <v>10480</v>
      </c>
      <c r="W313" s="39">
        <f t="shared" si="167"/>
        <v>10480</v>
      </c>
      <c r="X313" s="39">
        <f t="shared" si="167"/>
        <v>10480</v>
      </c>
      <c r="Y313" s="39">
        <f t="shared" si="167"/>
        <v>10480</v>
      </c>
      <c r="Z313" s="39">
        <f t="shared" si="167"/>
        <v>10480</v>
      </c>
      <c r="AA313" s="39">
        <f t="shared" si="167"/>
        <v>10480</v>
      </c>
      <c r="AB313" s="39">
        <f t="shared" si="167"/>
        <v>10480</v>
      </c>
      <c r="AC313" s="39">
        <f t="shared" si="167"/>
        <v>10480</v>
      </c>
      <c r="AD313" s="39">
        <f t="shared" si="167"/>
        <v>10480</v>
      </c>
      <c r="AE313" s="39">
        <f t="shared" si="167"/>
        <v>10480</v>
      </c>
      <c r="AF313" s="39">
        <f t="shared" si="167"/>
        <v>10480</v>
      </c>
      <c r="AG313" s="39">
        <f t="shared" si="167"/>
        <v>10480</v>
      </c>
      <c r="AH313" s="39">
        <f t="shared" si="167"/>
        <v>10480</v>
      </c>
      <c r="AI313" s="39">
        <f t="shared" si="167"/>
        <v>10480</v>
      </c>
      <c r="AJ313" s="39">
        <f t="shared" si="167"/>
        <v>10480</v>
      </c>
      <c r="AK313" s="39">
        <f t="shared" si="167"/>
        <v>10480</v>
      </c>
      <c r="AL313" s="39">
        <f t="shared" si="167"/>
        <v>10480</v>
      </c>
      <c r="AM313" s="39">
        <f t="shared" si="167"/>
        <v>10480</v>
      </c>
      <c r="AN313" s="39">
        <f t="shared" si="167"/>
        <v>10480</v>
      </c>
      <c r="AO313" s="39">
        <f t="shared" si="167"/>
        <v>10480</v>
      </c>
      <c r="AP313" s="39">
        <f t="shared" si="167"/>
        <v>10480</v>
      </c>
      <c r="AQ313" s="39">
        <f t="shared" si="167"/>
        <v>10480</v>
      </c>
      <c r="AR313" s="39">
        <f t="shared" si="167"/>
        <v>10480</v>
      </c>
      <c r="AS313" s="39">
        <f t="shared" si="167"/>
        <v>10480</v>
      </c>
      <c r="AT313" s="39">
        <f t="shared" si="167"/>
        <v>10480</v>
      </c>
      <c r="AU313" s="39">
        <f t="shared" si="167"/>
        <v>10480</v>
      </c>
      <c r="AV313" s="39">
        <f t="shared" si="167"/>
        <v>10480</v>
      </c>
      <c r="AW313" s="39">
        <f t="shared" si="167"/>
        <v>10480</v>
      </c>
      <c r="AX313" s="39">
        <f t="shared" si="167"/>
        <v>10480</v>
      </c>
      <c r="AY313" s="39">
        <f t="shared" si="167"/>
        <v>10480</v>
      </c>
      <c r="AZ313" s="39">
        <f t="shared" si="167"/>
        <v>10480</v>
      </c>
      <c r="BA313" s="39">
        <f t="shared" si="167"/>
        <v>10480</v>
      </c>
      <c r="BB313" s="39">
        <f t="shared" si="167"/>
        <v>10480</v>
      </c>
      <c r="BC313" s="39">
        <f t="shared" si="167"/>
        <v>10480</v>
      </c>
      <c r="BD313" s="39">
        <f t="shared" si="167"/>
        <v>10480</v>
      </c>
      <c r="BE313" s="39">
        <f t="shared" si="167"/>
        <v>10480</v>
      </c>
      <c r="BF313" s="39">
        <f t="shared" si="167"/>
        <v>10480</v>
      </c>
      <c r="BG313" s="39">
        <f t="shared" si="167"/>
        <v>10480</v>
      </c>
      <c r="BH313" s="39">
        <f t="shared" si="167"/>
        <v>10480</v>
      </c>
      <c r="BI313" s="39">
        <f t="shared" si="167"/>
        <v>10480</v>
      </c>
      <c r="BJ313" s="39">
        <f t="shared" si="167"/>
        <v>10480</v>
      </c>
      <c r="BK313" s="39">
        <f t="shared" si="167"/>
        <v>10480</v>
      </c>
      <c r="BL313" s="39">
        <f t="shared" si="167"/>
        <v>10480</v>
      </c>
      <c r="BM313" s="39">
        <f t="shared" si="167"/>
        <v>10480</v>
      </c>
      <c r="BN313" s="39">
        <f t="shared" si="167"/>
        <v>10480</v>
      </c>
      <c r="BO313" s="39">
        <f t="shared" si="167"/>
        <v>10480</v>
      </c>
      <c r="BP313" s="39">
        <f t="shared" si="167"/>
        <v>10480</v>
      </c>
      <c r="BQ313" s="39">
        <f t="shared" si="167"/>
        <v>10480</v>
      </c>
      <c r="BR313" s="39">
        <f t="shared" si="167"/>
        <v>10480</v>
      </c>
      <c r="BS313" s="39">
        <f t="shared" si="167"/>
        <v>10480</v>
      </c>
      <c r="BT313" s="39">
        <f t="shared" si="167"/>
        <v>10480</v>
      </c>
      <c r="BU313" s="39">
        <f t="shared" si="167"/>
        <v>10480</v>
      </c>
      <c r="BV313" s="39">
        <f t="shared" si="167"/>
        <v>10480</v>
      </c>
      <c r="BW313" s="39">
        <f t="shared" si="167"/>
        <v>10480</v>
      </c>
      <c r="BX313" s="39">
        <f t="shared" si="167"/>
        <v>10480</v>
      </c>
      <c r="BY313" s="39">
        <f t="shared" si="167"/>
        <v>10480</v>
      </c>
      <c r="BZ313" s="39">
        <f t="shared" si="167"/>
        <v>10480</v>
      </c>
      <c r="CA313" s="39">
        <f t="shared" si="167"/>
        <v>10480</v>
      </c>
      <c r="CB313" s="39">
        <f t="shared" si="167"/>
        <v>10480</v>
      </c>
      <c r="CC313" s="39">
        <f t="shared" si="167"/>
        <v>10480</v>
      </c>
      <c r="CD313" s="39">
        <f t="shared" si="167"/>
        <v>10480</v>
      </c>
      <c r="CE313" s="39">
        <f t="shared" si="167"/>
        <v>10480</v>
      </c>
      <c r="CF313" s="39">
        <f t="shared" si="167"/>
        <v>10480</v>
      </c>
      <c r="CG313" s="39">
        <f t="shared" si="167"/>
        <v>10480</v>
      </c>
      <c r="CH313" s="39">
        <f t="shared" si="167"/>
        <v>10480</v>
      </c>
      <c r="CI313" s="39">
        <f t="shared" si="167"/>
        <v>10480</v>
      </c>
      <c r="CJ313" s="39">
        <f t="shared" si="167"/>
        <v>10480</v>
      </c>
      <c r="CK313" s="39">
        <f t="shared" si="167"/>
        <v>10480</v>
      </c>
      <c r="CL313" s="39">
        <f t="shared" si="167"/>
        <v>10480</v>
      </c>
      <c r="CM313" s="39">
        <f t="shared" si="167"/>
        <v>10480</v>
      </c>
      <c r="CN313" s="39">
        <f t="shared" si="167"/>
        <v>10480</v>
      </c>
      <c r="CO313" s="39">
        <f t="shared" si="167"/>
        <v>10480</v>
      </c>
      <c r="CP313" s="39">
        <f t="shared" si="167"/>
        <v>10480</v>
      </c>
      <c r="CQ313" s="39">
        <f t="shared" si="167"/>
        <v>10480</v>
      </c>
      <c r="CR313" s="39">
        <f t="shared" si="167"/>
        <v>10480</v>
      </c>
      <c r="CS313" s="39">
        <f t="shared" si="167"/>
        <v>10480</v>
      </c>
      <c r="CT313" s="39">
        <f t="shared" si="167"/>
        <v>10480</v>
      </c>
      <c r="CU313" s="39">
        <f t="shared" si="167"/>
        <v>10480</v>
      </c>
      <c r="CV313" s="39">
        <f t="shared" si="167"/>
        <v>10480</v>
      </c>
      <c r="CW313" s="39">
        <f t="shared" si="167"/>
        <v>10480</v>
      </c>
      <c r="CX313" s="39">
        <f t="shared" si="167"/>
        <v>10480</v>
      </c>
      <c r="CY313" s="39">
        <f t="shared" si="167"/>
        <v>10480</v>
      </c>
      <c r="CZ313" s="39">
        <f t="shared" si="167"/>
        <v>10480</v>
      </c>
      <c r="DA313" s="39">
        <f t="shared" si="167"/>
        <v>10480</v>
      </c>
      <c r="DB313" s="39">
        <f t="shared" si="167"/>
        <v>10480</v>
      </c>
      <c r="DC313" s="39">
        <f t="shared" si="167"/>
        <v>10480</v>
      </c>
      <c r="DD313" s="39">
        <f t="shared" si="167"/>
        <v>10480</v>
      </c>
      <c r="DE313" s="39">
        <f t="shared" si="167"/>
        <v>10480</v>
      </c>
      <c r="DF313" s="39">
        <f t="shared" si="167"/>
        <v>10480</v>
      </c>
      <c r="DG313" s="39">
        <f t="shared" si="167"/>
        <v>10480</v>
      </c>
      <c r="DH313" s="39">
        <f t="shared" si="167"/>
        <v>10480</v>
      </c>
      <c r="DI313" s="39">
        <f t="shared" si="167"/>
        <v>10480</v>
      </c>
      <c r="DJ313" s="39">
        <f t="shared" si="167"/>
        <v>10480</v>
      </c>
      <c r="DK313" s="39">
        <f t="shared" si="167"/>
        <v>10480</v>
      </c>
      <c r="DL313" s="39">
        <f t="shared" si="167"/>
        <v>10480</v>
      </c>
      <c r="DM313" s="39">
        <f t="shared" si="167"/>
        <v>10480</v>
      </c>
      <c r="DN313" s="39">
        <f t="shared" si="167"/>
        <v>10480</v>
      </c>
      <c r="DO313" s="39">
        <f t="shared" si="167"/>
        <v>10480</v>
      </c>
      <c r="DP313" s="39">
        <f t="shared" si="167"/>
        <v>10480</v>
      </c>
      <c r="DQ313" s="39">
        <f t="shared" si="167"/>
        <v>10480</v>
      </c>
      <c r="DR313" s="39">
        <f t="shared" si="167"/>
        <v>10480</v>
      </c>
      <c r="DS313" s="39">
        <f t="shared" si="167"/>
        <v>10480</v>
      </c>
      <c r="DT313" s="39">
        <f t="shared" si="167"/>
        <v>10480</v>
      </c>
      <c r="DU313" s="39">
        <f t="shared" si="167"/>
        <v>10480</v>
      </c>
      <c r="DV313" s="39">
        <f t="shared" si="167"/>
        <v>10480</v>
      </c>
      <c r="DW313" s="39">
        <f t="shared" si="167"/>
        <v>10480</v>
      </c>
      <c r="DX313" s="39">
        <f t="shared" si="167"/>
        <v>10480</v>
      </c>
      <c r="DY313" s="39">
        <f t="shared" si="167"/>
        <v>10480</v>
      </c>
      <c r="DZ313" s="39">
        <f t="shared" si="167"/>
        <v>10480</v>
      </c>
      <c r="EA313" s="39">
        <f t="shared" si="167"/>
        <v>10480</v>
      </c>
      <c r="EB313" s="39">
        <f t="shared" si="167"/>
        <v>10480</v>
      </c>
      <c r="EC313" s="39">
        <f t="shared" si="167"/>
        <v>10480</v>
      </c>
      <c r="ED313" s="39">
        <f t="shared" si="167"/>
        <v>10480</v>
      </c>
      <c r="EE313" s="39">
        <f t="shared" si="167"/>
        <v>10480</v>
      </c>
      <c r="EF313" s="39">
        <f t="shared" si="167"/>
        <v>10480</v>
      </c>
      <c r="EG313" s="39">
        <f t="shared" si="167"/>
        <v>10480</v>
      </c>
      <c r="EH313" s="39">
        <f t="shared" si="167"/>
        <v>10480</v>
      </c>
      <c r="EI313" s="39">
        <f t="shared" si="167"/>
        <v>10480</v>
      </c>
      <c r="EJ313" s="39">
        <f t="shared" si="167"/>
        <v>10480</v>
      </c>
      <c r="EK313" s="39">
        <f t="shared" si="167"/>
        <v>10480</v>
      </c>
      <c r="EL313" s="39">
        <f t="shared" si="167"/>
        <v>10480</v>
      </c>
      <c r="EM313" s="39">
        <f t="shared" si="167"/>
        <v>10480</v>
      </c>
      <c r="EN313" s="39">
        <f t="shared" si="167"/>
        <v>10480</v>
      </c>
      <c r="EO313" s="39">
        <f t="shared" si="167"/>
        <v>10480</v>
      </c>
      <c r="EP313" s="39">
        <f t="shared" si="167"/>
        <v>10480</v>
      </c>
      <c r="EQ313" s="39">
        <f t="shared" si="167"/>
        <v>10480</v>
      </c>
      <c r="ER313" s="39">
        <f t="shared" si="167"/>
        <v>10480</v>
      </c>
      <c r="ES313" s="39">
        <f t="shared" si="167"/>
        <v>10480</v>
      </c>
      <c r="ET313" s="39">
        <f t="shared" si="167"/>
        <v>10480</v>
      </c>
      <c r="EU313" s="39">
        <f t="shared" si="167"/>
        <v>10480</v>
      </c>
      <c r="EV313" s="39">
        <f t="shared" si="167"/>
        <v>10480</v>
      </c>
      <c r="EW313" s="39">
        <f t="shared" si="167"/>
        <v>10480</v>
      </c>
      <c r="EX313" s="39">
        <f t="shared" si="167"/>
        <v>10480</v>
      </c>
      <c r="EY313" s="39">
        <f t="shared" si="167"/>
        <v>10480</v>
      </c>
      <c r="EZ313" s="39">
        <f t="shared" si="167"/>
        <v>10480</v>
      </c>
      <c r="FA313" s="39">
        <f t="shared" si="167"/>
        <v>10480</v>
      </c>
      <c r="FB313" s="39">
        <f t="shared" si="167"/>
        <v>10480</v>
      </c>
      <c r="FC313" s="39">
        <f t="shared" si="167"/>
        <v>10480</v>
      </c>
      <c r="FD313" s="39">
        <f t="shared" si="167"/>
        <v>10480</v>
      </c>
      <c r="FE313" s="39">
        <f t="shared" si="167"/>
        <v>10480</v>
      </c>
      <c r="FF313" s="39">
        <f t="shared" si="167"/>
        <v>10480</v>
      </c>
      <c r="FG313" s="39">
        <f t="shared" si="167"/>
        <v>10480</v>
      </c>
      <c r="FH313" s="39">
        <f t="shared" si="167"/>
        <v>10480</v>
      </c>
      <c r="FI313" s="39">
        <f t="shared" si="167"/>
        <v>10480</v>
      </c>
      <c r="FJ313" s="39">
        <f t="shared" si="167"/>
        <v>10480</v>
      </c>
      <c r="FK313" s="39">
        <f t="shared" si="167"/>
        <v>10480</v>
      </c>
      <c r="FL313" s="39">
        <f t="shared" si="167"/>
        <v>10480</v>
      </c>
      <c r="FM313" s="39">
        <f t="shared" si="167"/>
        <v>10480</v>
      </c>
      <c r="FN313" s="39">
        <f t="shared" si="167"/>
        <v>10480</v>
      </c>
      <c r="FO313" s="39">
        <f t="shared" si="167"/>
        <v>10480</v>
      </c>
      <c r="FP313" s="39">
        <f t="shared" si="167"/>
        <v>10480</v>
      </c>
      <c r="FQ313" s="39">
        <f t="shared" si="167"/>
        <v>10480</v>
      </c>
      <c r="FR313" s="39">
        <f t="shared" si="167"/>
        <v>10480</v>
      </c>
      <c r="FS313" s="39">
        <f t="shared" si="167"/>
        <v>10480</v>
      </c>
      <c r="FT313" s="39">
        <f t="shared" si="167"/>
        <v>10480</v>
      </c>
      <c r="FU313" s="39">
        <f t="shared" si="167"/>
        <v>10480</v>
      </c>
      <c r="FV313" s="39">
        <f t="shared" si="167"/>
        <v>10480</v>
      </c>
      <c r="FW313" s="39">
        <f t="shared" si="167"/>
        <v>10480</v>
      </c>
      <c r="FX313" s="39">
        <f t="shared" si="167"/>
        <v>10480</v>
      </c>
      <c r="FY313" s="7"/>
      <c r="FZ313" s="4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</row>
    <row r="314" spans="1:193" ht="15.5" x14ac:dyDescent="0.35">
      <c r="A314" s="12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4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</row>
    <row r="315" spans="1:193" ht="15.5" x14ac:dyDescent="0.35">
      <c r="A315" s="12" t="s">
        <v>724</v>
      </c>
      <c r="B315" s="7" t="s">
        <v>725</v>
      </c>
      <c r="C315" s="7">
        <f ca="1">IFERROR(__xludf.DUMMYFUNCTION("((C312*(C94+C95)+(C313*(C102+C100)))*-1)"),0)</f>
        <v>0</v>
      </c>
      <c r="D315" s="7">
        <f ca="1">IFERROR(__xludf.DUMMYFUNCTION("((D312*(D94+D95)+(D313*(D102+D100)))*-1)"),-54268969.6129999)</f>
        <v>-54268969.612999901</v>
      </c>
      <c r="E315" s="7">
        <f ca="1">IFERROR(__xludf.DUMMYFUNCTION("((E312*(E94+E95)+(E313*(E102+E100)))*-1)"),-8255326.797)</f>
        <v>-8255326.7970000003</v>
      </c>
      <c r="F315" s="7">
        <f ca="1">IFERROR(__xludf.DUMMYFUNCTION("((F312*(F94+F95)+(F313*(F102+F100)))*-1)"),-10749077.424)</f>
        <v>-10749077.424000001</v>
      </c>
      <c r="G315" s="7">
        <f ca="1">IFERROR(__xludf.DUMMYFUNCTION("((G312*(G94+G95)+(G313*(G102+G100)))*-1)"),0)</f>
        <v>0</v>
      </c>
      <c r="H315" s="7">
        <f ca="1">IFERROR(__xludf.DUMMYFUNCTION("((H312*(H94+H95)+(H313*(H102+H100)))*-1)"),0)</f>
        <v>0</v>
      </c>
      <c r="I315" s="7">
        <f ca="1">IFERROR(__xludf.DUMMYFUNCTION("((I312*(I94+I95)+(I313*(I102+I100)))*-1)"),-9204458.868)</f>
        <v>-9204458.8680000007</v>
      </c>
      <c r="J315" s="7">
        <f ca="1">IFERROR(__xludf.DUMMYFUNCTION("((J312*(J94+J95)+(J313*(J102+J100)))*-1)"),0)</f>
        <v>0</v>
      </c>
      <c r="K315" s="7">
        <f ca="1">IFERROR(__xludf.DUMMYFUNCTION("((K312*(K94+K95)+(K313*(K102+K100)))*-1)"),0)</f>
        <v>0</v>
      </c>
      <c r="L315" s="7">
        <f ca="1">IFERROR(__xludf.DUMMYFUNCTION("((L312*(L94+L95)+(L313*(L102+L100)))*-1)"),0)</f>
        <v>0</v>
      </c>
      <c r="M315" s="7">
        <f ca="1">IFERROR(__xludf.DUMMYFUNCTION("((M312*(M94+M95)+(M313*(M102+M100)))*-1)"),0)</f>
        <v>0</v>
      </c>
      <c r="N315" s="7">
        <f ca="1">IFERROR(__xludf.DUMMYFUNCTION("((N312*(N94+N95)+(N313*(N102+N100)))*-1)"),-1055619.9)</f>
        <v>-1055619.8999999999</v>
      </c>
      <c r="O315" s="7">
        <f ca="1">IFERROR(__xludf.DUMMYFUNCTION("((O312*(O94+O95)+(O313*(O102+O100)))*-1)"),0)</f>
        <v>0</v>
      </c>
      <c r="P315" s="7">
        <f ca="1">IFERROR(__xludf.DUMMYFUNCTION("((P312*(P94+P95)+(P313*(P102+P100)))*-1)"),0)</f>
        <v>0</v>
      </c>
      <c r="Q315" s="7">
        <f ca="1">IFERROR(__xludf.DUMMYFUNCTION("((Q312*(Q94+Q95)+(Q313*(Q102+Q100)))*-1)"),-24812053.266)</f>
        <v>-24812053.265999999</v>
      </c>
      <c r="R315" s="7">
        <f ca="1">IFERROR(__xludf.DUMMYFUNCTION("((R312*(R94+R95)+(R313*(R102+R100)))*-1)"),0)</f>
        <v>0</v>
      </c>
      <c r="S315" s="7">
        <f ca="1">IFERROR(__xludf.DUMMYFUNCTION("((S312*(S94+S95)+(S313*(S102+S100)))*-1)"),0)</f>
        <v>0</v>
      </c>
      <c r="T315" s="7">
        <f ca="1">IFERROR(__xludf.DUMMYFUNCTION("((T312*(T94+T95)+(T313*(T102+T100)))*-1)"),0)</f>
        <v>0</v>
      </c>
      <c r="U315" s="7">
        <f ca="1">IFERROR(__xludf.DUMMYFUNCTION("((U312*(U94+U95)+(U313*(U102+U100)))*-1)"),0)</f>
        <v>0</v>
      </c>
      <c r="V315" s="7">
        <f ca="1">IFERROR(__xludf.DUMMYFUNCTION("((V312*(V94+V95)+(V313*(V102+V100)))*-1)"),0)</f>
        <v>0</v>
      </c>
      <c r="W315" s="7">
        <f ca="1">IFERROR(__xludf.DUMMYFUNCTION("((W312*(W94+W95)+(W313*(W102+W100)))*-1)"),0)</f>
        <v>0</v>
      </c>
      <c r="X315" s="7">
        <f ca="1">IFERROR(__xludf.DUMMYFUNCTION("((X312*(X94+X95)+(X313*(X102+X100)))*-1)"),0)</f>
        <v>0</v>
      </c>
      <c r="Y315" s="7">
        <f ca="1">IFERROR(__xludf.DUMMYFUNCTION("((Y312*(Y94+Y95)+(Y313*(Y102+Y100)))*-1)"),0)</f>
        <v>0</v>
      </c>
      <c r="Z315" s="7">
        <f ca="1">IFERROR(__xludf.DUMMYFUNCTION("((Z312*(Z94+Z95)+(Z313*(Z102+Z100)))*-1)"),0)</f>
        <v>0</v>
      </c>
      <c r="AA315" s="7">
        <f ca="1">IFERROR(__xludf.DUMMYFUNCTION("((AA312*(AA94+AA95)+(AA313*(AA102+AA100)))*-1)"),0)</f>
        <v>0</v>
      </c>
      <c r="AB315" s="7">
        <f ca="1">IFERROR(__xludf.DUMMYFUNCTION("((AB312*(AB94+AB95)+(AB313*(AB102+AB100)))*-1)"),0)</f>
        <v>0</v>
      </c>
      <c r="AC315" s="7">
        <f ca="1">IFERROR(__xludf.DUMMYFUNCTION("((AC312*(AC94+AC95)+(AC313*(AC102+AC100)))*-1)"),0)</f>
        <v>0</v>
      </c>
      <c r="AD315" s="7">
        <f ca="1">IFERROR(__xludf.DUMMYFUNCTION("((AD312*(AD94+AD95)+(AD313*(AD102+AD100)))*-1)"),-1785097.16)</f>
        <v>-1785097.16</v>
      </c>
      <c r="AE315" s="7">
        <f ca="1">IFERROR(__xludf.DUMMYFUNCTION("((AE312*(AE94+AE95)+(AE313*(AE102+AE100)))*-1)"),0)</f>
        <v>0</v>
      </c>
      <c r="AF315" s="7">
        <f ca="1">IFERROR(__xludf.DUMMYFUNCTION("((AF312*(AF94+AF95)+(AF313*(AF102+AF100)))*-1)"),0)</f>
        <v>0</v>
      </c>
      <c r="AG315" s="7">
        <f ca="1">IFERROR(__xludf.DUMMYFUNCTION("((AG312*(AG94+AG95)+(AG313*(AG102+AG100)))*-1)"),0)</f>
        <v>0</v>
      </c>
      <c r="AH315" s="7">
        <f ca="1">IFERROR(__xludf.DUMMYFUNCTION("((AH312*(AH94+AH95)+(AH313*(AH102+AH100)))*-1)"),0)</f>
        <v>0</v>
      </c>
      <c r="AI315" s="7">
        <f ca="1">IFERROR(__xludf.DUMMYFUNCTION("((AI312*(AI94+AI95)+(AI313*(AI102+AI100)))*-1)"),0)</f>
        <v>0</v>
      </c>
      <c r="AJ315" s="7">
        <f ca="1">IFERROR(__xludf.DUMMYFUNCTION("((AJ312*(AJ94+AJ95)+(AJ313*(AJ102+AJ100)))*-1)"),0)</f>
        <v>0</v>
      </c>
      <c r="AK315" s="7">
        <f ca="1">IFERROR(__xludf.DUMMYFUNCTION("((AK312*(AK94+AK95)+(AK313*(AK102+AK100)))*-1)"),0)</f>
        <v>0</v>
      </c>
      <c r="AL315" s="7">
        <f ca="1">IFERROR(__xludf.DUMMYFUNCTION("((AL312*(AL94+AL95)+(AL313*(AL102+AL100)))*-1)"),0)</f>
        <v>0</v>
      </c>
      <c r="AM315" s="7">
        <f ca="1">IFERROR(__xludf.DUMMYFUNCTION("((AM312*(AM94+AM95)+(AM313*(AM102+AM100)))*-1)"),0)</f>
        <v>0</v>
      </c>
      <c r="AN315" s="7">
        <f ca="1">IFERROR(__xludf.DUMMYFUNCTION("((AN312*(AN94+AN95)+(AN313*(AN102+AN100)))*-1)"),0)</f>
        <v>0</v>
      </c>
      <c r="AO315" s="7">
        <f ca="1">IFERROR(__xludf.DUMMYFUNCTION("((AO312*(AO94+AO95)+(AO313*(AO102+AO100)))*-1)"),0)</f>
        <v>0</v>
      </c>
      <c r="AP315" s="7">
        <f ca="1">IFERROR(__xludf.DUMMYFUNCTION("((AP312*(AP94+AP95)+(AP313*(AP102+AP100)))*-1)"),0)</f>
        <v>0</v>
      </c>
      <c r="AQ315" s="7">
        <f ca="1">IFERROR(__xludf.DUMMYFUNCTION("((AQ312*(AQ94+AQ95)+(AQ313*(AQ102+AQ100)))*-1)"),0)</f>
        <v>0</v>
      </c>
      <c r="AR315" s="7">
        <f ca="1">IFERROR(__xludf.DUMMYFUNCTION("((AR312*(AR94+AR95)+(AR313*(AR102+AR100)))*-1)"),-22529995.419)</f>
        <v>-22529995.419</v>
      </c>
      <c r="AS315" s="7">
        <f ca="1">IFERROR(__xludf.DUMMYFUNCTION("((AS312*(AS94+AS95)+(AS313*(AS102+AS100)))*-1)"),-3674614.944)</f>
        <v>-3674614.9440000001</v>
      </c>
      <c r="AT315" s="7">
        <f ca="1">IFERROR(__xludf.DUMMYFUNCTION("((AT312*(AT94+AT95)+(AT313*(AT102+AT100)))*-1)"),0)</f>
        <v>0</v>
      </c>
      <c r="AU315" s="7">
        <f ca="1">IFERROR(__xludf.DUMMYFUNCTION("((AU312*(AU94+AU95)+(AU313*(AU102+AU100)))*-1)"),0)</f>
        <v>0</v>
      </c>
      <c r="AV315" s="7">
        <f ca="1">IFERROR(__xludf.DUMMYFUNCTION("((AV312*(AV94+AV95)+(AV313*(AV102+AV100)))*-1)"),0)</f>
        <v>0</v>
      </c>
      <c r="AW315" s="7">
        <f ca="1">IFERROR(__xludf.DUMMYFUNCTION("((AW312*(AW94+AW95)+(AW313*(AW102+AW100)))*-1)"),0)</f>
        <v>0</v>
      </c>
      <c r="AX315" s="7">
        <f ca="1">IFERROR(__xludf.DUMMYFUNCTION("((AX312*(AX94+AX95)+(AX313*(AX102+AX100)))*-1)"),0)</f>
        <v>0</v>
      </c>
      <c r="AY315" s="7">
        <f ca="1">IFERROR(__xludf.DUMMYFUNCTION("((AY312*(AY94+AY95)+(AY313*(AY102+AY100)))*-1)"),0)</f>
        <v>0</v>
      </c>
      <c r="AZ315" s="7">
        <f ca="1">IFERROR(__xludf.DUMMYFUNCTION("((AZ312*(AZ94+AZ95)+(AZ313*(AZ102+AZ100)))*-1)"),0)</f>
        <v>0</v>
      </c>
      <c r="BA315" s="7">
        <f ca="1">IFERROR(__xludf.DUMMYFUNCTION("((BA312*(BA94+BA95)+(BA313*(BA102+BA100)))*-1)"),0)</f>
        <v>0</v>
      </c>
      <c r="BB315" s="7">
        <f ca="1">IFERROR(__xludf.DUMMYFUNCTION("((BB312*(BB94+BB95)+(BB313*(BB102+BB100)))*-1)"),0)</f>
        <v>0</v>
      </c>
      <c r="BC315" s="7">
        <f ca="1">IFERROR(__xludf.DUMMYFUNCTION("((BC312*(BC94+BC95)+(BC313*(BC102+BC100)))*-1)"),-34056219.419)</f>
        <v>-34056219.419</v>
      </c>
      <c r="BD315" s="7">
        <f ca="1">IFERROR(__xludf.DUMMYFUNCTION("((BD312*(BD94+BD95)+(BD313*(BD102+BD100)))*-1)"),0)</f>
        <v>0</v>
      </c>
      <c r="BE315" s="7">
        <f ca="1">IFERROR(__xludf.DUMMYFUNCTION("((BE312*(BE94+BE95)+(BE313*(BE102+BE100)))*-1)"),0)</f>
        <v>0</v>
      </c>
      <c r="BF315" s="7">
        <f ca="1">IFERROR(__xludf.DUMMYFUNCTION("((BF312*(BF94+BF95)+(BF313*(BF102+BF100)))*-1)"),0)</f>
        <v>0</v>
      </c>
      <c r="BG315" s="7">
        <f ca="1">IFERROR(__xludf.DUMMYFUNCTION("((BG312*(BG94+BG95)+(BG313*(BG102+BG100)))*-1)"),0)</f>
        <v>0</v>
      </c>
      <c r="BH315" s="7">
        <f ca="1">IFERROR(__xludf.DUMMYFUNCTION("((BH312*(BH94+BH95)+(BH313*(BH102+BH100)))*-1)"),0)</f>
        <v>0</v>
      </c>
      <c r="BI315" s="7">
        <f ca="1">IFERROR(__xludf.DUMMYFUNCTION("((BI312*(BI94+BI95)+(BI313*(BI102+BI100)))*-1)"),0)</f>
        <v>0</v>
      </c>
      <c r="BJ315" s="7">
        <f ca="1">IFERROR(__xludf.DUMMYFUNCTION("((BJ312*(BJ94+BJ95)+(BJ313*(BJ102+BJ100)))*-1)"),0)</f>
        <v>0</v>
      </c>
      <c r="BK315" s="7">
        <f ca="1">IFERROR(__xludf.DUMMYFUNCTION("((BK312*(BK94+BK95)+(BK313*(BK102+BK100)))*-1)"),0)</f>
        <v>0</v>
      </c>
      <c r="BL315" s="7">
        <f ca="1">IFERROR(__xludf.DUMMYFUNCTION("((BL312*(BL94+BL95)+(BL313*(BL102+BL100)))*-1)"),0)</f>
        <v>0</v>
      </c>
      <c r="BM315" s="7">
        <f ca="1">IFERROR(__xludf.DUMMYFUNCTION("((BM312*(BM94+BM95)+(BM313*(BM102+BM100)))*-1)"),0)</f>
        <v>0</v>
      </c>
      <c r="BN315" s="7">
        <f ca="1">IFERROR(__xludf.DUMMYFUNCTION("((BN312*(BN94+BN95)+(BN313*(BN102+BN100)))*-1)"),0)</f>
        <v>0</v>
      </c>
      <c r="BO315" s="7">
        <f ca="1">IFERROR(__xludf.DUMMYFUNCTION("((BO312*(BO94+BO95)+(BO313*(BO102+BO100)))*-1)"),0)</f>
        <v>0</v>
      </c>
      <c r="BP315" s="7">
        <f ca="1">IFERROR(__xludf.DUMMYFUNCTION("((BP312*(BP94+BP95)+(BP313*(BP102+BP100)))*-1)"),0)</f>
        <v>0</v>
      </c>
      <c r="BQ315" s="7">
        <f ca="1">IFERROR(__xludf.DUMMYFUNCTION("((BQ312*(BQ94+BQ95)+(BQ313*(BQ102+BQ100)))*-1)"),-3141007.746)</f>
        <v>-3141007.7459999998</v>
      </c>
      <c r="BR315" s="7">
        <f ca="1">IFERROR(__xludf.DUMMYFUNCTION("((BR312*(BR94+BR95)+(BR313*(BR102+BR100)))*-1)"),0)</f>
        <v>0</v>
      </c>
      <c r="BS315" s="7">
        <f ca="1">IFERROR(__xludf.DUMMYFUNCTION("((BS312*(BS94+BS95)+(BS313*(BS102+BS100)))*-1)"),0)</f>
        <v>0</v>
      </c>
      <c r="BT315" s="7">
        <f ca="1">IFERROR(__xludf.DUMMYFUNCTION("((BT312*(BT94+BT95)+(BT313*(BT102+BT100)))*-1)"),0)</f>
        <v>0</v>
      </c>
      <c r="BU315" s="7">
        <f ca="1">IFERROR(__xludf.DUMMYFUNCTION("((BU312*(BU94+BU95)+(BU313*(BU102+BU100)))*-1)"),0)</f>
        <v>0</v>
      </c>
      <c r="BV315" s="7">
        <f ca="1">IFERROR(__xludf.DUMMYFUNCTION("((BV312*(BV94+BV95)+(BV313*(BV102+BV100)))*-1)"),0)</f>
        <v>0</v>
      </c>
      <c r="BW315" s="7">
        <f ca="1">IFERROR(__xludf.DUMMYFUNCTION("((BW312*(BW94+BW95)+(BW313*(BW102+BW100)))*-1)"),0)</f>
        <v>0</v>
      </c>
      <c r="BX315" s="7">
        <f ca="1">IFERROR(__xludf.DUMMYFUNCTION("((BX312*(BX94+BX95)+(BX313*(BX102+BX100)))*-1)"),0)</f>
        <v>0</v>
      </c>
      <c r="BY315" s="7">
        <f ca="1">IFERROR(__xludf.DUMMYFUNCTION("((BY312*(BY94+BY95)+(BY313*(BY102+BY100)))*-1)"),0)</f>
        <v>0</v>
      </c>
      <c r="BZ315" s="7">
        <f ca="1">IFERROR(__xludf.DUMMYFUNCTION("((BZ312*(BZ94+BZ95)+(BZ313*(BZ102+BZ100)))*-1)"),0)</f>
        <v>0</v>
      </c>
      <c r="CA315" s="7">
        <f ca="1">IFERROR(__xludf.DUMMYFUNCTION("((CA312*(CA94+CA95)+(CA313*(CA102+CA100)))*-1)"),0)</f>
        <v>0</v>
      </c>
      <c r="CB315" s="7">
        <f ca="1">IFERROR(__xludf.DUMMYFUNCTION("((CB312*(CB94+CB95)+(CB313*(CB102+CB100)))*-1)"),-9445511.56)</f>
        <v>-9445511.5600000005</v>
      </c>
      <c r="CC315" s="7">
        <f ca="1">IFERROR(__xludf.DUMMYFUNCTION("((CC312*(CC94+CC95)+(CC313*(CC102+CC100)))*-1)"),0)</f>
        <v>0</v>
      </c>
      <c r="CD315" s="7">
        <f ca="1">IFERROR(__xludf.DUMMYFUNCTION("((CD312*(CD94+CD95)+(CD313*(CD102+CD100)))*-1)"),0)</f>
        <v>0</v>
      </c>
      <c r="CE315" s="7">
        <f ca="1">IFERROR(__xludf.DUMMYFUNCTION("((CE312*(CE94+CE95)+(CE313*(CE102+CE100)))*-1)"),0)</f>
        <v>0</v>
      </c>
      <c r="CF315" s="7">
        <f ca="1">IFERROR(__xludf.DUMMYFUNCTION("((CF312*(CF94+CF95)+(CF313*(CF102+CF100)))*-1)"),0)</f>
        <v>0</v>
      </c>
      <c r="CG315" s="7">
        <f ca="1">IFERROR(__xludf.DUMMYFUNCTION("((CG312*(CG94+CG95)+(CG313*(CG102+CG100)))*-1)"),0)</f>
        <v>0</v>
      </c>
      <c r="CH315" s="7">
        <f ca="1">IFERROR(__xludf.DUMMYFUNCTION("((CH312*(CH94+CH95)+(CH313*(CH102+CH100)))*-1)"),0)</f>
        <v>0</v>
      </c>
      <c r="CI315" s="7">
        <f ca="1">IFERROR(__xludf.DUMMYFUNCTION("((CI312*(CI94+CI95)+(CI313*(CI102+CI100)))*-1)"),0)</f>
        <v>0</v>
      </c>
      <c r="CJ315" s="7">
        <f ca="1">IFERROR(__xludf.DUMMYFUNCTION("((CJ312*(CJ94+CJ95)+(CJ313*(CJ102+CJ100)))*-1)"),0)</f>
        <v>0</v>
      </c>
      <c r="CK315" s="7">
        <f ca="1">IFERROR(__xludf.DUMMYFUNCTION("((CK312*(CK94+CK95)+(CK313*(CK102+CK100)))*-1)"),-6787252.668)</f>
        <v>-6787252.6679999996</v>
      </c>
      <c r="CL315" s="7">
        <f ca="1">IFERROR(__xludf.DUMMYFUNCTION("((CL312*(CL94+CL95)+(CL313*(CL102+CL100)))*-1)"),0)</f>
        <v>0</v>
      </c>
      <c r="CM315" s="7">
        <f ca="1">IFERROR(__xludf.DUMMYFUNCTION("((CM312*(CM94+CM95)+(CM313*(CM102+CM100)))*-1)"),0)</f>
        <v>0</v>
      </c>
      <c r="CN315" s="7">
        <f ca="1">IFERROR(__xludf.DUMMYFUNCTION("((CN312*(CN94+CN95)+(CN313*(CN102+CN100)))*-1)"),-26143561.5)</f>
        <v>-26143561.5</v>
      </c>
      <c r="CO315" s="7">
        <f ca="1">IFERROR(__xludf.DUMMYFUNCTION("((CO312*(CO94+CO95)+(CO313*(CO102+CO100)))*-1)"),0)</f>
        <v>0</v>
      </c>
      <c r="CP315" s="7">
        <f ca="1">IFERROR(__xludf.DUMMYFUNCTION("((CP312*(CP94+CP95)+(CP313*(CP102+CP100)))*-1)"),0)</f>
        <v>0</v>
      </c>
      <c r="CQ315" s="7">
        <f ca="1">IFERROR(__xludf.DUMMYFUNCTION("((CQ312*(CQ94+CQ95)+(CQ313*(CQ102+CQ100)))*-1)"),0)</f>
        <v>0</v>
      </c>
      <c r="CR315" s="7">
        <f ca="1">IFERROR(__xludf.DUMMYFUNCTION("((CR312*(CR94+CR95)+(CR313*(CR102+CR100)))*-1)"),0)</f>
        <v>0</v>
      </c>
      <c r="CS315" s="7">
        <f ca="1">IFERROR(__xludf.DUMMYFUNCTION("((CS312*(CS94+CS95)+(CS313*(CS102+CS100)))*-1)"),0)</f>
        <v>0</v>
      </c>
      <c r="CT315" s="7">
        <f ca="1">IFERROR(__xludf.DUMMYFUNCTION("((CT312*(CT94+CT95)+(CT313*(CT102+CT100)))*-1)"),0)</f>
        <v>0</v>
      </c>
      <c r="CU315" s="7">
        <f ca="1">IFERROR(__xludf.DUMMYFUNCTION("((CU312*(CU94+CU95)+(CU313*(CU102+CU100)))*-1)"),0)</f>
        <v>0</v>
      </c>
      <c r="CV315" s="7">
        <f ca="1">IFERROR(__xludf.DUMMYFUNCTION("((CV312*(CV94+CV95)+(CV313*(CV102+CV100)))*-1)"),0)</f>
        <v>0</v>
      </c>
      <c r="CW315" s="7">
        <f ca="1">IFERROR(__xludf.DUMMYFUNCTION("((CW312*(CW94+CW95)+(CW313*(CW102+CW100)))*-1)"),0)</f>
        <v>0</v>
      </c>
      <c r="CX315" s="7">
        <f ca="1">IFERROR(__xludf.DUMMYFUNCTION("((CX312*(CX94+CX95)+(CX313*(CX102+CX100)))*-1)"),0)</f>
        <v>0</v>
      </c>
      <c r="CY315" s="7">
        <f ca="1">IFERROR(__xludf.DUMMYFUNCTION("((CY312*(CY94+CY95)+(CY313*(CY102+CY100)))*-1)"),0)</f>
        <v>0</v>
      </c>
      <c r="CZ315" s="7">
        <f ca="1">IFERROR(__xludf.DUMMYFUNCTION("((CZ312*(CZ94+CZ95)+(CZ313*(CZ102+CZ100)))*-1)"),0)</f>
        <v>0</v>
      </c>
      <c r="DA315" s="7">
        <f ca="1">IFERROR(__xludf.DUMMYFUNCTION("((DA312*(DA94+DA95)+(DA313*(DA102+DA100)))*-1)"),0)</f>
        <v>0</v>
      </c>
      <c r="DB315" s="7">
        <f ca="1">IFERROR(__xludf.DUMMYFUNCTION("((DB312*(DB94+DB95)+(DB313*(DB102+DB100)))*-1)"),0)</f>
        <v>0</v>
      </c>
      <c r="DC315" s="7">
        <f ca="1">IFERROR(__xludf.DUMMYFUNCTION("((DC312*(DC94+DC95)+(DC313*(DC102+DC100)))*-1)"),0)</f>
        <v>0</v>
      </c>
      <c r="DD315" s="7">
        <f ca="1">IFERROR(__xludf.DUMMYFUNCTION("((DD312*(DD94+DD95)+(DD313*(DD102+DD100)))*-1)"),0)</f>
        <v>0</v>
      </c>
      <c r="DE315" s="7">
        <f ca="1">IFERROR(__xludf.DUMMYFUNCTION("((DE312*(DE94+DE95)+(DE313*(DE102+DE100)))*-1)"),0)</f>
        <v>0</v>
      </c>
      <c r="DF315" s="7">
        <f ca="1">IFERROR(__xludf.DUMMYFUNCTION("((DF312*(DF94+DF95)+(DF313*(DF102+DF100)))*-1)"),-15264419.94)</f>
        <v>-15264419.939999999</v>
      </c>
      <c r="DG315" s="7">
        <f ca="1">IFERROR(__xludf.DUMMYFUNCTION("((DG312*(DG94+DG95)+(DG313*(DG102+DG100)))*-1)"),0)</f>
        <v>0</v>
      </c>
      <c r="DH315" s="7">
        <f ca="1">IFERROR(__xludf.DUMMYFUNCTION("((DH312*(DH94+DH95)+(DH313*(DH102+DH100)))*-1)"),0)</f>
        <v>0</v>
      </c>
      <c r="DI315" s="7">
        <f ca="1">IFERROR(__xludf.DUMMYFUNCTION("((DI312*(DI94+DI95)+(DI313*(DI102+DI100)))*-1)"),-905811.984)</f>
        <v>-905811.98400000005</v>
      </c>
      <c r="DJ315" s="7">
        <f ca="1">IFERROR(__xludf.DUMMYFUNCTION("((DJ312*(DJ94+DJ95)+(DJ313*(DJ102+DJ100)))*-1)"),0)</f>
        <v>0</v>
      </c>
      <c r="DK315" s="7">
        <f ca="1">IFERROR(__xludf.DUMMYFUNCTION("((DK312*(DK94+DK95)+(DK313*(DK102+DK100)))*-1)"),0)</f>
        <v>0</v>
      </c>
      <c r="DL315" s="7">
        <f ca="1">IFERROR(__xludf.DUMMYFUNCTION("((DL312*(DL94+DL95)+(DL313*(DL102+DL100)))*-1)"),0)</f>
        <v>0</v>
      </c>
      <c r="DM315" s="7">
        <f ca="1">IFERROR(__xludf.DUMMYFUNCTION("((DM312*(DM94+DM95)+(DM313*(DM102+DM100)))*-1)"),0)</f>
        <v>0</v>
      </c>
      <c r="DN315" s="7">
        <f ca="1">IFERROR(__xludf.DUMMYFUNCTION("((DN312*(DN94+DN95)+(DN313*(DN102+DN100)))*-1)"),0)</f>
        <v>0</v>
      </c>
      <c r="DO315" s="7">
        <f ca="1">IFERROR(__xludf.DUMMYFUNCTION("((DO312*(DO94+DO95)+(DO313*(DO102+DO100)))*-1)"),0)</f>
        <v>0</v>
      </c>
      <c r="DP315" s="7">
        <f ca="1">IFERROR(__xludf.DUMMYFUNCTION("((DP312*(DP94+DP95)+(DP313*(DP102+DP100)))*-1)"),0)</f>
        <v>0</v>
      </c>
      <c r="DQ315" s="7">
        <f ca="1">IFERROR(__xludf.DUMMYFUNCTION("((DQ312*(DQ94+DQ95)+(DQ313*(DQ102+DQ100)))*-1)"),0)</f>
        <v>0</v>
      </c>
      <c r="DR315" s="7">
        <f ca="1">IFERROR(__xludf.DUMMYFUNCTION("((DR312*(DR94+DR95)+(DR313*(DR102+DR100)))*-1)"),0)</f>
        <v>0</v>
      </c>
      <c r="DS315" s="7">
        <f ca="1">IFERROR(__xludf.DUMMYFUNCTION("((DS312*(DS94+DS95)+(DS313*(DS102+DS100)))*-1)"),0)</f>
        <v>0</v>
      </c>
      <c r="DT315" s="7">
        <f ca="1">IFERROR(__xludf.DUMMYFUNCTION("((DT312*(DT94+DT95)+(DT313*(DT102+DT100)))*-1)"),0)</f>
        <v>0</v>
      </c>
      <c r="DU315" s="7">
        <f ca="1">IFERROR(__xludf.DUMMYFUNCTION("((DU312*(DU94+DU95)+(DU313*(DU102+DU100)))*-1)"),0)</f>
        <v>0</v>
      </c>
      <c r="DV315" s="7">
        <f ca="1">IFERROR(__xludf.DUMMYFUNCTION("((DV312*(DV94+DV95)+(DV313*(DV102+DV100)))*-1)"),0)</f>
        <v>0</v>
      </c>
      <c r="DW315" s="7">
        <f ca="1">IFERROR(__xludf.DUMMYFUNCTION("((DW312*(DW94+DW95)+(DW313*(DW102+DW100)))*-1)"),0)</f>
        <v>0</v>
      </c>
      <c r="DX315" s="7">
        <f ca="1">IFERROR(__xludf.DUMMYFUNCTION("((DX312*(DX94+DX95)+(DX313*(DX102+DX100)))*-1)"),0)</f>
        <v>0</v>
      </c>
      <c r="DY315" s="7">
        <f ca="1">IFERROR(__xludf.DUMMYFUNCTION("((DY312*(DY94+DY95)+(DY313*(DY102+DY100)))*-1)"),0)</f>
        <v>0</v>
      </c>
      <c r="DZ315" s="7">
        <f ca="1">IFERROR(__xludf.DUMMYFUNCTION("((DZ312*(DZ94+DZ95)+(DZ313*(DZ102+DZ100)))*-1)"),0)</f>
        <v>0</v>
      </c>
      <c r="EA315" s="7">
        <f ca="1">IFERROR(__xludf.DUMMYFUNCTION("((EA312*(EA94+EA95)+(EA313*(EA102+EA100)))*-1)"),-273878.4)</f>
        <v>-273878.40000000002</v>
      </c>
      <c r="EB315" s="7">
        <f ca="1">IFERROR(__xludf.DUMMYFUNCTION("((EB312*(EB94+EB95)+(EB313*(EB102+EB100)))*-1)"),0)</f>
        <v>0</v>
      </c>
      <c r="EC315" s="7">
        <f ca="1">IFERROR(__xludf.DUMMYFUNCTION("((EC312*(EC94+EC95)+(EC313*(EC102+EC100)))*-1)"),0)</f>
        <v>0</v>
      </c>
      <c r="ED315" s="7">
        <f ca="1">IFERROR(__xludf.DUMMYFUNCTION("((ED312*(ED94+ED95)+(ED313*(ED102+ED100)))*-1)"),0)</f>
        <v>0</v>
      </c>
      <c r="EE315" s="7">
        <f ca="1">IFERROR(__xludf.DUMMYFUNCTION("((EE312*(EE94+EE95)+(EE313*(EE102+EE100)))*-1)"),0)</f>
        <v>0</v>
      </c>
      <c r="EF315" s="7">
        <f ca="1">IFERROR(__xludf.DUMMYFUNCTION("((EF312*(EF94+EF95)+(EF313*(EF102+EF100)))*-1)"),0)</f>
        <v>0</v>
      </c>
      <c r="EG315" s="7">
        <f ca="1">IFERROR(__xludf.DUMMYFUNCTION("((EG312*(EG94+EG95)+(EG313*(EG102+EG100)))*-1)"),0)</f>
        <v>0</v>
      </c>
      <c r="EH315" s="7">
        <f ca="1">IFERROR(__xludf.DUMMYFUNCTION("((EH312*(EH94+EH95)+(EH313*(EH102+EH100)))*-1)"),0)</f>
        <v>0</v>
      </c>
      <c r="EI315" s="7">
        <f ca="1">IFERROR(__xludf.DUMMYFUNCTION("((EI312*(EI94+EI95)+(EI313*(EI102+EI100)))*-1)"),0)</f>
        <v>0</v>
      </c>
      <c r="EJ315" s="7">
        <f ca="1">IFERROR(__xludf.DUMMYFUNCTION("((EJ312*(EJ94+EJ95)+(EJ313*(EJ102+EJ100)))*-1)"),0)</f>
        <v>0</v>
      </c>
      <c r="EK315" s="7">
        <f ca="1">IFERROR(__xludf.DUMMYFUNCTION("((EK312*(EK94+EK95)+(EK313*(EK102+EK100)))*-1)"),0)</f>
        <v>0</v>
      </c>
      <c r="EL315" s="7">
        <f ca="1">IFERROR(__xludf.DUMMYFUNCTION("((EL312*(EL94+EL95)+(EL313*(EL102+EL100)))*-1)"),0)</f>
        <v>0</v>
      </c>
      <c r="EM315" s="7">
        <f ca="1">IFERROR(__xludf.DUMMYFUNCTION("((EM312*(EM94+EM95)+(EM313*(EM102+EM100)))*-1)"),0)</f>
        <v>0</v>
      </c>
      <c r="EN315" s="7">
        <f ca="1">IFERROR(__xludf.DUMMYFUNCTION("((EN312*(EN94+EN95)+(EN313*(EN102+EN100)))*-1)"),0)</f>
        <v>0</v>
      </c>
      <c r="EO315" s="7">
        <f ca="1">IFERROR(__xludf.DUMMYFUNCTION("((EO312*(EO94+EO95)+(EO313*(EO102+EO100)))*-1)"),0)</f>
        <v>0</v>
      </c>
      <c r="EP315" s="7">
        <f ca="1">IFERROR(__xludf.DUMMYFUNCTION("((EP312*(EP94+EP95)+(EP313*(EP102+EP100)))*-1)"),0)</f>
        <v>0</v>
      </c>
      <c r="EQ315" s="7">
        <f ca="1">IFERROR(__xludf.DUMMYFUNCTION("((EQ312*(EQ94+EQ95)+(EQ313*(EQ102+EQ100)))*-1)"),-1211503.51)</f>
        <v>-1211503.51</v>
      </c>
      <c r="ER315" s="7">
        <f ca="1">IFERROR(__xludf.DUMMYFUNCTION("((ER312*(ER94+ER95)+(ER313*(ER102+ER100)))*-1)"),0)</f>
        <v>0</v>
      </c>
      <c r="ES315" s="7">
        <f ca="1">IFERROR(__xludf.DUMMYFUNCTION("((ES312*(ES94+ES95)+(ES313*(ES102+ES100)))*-1)"),0)</f>
        <v>0</v>
      </c>
      <c r="ET315" s="7">
        <f ca="1">IFERROR(__xludf.DUMMYFUNCTION("((ET312*(ET94+ET95)+(ET313*(ET102+ET100)))*-1)"),0)</f>
        <v>0</v>
      </c>
      <c r="EU315" s="7">
        <f ca="1">IFERROR(__xludf.DUMMYFUNCTION("((EU312*(EU94+EU95)+(EU313*(EU102+EU100)))*-1)"),0)</f>
        <v>0</v>
      </c>
      <c r="EV315" s="7">
        <f ca="1">IFERROR(__xludf.DUMMYFUNCTION("((EV312*(EV94+EV95)+(EV313*(EV102+EV100)))*-1)"),0)</f>
        <v>0</v>
      </c>
      <c r="EW315" s="7">
        <f ca="1">IFERROR(__xludf.DUMMYFUNCTION("((EW312*(EW94+EW95)+(EW313*(EW102+EW100)))*-1)"),0)</f>
        <v>0</v>
      </c>
      <c r="EX315" s="7">
        <f ca="1">IFERROR(__xludf.DUMMYFUNCTION("((EX312*(EX94+EX95)+(EX313*(EX102+EX100)))*-1)"),0)</f>
        <v>0</v>
      </c>
      <c r="EY315" s="7">
        <f ca="1">IFERROR(__xludf.DUMMYFUNCTION("((EY312*(EY94+EY95)+(EY313*(EY102+EY100)))*-1)"),0)</f>
        <v>0</v>
      </c>
      <c r="EZ315" s="7">
        <f ca="1">IFERROR(__xludf.DUMMYFUNCTION("((EZ312*(EZ94+EZ95)+(EZ313*(EZ102+EZ100)))*-1)"),0)</f>
        <v>0</v>
      </c>
      <c r="FA315" s="7">
        <f ca="1">IFERROR(__xludf.DUMMYFUNCTION("((FA312*(FA94+FA95)+(FA313*(FA102+FA100)))*-1)"),0)</f>
        <v>0</v>
      </c>
      <c r="FB315" s="7">
        <f ca="1">IFERROR(__xludf.DUMMYFUNCTION("((FB312*(FB94+FB95)+(FB313*(FB102+FB100)))*-1)"),0)</f>
        <v>0</v>
      </c>
      <c r="FC315" s="7">
        <f ca="1">IFERROR(__xludf.DUMMYFUNCTION("((FC312*(FC94+FC95)+(FC313*(FC102+FC100)))*-1)"),0)</f>
        <v>0</v>
      </c>
      <c r="FD315" s="7">
        <f ca="1">IFERROR(__xludf.DUMMYFUNCTION("((FD312*(FD94+FD95)+(FD313*(FD102+FD100)))*-1)"),0)</f>
        <v>0</v>
      </c>
      <c r="FE315" s="7">
        <f ca="1">IFERROR(__xludf.DUMMYFUNCTION("((FE312*(FE94+FE95)+(FE313*(FE102+FE100)))*-1)"),0)</f>
        <v>0</v>
      </c>
      <c r="FF315" s="7">
        <f ca="1">IFERROR(__xludf.DUMMYFUNCTION("((FF312*(FF94+FF95)+(FF313*(FF102+FF100)))*-1)"),0)</f>
        <v>0</v>
      </c>
      <c r="FG315" s="7">
        <f ca="1">IFERROR(__xludf.DUMMYFUNCTION("((FG312*(FG94+FG95)+(FG313*(FG102+FG100)))*-1)"),0)</f>
        <v>0</v>
      </c>
      <c r="FH315" s="7">
        <f ca="1">IFERROR(__xludf.DUMMYFUNCTION("((FH312*(FH94+FH95)+(FH313*(FH102+FH100)))*-1)"),0)</f>
        <v>0</v>
      </c>
      <c r="FI315" s="7">
        <f ca="1">IFERROR(__xludf.DUMMYFUNCTION("((FI312*(FI94+FI95)+(FI313*(FI102+FI100)))*-1)"),0)</f>
        <v>0</v>
      </c>
      <c r="FJ315" s="7">
        <f ca="1">IFERROR(__xludf.DUMMYFUNCTION("((FJ312*(FJ94+FJ95)+(FJ313*(FJ102+FJ100)))*-1)"),0)</f>
        <v>0</v>
      </c>
      <c r="FK315" s="7">
        <f ca="1">IFERROR(__xludf.DUMMYFUNCTION("((FK312*(FK94+FK95)+(FK313*(FK102+FK100)))*-1)"),0)</f>
        <v>0</v>
      </c>
      <c r="FL315" s="7">
        <f ca="1">IFERROR(__xludf.DUMMYFUNCTION("((FL312*(FL94+FL95)+(FL313*(FL102+FL100)))*-1)"),0)</f>
        <v>0</v>
      </c>
      <c r="FM315" s="7">
        <f ca="1">IFERROR(__xludf.DUMMYFUNCTION("((FM312*(FM94+FM95)+(FM313*(FM102+FM100)))*-1)"),0)</f>
        <v>0</v>
      </c>
      <c r="FN315" s="7">
        <f ca="1">IFERROR(__xludf.DUMMYFUNCTION("((FN312*(FN94+FN95)+(FN313*(FN102+FN100)))*-1)"),0)</f>
        <v>0</v>
      </c>
      <c r="FO315" s="7">
        <f ca="1">IFERROR(__xludf.DUMMYFUNCTION("((FO312*(FO94+FO95)+(FO313*(FO102+FO100)))*-1)"),0)</f>
        <v>0</v>
      </c>
      <c r="FP315" s="7">
        <f ca="1">IFERROR(__xludf.DUMMYFUNCTION("((FP312*(FP94+FP95)+(FP313*(FP102+FP100)))*-1)"),0)</f>
        <v>0</v>
      </c>
      <c r="FQ315" s="7">
        <f ca="1">IFERROR(__xludf.DUMMYFUNCTION("((FQ312*(FQ94+FQ95)+(FQ313*(FQ102+FQ100)))*-1)"),0)</f>
        <v>0</v>
      </c>
      <c r="FR315" s="7">
        <f ca="1">IFERROR(__xludf.DUMMYFUNCTION("((FR312*(FR94+FR95)+(FR313*(FR102+FR100)))*-1)"),0)</f>
        <v>0</v>
      </c>
      <c r="FS315" s="7">
        <f ca="1">IFERROR(__xludf.DUMMYFUNCTION("((FS312*(FS94+FS95)+(FS313*(FS102+FS100)))*-1)"),0)</f>
        <v>0</v>
      </c>
      <c r="FT315" s="7">
        <f ca="1">IFERROR(__xludf.DUMMYFUNCTION("((FT312*(FT94+FT95)+(FT313*(FT102+FT100)))*-1)"),0)</f>
        <v>0</v>
      </c>
      <c r="FU315" s="7">
        <f ca="1">IFERROR(__xludf.DUMMYFUNCTION("((FU312*(FU94+FU95)+(FU313*(FU102+FU100)))*-1)"),0)</f>
        <v>0</v>
      </c>
      <c r="FV315" s="7">
        <f ca="1">IFERROR(__xludf.DUMMYFUNCTION("((FV312*(FV94+FV95)+(FV313*(FV102+FV100)))*-1)"),0)</f>
        <v>0</v>
      </c>
      <c r="FW315" s="7">
        <f ca="1">IFERROR(__xludf.DUMMYFUNCTION("((FW312*(FW94+FW95)+(FW313*(FW102+FW100)))*-1)"),0)</f>
        <v>0</v>
      </c>
      <c r="FX315" s="7">
        <f ca="1">IFERROR(__xludf.DUMMYFUNCTION("((FX312*(FX94+FX95)+(FX313*(FX102+FX100)))*-1)"),0)</f>
        <v>0</v>
      </c>
      <c r="FY315" s="7">
        <f ca="1">SUM(C315:FX315)</f>
        <v>-233564380.11799991</v>
      </c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</row>
    <row r="316" spans="1:193" ht="15.5" x14ac:dyDescent="0.35">
      <c r="A316" s="12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</row>
    <row r="317" spans="1:193" ht="15.5" x14ac:dyDescent="0.35">
      <c r="A317" s="12" t="s">
        <v>726</v>
      </c>
      <c r="B317" s="7" t="s">
        <v>727</v>
      </c>
      <c r="C317" s="7" t="e">
        <f t="shared" ref="C317:FX317" ca="1" si="168">C303+C315</f>
        <v>#NAME?</v>
      </c>
      <c r="D317" s="7" t="e">
        <f t="shared" ca="1" si="168"/>
        <v>#NAME?</v>
      </c>
      <c r="E317" s="7" t="e">
        <f t="shared" ca="1" si="168"/>
        <v>#NAME?</v>
      </c>
      <c r="F317" s="7" t="e">
        <f t="shared" ca="1" si="168"/>
        <v>#NAME?</v>
      </c>
      <c r="G317" s="7" t="e">
        <f t="shared" ca="1" si="168"/>
        <v>#NAME?</v>
      </c>
      <c r="H317" s="7" t="e">
        <f t="shared" ca="1" si="168"/>
        <v>#NAME?</v>
      </c>
      <c r="I317" s="7" t="e">
        <f t="shared" ca="1" si="168"/>
        <v>#NAME?</v>
      </c>
      <c r="J317" s="7" t="e">
        <f t="shared" ca="1" si="168"/>
        <v>#NAME?</v>
      </c>
      <c r="K317" s="7" t="e">
        <f t="shared" ca="1" si="168"/>
        <v>#NAME?</v>
      </c>
      <c r="L317" s="7" t="e">
        <f t="shared" ca="1" si="168"/>
        <v>#NAME?</v>
      </c>
      <c r="M317" s="7" t="e">
        <f t="shared" ca="1" si="168"/>
        <v>#NAME?</v>
      </c>
      <c r="N317" s="7" t="e">
        <f t="shared" ca="1" si="168"/>
        <v>#NAME?</v>
      </c>
      <c r="O317" s="7" t="e">
        <f t="shared" ca="1" si="168"/>
        <v>#NAME?</v>
      </c>
      <c r="P317" s="7" t="e">
        <f t="shared" ca="1" si="168"/>
        <v>#NAME?</v>
      </c>
      <c r="Q317" s="7" t="e">
        <f t="shared" ca="1" si="168"/>
        <v>#NAME?</v>
      </c>
      <c r="R317" s="7" t="e">
        <f t="shared" ca="1" si="168"/>
        <v>#NAME?</v>
      </c>
      <c r="S317" s="7" t="e">
        <f t="shared" ca="1" si="168"/>
        <v>#NAME?</v>
      </c>
      <c r="T317" s="7" t="e">
        <f t="shared" ca="1" si="168"/>
        <v>#NAME?</v>
      </c>
      <c r="U317" s="7" t="e">
        <f t="shared" ca="1" si="168"/>
        <v>#NAME?</v>
      </c>
      <c r="V317" s="7" t="e">
        <f t="shared" ca="1" si="168"/>
        <v>#NAME?</v>
      </c>
      <c r="W317" s="7" t="e">
        <f t="shared" ca="1" si="168"/>
        <v>#NAME?</v>
      </c>
      <c r="X317" s="7" t="e">
        <f t="shared" ca="1" si="168"/>
        <v>#NAME?</v>
      </c>
      <c r="Y317" s="7" t="e">
        <f t="shared" ca="1" si="168"/>
        <v>#NAME?</v>
      </c>
      <c r="Z317" s="7" t="e">
        <f t="shared" ca="1" si="168"/>
        <v>#NAME?</v>
      </c>
      <c r="AA317" s="7" t="e">
        <f t="shared" ca="1" si="168"/>
        <v>#NAME?</v>
      </c>
      <c r="AB317" s="7" t="e">
        <f t="shared" ca="1" si="168"/>
        <v>#NAME?</v>
      </c>
      <c r="AC317" s="7" t="e">
        <f t="shared" ca="1" si="168"/>
        <v>#NAME?</v>
      </c>
      <c r="AD317" s="7" t="e">
        <f t="shared" ca="1" si="168"/>
        <v>#NAME?</v>
      </c>
      <c r="AE317" s="7" t="e">
        <f t="shared" ca="1" si="168"/>
        <v>#NAME?</v>
      </c>
      <c r="AF317" s="7" t="e">
        <f t="shared" ca="1" si="168"/>
        <v>#NAME?</v>
      </c>
      <c r="AG317" s="7" t="e">
        <f t="shared" ca="1" si="168"/>
        <v>#NAME?</v>
      </c>
      <c r="AH317" s="7" t="e">
        <f t="shared" ca="1" si="168"/>
        <v>#NAME?</v>
      </c>
      <c r="AI317" s="7" t="e">
        <f t="shared" ca="1" si="168"/>
        <v>#NAME?</v>
      </c>
      <c r="AJ317" s="7" t="e">
        <f t="shared" ca="1" si="168"/>
        <v>#NAME?</v>
      </c>
      <c r="AK317" s="7" t="e">
        <f t="shared" ca="1" si="168"/>
        <v>#NAME?</v>
      </c>
      <c r="AL317" s="7" t="e">
        <f t="shared" ca="1" si="168"/>
        <v>#NAME?</v>
      </c>
      <c r="AM317" s="7" t="e">
        <f t="shared" ca="1" si="168"/>
        <v>#NAME?</v>
      </c>
      <c r="AN317" s="7" t="e">
        <f t="shared" ca="1" si="168"/>
        <v>#NAME?</v>
      </c>
      <c r="AO317" s="7" t="e">
        <f t="shared" ca="1" si="168"/>
        <v>#NAME?</v>
      </c>
      <c r="AP317" s="7" t="e">
        <f t="shared" ca="1" si="168"/>
        <v>#NAME?</v>
      </c>
      <c r="AQ317" s="7" t="e">
        <f t="shared" ca="1" si="168"/>
        <v>#NAME?</v>
      </c>
      <c r="AR317" s="7" t="e">
        <f t="shared" ca="1" si="168"/>
        <v>#NAME?</v>
      </c>
      <c r="AS317" s="7" t="e">
        <f t="shared" ca="1" si="168"/>
        <v>#NAME?</v>
      </c>
      <c r="AT317" s="7" t="e">
        <f t="shared" ca="1" si="168"/>
        <v>#NAME?</v>
      </c>
      <c r="AU317" s="7" t="e">
        <f t="shared" ca="1" si="168"/>
        <v>#NAME?</v>
      </c>
      <c r="AV317" s="7" t="e">
        <f t="shared" ca="1" si="168"/>
        <v>#NAME?</v>
      </c>
      <c r="AW317" s="7" t="e">
        <f t="shared" ca="1" si="168"/>
        <v>#NAME?</v>
      </c>
      <c r="AX317" s="7" t="e">
        <f t="shared" ca="1" si="168"/>
        <v>#NAME?</v>
      </c>
      <c r="AY317" s="7" t="e">
        <f t="shared" ca="1" si="168"/>
        <v>#NAME?</v>
      </c>
      <c r="AZ317" s="7" t="e">
        <f t="shared" ca="1" si="168"/>
        <v>#NAME?</v>
      </c>
      <c r="BA317" s="7" t="e">
        <f t="shared" ca="1" si="168"/>
        <v>#NAME?</v>
      </c>
      <c r="BB317" s="7" t="e">
        <f t="shared" ca="1" si="168"/>
        <v>#NAME?</v>
      </c>
      <c r="BC317" s="7" t="e">
        <f t="shared" ca="1" si="168"/>
        <v>#NAME?</v>
      </c>
      <c r="BD317" s="7" t="e">
        <f t="shared" ca="1" si="168"/>
        <v>#NAME?</v>
      </c>
      <c r="BE317" s="7" t="e">
        <f t="shared" ca="1" si="168"/>
        <v>#NAME?</v>
      </c>
      <c r="BF317" s="7" t="e">
        <f t="shared" ca="1" si="168"/>
        <v>#NAME?</v>
      </c>
      <c r="BG317" s="7" t="e">
        <f t="shared" ca="1" si="168"/>
        <v>#NAME?</v>
      </c>
      <c r="BH317" s="7" t="e">
        <f t="shared" ca="1" si="168"/>
        <v>#NAME?</v>
      </c>
      <c r="BI317" s="7" t="e">
        <f t="shared" ca="1" si="168"/>
        <v>#NAME?</v>
      </c>
      <c r="BJ317" s="7" t="e">
        <f t="shared" ca="1" si="168"/>
        <v>#NAME?</v>
      </c>
      <c r="BK317" s="7" t="e">
        <f t="shared" ca="1" si="168"/>
        <v>#NAME?</v>
      </c>
      <c r="BL317" s="7" t="e">
        <f t="shared" ca="1" si="168"/>
        <v>#NAME?</v>
      </c>
      <c r="BM317" s="7" t="e">
        <f t="shared" ca="1" si="168"/>
        <v>#NAME?</v>
      </c>
      <c r="BN317" s="7" t="e">
        <f t="shared" ca="1" si="168"/>
        <v>#NAME?</v>
      </c>
      <c r="BO317" s="7" t="e">
        <f t="shared" ca="1" si="168"/>
        <v>#NAME?</v>
      </c>
      <c r="BP317" s="7" t="e">
        <f t="shared" ca="1" si="168"/>
        <v>#NAME?</v>
      </c>
      <c r="BQ317" s="7" t="e">
        <f t="shared" ca="1" si="168"/>
        <v>#NAME?</v>
      </c>
      <c r="BR317" s="7" t="e">
        <f t="shared" ca="1" si="168"/>
        <v>#NAME?</v>
      </c>
      <c r="BS317" s="7" t="e">
        <f t="shared" ca="1" si="168"/>
        <v>#NAME?</v>
      </c>
      <c r="BT317" s="7" t="e">
        <f t="shared" ca="1" si="168"/>
        <v>#NAME?</v>
      </c>
      <c r="BU317" s="7" t="e">
        <f t="shared" ca="1" si="168"/>
        <v>#NAME?</v>
      </c>
      <c r="BV317" s="7" t="e">
        <f t="shared" ca="1" si="168"/>
        <v>#NAME?</v>
      </c>
      <c r="BW317" s="7" t="e">
        <f t="shared" ca="1" si="168"/>
        <v>#NAME?</v>
      </c>
      <c r="BX317" s="7" t="e">
        <f t="shared" ca="1" si="168"/>
        <v>#NAME?</v>
      </c>
      <c r="BY317" s="7" t="e">
        <f t="shared" ca="1" si="168"/>
        <v>#NAME?</v>
      </c>
      <c r="BZ317" s="7" t="e">
        <f t="shared" ca="1" si="168"/>
        <v>#NAME?</v>
      </c>
      <c r="CA317" s="7" t="e">
        <f t="shared" ca="1" si="168"/>
        <v>#NAME?</v>
      </c>
      <c r="CB317" s="7" t="e">
        <f t="shared" ca="1" si="168"/>
        <v>#NAME?</v>
      </c>
      <c r="CC317" s="7" t="e">
        <f t="shared" ca="1" si="168"/>
        <v>#NAME?</v>
      </c>
      <c r="CD317" s="7" t="e">
        <f t="shared" ca="1" si="168"/>
        <v>#NAME?</v>
      </c>
      <c r="CE317" s="7" t="e">
        <f t="shared" ca="1" si="168"/>
        <v>#NAME?</v>
      </c>
      <c r="CF317" s="7" t="e">
        <f t="shared" ca="1" si="168"/>
        <v>#NAME?</v>
      </c>
      <c r="CG317" s="7" t="e">
        <f t="shared" ca="1" si="168"/>
        <v>#NAME?</v>
      </c>
      <c r="CH317" s="7" t="e">
        <f t="shared" ca="1" si="168"/>
        <v>#NAME?</v>
      </c>
      <c r="CI317" s="7" t="e">
        <f t="shared" ca="1" si="168"/>
        <v>#NAME?</v>
      </c>
      <c r="CJ317" s="7" t="e">
        <f t="shared" ca="1" si="168"/>
        <v>#NAME?</v>
      </c>
      <c r="CK317" s="7" t="e">
        <f t="shared" ca="1" si="168"/>
        <v>#NAME?</v>
      </c>
      <c r="CL317" s="7" t="e">
        <f t="shared" ca="1" si="168"/>
        <v>#NAME?</v>
      </c>
      <c r="CM317" s="7" t="e">
        <f t="shared" ca="1" si="168"/>
        <v>#NAME?</v>
      </c>
      <c r="CN317" s="7" t="e">
        <f t="shared" ca="1" si="168"/>
        <v>#NAME?</v>
      </c>
      <c r="CO317" s="7" t="e">
        <f t="shared" ca="1" si="168"/>
        <v>#NAME?</v>
      </c>
      <c r="CP317" s="7" t="e">
        <f t="shared" ca="1" si="168"/>
        <v>#NAME?</v>
      </c>
      <c r="CQ317" s="7" t="e">
        <f t="shared" ca="1" si="168"/>
        <v>#NAME?</v>
      </c>
      <c r="CR317" s="7" t="e">
        <f t="shared" ca="1" si="168"/>
        <v>#NAME?</v>
      </c>
      <c r="CS317" s="7" t="e">
        <f t="shared" ca="1" si="168"/>
        <v>#NAME?</v>
      </c>
      <c r="CT317" s="7" t="e">
        <f t="shared" ca="1" si="168"/>
        <v>#NAME?</v>
      </c>
      <c r="CU317" s="7" t="e">
        <f t="shared" ca="1" si="168"/>
        <v>#NAME?</v>
      </c>
      <c r="CV317" s="7" t="e">
        <f t="shared" ca="1" si="168"/>
        <v>#NAME?</v>
      </c>
      <c r="CW317" s="7" t="e">
        <f t="shared" ca="1" si="168"/>
        <v>#NAME?</v>
      </c>
      <c r="CX317" s="7" t="e">
        <f t="shared" ca="1" si="168"/>
        <v>#NAME?</v>
      </c>
      <c r="CY317" s="7" t="e">
        <f t="shared" ca="1" si="168"/>
        <v>#NAME?</v>
      </c>
      <c r="CZ317" s="7" t="e">
        <f t="shared" ca="1" si="168"/>
        <v>#NAME?</v>
      </c>
      <c r="DA317" s="7" t="e">
        <f t="shared" ca="1" si="168"/>
        <v>#NAME?</v>
      </c>
      <c r="DB317" s="7" t="e">
        <f t="shared" ca="1" si="168"/>
        <v>#NAME?</v>
      </c>
      <c r="DC317" s="7" t="e">
        <f t="shared" ca="1" si="168"/>
        <v>#NAME?</v>
      </c>
      <c r="DD317" s="7" t="e">
        <f t="shared" ca="1" si="168"/>
        <v>#NAME?</v>
      </c>
      <c r="DE317" s="7" t="e">
        <f t="shared" ca="1" si="168"/>
        <v>#NAME?</v>
      </c>
      <c r="DF317" s="7" t="e">
        <f t="shared" ca="1" si="168"/>
        <v>#NAME?</v>
      </c>
      <c r="DG317" s="7" t="e">
        <f t="shared" ca="1" si="168"/>
        <v>#NAME?</v>
      </c>
      <c r="DH317" s="7" t="e">
        <f t="shared" ca="1" si="168"/>
        <v>#NAME?</v>
      </c>
      <c r="DI317" s="7" t="e">
        <f t="shared" ca="1" si="168"/>
        <v>#NAME?</v>
      </c>
      <c r="DJ317" s="7" t="e">
        <f t="shared" ca="1" si="168"/>
        <v>#NAME?</v>
      </c>
      <c r="DK317" s="7" t="e">
        <f t="shared" ca="1" si="168"/>
        <v>#NAME?</v>
      </c>
      <c r="DL317" s="7" t="e">
        <f t="shared" ca="1" si="168"/>
        <v>#NAME?</v>
      </c>
      <c r="DM317" s="7" t="e">
        <f t="shared" ca="1" si="168"/>
        <v>#NAME?</v>
      </c>
      <c r="DN317" s="7" t="e">
        <f t="shared" ca="1" si="168"/>
        <v>#NAME?</v>
      </c>
      <c r="DO317" s="7" t="e">
        <f t="shared" ca="1" si="168"/>
        <v>#NAME?</v>
      </c>
      <c r="DP317" s="7" t="e">
        <f t="shared" ca="1" si="168"/>
        <v>#NAME?</v>
      </c>
      <c r="DQ317" s="7" t="e">
        <f t="shared" ca="1" si="168"/>
        <v>#NAME?</v>
      </c>
      <c r="DR317" s="7" t="e">
        <f t="shared" ca="1" si="168"/>
        <v>#NAME?</v>
      </c>
      <c r="DS317" s="7" t="e">
        <f t="shared" ca="1" si="168"/>
        <v>#NAME?</v>
      </c>
      <c r="DT317" s="7" t="e">
        <f t="shared" ca="1" si="168"/>
        <v>#NAME?</v>
      </c>
      <c r="DU317" s="7" t="e">
        <f t="shared" ca="1" si="168"/>
        <v>#NAME?</v>
      </c>
      <c r="DV317" s="7" t="e">
        <f t="shared" ca="1" si="168"/>
        <v>#NAME?</v>
      </c>
      <c r="DW317" s="7" t="e">
        <f t="shared" ca="1" si="168"/>
        <v>#NAME?</v>
      </c>
      <c r="DX317" s="7" t="e">
        <f t="shared" ca="1" si="168"/>
        <v>#NAME?</v>
      </c>
      <c r="DY317" s="7" t="e">
        <f t="shared" ca="1" si="168"/>
        <v>#NAME?</v>
      </c>
      <c r="DZ317" s="7" t="e">
        <f t="shared" ca="1" si="168"/>
        <v>#NAME?</v>
      </c>
      <c r="EA317" s="7" t="e">
        <f t="shared" ca="1" si="168"/>
        <v>#NAME?</v>
      </c>
      <c r="EB317" s="7" t="e">
        <f t="shared" ca="1" si="168"/>
        <v>#NAME?</v>
      </c>
      <c r="EC317" s="7" t="e">
        <f t="shared" ca="1" si="168"/>
        <v>#NAME?</v>
      </c>
      <c r="ED317" s="7" t="e">
        <f t="shared" ca="1" si="168"/>
        <v>#NAME?</v>
      </c>
      <c r="EE317" s="7" t="e">
        <f t="shared" ca="1" si="168"/>
        <v>#NAME?</v>
      </c>
      <c r="EF317" s="7" t="e">
        <f t="shared" ca="1" si="168"/>
        <v>#NAME?</v>
      </c>
      <c r="EG317" s="7" t="e">
        <f t="shared" ca="1" si="168"/>
        <v>#NAME?</v>
      </c>
      <c r="EH317" s="7" t="e">
        <f t="shared" ca="1" si="168"/>
        <v>#NAME?</v>
      </c>
      <c r="EI317" s="7" t="e">
        <f t="shared" ca="1" si="168"/>
        <v>#NAME?</v>
      </c>
      <c r="EJ317" s="7" t="e">
        <f t="shared" ca="1" si="168"/>
        <v>#NAME?</v>
      </c>
      <c r="EK317" s="7" t="e">
        <f t="shared" ca="1" si="168"/>
        <v>#NAME?</v>
      </c>
      <c r="EL317" s="7" t="e">
        <f t="shared" ca="1" si="168"/>
        <v>#NAME?</v>
      </c>
      <c r="EM317" s="7" t="e">
        <f t="shared" ca="1" si="168"/>
        <v>#NAME?</v>
      </c>
      <c r="EN317" s="7" t="e">
        <f t="shared" ca="1" si="168"/>
        <v>#NAME?</v>
      </c>
      <c r="EO317" s="7" t="e">
        <f t="shared" ca="1" si="168"/>
        <v>#NAME?</v>
      </c>
      <c r="EP317" s="7" t="e">
        <f t="shared" ca="1" si="168"/>
        <v>#NAME?</v>
      </c>
      <c r="EQ317" s="7" t="e">
        <f t="shared" ca="1" si="168"/>
        <v>#NAME?</v>
      </c>
      <c r="ER317" s="7" t="e">
        <f t="shared" ca="1" si="168"/>
        <v>#NAME?</v>
      </c>
      <c r="ES317" s="7" t="e">
        <f t="shared" ca="1" si="168"/>
        <v>#NAME?</v>
      </c>
      <c r="ET317" s="7" t="e">
        <f t="shared" ca="1" si="168"/>
        <v>#NAME?</v>
      </c>
      <c r="EU317" s="7" t="e">
        <f t="shared" ca="1" si="168"/>
        <v>#NAME?</v>
      </c>
      <c r="EV317" s="7" t="e">
        <f t="shared" ca="1" si="168"/>
        <v>#NAME?</v>
      </c>
      <c r="EW317" s="7" t="e">
        <f t="shared" ca="1" si="168"/>
        <v>#NAME?</v>
      </c>
      <c r="EX317" s="7" t="e">
        <f t="shared" ca="1" si="168"/>
        <v>#NAME?</v>
      </c>
      <c r="EY317" s="7" t="e">
        <f t="shared" ca="1" si="168"/>
        <v>#NAME?</v>
      </c>
      <c r="EZ317" s="7" t="e">
        <f t="shared" ca="1" si="168"/>
        <v>#NAME?</v>
      </c>
      <c r="FA317" s="7" t="e">
        <f t="shared" ca="1" si="168"/>
        <v>#NAME?</v>
      </c>
      <c r="FB317" s="7" t="e">
        <f t="shared" ca="1" si="168"/>
        <v>#NAME?</v>
      </c>
      <c r="FC317" s="7" t="e">
        <f t="shared" ca="1" si="168"/>
        <v>#NAME?</v>
      </c>
      <c r="FD317" s="7" t="e">
        <f t="shared" ca="1" si="168"/>
        <v>#NAME?</v>
      </c>
      <c r="FE317" s="7" t="e">
        <f t="shared" ca="1" si="168"/>
        <v>#NAME?</v>
      </c>
      <c r="FF317" s="7" t="e">
        <f t="shared" ca="1" si="168"/>
        <v>#NAME?</v>
      </c>
      <c r="FG317" s="7" t="e">
        <f t="shared" ca="1" si="168"/>
        <v>#NAME?</v>
      </c>
      <c r="FH317" s="7" t="e">
        <f t="shared" ca="1" si="168"/>
        <v>#NAME?</v>
      </c>
      <c r="FI317" s="7" t="e">
        <f t="shared" ca="1" si="168"/>
        <v>#NAME?</v>
      </c>
      <c r="FJ317" s="7" t="e">
        <f t="shared" ca="1" si="168"/>
        <v>#NAME?</v>
      </c>
      <c r="FK317" s="7" t="e">
        <f t="shared" ca="1" si="168"/>
        <v>#NAME?</v>
      </c>
      <c r="FL317" s="7" t="e">
        <f t="shared" ca="1" si="168"/>
        <v>#NAME?</v>
      </c>
      <c r="FM317" s="7" t="e">
        <f t="shared" ca="1" si="168"/>
        <v>#NAME?</v>
      </c>
      <c r="FN317" s="7" t="e">
        <f t="shared" ca="1" si="168"/>
        <v>#NAME?</v>
      </c>
      <c r="FO317" s="7" t="e">
        <f t="shared" ca="1" si="168"/>
        <v>#NAME?</v>
      </c>
      <c r="FP317" s="7" t="e">
        <f t="shared" ca="1" si="168"/>
        <v>#NAME?</v>
      </c>
      <c r="FQ317" s="7" t="e">
        <f t="shared" ca="1" si="168"/>
        <v>#NAME?</v>
      </c>
      <c r="FR317" s="7" t="e">
        <f t="shared" ca="1" si="168"/>
        <v>#NAME?</v>
      </c>
      <c r="FS317" s="7" t="e">
        <f t="shared" ca="1" si="168"/>
        <v>#NAME?</v>
      </c>
      <c r="FT317" s="7" t="e">
        <f t="shared" ca="1" si="168"/>
        <v>#NAME?</v>
      </c>
      <c r="FU317" s="7" t="e">
        <f t="shared" ca="1" si="168"/>
        <v>#NAME?</v>
      </c>
      <c r="FV317" s="7" t="e">
        <f t="shared" ca="1" si="168"/>
        <v>#NAME?</v>
      </c>
      <c r="FW317" s="7" t="e">
        <f t="shared" ca="1" si="168"/>
        <v>#NAME?</v>
      </c>
      <c r="FX317" s="7" t="e">
        <f t="shared" ca="1" si="168"/>
        <v>#NAME?</v>
      </c>
      <c r="FY317" s="7">
        <f ca="1">IFERROR(__xludf.DUMMYFUNCTION("-(FY303+FY315)"),233564380.118)</f>
        <v>233564380.118</v>
      </c>
      <c r="FZ317" s="7" t="e">
        <f t="shared" ref="FZ317:FZ320" ca="1" si="169">SUM(C317:FY317)</f>
        <v>#NAME?</v>
      </c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</row>
    <row r="318" spans="1:193" ht="15.5" x14ac:dyDescent="0.35">
      <c r="A318" s="12" t="s">
        <v>728</v>
      </c>
      <c r="B318" s="7" t="s">
        <v>1083</v>
      </c>
      <c r="C318" s="7" t="e">
        <f t="shared" ref="C318:FY318" ca="1" si="170">C304</f>
        <v>#NAME?</v>
      </c>
      <c r="D318" s="7" t="e">
        <f t="shared" ca="1" si="170"/>
        <v>#NAME?</v>
      </c>
      <c r="E318" s="7" t="e">
        <f t="shared" ca="1" si="170"/>
        <v>#NAME?</v>
      </c>
      <c r="F318" s="7" t="e">
        <f t="shared" ca="1" si="170"/>
        <v>#NAME?</v>
      </c>
      <c r="G318" s="7" t="e">
        <f t="shared" ca="1" si="170"/>
        <v>#NAME?</v>
      </c>
      <c r="H318" s="7" t="e">
        <f t="shared" ca="1" si="170"/>
        <v>#NAME?</v>
      </c>
      <c r="I318" s="7" t="e">
        <f t="shared" ca="1" si="170"/>
        <v>#NAME?</v>
      </c>
      <c r="J318" s="7" t="e">
        <f t="shared" ca="1" si="170"/>
        <v>#NAME?</v>
      </c>
      <c r="K318" s="7" t="e">
        <f t="shared" ca="1" si="170"/>
        <v>#NAME?</v>
      </c>
      <c r="L318" s="7" t="e">
        <f t="shared" ca="1" si="170"/>
        <v>#NAME?</v>
      </c>
      <c r="M318" s="7" t="e">
        <f t="shared" ca="1" si="170"/>
        <v>#NAME?</v>
      </c>
      <c r="N318" s="7" t="e">
        <f t="shared" ca="1" si="170"/>
        <v>#NAME?</v>
      </c>
      <c r="O318" s="7" t="e">
        <f t="shared" ca="1" si="170"/>
        <v>#NAME?</v>
      </c>
      <c r="P318" s="7" t="e">
        <f t="shared" ca="1" si="170"/>
        <v>#NAME?</v>
      </c>
      <c r="Q318" s="7" t="e">
        <f t="shared" ca="1" si="170"/>
        <v>#NAME?</v>
      </c>
      <c r="R318" s="7" t="e">
        <f t="shared" ca="1" si="170"/>
        <v>#NAME?</v>
      </c>
      <c r="S318" s="7" t="e">
        <f t="shared" ca="1" si="170"/>
        <v>#NAME?</v>
      </c>
      <c r="T318" s="7" t="e">
        <f t="shared" ca="1" si="170"/>
        <v>#NAME?</v>
      </c>
      <c r="U318" s="7" t="e">
        <f t="shared" ca="1" si="170"/>
        <v>#NAME?</v>
      </c>
      <c r="V318" s="7" t="e">
        <f t="shared" ca="1" si="170"/>
        <v>#NAME?</v>
      </c>
      <c r="W318" s="7" t="e">
        <f t="shared" ca="1" si="170"/>
        <v>#NAME?</v>
      </c>
      <c r="X318" s="7" t="e">
        <f t="shared" ca="1" si="170"/>
        <v>#NAME?</v>
      </c>
      <c r="Y318" s="7" t="e">
        <f t="shared" ca="1" si="170"/>
        <v>#NAME?</v>
      </c>
      <c r="Z318" s="7" t="e">
        <f t="shared" ca="1" si="170"/>
        <v>#NAME?</v>
      </c>
      <c r="AA318" s="7" t="e">
        <f t="shared" ca="1" si="170"/>
        <v>#NAME?</v>
      </c>
      <c r="AB318" s="7" t="e">
        <f t="shared" ca="1" si="170"/>
        <v>#NAME?</v>
      </c>
      <c r="AC318" s="7" t="e">
        <f t="shared" ca="1" si="170"/>
        <v>#NAME?</v>
      </c>
      <c r="AD318" s="7" t="e">
        <f t="shared" ca="1" si="170"/>
        <v>#NAME?</v>
      </c>
      <c r="AE318" s="7" t="e">
        <f t="shared" ca="1" si="170"/>
        <v>#NAME?</v>
      </c>
      <c r="AF318" s="7" t="e">
        <f t="shared" ca="1" si="170"/>
        <v>#NAME?</v>
      </c>
      <c r="AG318" s="7" t="e">
        <f t="shared" ca="1" si="170"/>
        <v>#NAME?</v>
      </c>
      <c r="AH318" s="7" t="e">
        <f t="shared" ca="1" si="170"/>
        <v>#NAME?</v>
      </c>
      <c r="AI318" s="7" t="e">
        <f t="shared" ca="1" si="170"/>
        <v>#NAME?</v>
      </c>
      <c r="AJ318" s="7" t="e">
        <f t="shared" ca="1" si="170"/>
        <v>#NAME?</v>
      </c>
      <c r="AK318" s="7" t="e">
        <f t="shared" ca="1" si="170"/>
        <v>#NAME?</v>
      </c>
      <c r="AL318" s="7" t="e">
        <f t="shared" ca="1" si="170"/>
        <v>#NAME?</v>
      </c>
      <c r="AM318" s="7" t="e">
        <f t="shared" ca="1" si="170"/>
        <v>#NAME?</v>
      </c>
      <c r="AN318" s="7" t="e">
        <f t="shared" ca="1" si="170"/>
        <v>#NAME?</v>
      </c>
      <c r="AO318" s="7" t="e">
        <f t="shared" ca="1" si="170"/>
        <v>#NAME?</v>
      </c>
      <c r="AP318" s="7" t="e">
        <f t="shared" ca="1" si="170"/>
        <v>#NAME?</v>
      </c>
      <c r="AQ318" s="7" t="e">
        <f t="shared" ca="1" si="170"/>
        <v>#NAME?</v>
      </c>
      <c r="AR318" s="7" t="e">
        <f t="shared" ca="1" si="170"/>
        <v>#NAME?</v>
      </c>
      <c r="AS318" s="7" t="e">
        <f t="shared" ca="1" si="170"/>
        <v>#NAME?</v>
      </c>
      <c r="AT318" s="7" t="e">
        <f t="shared" ca="1" si="170"/>
        <v>#NAME?</v>
      </c>
      <c r="AU318" s="7" t="e">
        <f t="shared" ca="1" si="170"/>
        <v>#NAME?</v>
      </c>
      <c r="AV318" s="7" t="e">
        <f t="shared" ca="1" si="170"/>
        <v>#NAME?</v>
      </c>
      <c r="AW318" s="7" t="e">
        <f t="shared" ca="1" si="170"/>
        <v>#NAME?</v>
      </c>
      <c r="AX318" s="7" t="e">
        <f t="shared" ca="1" si="170"/>
        <v>#NAME?</v>
      </c>
      <c r="AY318" s="7" t="e">
        <f t="shared" ca="1" si="170"/>
        <v>#NAME?</v>
      </c>
      <c r="AZ318" s="7" t="e">
        <f t="shared" ca="1" si="170"/>
        <v>#NAME?</v>
      </c>
      <c r="BA318" s="7" t="e">
        <f t="shared" ca="1" si="170"/>
        <v>#NAME?</v>
      </c>
      <c r="BB318" s="7" t="e">
        <f t="shared" ca="1" si="170"/>
        <v>#NAME?</v>
      </c>
      <c r="BC318" s="7" t="e">
        <f t="shared" ca="1" si="170"/>
        <v>#NAME?</v>
      </c>
      <c r="BD318" s="7" t="e">
        <f t="shared" ca="1" si="170"/>
        <v>#NAME?</v>
      </c>
      <c r="BE318" s="7" t="e">
        <f t="shared" ca="1" si="170"/>
        <v>#NAME?</v>
      </c>
      <c r="BF318" s="7" t="e">
        <f t="shared" ca="1" si="170"/>
        <v>#NAME?</v>
      </c>
      <c r="BG318" s="7" t="e">
        <f t="shared" ca="1" si="170"/>
        <v>#NAME?</v>
      </c>
      <c r="BH318" s="7" t="e">
        <f t="shared" ca="1" si="170"/>
        <v>#NAME?</v>
      </c>
      <c r="BI318" s="7" t="e">
        <f t="shared" ca="1" si="170"/>
        <v>#NAME?</v>
      </c>
      <c r="BJ318" s="7" t="e">
        <f t="shared" ca="1" si="170"/>
        <v>#NAME?</v>
      </c>
      <c r="BK318" s="7" t="e">
        <f t="shared" ca="1" si="170"/>
        <v>#NAME?</v>
      </c>
      <c r="BL318" s="7" t="e">
        <f t="shared" ca="1" si="170"/>
        <v>#NAME?</v>
      </c>
      <c r="BM318" s="7" t="e">
        <f t="shared" ca="1" si="170"/>
        <v>#NAME?</v>
      </c>
      <c r="BN318" s="7" t="e">
        <f t="shared" ca="1" si="170"/>
        <v>#NAME?</v>
      </c>
      <c r="BO318" s="7" t="e">
        <f t="shared" ca="1" si="170"/>
        <v>#NAME?</v>
      </c>
      <c r="BP318" s="7" t="e">
        <f t="shared" ca="1" si="170"/>
        <v>#NAME?</v>
      </c>
      <c r="BQ318" s="7" t="e">
        <f t="shared" ca="1" si="170"/>
        <v>#NAME?</v>
      </c>
      <c r="BR318" s="7" t="e">
        <f t="shared" ca="1" si="170"/>
        <v>#NAME?</v>
      </c>
      <c r="BS318" s="7" t="e">
        <f t="shared" ca="1" si="170"/>
        <v>#NAME?</v>
      </c>
      <c r="BT318" s="7" t="e">
        <f t="shared" ca="1" si="170"/>
        <v>#NAME?</v>
      </c>
      <c r="BU318" s="7" t="e">
        <f t="shared" ca="1" si="170"/>
        <v>#NAME?</v>
      </c>
      <c r="BV318" s="7" t="e">
        <f t="shared" ca="1" si="170"/>
        <v>#NAME?</v>
      </c>
      <c r="BW318" s="7" t="e">
        <f t="shared" ca="1" si="170"/>
        <v>#NAME?</v>
      </c>
      <c r="BX318" s="7" t="e">
        <f t="shared" ca="1" si="170"/>
        <v>#NAME?</v>
      </c>
      <c r="BY318" s="7" t="e">
        <f t="shared" ca="1" si="170"/>
        <v>#NAME?</v>
      </c>
      <c r="BZ318" s="7" t="e">
        <f t="shared" ca="1" si="170"/>
        <v>#NAME?</v>
      </c>
      <c r="CA318" s="7" t="e">
        <f t="shared" ca="1" si="170"/>
        <v>#NAME?</v>
      </c>
      <c r="CB318" s="7" t="e">
        <f t="shared" ca="1" si="170"/>
        <v>#NAME?</v>
      </c>
      <c r="CC318" s="7" t="e">
        <f t="shared" ca="1" si="170"/>
        <v>#NAME?</v>
      </c>
      <c r="CD318" s="7" t="e">
        <f t="shared" ca="1" si="170"/>
        <v>#NAME?</v>
      </c>
      <c r="CE318" s="7" t="e">
        <f t="shared" ca="1" si="170"/>
        <v>#NAME?</v>
      </c>
      <c r="CF318" s="7" t="e">
        <f t="shared" ca="1" si="170"/>
        <v>#NAME?</v>
      </c>
      <c r="CG318" s="7" t="e">
        <f t="shared" ca="1" si="170"/>
        <v>#NAME?</v>
      </c>
      <c r="CH318" s="7" t="e">
        <f t="shared" ca="1" si="170"/>
        <v>#NAME?</v>
      </c>
      <c r="CI318" s="7" t="e">
        <f t="shared" ca="1" si="170"/>
        <v>#NAME?</v>
      </c>
      <c r="CJ318" s="7" t="e">
        <f t="shared" ca="1" si="170"/>
        <v>#NAME?</v>
      </c>
      <c r="CK318" s="7" t="e">
        <f t="shared" ca="1" si="170"/>
        <v>#NAME?</v>
      </c>
      <c r="CL318" s="7" t="e">
        <f t="shared" ca="1" si="170"/>
        <v>#NAME?</v>
      </c>
      <c r="CM318" s="7" t="e">
        <f t="shared" ca="1" si="170"/>
        <v>#NAME?</v>
      </c>
      <c r="CN318" s="7" t="e">
        <f t="shared" ca="1" si="170"/>
        <v>#NAME?</v>
      </c>
      <c r="CO318" s="7" t="e">
        <f t="shared" ca="1" si="170"/>
        <v>#NAME?</v>
      </c>
      <c r="CP318" s="7" t="e">
        <f t="shared" ca="1" si="170"/>
        <v>#NAME?</v>
      </c>
      <c r="CQ318" s="7" t="e">
        <f t="shared" ca="1" si="170"/>
        <v>#NAME?</v>
      </c>
      <c r="CR318" s="7" t="e">
        <f t="shared" ca="1" si="170"/>
        <v>#NAME?</v>
      </c>
      <c r="CS318" s="7" t="e">
        <f t="shared" ca="1" si="170"/>
        <v>#NAME?</v>
      </c>
      <c r="CT318" s="7" t="e">
        <f t="shared" ca="1" si="170"/>
        <v>#NAME?</v>
      </c>
      <c r="CU318" s="7" t="e">
        <f t="shared" ca="1" si="170"/>
        <v>#NAME?</v>
      </c>
      <c r="CV318" s="7" t="e">
        <f t="shared" ca="1" si="170"/>
        <v>#NAME?</v>
      </c>
      <c r="CW318" s="7" t="e">
        <f t="shared" ca="1" si="170"/>
        <v>#NAME?</v>
      </c>
      <c r="CX318" s="7" t="e">
        <f t="shared" ca="1" si="170"/>
        <v>#NAME?</v>
      </c>
      <c r="CY318" s="7" t="e">
        <f t="shared" ca="1" si="170"/>
        <v>#NAME?</v>
      </c>
      <c r="CZ318" s="7" t="e">
        <f t="shared" ca="1" si="170"/>
        <v>#NAME?</v>
      </c>
      <c r="DA318" s="7" t="e">
        <f t="shared" ca="1" si="170"/>
        <v>#NAME?</v>
      </c>
      <c r="DB318" s="7" t="e">
        <f t="shared" ca="1" si="170"/>
        <v>#NAME?</v>
      </c>
      <c r="DC318" s="7" t="e">
        <f t="shared" ca="1" si="170"/>
        <v>#NAME?</v>
      </c>
      <c r="DD318" s="7" t="e">
        <f t="shared" ca="1" si="170"/>
        <v>#NAME?</v>
      </c>
      <c r="DE318" s="7" t="e">
        <f t="shared" ca="1" si="170"/>
        <v>#NAME?</v>
      </c>
      <c r="DF318" s="7" t="e">
        <f t="shared" ca="1" si="170"/>
        <v>#NAME?</v>
      </c>
      <c r="DG318" s="7" t="e">
        <f t="shared" ca="1" si="170"/>
        <v>#NAME?</v>
      </c>
      <c r="DH318" s="7" t="e">
        <f t="shared" ca="1" si="170"/>
        <v>#NAME?</v>
      </c>
      <c r="DI318" s="7" t="e">
        <f t="shared" ca="1" si="170"/>
        <v>#NAME?</v>
      </c>
      <c r="DJ318" s="7" t="e">
        <f t="shared" ca="1" si="170"/>
        <v>#NAME?</v>
      </c>
      <c r="DK318" s="7" t="e">
        <f t="shared" ca="1" si="170"/>
        <v>#NAME?</v>
      </c>
      <c r="DL318" s="7" t="e">
        <f t="shared" ca="1" si="170"/>
        <v>#NAME?</v>
      </c>
      <c r="DM318" s="7" t="e">
        <f t="shared" ca="1" si="170"/>
        <v>#NAME?</v>
      </c>
      <c r="DN318" s="7" t="e">
        <f t="shared" ca="1" si="170"/>
        <v>#NAME?</v>
      </c>
      <c r="DO318" s="7" t="e">
        <f t="shared" ca="1" si="170"/>
        <v>#NAME?</v>
      </c>
      <c r="DP318" s="7" t="e">
        <f t="shared" ca="1" si="170"/>
        <v>#NAME?</v>
      </c>
      <c r="DQ318" s="7" t="e">
        <f t="shared" ca="1" si="170"/>
        <v>#NAME?</v>
      </c>
      <c r="DR318" s="7" t="e">
        <f t="shared" ca="1" si="170"/>
        <v>#NAME?</v>
      </c>
      <c r="DS318" s="7" t="e">
        <f t="shared" ca="1" si="170"/>
        <v>#NAME?</v>
      </c>
      <c r="DT318" s="7" t="e">
        <f t="shared" ca="1" si="170"/>
        <v>#NAME?</v>
      </c>
      <c r="DU318" s="7" t="e">
        <f t="shared" ca="1" si="170"/>
        <v>#NAME?</v>
      </c>
      <c r="DV318" s="7" t="e">
        <f t="shared" ca="1" si="170"/>
        <v>#NAME?</v>
      </c>
      <c r="DW318" s="7" t="e">
        <f t="shared" ca="1" si="170"/>
        <v>#NAME?</v>
      </c>
      <c r="DX318" s="7" t="e">
        <f t="shared" ca="1" si="170"/>
        <v>#NAME?</v>
      </c>
      <c r="DY318" s="7" t="e">
        <f t="shared" ca="1" si="170"/>
        <v>#NAME?</v>
      </c>
      <c r="DZ318" s="7" t="e">
        <f t="shared" ca="1" si="170"/>
        <v>#NAME?</v>
      </c>
      <c r="EA318" s="7" t="e">
        <f t="shared" ca="1" si="170"/>
        <v>#NAME?</v>
      </c>
      <c r="EB318" s="7" t="e">
        <f t="shared" ca="1" si="170"/>
        <v>#NAME?</v>
      </c>
      <c r="EC318" s="7" t="e">
        <f t="shared" ca="1" si="170"/>
        <v>#NAME?</v>
      </c>
      <c r="ED318" s="7" t="e">
        <f t="shared" ca="1" si="170"/>
        <v>#NAME?</v>
      </c>
      <c r="EE318" s="7" t="e">
        <f t="shared" ca="1" si="170"/>
        <v>#NAME?</v>
      </c>
      <c r="EF318" s="7" t="e">
        <f t="shared" ca="1" si="170"/>
        <v>#NAME?</v>
      </c>
      <c r="EG318" s="7" t="e">
        <f t="shared" ca="1" si="170"/>
        <v>#NAME?</v>
      </c>
      <c r="EH318" s="7" t="e">
        <f t="shared" ca="1" si="170"/>
        <v>#NAME?</v>
      </c>
      <c r="EI318" s="7" t="e">
        <f t="shared" ca="1" si="170"/>
        <v>#NAME?</v>
      </c>
      <c r="EJ318" s="7" t="e">
        <f t="shared" ca="1" si="170"/>
        <v>#NAME?</v>
      </c>
      <c r="EK318" s="7" t="e">
        <f t="shared" ca="1" si="170"/>
        <v>#NAME?</v>
      </c>
      <c r="EL318" s="7" t="e">
        <f t="shared" ca="1" si="170"/>
        <v>#NAME?</v>
      </c>
      <c r="EM318" s="7" t="e">
        <f t="shared" ca="1" si="170"/>
        <v>#NAME?</v>
      </c>
      <c r="EN318" s="7" t="e">
        <f t="shared" ca="1" si="170"/>
        <v>#NAME?</v>
      </c>
      <c r="EO318" s="7" t="e">
        <f t="shared" ca="1" si="170"/>
        <v>#NAME?</v>
      </c>
      <c r="EP318" s="7" t="e">
        <f t="shared" ca="1" si="170"/>
        <v>#NAME?</v>
      </c>
      <c r="EQ318" s="7" t="e">
        <f t="shared" ca="1" si="170"/>
        <v>#NAME?</v>
      </c>
      <c r="ER318" s="7" t="e">
        <f t="shared" ca="1" si="170"/>
        <v>#NAME?</v>
      </c>
      <c r="ES318" s="7" t="e">
        <f t="shared" ca="1" si="170"/>
        <v>#NAME?</v>
      </c>
      <c r="ET318" s="7" t="e">
        <f t="shared" ca="1" si="170"/>
        <v>#NAME?</v>
      </c>
      <c r="EU318" s="7" t="e">
        <f t="shared" ca="1" si="170"/>
        <v>#NAME?</v>
      </c>
      <c r="EV318" s="7" t="e">
        <f t="shared" ca="1" si="170"/>
        <v>#NAME?</v>
      </c>
      <c r="EW318" s="7" t="e">
        <f t="shared" ca="1" si="170"/>
        <v>#NAME?</v>
      </c>
      <c r="EX318" s="7" t="e">
        <f t="shared" ca="1" si="170"/>
        <v>#NAME?</v>
      </c>
      <c r="EY318" s="7" t="e">
        <f t="shared" ca="1" si="170"/>
        <v>#NAME?</v>
      </c>
      <c r="EZ318" s="7" t="e">
        <f t="shared" ca="1" si="170"/>
        <v>#NAME?</v>
      </c>
      <c r="FA318" s="7" t="e">
        <f t="shared" ca="1" si="170"/>
        <v>#NAME?</v>
      </c>
      <c r="FB318" s="7" t="e">
        <f t="shared" ca="1" si="170"/>
        <v>#NAME?</v>
      </c>
      <c r="FC318" s="7" t="e">
        <f t="shared" ca="1" si="170"/>
        <v>#NAME?</v>
      </c>
      <c r="FD318" s="7" t="e">
        <f t="shared" ca="1" si="170"/>
        <v>#NAME?</v>
      </c>
      <c r="FE318" s="7" t="e">
        <f t="shared" ca="1" si="170"/>
        <v>#NAME?</v>
      </c>
      <c r="FF318" s="7" t="e">
        <f t="shared" ca="1" si="170"/>
        <v>#NAME?</v>
      </c>
      <c r="FG318" s="7" t="e">
        <f t="shared" ca="1" si="170"/>
        <v>#NAME?</v>
      </c>
      <c r="FH318" s="7" t="e">
        <f t="shared" ca="1" si="170"/>
        <v>#NAME?</v>
      </c>
      <c r="FI318" s="7" t="e">
        <f t="shared" ca="1" si="170"/>
        <v>#NAME?</v>
      </c>
      <c r="FJ318" s="7" t="e">
        <f t="shared" ca="1" si="170"/>
        <v>#NAME?</v>
      </c>
      <c r="FK318" s="7" t="e">
        <f t="shared" ca="1" si="170"/>
        <v>#NAME?</v>
      </c>
      <c r="FL318" s="7" t="e">
        <f t="shared" ca="1" si="170"/>
        <v>#NAME?</v>
      </c>
      <c r="FM318" s="7" t="e">
        <f t="shared" ca="1" si="170"/>
        <v>#NAME?</v>
      </c>
      <c r="FN318" s="7" t="e">
        <f t="shared" ca="1" si="170"/>
        <v>#NAME?</v>
      </c>
      <c r="FO318" s="7" t="e">
        <f t="shared" ca="1" si="170"/>
        <v>#NAME?</v>
      </c>
      <c r="FP318" s="7" t="e">
        <f t="shared" ca="1" si="170"/>
        <v>#NAME?</v>
      </c>
      <c r="FQ318" s="7" t="e">
        <f t="shared" ca="1" si="170"/>
        <v>#NAME?</v>
      </c>
      <c r="FR318" s="7" t="e">
        <f t="shared" ca="1" si="170"/>
        <v>#NAME?</v>
      </c>
      <c r="FS318" s="7" t="e">
        <f t="shared" ca="1" si="170"/>
        <v>#NAME?</v>
      </c>
      <c r="FT318" s="7" t="e">
        <f t="shared" ca="1" si="170"/>
        <v>#NAME?</v>
      </c>
      <c r="FU318" s="7" t="e">
        <f t="shared" ca="1" si="170"/>
        <v>#NAME?</v>
      </c>
      <c r="FV318" s="7" t="e">
        <f t="shared" ca="1" si="170"/>
        <v>#NAME?</v>
      </c>
      <c r="FW318" s="7" t="e">
        <f t="shared" ca="1" si="170"/>
        <v>#NAME?</v>
      </c>
      <c r="FX318" s="7" t="e">
        <f t="shared" ca="1" si="170"/>
        <v>#NAME?</v>
      </c>
      <c r="FY318" s="7">
        <f t="shared" si="170"/>
        <v>0</v>
      </c>
      <c r="FZ318" s="7" t="e">
        <f t="shared" ca="1" si="169"/>
        <v>#NAME?</v>
      </c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</row>
    <row r="319" spans="1:193" ht="15.5" x14ac:dyDescent="0.35">
      <c r="A319" s="12" t="s">
        <v>730</v>
      </c>
      <c r="B319" s="7" t="s">
        <v>1161</v>
      </c>
      <c r="C319" s="7">
        <f t="shared" ref="C319:FY319" si="171">C305</f>
        <v>2560686.85</v>
      </c>
      <c r="D319" s="7">
        <f t="shared" si="171"/>
        <v>6068580.4500000002</v>
      </c>
      <c r="E319" s="7">
        <f t="shared" si="171"/>
        <v>1444121.25</v>
      </c>
      <c r="F319" s="7">
        <f t="shared" si="171"/>
        <v>2186086.4300000002</v>
      </c>
      <c r="G319" s="7">
        <f t="shared" si="171"/>
        <v>428862.04</v>
      </c>
      <c r="H319" s="7">
        <f t="shared" si="171"/>
        <v>184982.61</v>
      </c>
      <c r="I319" s="7">
        <f t="shared" si="171"/>
        <v>1809421.81</v>
      </c>
      <c r="J319" s="7">
        <f t="shared" si="171"/>
        <v>600359.41</v>
      </c>
      <c r="K319" s="7">
        <f t="shared" si="171"/>
        <v>149409.51999999999</v>
      </c>
      <c r="L319" s="7">
        <f t="shared" si="171"/>
        <v>1285932.06</v>
      </c>
      <c r="M319" s="7">
        <f t="shared" si="171"/>
        <v>495734.92</v>
      </c>
      <c r="N319" s="7">
        <f t="shared" si="171"/>
        <v>12893543.369999999</v>
      </c>
      <c r="O319" s="7">
        <f t="shared" si="171"/>
        <v>5184910.91</v>
      </c>
      <c r="P319" s="7">
        <f t="shared" si="171"/>
        <v>98033.26</v>
      </c>
      <c r="Q319" s="7">
        <f t="shared" si="171"/>
        <v>6984070.2400000002</v>
      </c>
      <c r="R319" s="7">
        <f t="shared" si="171"/>
        <v>117387.96</v>
      </c>
      <c r="S319" s="7">
        <f t="shared" si="171"/>
        <v>941027.17</v>
      </c>
      <c r="T319" s="7">
        <f t="shared" si="171"/>
        <v>50774.68</v>
      </c>
      <c r="U319" s="7">
        <f t="shared" si="171"/>
        <v>51513.32</v>
      </c>
      <c r="V319" s="7">
        <f t="shared" si="171"/>
        <v>91452.54</v>
      </c>
      <c r="W319" s="7">
        <f t="shared" si="171"/>
        <v>20485.07</v>
      </c>
      <c r="X319" s="7">
        <f t="shared" si="171"/>
        <v>23503.47</v>
      </c>
      <c r="Y319" s="7">
        <f t="shared" si="171"/>
        <v>145352.82</v>
      </c>
      <c r="Z319" s="7">
        <f t="shared" si="171"/>
        <v>63731.5</v>
      </c>
      <c r="AA319" s="7">
        <f t="shared" si="171"/>
        <v>6802241.46</v>
      </c>
      <c r="AB319" s="7">
        <f t="shared" si="171"/>
        <v>12251040.92</v>
      </c>
      <c r="AC319" s="7">
        <f t="shared" si="171"/>
        <v>578302.21</v>
      </c>
      <c r="AD319" s="7">
        <f t="shared" si="171"/>
        <v>703196.53</v>
      </c>
      <c r="AE319" s="7">
        <f t="shared" si="171"/>
        <v>48617.120000000003</v>
      </c>
      <c r="AF319" s="7">
        <f t="shared" si="171"/>
        <v>86811.59</v>
      </c>
      <c r="AG319" s="7">
        <f t="shared" si="171"/>
        <v>322958.38</v>
      </c>
      <c r="AH319" s="7">
        <f t="shared" si="171"/>
        <v>172657.77</v>
      </c>
      <c r="AI319" s="7">
        <f t="shared" si="171"/>
        <v>53122.47</v>
      </c>
      <c r="AJ319" s="7">
        <f t="shared" si="171"/>
        <v>128163.01</v>
      </c>
      <c r="AK319" s="7">
        <f t="shared" si="171"/>
        <v>74603.09</v>
      </c>
      <c r="AL319" s="7">
        <f t="shared" si="171"/>
        <v>98388.41</v>
      </c>
      <c r="AM319" s="7">
        <f t="shared" si="171"/>
        <v>115377.55</v>
      </c>
      <c r="AN319" s="7">
        <f t="shared" si="171"/>
        <v>413990.07</v>
      </c>
      <c r="AO319" s="7">
        <f t="shared" si="171"/>
        <v>1676936.43</v>
      </c>
      <c r="AP319" s="7">
        <f t="shared" si="171"/>
        <v>37700132.310000002</v>
      </c>
      <c r="AQ319" s="7">
        <f t="shared" si="171"/>
        <v>97428.55</v>
      </c>
      <c r="AR319" s="7">
        <f t="shared" si="171"/>
        <v>21880966.199999999</v>
      </c>
      <c r="AS319" s="7">
        <f t="shared" si="171"/>
        <v>2513262.4</v>
      </c>
      <c r="AT319" s="7">
        <f t="shared" si="171"/>
        <v>1167107.3600000001</v>
      </c>
      <c r="AU319" s="7">
        <f t="shared" si="171"/>
        <v>178802.57</v>
      </c>
      <c r="AV319" s="7">
        <f t="shared" si="171"/>
        <v>179035.75</v>
      </c>
      <c r="AW319" s="7">
        <f t="shared" si="171"/>
        <v>102589.94</v>
      </c>
      <c r="AX319" s="7">
        <f t="shared" si="171"/>
        <v>78396.2</v>
      </c>
      <c r="AY319" s="7">
        <f t="shared" si="171"/>
        <v>127245.96</v>
      </c>
      <c r="AZ319" s="7">
        <f t="shared" si="171"/>
        <v>1512386.73</v>
      </c>
      <c r="BA319" s="7">
        <f t="shared" si="171"/>
        <v>2187937.56</v>
      </c>
      <c r="BB319" s="7">
        <f t="shared" si="171"/>
        <v>485771.55</v>
      </c>
      <c r="BC319" s="7">
        <f t="shared" si="171"/>
        <v>8539684.5500000007</v>
      </c>
      <c r="BD319" s="7">
        <f t="shared" si="171"/>
        <v>1409316.74</v>
      </c>
      <c r="BE319" s="7">
        <f t="shared" si="171"/>
        <v>425098.36</v>
      </c>
      <c r="BF319" s="7">
        <f t="shared" si="171"/>
        <v>6979427.0599999996</v>
      </c>
      <c r="BG319" s="7">
        <f t="shared" si="171"/>
        <v>115579.55</v>
      </c>
      <c r="BH319" s="7">
        <f t="shared" si="171"/>
        <v>147663.12</v>
      </c>
      <c r="BI319" s="7">
        <f t="shared" si="171"/>
        <v>55868.160000000003</v>
      </c>
      <c r="BJ319" s="7">
        <f t="shared" si="171"/>
        <v>1934186.26</v>
      </c>
      <c r="BK319" s="7">
        <f t="shared" si="171"/>
        <v>1031173.03</v>
      </c>
      <c r="BL319" s="7">
        <f t="shared" si="171"/>
        <v>18195.330000000002</v>
      </c>
      <c r="BM319" s="7">
        <f t="shared" si="171"/>
        <v>91995.89</v>
      </c>
      <c r="BN319" s="7">
        <f t="shared" si="171"/>
        <v>1139858.77</v>
      </c>
      <c r="BO319" s="7">
        <f t="shared" si="171"/>
        <v>396388.6</v>
      </c>
      <c r="BP319" s="7">
        <f t="shared" si="171"/>
        <v>245997.25</v>
      </c>
      <c r="BQ319" s="7">
        <f t="shared" si="171"/>
        <v>1733716.34</v>
      </c>
      <c r="BR319" s="7">
        <f t="shared" si="171"/>
        <v>459017.22</v>
      </c>
      <c r="BS319" s="7">
        <f t="shared" si="171"/>
        <v>258944.15</v>
      </c>
      <c r="BT319" s="7">
        <f t="shared" si="171"/>
        <v>149392.14000000001</v>
      </c>
      <c r="BU319" s="7">
        <f t="shared" si="171"/>
        <v>109362.84</v>
      </c>
      <c r="BV319" s="7">
        <f t="shared" si="171"/>
        <v>817601.21</v>
      </c>
      <c r="BW319" s="7">
        <f t="shared" si="171"/>
        <v>711654.23</v>
      </c>
      <c r="BX319" s="7">
        <f t="shared" si="171"/>
        <v>99943.77</v>
      </c>
      <c r="BY319" s="7">
        <f t="shared" si="171"/>
        <v>193396.48000000001</v>
      </c>
      <c r="BZ319" s="7">
        <f t="shared" si="171"/>
        <v>99867.18</v>
      </c>
      <c r="CA319" s="7">
        <f t="shared" si="171"/>
        <v>394616.81</v>
      </c>
      <c r="CB319" s="7">
        <f t="shared" si="171"/>
        <v>24768877.350000001</v>
      </c>
      <c r="CC319" s="7">
        <f t="shared" si="171"/>
        <v>91062.73</v>
      </c>
      <c r="CD319" s="7">
        <f t="shared" si="171"/>
        <v>72919.69</v>
      </c>
      <c r="CE319" s="7">
        <f t="shared" si="171"/>
        <v>104487.79</v>
      </c>
      <c r="CF319" s="7">
        <f t="shared" si="171"/>
        <v>86249.23</v>
      </c>
      <c r="CG319" s="7">
        <f t="shared" si="171"/>
        <v>74426.7</v>
      </c>
      <c r="CH319" s="7">
        <f t="shared" si="171"/>
        <v>33444.1</v>
      </c>
      <c r="CI319" s="7">
        <f t="shared" si="171"/>
        <v>320790.64</v>
      </c>
      <c r="CJ319" s="7">
        <f t="shared" si="171"/>
        <v>313858.84000000003</v>
      </c>
      <c r="CK319" s="7">
        <f t="shared" si="171"/>
        <v>1519908.61</v>
      </c>
      <c r="CL319" s="7">
        <f t="shared" si="171"/>
        <v>233618.03</v>
      </c>
      <c r="CM319" s="7">
        <f t="shared" si="171"/>
        <v>113893.58</v>
      </c>
      <c r="CN319" s="7">
        <f t="shared" si="171"/>
        <v>8605084.4100000001</v>
      </c>
      <c r="CO319" s="7">
        <f t="shared" si="171"/>
        <v>5153394.09</v>
      </c>
      <c r="CP319" s="7">
        <f t="shared" si="171"/>
        <v>734189.06</v>
      </c>
      <c r="CQ319" s="7">
        <f t="shared" si="171"/>
        <v>386426.67</v>
      </c>
      <c r="CR319" s="7">
        <f t="shared" si="171"/>
        <v>80485.73</v>
      </c>
      <c r="CS319" s="7">
        <f t="shared" si="171"/>
        <v>248224.67</v>
      </c>
      <c r="CT319" s="7">
        <f t="shared" si="171"/>
        <v>85958.85</v>
      </c>
      <c r="CU319" s="7">
        <f t="shared" si="171"/>
        <v>58359.59</v>
      </c>
      <c r="CV319" s="7">
        <f t="shared" si="171"/>
        <v>47858.69</v>
      </c>
      <c r="CW319" s="7">
        <f t="shared" si="171"/>
        <v>134115.63</v>
      </c>
      <c r="CX319" s="7">
        <f t="shared" si="171"/>
        <v>243713.34</v>
      </c>
      <c r="CY319" s="7">
        <f t="shared" si="171"/>
        <v>18970.75</v>
      </c>
      <c r="CZ319" s="7">
        <f t="shared" si="171"/>
        <v>629899.39</v>
      </c>
      <c r="DA319" s="7">
        <f t="shared" si="171"/>
        <v>123499.93</v>
      </c>
      <c r="DB319" s="7">
        <f t="shared" si="171"/>
        <v>101395.44</v>
      </c>
      <c r="DC319" s="7">
        <f t="shared" si="171"/>
        <v>112080.46</v>
      </c>
      <c r="DD319" s="7">
        <f t="shared" si="171"/>
        <v>97944.92</v>
      </c>
      <c r="DE319" s="7">
        <f t="shared" si="171"/>
        <v>288400.14</v>
      </c>
      <c r="DF319" s="7">
        <f t="shared" si="171"/>
        <v>7817551.8200000003</v>
      </c>
      <c r="DG319" s="7">
        <f t="shared" si="171"/>
        <v>118174.05</v>
      </c>
      <c r="DH319" s="7">
        <f t="shared" si="171"/>
        <v>1002544.97</v>
      </c>
      <c r="DI319" s="7">
        <f t="shared" si="171"/>
        <v>1169415.45</v>
      </c>
      <c r="DJ319" s="7">
        <f t="shared" si="171"/>
        <v>169846.5</v>
      </c>
      <c r="DK319" s="7">
        <f t="shared" si="171"/>
        <v>88144.5</v>
      </c>
      <c r="DL319" s="7">
        <f t="shared" si="171"/>
        <v>2420056.54</v>
      </c>
      <c r="DM319" s="7">
        <f t="shared" si="171"/>
        <v>77790.55</v>
      </c>
      <c r="DN319" s="7">
        <f t="shared" si="171"/>
        <v>628414.66</v>
      </c>
      <c r="DO319" s="7">
        <f t="shared" si="171"/>
        <v>761258.72</v>
      </c>
      <c r="DP319" s="7">
        <f t="shared" si="171"/>
        <v>77422.7</v>
      </c>
      <c r="DQ319" s="7">
        <f t="shared" si="171"/>
        <v>409714.16</v>
      </c>
      <c r="DR319" s="7">
        <f t="shared" si="171"/>
        <v>475735.48</v>
      </c>
      <c r="DS319" s="7">
        <f t="shared" si="171"/>
        <v>198489</v>
      </c>
      <c r="DT319" s="7">
        <f t="shared" si="171"/>
        <v>53085.02</v>
      </c>
      <c r="DU319" s="7">
        <f t="shared" si="171"/>
        <v>128255.13</v>
      </c>
      <c r="DV319" s="7">
        <f t="shared" si="171"/>
        <v>49041.63</v>
      </c>
      <c r="DW319" s="7">
        <f t="shared" si="171"/>
        <v>105819.77</v>
      </c>
      <c r="DX319" s="7">
        <f t="shared" si="171"/>
        <v>165524.42000000001</v>
      </c>
      <c r="DY319" s="7">
        <f t="shared" si="171"/>
        <v>211849.28</v>
      </c>
      <c r="DZ319" s="7">
        <f t="shared" si="171"/>
        <v>440337.14</v>
      </c>
      <c r="EA319" s="7">
        <f t="shared" si="171"/>
        <v>606678.97</v>
      </c>
      <c r="EB319" s="7">
        <f t="shared" si="171"/>
        <v>264983.83</v>
      </c>
      <c r="EC319" s="7">
        <f t="shared" si="171"/>
        <v>112196.29</v>
      </c>
      <c r="ED319" s="7">
        <f t="shared" si="171"/>
        <v>606490.69999999995</v>
      </c>
      <c r="EE319" s="7">
        <f t="shared" si="171"/>
        <v>69368.460000000006</v>
      </c>
      <c r="EF319" s="7">
        <f t="shared" si="171"/>
        <v>327633.84999999998</v>
      </c>
      <c r="EG319" s="7">
        <f t="shared" si="171"/>
        <v>120677.96</v>
      </c>
      <c r="EH319" s="7">
        <f t="shared" si="171"/>
        <v>51207.78</v>
      </c>
      <c r="EI319" s="7">
        <f t="shared" si="171"/>
        <v>3323220.8</v>
      </c>
      <c r="EJ319" s="7">
        <f t="shared" si="171"/>
        <v>2056399.34</v>
      </c>
      <c r="EK319" s="7">
        <f t="shared" si="171"/>
        <v>137117.85</v>
      </c>
      <c r="EL319" s="7">
        <f t="shared" si="171"/>
        <v>36713.550000000003</v>
      </c>
      <c r="EM319" s="7">
        <f t="shared" si="171"/>
        <v>247634.55</v>
      </c>
      <c r="EN319" s="7">
        <f t="shared" si="171"/>
        <v>285190.57</v>
      </c>
      <c r="EO319" s="7">
        <f t="shared" si="171"/>
        <v>144936.91</v>
      </c>
      <c r="EP319" s="7">
        <f t="shared" si="171"/>
        <v>223170.3</v>
      </c>
      <c r="EQ319" s="7">
        <f t="shared" si="171"/>
        <v>1024267.5</v>
      </c>
      <c r="ER319" s="7">
        <f t="shared" si="171"/>
        <v>209171.85</v>
      </c>
      <c r="ES319" s="7">
        <f t="shared" si="171"/>
        <v>106678.02</v>
      </c>
      <c r="ET319" s="7">
        <f t="shared" si="171"/>
        <v>133939.82999999999</v>
      </c>
      <c r="EU319" s="7">
        <f t="shared" si="171"/>
        <v>189375.43</v>
      </c>
      <c r="EV319" s="7">
        <f t="shared" si="171"/>
        <v>43464.959999999999</v>
      </c>
      <c r="EW319" s="7">
        <f t="shared" si="171"/>
        <v>341846.47</v>
      </c>
      <c r="EX319" s="7">
        <f t="shared" si="171"/>
        <v>19788.41</v>
      </c>
      <c r="EY319" s="7">
        <f t="shared" si="171"/>
        <v>106184.84</v>
      </c>
      <c r="EZ319" s="7">
        <f t="shared" si="171"/>
        <v>92250.34</v>
      </c>
      <c r="FA319" s="7">
        <f t="shared" si="171"/>
        <v>1567984.63</v>
      </c>
      <c r="FB319" s="7">
        <f t="shared" si="171"/>
        <v>469609.63</v>
      </c>
      <c r="FC319" s="7">
        <f t="shared" si="171"/>
        <v>926616</v>
      </c>
      <c r="FD319" s="7">
        <f t="shared" si="171"/>
        <v>157711.57</v>
      </c>
      <c r="FE319" s="7">
        <f t="shared" si="171"/>
        <v>64813.09</v>
      </c>
      <c r="FF319" s="7">
        <f t="shared" si="171"/>
        <v>70542.399999999994</v>
      </c>
      <c r="FG319" s="7">
        <f t="shared" si="171"/>
        <v>71488.67</v>
      </c>
      <c r="FH319" s="7">
        <f t="shared" si="171"/>
        <v>112198.64</v>
      </c>
      <c r="FI319" s="7">
        <f t="shared" si="171"/>
        <v>558618.73</v>
      </c>
      <c r="FJ319" s="7">
        <f t="shared" si="171"/>
        <v>861473.15</v>
      </c>
      <c r="FK319" s="7">
        <f t="shared" si="171"/>
        <v>927120.98</v>
      </c>
      <c r="FL319" s="7">
        <f t="shared" si="171"/>
        <v>1829177.87</v>
      </c>
      <c r="FM319" s="7">
        <f t="shared" si="171"/>
        <v>532404.37</v>
      </c>
      <c r="FN319" s="7">
        <f t="shared" si="171"/>
        <v>3532207.73</v>
      </c>
      <c r="FO319" s="7">
        <f t="shared" si="171"/>
        <v>629176.46</v>
      </c>
      <c r="FP319" s="7">
        <f t="shared" si="171"/>
        <v>752042.46</v>
      </c>
      <c r="FQ319" s="7">
        <f t="shared" si="171"/>
        <v>409839.03</v>
      </c>
      <c r="FR319" s="7">
        <f t="shared" si="171"/>
        <v>177143.45</v>
      </c>
      <c r="FS319" s="7">
        <f t="shared" si="171"/>
        <v>72860.350000000006</v>
      </c>
      <c r="FT319" s="7">
        <f t="shared" si="171"/>
        <v>109456.97</v>
      </c>
      <c r="FU319" s="7">
        <f t="shared" si="171"/>
        <v>297429.19</v>
      </c>
      <c r="FV319" s="7">
        <f t="shared" si="171"/>
        <v>195022.78</v>
      </c>
      <c r="FW319" s="7">
        <f t="shared" si="171"/>
        <v>48430.720000000001</v>
      </c>
      <c r="FX319" s="7">
        <f t="shared" si="171"/>
        <v>39107.11</v>
      </c>
      <c r="FY319" s="7">
        <f t="shared" si="171"/>
        <v>0</v>
      </c>
      <c r="FZ319" s="7">
        <f t="shared" si="169"/>
        <v>249920454.66999993</v>
      </c>
      <c r="GB319" s="7"/>
      <c r="GC319" s="7"/>
      <c r="GD319" s="15"/>
      <c r="GE319" s="15"/>
      <c r="GF319" s="7"/>
      <c r="GG319" s="7"/>
      <c r="GH319" s="7"/>
      <c r="GI319" s="7"/>
      <c r="GJ319" s="7"/>
      <c r="GK319" s="7"/>
    </row>
    <row r="320" spans="1:193" ht="15.5" x14ac:dyDescent="0.35">
      <c r="A320" s="12" t="s">
        <v>732</v>
      </c>
      <c r="B320" s="7" t="s">
        <v>733</v>
      </c>
      <c r="C320" s="7" t="e">
        <f t="shared" ref="C320:FX320" ca="1" si="172">C306+C315</f>
        <v>#NAME?</v>
      </c>
      <c r="D320" s="7" t="e">
        <f t="shared" ca="1" si="172"/>
        <v>#NAME?</v>
      </c>
      <c r="E320" s="7" t="e">
        <f t="shared" ca="1" si="172"/>
        <v>#NAME?</v>
      </c>
      <c r="F320" s="7" t="e">
        <f t="shared" ca="1" si="172"/>
        <v>#NAME?</v>
      </c>
      <c r="G320" s="7" t="e">
        <f t="shared" ca="1" si="172"/>
        <v>#NAME?</v>
      </c>
      <c r="H320" s="7" t="e">
        <f t="shared" ca="1" si="172"/>
        <v>#NAME?</v>
      </c>
      <c r="I320" s="7" t="e">
        <f t="shared" ca="1" si="172"/>
        <v>#NAME?</v>
      </c>
      <c r="J320" s="7" t="e">
        <f t="shared" ca="1" si="172"/>
        <v>#NAME?</v>
      </c>
      <c r="K320" s="7" t="e">
        <f t="shared" ca="1" si="172"/>
        <v>#NAME?</v>
      </c>
      <c r="L320" s="7" t="e">
        <f t="shared" ca="1" si="172"/>
        <v>#NAME?</v>
      </c>
      <c r="M320" s="7" t="e">
        <f t="shared" ca="1" si="172"/>
        <v>#NAME?</v>
      </c>
      <c r="N320" s="7" t="e">
        <f t="shared" ca="1" si="172"/>
        <v>#NAME?</v>
      </c>
      <c r="O320" s="7" t="e">
        <f t="shared" ca="1" si="172"/>
        <v>#NAME?</v>
      </c>
      <c r="P320" s="7" t="e">
        <f t="shared" ca="1" si="172"/>
        <v>#NAME?</v>
      </c>
      <c r="Q320" s="7" t="e">
        <f t="shared" ca="1" si="172"/>
        <v>#NAME?</v>
      </c>
      <c r="R320" s="7" t="e">
        <f t="shared" ca="1" si="172"/>
        <v>#NAME?</v>
      </c>
      <c r="S320" s="7" t="e">
        <f t="shared" ca="1" si="172"/>
        <v>#NAME?</v>
      </c>
      <c r="T320" s="7" t="e">
        <f t="shared" ca="1" si="172"/>
        <v>#NAME?</v>
      </c>
      <c r="U320" s="7" t="e">
        <f t="shared" ca="1" si="172"/>
        <v>#NAME?</v>
      </c>
      <c r="V320" s="7" t="e">
        <f t="shared" ca="1" si="172"/>
        <v>#NAME?</v>
      </c>
      <c r="W320" s="7" t="e">
        <f t="shared" ca="1" si="172"/>
        <v>#NAME?</v>
      </c>
      <c r="X320" s="7" t="e">
        <f t="shared" ca="1" si="172"/>
        <v>#NAME?</v>
      </c>
      <c r="Y320" s="7" t="e">
        <f t="shared" ca="1" si="172"/>
        <v>#NAME?</v>
      </c>
      <c r="Z320" s="7" t="e">
        <f t="shared" ca="1" si="172"/>
        <v>#NAME?</v>
      </c>
      <c r="AA320" s="7" t="e">
        <f t="shared" ca="1" si="172"/>
        <v>#NAME?</v>
      </c>
      <c r="AB320" s="7" t="e">
        <f t="shared" ca="1" si="172"/>
        <v>#NAME?</v>
      </c>
      <c r="AC320" s="7" t="e">
        <f t="shared" ca="1" si="172"/>
        <v>#NAME?</v>
      </c>
      <c r="AD320" s="7" t="e">
        <f t="shared" ca="1" si="172"/>
        <v>#NAME?</v>
      </c>
      <c r="AE320" s="7" t="e">
        <f t="shared" ca="1" si="172"/>
        <v>#NAME?</v>
      </c>
      <c r="AF320" s="7" t="e">
        <f t="shared" ca="1" si="172"/>
        <v>#NAME?</v>
      </c>
      <c r="AG320" s="7" t="e">
        <f t="shared" ca="1" si="172"/>
        <v>#NAME?</v>
      </c>
      <c r="AH320" s="7" t="e">
        <f t="shared" ca="1" si="172"/>
        <v>#NAME?</v>
      </c>
      <c r="AI320" s="7" t="e">
        <f t="shared" ca="1" si="172"/>
        <v>#NAME?</v>
      </c>
      <c r="AJ320" s="7" t="e">
        <f t="shared" ca="1" si="172"/>
        <v>#NAME?</v>
      </c>
      <c r="AK320" s="7" t="e">
        <f t="shared" ca="1" si="172"/>
        <v>#NAME?</v>
      </c>
      <c r="AL320" s="7" t="e">
        <f t="shared" ca="1" si="172"/>
        <v>#NAME?</v>
      </c>
      <c r="AM320" s="7" t="e">
        <f t="shared" ca="1" si="172"/>
        <v>#NAME?</v>
      </c>
      <c r="AN320" s="7" t="e">
        <f t="shared" ca="1" si="172"/>
        <v>#NAME?</v>
      </c>
      <c r="AO320" s="7" t="e">
        <f t="shared" ca="1" si="172"/>
        <v>#NAME?</v>
      </c>
      <c r="AP320" s="7" t="e">
        <f t="shared" ca="1" si="172"/>
        <v>#NAME?</v>
      </c>
      <c r="AQ320" s="7" t="e">
        <f t="shared" ca="1" si="172"/>
        <v>#NAME?</v>
      </c>
      <c r="AR320" s="7" t="e">
        <f t="shared" ca="1" si="172"/>
        <v>#NAME?</v>
      </c>
      <c r="AS320" s="7" t="e">
        <f t="shared" ca="1" si="172"/>
        <v>#NAME?</v>
      </c>
      <c r="AT320" s="7" t="e">
        <f t="shared" ca="1" si="172"/>
        <v>#NAME?</v>
      </c>
      <c r="AU320" s="7" t="e">
        <f t="shared" ca="1" si="172"/>
        <v>#NAME?</v>
      </c>
      <c r="AV320" s="7" t="e">
        <f t="shared" ca="1" si="172"/>
        <v>#NAME?</v>
      </c>
      <c r="AW320" s="7" t="e">
        <f t="shared" ca="1" si="172"/>
        <v>#NAME?</v>
      </c>
      <c r="AX320" s="7" t="e">
        <f t="shared" ca="1" si="172"/>
        <v>#NAME?</v>
      </c>
      <c r="AY320" s="7" t="e">
        <f t="shared" ca="1" si="172"/>
        <v>#NAME?</v>
      </c>
      <c r="AZ320" s="7" t="e">
        <f t="shared" ca="1" si="172"/>
        <v>#NAME?</v>
      </c>
      <c r="BA320" s="7" t="e">
        <f t="shared" ca="1" si="172"/>
        <v>#NAME?</v>
      </c>
      <c r="BB320" s="7" t="e">
        <f t="shared" ca="1" si="172"/>
        <v>#NAME?</v>
      </c>
      <c r="BC320" s="7" t="e">
        <f t="shared" ca="1" si="172"/>
        <v>#NAME?</v>
      </c>
      <c r="BD320" s="7" t="e">
        <f t="shared" ca="1" si="172"/>
        <v>#NAME?</v>
      </c>
      <c r="BE320" s="7" t="e">
        <f t="shared" ca="1" si="172"/>
        <v>#NAME?</v>
      </c>
      <c r="BF320" s="7" t="e">
        <f t="shared" ca="1" si="172"/>
        <v>#NAME?</v>
      </c>
      <c r="BG320" s="7" t="e">
        <f t="shared" ca="1" si="172"/>
        <v>#NAME?</v>
      </c>
      <c r="BH320" s="7" t="e">
        <f t="shared" ca="1" si="172"/>
        <v>#NAME?</v>
      </c>
      <c r="BI320" s="7" t="e">
        <f t="shared" ca="1" si="172"/>
        <v>#NAME?</v>
      </c>
      <c r="BJ320" s="7" t="e">
        <f t="shared" ca="1" si="172"/>
        <v>#NAME?</v>
      </c>
      <c r="BK320" s="7" t="e">
        <f t="shared" ca="1" si="172"/>
        <v>#NAME?</v>
      </c>
      <c r="BL320" s="7" t="e">
        <f t="shared" ca="1" si="172"/>
        <v>#NAME?</v>
      </c>
      <c r="BM320" s="7" t="e">
        <f t="shared" ca="1" si="172"/>
        <v>#NAME?</v>
      </c>
      <c r="BN320" s="7" t="e">
        <f t="shared" ca="1" si="172"/>
        <v>#NAME?</v>
      </c>
      <c r="BO320" s="7" t="e">
        <f t="shared" ca="1" si="172"/>
        <v>#NAME?</v>
      </c>
      <c r="BP320" s="7" t="e">
        <f t="shared" ca="1" si="172"/>
        <v>#NAME?</v>
      </c>
      <c r="BQ320" s="7" t="e">
        <f t="shared" ca="1" si="172"/>
        <v>#NAME?</v>
      </c>
      <c r="BR320" s="7" t="e">
        <f t="shared" ca="1" si="172"/>
        <v>#NAME?</v>
      </c>
      <c r="BS320" s="7" t="e">
        <f t="shared" ca="1" si="172"/>
        <v>#NAME?</v>
      </c>
      <c r="BT320" s="7" t="e">
        <f t="shared" ca="1" si="172"/>
        <v>#NAME?</v>
      </c>
      <c r="BU320" s="7" t="e">
        <f t="shared" ca="1" si="172"/>
        <v>#NAME?</v>
      </c>
      <c r="BV320" s="7" t="e">
        <f t="shared" ca="1" si="172"/>
        <v>#NAME?</v>
      </c>
      <c r="BW320" s="7" t="e">
        <f t="shared" ca="1" si="172"/>
        <v>#NAME?</v>
      </c>
      <c r="BX320" s="7" t="e">
        <f t="shared" ca="1" si="172"/>
        <v>#NAME?</v>
      </c>
      <c r="BY320" s="7" t="e">
        <f t="shared" ca="1" si="172"/>
        <v>#NAME?</v>
      </c>
      <c r="BZ320" s="7" t="e">
        <f t="shared" ca="1" si="172"/>
        <v>#NAME?</v>
      </c>
      <c r="CA320" s="7" t="e">
        <f t="shared" ca="1" si="172"/>
        <v>#NAME?</v>
      </c>
      <c r="CB320" s="7" t="e">
        <f t="shared" ca="1" si="172"/>
        <v>#NAME?</v>
      </c>
      <c r="CC320" s="7" t="e">
        <f t="shared" ca="1" si="172"/>
        <v>#NAME?</v>
      </c>
      <c r="CD320" s="7" t="e">
        <f t="shared" ca="1" si="172"/>
        <v>#NAME?</v>
      </c>
      <c r="CE320" s="7" t="e">
        <f t="shared" ca="1" si="172"/>
        <v>#NAME?</v>
      </c>
      <c r="CF320" s="7" t="e">
        <f t="shared" ca="1" si="172"/>
        <v>#NAME?</v>
      </c>
      <c r="CG320" s="7" t="e">
        <f t="shared" ca="1" si="172"/>
        <v>#NAME?</v>
      </c>
      <c r="CH320" s="7" t="e">
        <f t="shared" ca="1" si="172"/>
        <v>#NAME?</v>
      </c>
      <c r="CI320" s="7" t="e">
        <f t="shared" ca="1" si="172"/>
        <v>#NAME?</v>
      </c>
      <c r="CJ320" s="7" t="e">
        <f t="shared" ca="1" si="172"/>
        <v>#NAME?</v>
      </c>
      <c r="CK320" s="7" t="e">
        <f t="shared" ca="1" si="172"/>
        <v>#NAME?</v>
      </c>
      <c r="CL320" s="7" t="e">
        <f t="shared" ca="1" si="172"/>
        <v>#NAME?</v>
      </c>
      <c r="CM320" s="7" t="e">
        <f t="shared" ca="1" si="172"/>
        <v>#NAME?</v>
      </c>
      <c r="CN320" s="7" t="e">
        <f t="shared" ca="1" si="172"/>
        <v>#NAME?</v>
      </c>
      <c r="CO320" s="7" t="e">
        <f t="shared" ca="1" si="172"/>
        <v>#NAME?</v>
      </c>
      <c r="CP320" s="7" t="e">
        <f t="shared" ca="1" si="172"/>
        <v>#NAME?</v>
      </c>
      <c r="CQ320" s="7" t="e">
        <f t="shared" ca="1" si="172"/>
        <v>#NAME?</v>
      </c>
      <c r="CR320" s="7" t="e">
        <f t="shared" ca="1" si="172"/>
        <v>#NAME?</v>
      </c>
      <c r="CS320" s="7" t="e">
        <f t="shared" ca="1" si="172"/>
        <v>#NAME?</v>
      </c>
      <c r="CT320" s="7" t="e">
        <f t="shared" ca="1" si="172"/>
        <v>#NAME?</v>
      </c>
      <c r="CU320" s="7" t="e">
        <f t="shared" ca="1" si="172"/>
        <v>#NAME?</v>
      </c>
      <c r="CV320" s="7" t="e">
        <f t="shared" ca="1" si="172"/>
        <v>#NAME?</v>
      </c>
      <c r="CW320" s="7" t="e">
        <f t="shared" ca="1" si="172"/>
        <v>#NAME?</v>
      </c>
      <c r="CX320" s="7" t="e">
        <f t="shared" ca="1" si="172"/>
        <v>#NAME?</v>
      </c>
      <c r="CY320" s="7" t="e">
        <f t="shared" ca="1" si="172"/>
        <v>#NAME?</v>
      </c>
      <c r="CZ320" s="7" t="e">
        <f t="shared" ca="1" si="172"/>
        <v>#NAME?</v>
      </c>
      <c r="DA320" s="7" t="e">
        <f t="shared" ca="1" si="172"/>
        <v>#NAME?</v>
      </c>
      <c r="DB320" s="7" t="e">
        <f t="shared" ca="1" si="172"/>
        <v>#NAME?</v>
      </c>
      <c r="DC320" s="7" t="e">
        <f t="shared" ca="1" si="172"/>
        <v>#NAME?</v>
      </c>
      <c r="DD320" s="7" t="e">
        <f t="shared" ca="1" si="172"/>
        <v>#NAME?</v>
      </c>
      <c r="DE320" s="7" t="e">
        <f t="shared" ca="1" si="172"/>
        <v>#NAME?</v>
      </c>
      <c r="DF320" s="7" t="e">
        <f t="shared" ca="1" si="172"/>
        <v>#NAME?</v>
      </c>
      <c r="DG320" s="7" t="e">
        <f t="shared" ca="1" si="172"/>
        <v>#NAME?</v>
      </c>
      <c r="DH320" s="7" t="e">
        <f t="shared" ca="1" si="172"/>
        <v>#NAME?</v>
      </c>
      <c r="DI320" s="7" t="e">
        <f t="shared" ca="1" si="172"/>
        <v>#NAME?</v>
      </c>
      <c r="DJ320" s="7" t="e">
        <f t="shared" ca="1" si="172"/>
        <v>#NAME?</v>
      </c>
      <c r="DK320" s="7" t="e">
        <f t="shared" ca="1" si="172"/>
        <v>#NAME?</v>
      </c>
      <c r="DL320" s="7" t="e">
        <f t="shared" ca="1" si="172"/>
        <v>#NAME?</v>
      </c>
      <c r="DM320" s="7" t="e">
        <f t="shared" ca="1" si="172"/>
        <v>#NAME?</v>
      </c>
      <c r="DN320" s="7" t="e">
        <f t="shared" ca="1" si="172"/>
        <v>#NAME?</v>
      </c>
      <c r="DO320" s="7" t="e">
        <f t="shared" ca="1" si="172"/>
        <v>#NAME?</v>
      </c>
      <c r="DP320" s="7" t="e">
        <f t="shared" ca="1" si="172"/>
        <v>#NAME?</v>
      </c>
      <c r="DQ320" s="7" t="e">
        <f t="shared" ca="1" si="172"/>
        <v>#NAME?</v>
      </c>
      <c r="DR320" s="7" t="e">
        <f t="shared" ca="1" si="172"/>
        <v>#NAME?</v>
      </c>
      <c r="DS320" s="7" t="e">
        <f t="shared" ca="1" si="172"/>
        <v>#NAME?</v>
      </c>
      <c r="DT320" s="7" t="e">
        <f t="shared" ca="1" si="172"/>
        <v>#NAME?</v>
      </c>
      <c r="DU320" s="7" t="e">
        <f t="shared" ca="1" si="172"/>
        <v>#NAME?</v>
      </c>
      <c r="DV320" s="7" t="e">
        <f t="shared" ca="1" si="172"/>
        <v>#NAME?</v>
      </c>
      <c r="DW320" s="7" t="e">
        <f t="shared" ca="1" si="172"/>
        <v>#NAME?</v>
      </c>
      <c r="DX320" s="7" t="e">
        <f t="shared" ca="1" si="172"/>
        <v>#NAME?</v>
      </c>
      <c r="DY320" s="7" t="e">
        <f t="shared" ca="1" si="172"/>
        <v>#NAME?</v>
      </c>
      <c r="DZ320" s="7" t="e">
        <f t="shared" ca="1" si="172"/>
        <v>#NAME?</v>
      </c>
      <c r="EA320" s="7" t="e">
        <f t="shared" ca="1" si="172"/>
        <v>#NAME?</v>
      </c>
      <c r="EB320" s="7" t="e">
        <f t="shared" ca="1" si="172"/>
        <v>#NAME?</v>
      </c>
      <c r="EC320" s="7" t="e">
        <f t="shared" ca="1" si="172"/>
        <v>#NAME?</v>
      </c>
      <c r="ED320" s="7" t="e">
        <f t="shared" ca="1" si="172"/>
        <v>#NAME?</v>
      </c>
      <c r="EE320" s="7" t="e">
        <f t="shared" ca="1" si="172"/>
        <v>#NAME?</v>
      </c>
      <c r="EF320" s="7" t="e">
        <f t="shared" ca="1" si="172"/>
        <v>#NAME?</v>
      </c>
      <c r="EG320" s="7" t="e">
        <f t="shared" ca="1" si="172"/>
        <v>#NAME?</v>
      </c>
      <c r="EH320" s="7" t="e">
        <f t="shared" ca="1" si="172"/>
        <v>#NAME?</v>
      </c>
      <c r="EI320" s="7" t="e">
        <f t="shared" ca="1" si="172"/>
        <v>#NAME?</v>
      </c>
      <c r="EJ320" s="7" t="e">
        <f t="shared" ca="1" si="172"/>
        <v>#NAME?</v>
      </c>
      <c r="EK320" s="7" t="e">
        <f t="shared" ca="1" si="172"/>
        <v>#NAME?</v>
      </c>
      <c r="EL320" s="7" t="e">
        <f t="shared" ca="1" si="172"/>
        <v>#NAME?</v>
      </c>
      <c r="EM320" s="7" t="e">
        <f t="shared" ca="1" si="172"/>
        <v>#NAME?</v>
      </c>
      <c r="EN320" s="7" t="e">
        <f t="shared" ca="1" si="172"/>
        <v>#NAME?</v>
      </c>
      <c r="EO320" s="7" t="e">
        <f t="shared" ca="1" si="172"/>
        <v>#NAME?</v>
      </c>
      <c r="EP320" s="7" t="e">
        <f t="shared" ca="1" si="172"/>
        <v>#NAME?</v>
      </c>
      <c r="EQ320" s="7" t="e">
        <f t="shared" ca="1" si="172"/>
        <v>#NAME?</v>
      </c>
      <c r="ER320" s="7" t="e">
        <f t="shared" ca="1" si="172"/>
        <v>#NAME?</v>
      </c>
      <c r="ES320" s="7" t="e">
        <f t="shared" ca="1" si="172"/>
        <v>#NAME?</v>
      </c>
      <c r="ET320" s="7" t="e">
        <f t="shared" ca="1" si="172"/>
        <v>#NAME?</v>
      </c>
      <c r="EU320" s="7" t="e">
        <f t="shared" ca="1" si="172"/>
        <v>#NAME?</v>
      </c>
      <c r="EV320" s="7" t="e">
        <f t="shared" ca="1" si="172"/>
        <v>#NAME?</v>
      </c>
      <c r="EW320" s="7" t="e">
        <f t="shared" ca="1" si="172"/>
        <v>#NAME?</v>
      </c>
      <c r="EX320" s="7" t="e">
        <f t="shared" ca="1" si="172"/>
        <v>#NAME?</v>
      </c>
      <c r="EY320" s="7" t="e">
        <f t="shared" ca="1" si="172"/>
        <v>#NAME?</v>
      </c>
      <c r="EZ320" s="7" t="e">
        <f t="shared" ca="1" si="172"/>
        <v>#NAME?</v>
      </c>
      <c r="FA320" s="7" t="e">
        <f t="shared" ca="1" si="172"/>
        <v>#NAME?</v>
      </c>
      <c r="FB320" s="7" t="e">
        <f t="shared" ca="1" si="172"/>
        <v>#NAME?</v>
      </c>
      <c r="FC320" s="7" t="e">
        <f t="shared" ca="1" si="172"/>
        <v>#NAME?</v>
      </c>
      <c r="FD320" s="7" t="e">
        <f t="shared" ca="1" si="172"/>
        <v>#NAME?</v>
      </c>
      <c r="FE320" s="7" t="e">
        <f t="shared" ca="1" si="172"/>
        <v>#NAME?</v>
      </c>
      <c r="FF320" s="7" t="e">
        <f t="shared" ca="1" si="172"/>
        <v>#NAME?</v>
      </c>
      <c r="FG320" s="7" t="e">
        <f t="shared" ca="1" si="172"/>
        <v>#NAME?</v>
      </c>
      <c r="FH320" s="7" t="e">
        <f t="shared" ca="1" si="172"/>
        <v>#NAME?</v>
      </c>
      <c r="FI320" s="7" t="e">
        <f t="shared" ca="1" si="172"/>
        <v>#NAME?</v>
      </c>
      <c r="FJ320" s="7" t="e">
        <f t="shared" ca="1" si="172"/>
        <v>#NAME?</v>
      </c>
      <c r="FK320" s="7" t="e">
        <f t="shared" ca="1" si="172"/>
        <v>#NAME?</v>
      </c>
      <c r="FL320" s="7" t="e">
        <f t="shared" ca="1" si="172"/>
        <v>#NAME?</v>
      </c>
      <c r="FM320" s="7" t="e">
        <f t="shared" ca="1" si="172"/>
        <v>#NAME?</v>
      </c>
      <c r="FN320" s="7" t="e">
        <f t="shared" ca="1" si="172"/>
        <v>#NAME?</v>
      </c>
      <c r="FO320" s="7" t="e">
        <f t="shared" ca="1" si="172"/>
        <v>#NAME?</v>
      </c>
      <c r="FP320" s="7" t="e">
        <f t="shared" ca="1" si="172"/>
        <v>#NAME?</v>
      </c>
      <c r="FQ320" s="7" t="e">
        <f t="shared" ca="1" si="172"/>
        <v>#NAME?</v>
      </c>
      <c r="FR320" s="7" t="e">
        <f t="shared" ca="1" si="172"/>
        <v>#NAME?</v>
      </c>
      <c r="FS320" s="7" t="e">
        <f t="shared" ca="1" si="172"/>
        <v>#NAME?</v>
      </c>
      <c r="FT320" s="7" t="e">
        <f t="shared" ca="1" si="172"/>
        <v>#NAME?</v>
      </c>
      <c r="FU320" s="7" t="e">
        <f t="shared" ca="1" si="172"/>
        <v>#NAME?</v>
      </c>
      <c r="FV320" s="7" t="e">
        <f t="shared" ca="1" si="172"/>
        <v>#NAME?</v>
      </c>
      <c r="FW320" s="7" t="e">
        <f t="shared" ca="1" si="172"/>
        <v>#NAME?</v>
      </c>
      <c r="FX320" s="7" t="e">
        <f t="shared" ca="1" si="172"/>
        <v>#NAME?</v>
      </c>
      <c r="FY320" s="7">
        <f ca="1">FY306-FY315</f>
        <v>233564380.11799991</v>
      </c>
      <c r="FZ320" s="7" t="e">
        <f t="shared" ca="1" si="169"/>
        <v>#NAME?</v>
      </c>
      <c r="GB320" s="7"/>
      <c r="GC320" s="7"/>
      <c r="GD320" s="7"/>
      <c r="GE320" s="7"/>
      <c r="GF320" s="7"/>
      <c r="GG320" s="7"/>
      <c r="GH320" s="7"/>
      <c r="GI320" s="7"/>
      <c r="GJ320" s="7"/>
      <c r="GK320" s="7"/>
    </row>
    <row r="321" spans="1:193" ht="15.5" x14ac:dyDescent="0.35">
      <c r="A321" s="7"/>
      <c r="B321" s="7" t="s">
        <v>1084</v>
      </c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</row>
    <row r="322" spans="1:193" ht="15.5" x14ac:dyDescent="0.35">
      <c r="A322" s="7"/>
      <c r="B322" s="7" t="s">
        <v>735</v>
      </c>
      <c r="C322" s="7">
        <f ca="1">IFERROR(__xludf.DUMMYFUNCTION("-C307"),0)</f>
        <v>0</v>
      </c>
      <c r="D322" s="7">
        <f ca="1">IFERROR(__xludf.DUMMYFUNCTION("-D307"),0)</f>
        <v>0</v>
      </c>
      <c r="E322" s="7">
        <f ca="1">IFERROR(__xludf.DUMMYFUNCTION("-E307"),0)</f>
        <v>0</v>
      </c>
      <c r="F322" s="7">
        <f ca="1">IFERROR(__xludf.DUMMYFUNCTION("-F307"),0)</f>
        <v>0</v>
      </c>
      <c r="G322" s="7">
        <f ca="1">IFERROR(__xludf.DUMMYFUNCTION("-G307"),0)</f>
        <v>0</v>
      </c>
      <c r="H322" s="7">
        <f ca="1">IFERROR(__xludf.DUMMYFUNCTION("-H307"),0)</f>
        <v>0</v>
      </c>
      <c r="I322" s="7">
        <f ca="1">IFERROR(__xludf.DUMMYFUNCTION("-I307"),0)</f>
        <v>0</v>
      </c>
      <c r="J322" s="7">
        <f ca="1">IFERROR(__xludf.DUMMYFUNCTION("-J307"),0)</f>
        <v>0</v>
      </c>
      <c r="K322" s="7">
        <f ca="1">IFERROR(__xludf.DUMMYFUNCTION("-K307"),0)</f>
        <v>0</v>
      </c>
      <c r="L322" s="7">
        <f ca="1">IFERROR(__xludf.DUMMYFUNCTION("-L307"),0)</f>
        <v>0</v>
      </c>
      <c r="M322" s="7">
        <f ca="1">IFERROR(__xludf.DUMMYFUNCTION("-M307"),0)</f>
        <v>0</v>
      </c>
      <c r="N322" s="7">
        <f ca="1">IFERROR(__xludf.DUMMYFUNCTION("-N307"),0)</f>
        <v>0</v>
      </c>
      <c r="O322" s="7">
        <f ca="1">IFERROR(__xludf.DUMMYFUNCTION("-O307"),0)</f>
        <v>0</v>
      </c>
      <c r="P322" s="7">
        <f ca="1">IFERROR(__xludf.DUMMYFUNCTION("-P307"),0)</f>
        <v>0</v>
      </c>
      <c r="Q322" s="7">
        <f ca="1">IFERROR(__xludf.DUMMYFUNCTION("-Q307"),0)</f>
        <v>0</v>
      </c>
      <c r="R322" s="7">
        <f ca="1">IFERROR(__xludf.DUMMYFUNCTION("-R307"),0)</f>
        <v>0</v>
      </c>
      <c r="S322" s="7">
        <f ca="1">IFERROR(__xludf.DUMMYFUNCTION("-S307"),0)</f>
        <v>0</v>
      </c>
      <c r="T322" s="7">
        <f ca="1">IFERROR(__xludf.DUMMYFUNCTION("-T307"),0)</f>
        <v>0</v>
      </c>
      <c r="U322" s="7">
        <f ca="1">IFERROR(__xludf.DUMMYFUNCTION("-U307"),0)</f>
        <v>0</v>
      </c>
      <c r="V322" s="7">
        <f ca="1">IFERROR(__xludf.DUMMYFUNCTION("-V307"),0)</f>
        <v>0</v>
      </c>
      <c r="W322" s="7">
        <f ca="1">IFERROR(__xludf.DUMMYFUNCTION("-W307"),0)</f>
        <v>0</v>
      </c>
      <c r="X322" s="7">
        <f ca="1">IFERROR(__xludf.DUMMYFUNCTION("-X307"),0)</f>
        <v>0</v>
      </c>
      <c r="Y322" s="7">
        <f ca="1">IFERROR(__xludf.DUMMYFUNCTION("-Y307"),0)</f>
        <v>0</v>
      </c>
      <c r="Z322" s="7">
        <f ca="1">IFERROR(__xludf.DUMMYFUNCTION("-Z307"),0)</f>
        <v>0</v>
      </c>
      <c r="AA322" s="7">
        <f ca="1">IFERROR(__xludf.DUMMYFUNCTION("-AA307"),0)</f>
        <v>0</v>
      </c>
      <c r="AB322" s="7">
        <f ca="1">IFERROR(__xludf.DUMMYFUNCTION("-AB307"),0)</f>
        <v>0</v>
      </c>
      <c r="AC322" s="7">
        <f ca="1">IFERROR(__xludf.DUMMYFUNCTION("-AC307"),0)</f>
        <v>0</v>
      </c>
      <c r="AD322" s="7">
        <f ca="1">IFERROR(__xludf.DUMMYFUNCTION("-AD307"),0)</f>
        <v>0</v>
      </c>
      <c r="AE322" s="7">
        <f ca="1">IFERROR(__xludf.DUMMYFUNCTION("-AE307"),0)</f>
        <v>0</v>
      </c>
      <c r="AF322" s="7">
        <f ca="1">IFERROR(__xludf.DUMMYFUNCTION("-AF307"),0)</f>
        <v>0</v>
      </c>
      <c r="AG322" s="7">
        <f ca="1">IFERROR(__xludf.DUMMYFUNCTION("-AG307"),0)</f>
        <v>0</v>
      </c>
      <c r="AH322" s="7">
        <f ca="1">IFERROR(__xludf.DUMMYFUNCTION("-AH307"),0)</f>
        <v>0</v>
      </c>
      <c r="AI322" s="7">
        <f ca="1">IFERROR(__xludf.DUMMYFUNCTION("-AI307"),0)</f>
        <v>0</v>
      </c>
      <c r="AJ322" s="7">
        <f ca="1">IFERROR(__xludf.DUMMYFUNCTION("-AJ307"),0)</f>
        <v>0</v>
      </c>
      <c r="AK322" s="7">
        <f ca="1">IFERROR(__xludf.DUMMYFUNCTION("-AK307"),0)</f>
        <v>0</v>
      </c>
      <c r="AL322" s="7">
        <f ca="1">IFERROR(__xludf.DUMMYFUNCTION("-AL307"),0)</f>
        <v>0</v>
      </c>
      <c r="AM322" s="7">
        <f ca="1">IFERROR(__xludf.DUMMYFUNCTION("-AM307"),0)</f>
        <v>0</v>
      </c>
      <c r="AN322" s="7">
        <f ca="1">IFERROR(__xludf.DUMMYFUNCTION("-AN307"),0)</f>
        <v>0</v>
      </c>
      <c r="AO322" s="7">
        <f ca="1">IFERROR(__xludf.DUMMYFUNCTION("-AO307"),0)</f>
        <v>0</v>
      </c>
      <c r="AP322" s="7">
        <f ca="1">IFERROR(__xludf.DUMMYFUNCTION("-AP307"),0)</f>
        <v>0</v>
      </c>
      <c r="AQ322" s="7">
        <f ca="1">IFERROR(__xludf.DUMMYFUNCTION("-AQ307"),0)</f>
        <v>0</v>
      </c>
      <c r="AR322" s="7">
        <f ca="1">IFERROR(__xludf.DUMMYFUNCTION("-AR307"),0)</f>
        <v>0</v>
      </c>
      <c r="AS322" s="7">
        <f ca="1">IFERROR(__xludf.DUMMYFUNCTION("-AS307"),0)</f>
        <v>0</v>
      </c>
      <c r="AT322" s="7">
        <f ca="1">IFERROR(__xludf.DUMMYFUNCTION("-AT307"),0)</f>
        <v>0</v>
      </c>
      <c r="AU322" s="7">
        <f ca="1">IFERROR(__xludf.DUMMYFUNCTION("-AU307"),0)</f>
        <v>0</v>
      </c>
      <c r="AV322" s="7">
        <f ca="1">IFERROR(__xludf.DUMMYFUNCTION("-AV307"),0)</f>
        <v>0</v>
      </c>
      <c r="AW322" s="7">
        <f ca="1">IFERROR(__xludf.DUMMYFUNCTION("-AW307"),0)</f>
        <v>0</v>
      </c>
      <c r="AX322" s="7">
        <f ca="1">IFERROR(__xludf.DUMMYFUNCTION("-AX307"),0)</f>
        <v>0</v>
      </c>
      <c r="AY322" s="7">
        <f ca="1">IFERROR(__xludf.DUMMYFUNCTION("-AY307"),0)</f>
        <v>0</v>
      </c>
      <c r="AZ322" s="7">
        <f ca="1">IFERROR(__xludf.DUMMYFUNCTION("-AZ307"),0)</f>
        <v>0</v>
      </c>
      <c r="BA322" s="7">
        <f ca="1">IFERROR(__xludf.DUMMYFUNCTION("-BA307"),0)</f>
        <v>0</v>
      </c>
      <c r="BB322" s="7">
        <f ca="1">IFERROR(__xludf.DUMMYFUNCTION("-BB307"),0)</f>
        <v>0</v>
      </c>
      <c r="BC322" s="7">
        <f ca="1">IFERROR(__xludf.DUMMYFUNCTION("-BC307"),0)</f>
        <v>0</v>
      </c>
      <c r="BD322" s="7">
        <f ca="1">IFERROR(__xludf.DUMMYFUNCTION("-BD307"),0)</f>
        <v>0</v>
      </c>
      <c r="BE322" s="7">
        <f ca="1">IFERROR(__xludf.DUMMYFUNCTION("-BE307"),0)</f>
        <v>0</v>
      </c>
      <c r="BF322" s="7">
        <f ca="1">IFERROR(__xludf.DUMMYFUNCTION("-BF307"),0)</f>
        <v>0</v>
      </c>
      <c r="BG322" s="7">
        <f ca="1">IFERROR(__xludf.DUMMYFUNCTION("-BG307"),0)</f>
        <v>0</v>
      </c>
      <c r="BH322" s="7">
        <f ca="1">IFERROR(__xludf.DUMMYFUNCTION("-BH307"),0)</f>
        <v>0</v>
      </c>
      <c r="BI322" s="7">
        <f ca="1">IFERROR(__xludf.DUMMYFUNCTION("-BI307"),0)</f>
        <v>0</v>
      </c>
      <c r="BJ322" s="7">
        <f ca="1">IFERROR(__xludf.DUMMYFUNCTION("-BJ307"),0)</f>
        <v>0</v>
      </c>
      <c r="BK322" s="7">
        <f ca="1">IFERROR(__xludf.DUMMYFUNCTION("-BK307"),0)</f>
        <v>0</v>
      </c>
      <c r="BL322" s="7">
        <f ca="1">IFERROR(__xludf.DUMMYFUNCTION("-BL307"),0)</f>
        <v>0</v>
      </c>
      <c r="BM322" s="7">
        <f ca="1">IFERROR(__xludf.DUMMYFUNCTION("-BM307"),0)</f>
        <v>0</v>
      </c>
      <c r="BN322" s="7">
        <f ca="1">IFERROR(__xludf.DUMMYFUNCTION("-BN307"),0)</f>
        <v>0</v>
      </c>
      <c r="BO322" s="7">
        <f ca="1">IFERROR(__xludf.DUMMYFUNCTION("-BO307"),0)</f>
        <v>0</v>
      </c>
      <c r="BP322" s="7">
        <f ca="1">IFERROR(__xludf.DUMMYFUNCTION("-BP307"),0)</f>
        <v>0</v>
      </c>
      <c r="BQ322" s="7">
        <f ca="1">IFERROR(__xludf.DUMMYFUNCTION("-BQ307"),0)</f>
        <v>0</v>
      </c>
      <c r="BR322" s="7">
        <f ca="1">IFERROR(__xludf.DUMMYFUNCTION("-BR307"),0)</f>
        <v>0</v>
      </c>
      <c r="BS322" s="7">
        <f ca="1">IFERROR(__xludf.DUMMYFUNCTION("-BS307"),0)</f>
        <v>0</v>
      </c>
      <c r="BT322" s="7">
        <f ca="1">IFERROR(__xludf.DUMMYFUNCTION("-BT307"),0)</f>
        <v>0</v>
      </c>
      <c r="BU322" s="7">
        <f ca="1">IFERROR(__xludf.DUMMYFUNCTION("-BU307"),0)</f>
        <v>0</v>
      </c>
      <c r="BV322" s="7">
        <f ca="1">IFERROR(__xludf.DUMMYFUNCTION("-BV307"),0)</f>
        <v>0</v>
      </c>
      <c r="BW322" s="7">
        <f ca="1">IFERROR(__xludf.DUMMYFUNCTION("-BW307"),0)</f>
        <v>0</v>
      </c>
      <c r="BX322" s="7">
        <f ca="1">IFERROR(__xludf.DUMMYFUNCTION("-BX307"),0)</f>
        <v>0</v>
      </c>
      <c r="BY322" s="7">
        <f ca="1">IFERROR(__xludf.DUMMYFUNCTION("-BY307"),0)</f>
        <v>0</v>
      </c>
      <c r="BZ322" s="7">
        <f ca="1">IFERROR(__xludf.DUMMYFUNCTION("-BZ307"),0)</f>
        <v>0</v>
      </c>
      <c r="CA322" s="7">
        <f ca="1">IFERROR(__xludf.DUMMYFUNCTION("-CA307"),0)</f>
        <v>0</v>
      </c>
      <c r="CB322" s="7">
        <f ca="1">IFERROR(__xludf.DUMMYFUNCTION("-CB307"),0)</f>
        <v>0</v>
      </c>
      <c r="CC322" s="7">
        <f ca="1">IFERROR(__xludf.DUMMYFUNCTION("-CC307"),0)</f>
        <v>0</v>
      </c>
      <c r="CD322" s="7">
        <f ca="1">IFERROR(__xludf.DUMMYFUNCTION("-CD307"),0)</f>
        <v>0</v>
      </c>
      <c r="CE322" s="7">
        <f ca="1">IFERROR(__xludf.DUMMYFUNCTION("-CE307"),0)</f>
        <v>0</v>
      </c>
      <c r="CF322" s="7">
        <f ca="1">IFERROR(__xludf.DUMMYFUNCTION("-CF307"),0)</f>
        <v>0</v>
      </c>
      <c r="CG322" s="7">
        <f ca="1">IFERROR(__xludf.DUMMYFUNCTION("-CG307"),0)</f>
        <v>0</v>
      </c>
      <c r="CH322" s="7">
        <f ca="1">IFERROR(__xludf.DUMMYFUNCTION("-CH307"),0)</f>
        <v>0</v>
      </c>
      <c r="CI322" s="7">
        <f ca="1">IFERROR(__xludf.DUMMYFUNCTION("-CI307"),0)</f>
        <v>0</v>
      </c>
      <c r="CJ322" s="7">
        <f ca="1">IFERROR(__xludf.DUMMYFUNCTION("-CJ307"),0)</f>
        <v>0</v>
      </c>
      <c r="CK322" s="7">
        <f ca="1">IFERROR(__xludf.DUMMYFUNCTION("-CK307"),0)</f>
        <v>0</v>
      </c>
      <c r="CL322" s="7">
        <f ca="1">IFERROR(__xludf.DUMMYFUNCTION("-CL307"),0)</f>
        <v>0</v>
      </c>
      <c r="CM322" s="7">
        <f ca="1">IFERROR(__xludf.DUMMYFUNCTION("-CM307"),0)</f>
        <v>0</v>
      </c>
      <c r="CN322" s="7">
        <f ca="1">IFERROR(__xludf.DUMMYFUNCTION("-CN307"),0)</f>
        <v>0</v>
      </c>
      <c r="CO322" s="7">
        <f ca="1">IFERROR(__xludf.DUMMYFUNCTION("-CO307"),0)</f>
        <v>0</v>
      </c>
      <c r="CP322" s="7">
        <f ca="1">IFERROR(__xludf.DUMMYFUNCTION("-CP307"),0)</f>
        <v>0</v>
      </c>
      <c r="CQ322" s="7">
        <f ca="1">IFERROR(__xludf.DUMMYFUNCTION("-CQ307"),0)</f>
        <v>0</v>
      </c>
      <c r="CR322" s="7">
        <f ca="1">IFERROR(__xludf.DUMMYFUNCTION("-CR307"),0)</f>
        <v>0</v>
      </c>
      <c r="CS322" s="7">
        <f ca="1">IFERROR(__xludf.DUMMYFUNCTION("-CS307"),0)</f>
        <v>0</v>
      </c>
      <c r="CT322" s="7">
        <f ca="1">IFERROR(__xludf.DUMMYFUNCTION("-CT307"),0)</f>
        <v>0</v>
      </c>
      <c r="CU322" s="7">
        <f ca="1">IFERROR(__xludf.DUMMYFUNCTION("-CU307"),0)</f>
        <v>0</v>
      </c>
      <c r="CV322" s="7">
        <f ca="1">IFERROR(__xludf.DUMMYFUNCTION("-CV307"),0)</f>
        <v>0</v>
      </c>
      <c r="CW322" s="7">
        <f ca="1">IFERROR(__xludf.DUMMYFUNCTION("-CW307"),0)</f>
        <v>0</v>
      </c>
      <c r="CX322" s="7">
        <f ca="1">IFERROR(__xludf.DUMMYFUNCTION("-CX307"),0)</f>
        <v>0</v>
      </c>
      <c r="CY322" s="7">
        <f ca="1">IFERROR(__xludf.DUMMYFUNCTION("-CY307"),0)</f>
        <v>0</v>
      </c>
      <c r="CZ322" s="7">
        <f ca="1">IFERROR(__xludf.DUMMYFUNCTION("-CZ307"),0)</f>
        <v>0</v>
      </c>
      <c r="DA322" s="7">
        <f ca="1">IFERROR(__xludf.DUMMYFUNCTION("-DA307"),0)</f>
        <v>0</v>
      </c>
      <c r="DB322" s="7">
        <f ca="1">IFERROR(__xludf.DUMMYFUNCTION("-DB307"),0)</f>
        <v>0</v>
      </c>
      <c r="DC322" s="7">
        <f ca="1">IFERROR(__xludf.DUMMYFUNCTION("-DC307"),0)</f>
        <v>0</v>
      </c>
      <c r="DD322" s="7">
        <f ca="1">IFERROR(__xludf.DUMMYFUNCTION("-DD307"),0)</f>
        <v>0</v>
      </c>
      <c r="DE322" s="7">
        <f ca="1">IFERROR(__xludf.DUMMYFUNCTION("-DE307"),0)</f>
        <v>0</v>
      </c>
      <c r="DF322" s="7">
        <f ca="1">IFERROR(__xludf.DUMMYFUNCTION("-DF307"),0)</f>
        <v>0</v>
      </c>
      <c r="DG322" s="7">
        <f ca="1">IFERROR(__xludf.DUMMYFUNCTION("-DG307"),0)</f>
        <v>0</v>
      </c>
      <c r="DH322" s="7">
        <f ca="1">IFERROR(__xludf.DUMMYFUNCTION("-DH307"),0)</f>
        <v>0</v>
      </c>
      <c r="DI322" s="7">
        <f ca="1">IFERROR(__xludf.DUMMYFUNCTION("-DI307"),0)</f>
        <v>0</v>
      </c>
      <c r="DJ322" s="7">
        <f ca="1">IFERROR(__xludf.DUMMYFUNCTION("-DJ307"),0)</f>
        <v>0</v>
      </c>
      <c r="DK322" s="7">
        <f ca="1">IFERROR(__xludf.DUMMYFUNCTION("-DK307"),0)</f>
        <v>0</v>
      </c>
      <c r="DL322" s="7">
        <f ca="1">IFERROR(__xludf.DUMMYFUNCTION("-DL307"),0)</f>
        <v>0</v>
      </c>
      <c r="DM322" s="7">
        <f ca="1">IFERROR(__xludf.DUMMYFUNCTION("-DM307"),0)</f>
        <v>0</v>
      </c>
      <c r="DN322" s="7">
        <f ca="1">IFERROR(__xludf.DUMMYFUNCTION("-DN307"),0)</f>
        <v>0</v>
      </c>
      <c r="DO322" s="7">
        <f ca="1">IFERROR(__xludf.DUMMYFUNCTION("-DO307"),0)</f>
        <v>0</v>
      </c>
      <c r="DP322" s="7">
        <f ca="1">IFERROR(__xludf.DUMMYFUNCTION("-DP307"),0)</f>
        <v>0</v>
      </c>
      <c r="DQ322" s="7">
        <f ca="1">IFERROR(__xludf.DUMMYFUNCTION("-DQ307"),0)</f>
        <v>0</v>
      </c>
      <c r="DR322" s="7">
        <f ca="1">IFERROR(__xludf.DUMMYFUNCTION("-DR307"),0)</f>
        <v>0</v>
      </c>
      <c r="DS322" s="7">
        <f ca="1">IFERROR(__xludf.DUMMYFUNCTION("-DS307"),0)</f>
        <v>0</v>
      </c>
      <c r="DT322" s="7">
        <f ca="1">IFERROR(__xludf.DUMMYFUNCTION("-DT307"),0)</f>
        <v>0</v>
      </c>
      <c r="DU322" s="7">
        <f ca="1">IFERROR(__xludf.DUMMYFUNCTION("-DU307"),0)</f>
        <v>0</v>
      </c>
      <c r="DV322" s="7">
        <f ca="1">IFERROR(__xludf.DUMMYFUNCTION("-DV307"),0)</f>
        <v>0</v>
      </c>
      <c r="DW322" s="7">
        <f ca="1">IFERROR(__xludf.DUMMYFUNCTION("-DW307"),0)</f>
        <v>0</v>
      </c>
      <c r="DX322" s="7">
        <f ca="1">IFERROR(__xludf.DUMMYFUNCTION("-DX307"),0)</f>
        <v>0</v>
      </c>
      <c r="DY322" s="7">
        <f ca="1">IFERROR(__xludf.DUMMYFUNCTION("-DY307"),0)</f>
        <v>0</v>
      </c>
      <c r="DZ322" s="7">
        <f ca="1">IFERROR(__xludf.DUMMYFUNCTION("-DZ307"),0)</f>
        <v>0</v>
      </c>
      <c r="EA322" s="7">
        <f ca="1">IFERROR(__xludf.DUMMYFUNCTION("-EA307"),0)</f>
        <v>0</v>
      </c>
      <c r="EB322" s="7">
        <f ca="1">IFERROR(__xludf.DUMMYFUNCTION("-EB307"),0)</f>
        <v>0</v>
      </c>
      <c r="EC322" s="7">
        <f ca="1">IFERROR(__xludf.DUMMYFUNCTION("-EC307"),0)</f>
        <v>0</v>
      </c>
      <c r="ED322" s="7">
        <f ca="1">IFERROR(__xludf.DUMMYFUNCTION("-ED307"),0)</f>
        <v>0</v>
      </c>
      <c r="EE322" s="7">
        <f ca="1">IFERROR(__xludf.DUMMYFUNCTION("-EE307"),0)</f>
        <v>0</v>
      </c>
      <c r="EF322" s="7">
        <f ca="1">IFERROR(__xludf.DUMMYFUNCTION("-EF307"),0)</f>
        <v>0</v>
      </c>
      <c r="EG322" s="7">
        <f ca="1">IFERROR(__xludf.DUMMYFUNCTION("-EG307"),0)</f>
        <v>0</v>
      </c>
      <c r="EH322" s="7">
        <f ca="1">IFERROR(__xludf.DUMMYFUNCTION("-EH307"),0)</f>
        <v>0</v>
      </c>
      <c r="EI322" s="7">
        <f ca="1">IFERROR(__xludf.DUMMYFUNCTION("-EI307"),0)</f>
        <v>0</v>
      </c>
      <c r="EJ322" s="7">
        <f ca="1">IFERROR(__xludf.DUMMYFUNCTION("-EJ307"),0)</f>
        <v>0</v>
      </c>
      <c r="EK322" s="7">
        <f ca="1">IFERROR(__xludf.DUMMYFUNCTION("-EK307"),0)</f>
        <v>0</v>
      </c>
      <c r="EL322" s="7">
        <f ca="1">IFERROR(__xludf.DUMMYFUNCTION("-EL307"),0)</f>
        <v>0</v>
      </c>
      <c r="EM322" s="7">
        <f ca="1">IFERROR(__xludf.DUMMYFUNCTION("-EM307"),0)</f>
        <v>0</v>
      </c>
      <c r="EN322" s="7">
        <f ca="1">IFERROR(__xludf.DUMMYFUNCTION("-EN307"),0)</f>
        <v>0</v>
      </c>
      <c r="EO322" s="7">
        <f ca="1">IFERROR(__xludf.DUMMYFUNCTION("-EO307"),0)</f>
        <v>0</v>
      </c>
      <c r="EP322" s="7">
        <f ca="1">IFERROR(__xludf.DUMMYFUNCTION("-EP307"),0)</f>
        <v>0</v>
      </c>
      <c r="EQ322" s="7">
        <f ca="1">IFERROR(__xludf.DUMMYFUNCTION("-EQ307"),0)</f>
        <v>0</v>
      </c>
      <c r="ER322" s="7">
        <f ca="1">IFERROR(__xludf.DUMMYFUNCTION("-ER307"),0)</f>
        <v>0</v>
      </c>
      <c r="ES322" s="7">
        <f ca="1">IFERROR(__xludf.DUMMYFUNCTION("-ES307"),0)</f>
        <v>0</v>
      </c>
      <c r="ET322" s="7">
        <f ca="1">IFERROR(__xludf.DUMMYFUNCTION("-ET307"),0)</f>
        <v>0</v>
      </c>
      <c r="EU322" s="7">
        <f ca="1">IFERROR(__xludf.DUMMYFUNCTION("-EU307"),0)</f>
        <v>0</v>
      </c>
      <c r="EV322" s="7">
        <f ca="1">IFERROR(__xludf.DUMMYFUNCTION("-EV307"),0)</f>
        <v>0</v>
      </c>
      <c r="EW322" s="7">
        <f ca="1">IFERROR(__xludf.DUMMYFUNCTION("-EW307"),0)</f>
        <v>0</v>
      </c>
      <c r="EX322" s="7">
        <f ca="1">IFERROR(__xludf.DUMMYFUNCTION("-EX307"),0)</f>
        <v>0</v>
      </c>
      <c r="EY322" s="7">
        <f ca="1">IFERROR(__xludf.DUMMYFUNCTION("-EY307"),0)</f>
        <v>0</v>
      </c>
      <c r="EZ322" s="7">
        <f ca="1">IFERROR(__xludf.DUMMYFUNCTION("-EZ307"),0)</f>
        <v>0</v>
      </c>
      <c r="FA322" s="7">
        <f ca="1">IFERROR(__xludf.DUMMYFUNCTION("-FA307"),0)</f>
        <v>0</v>
      </c>
      <c r="FB322" s="7">
        <f ca="1">IFERROR(__xludf.DUMMYFUNCTION("-FB307"),0)</f>
        <v>0</v>
      </c>
      <c r="FC322" s="7">
        <f ca="1">IFERROR(__xludf.DUMMYFUNCTION("-FC307"),0)</f>
        <v>0</v>
      </c>
      <c r="FD322" s="7">
        <f ca="1">IFERROR(__xludf.DUMMYFUNCTION("-FD307"),0)</f>
        <v>0</v>
      </c>
      <c r="FE322" s="7">
        <f ca="1">IFERROR(__xludf.DUMMYFUNCTION("-FE307"),0)</f>
        <v>0</v>
      </c>
      <c r="FF322" s="7">
        <f ca="1">IFERROR(__xludf.DUMMYFUNCTION("-FF307"),0)</f>
        <v>0</v>
      </c>
      <c r="FG322" s="7">
        <f ca="1">IFERROR(__xludf.DUMMYFUNCTION("-FG307"),0)</f>
        <v>0</v>
      </c>
      <c r="FH322" s="7">
        <f ca="1">IFERROR(__xludf.DUMMYFUNCTION("-FH307"),0)</f>
        <v>0</v>
      </c>
      <c r="FI322" s="7">
        <f ca="1">IFERROR(__xludf.DUMMYFUNCTION("-FI307"),0)</f>
        <v>0</v>
      </c>
      <c r="FJ322" s="7">
        <f ca="1">IFERROR(__xludf.DUMMYFUNCTION("-FJ307"),0)</f>
        <v>0</v>
      </c>
      <c r="FK322" s="7">
        <f ca="1">IFERROR(__xludf.DUMMYFUNCTION("-FK307"),0)</f>
        <v>0</v>
      </c>
      <c r="FL322" s="7">
        <f ca="1">IFERROR(__xludf.DUMMYFUNCTION("-FL307"),0)</f>
        <v>0</v>
      </c>
      <c r="FM322" s="7">
        <f ca="1">IFERROR(__xludf.DUMMYFUNCTION("-FM307"),0)</f>
        <v>0</v>
      </c>
      <c r="FN322" s="7">
        <f ca="1">IFERROR(__xludf.DUMMYFUNCTION("-FN307"),0)</f>
        <v>0</v>
      </c>
      <c r="FO322" s="7">
        <f ca="1">IFERROR(__xludf.DUMMYFUNCTION("-FO307"),0)</f>
        <v>0</v>
      </c>
      <c r="FP322" s="7">
        <f ca="1">IFERROR(__xludf.DUMMYFUNCTION("-FP307"),0)</f>
        <v>0</v>
      </c>
      <c r="FQ322" s="7">
        <f ca="1">IFERROR(__xludf.DUMMYFUNCTION("-FQ307"),0)</f>
        <v>0</v>
      </c>
      <c r="FR322" s="7">
        <f ca="1">IFERROR(__xludf.DUMMYFUNCTION("-FR307"),0)</f>
        <v>0</v>
      </c>
      <c r="FS322" s="7">
        <f ca="1">IFERROR(__xludf.DUMMYFUNCTION("-FS307"),0)</f>
        <v>0</v>
      </c>
      <c r="FT322" s="7">
        <f ca="1">IFERROR(__xludf.DUMMYFUNCTION("-FT307"),0)</f>
        <v>0</v>
      </c>
      <c r="FU322" s="7">
        <f ca="1">IFERROR(__xludf.DUMMYFUNCTION("-FU307"),0)</f>
        <v>0</v>
      </c>
      <c r="FV322" s="7">
        <f ca="1">IFERROR(__xludf.DUMMYFUNCTION("-FV307"),0)</f>
        <v>0</v>
      </c>
      <c r="FW322" s="7">
        <f ca="1">IFERROR(__xludf.DUMMYFUNCTION("-FW307"),0)</f>
        <v>0</v>
      </c>
      <c r="FX322" s="7">
        <f ca="1">IFERROR(__xludf.DUMMYFUNCTION("-FX307"),0)</f>
        <v>0</v>
      </c>
      <c r="FY322" s="7">
        <f ca="1">IFERROR(__xludf.DUMMYFUNCTION("-FY307"),0)</f>
        <v>0</v>
      </c>
      <c r="FZ322" s="7">
        <f ca="1">SUM(C322:FY322)</f>
        <v>0</v>
      </c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</row>
    <row r="323" spans="1:193" ht="15.5" x14ac:dyDescent="0.3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 t="e">
        <f ca="1">FT318+FT319</f>
        <v>#NAME?</v>
      </c>
      <c r="FU323" s="7"/>
      <c r="FV323" s="7"/>
      <c r="FW323" s="7"/>
      <c r="FX323" s="7"/>
      <c r="FY323" s="7"/>
      <c r="FZ323" s="7"/>
      <c r="GB323" s="7"/>
      <c r="GC323" s="7"/>
      <c r="GD323" s="7"/>
      <c r="GE323" s="38"/>
      <c r="GF323" s="7"/>
      <c r="GG323" s="7"/>
      <c r="GH323" s="7"/>
      <c r="GI323" s="7"/>
      <c r="GJ323" s="7"/>
      <c r="GK323" s="7"/>
    </row>
    <row r="324" spans="1:193" ht="15.5" x14ac:dyDescent="0.3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</row>
    <row r="325" spans="1:193" ht="15.5" x14ac:dyDescent="0.35">
      <c r="A325" s="12" t="s">
        <v>684</v>
      </c>
      <c r="B325" s="5" t="s">
        <v>1085</v>
      </c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95"/>
      <c r="EZ325" s="95"/>
      <c r="FA325" s="95"/>
      <c r="FB325" s="95"/>
      <c r="FC325" s="95"/>
      <c r="FD325" s="95"/>
      <c r="FE325" s="95"/>
      <c r="FF325" s="95"/>
      <c r="FG325" s="95"/>
      <c r="FH325" s="95"/>
      <c r="FI325" s="95"/>
      <c r="FJ325" s="95"/>
      <c r="FK325" s="95"/>
      <c r="FL325" s="95"/>
      <c r="FM325" s="95"/>
      <c r="FN325" s="95"/>
      <c r="FO325" s="95"/>
      <c r="FP325" s="95"/>
      <c r="FQ325" s="95"/>
      <c r="FR325" s="95"/>
      <c r="FS325" s="95"/>
      <c r="FT325" s="95"/>
      <c r="FU325" s="95"/>
      <c r="FV325" s="95"/>
      <c r="FW325" s="95"/>
      <c r="FX325" s="95"/>
      <c r="FY325" s="95"/>
      <c r="FZ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</row>
    <row r="326" spans="1:193" ht="15.5" x14ac:dyDescent="0.35">
      <c r="A326" s="12" t="s">
        <v>1086</v>
      </c>
      <c r="B326" s="7" t="s">
        <v>1087</v>
      </c>
      <c r="C326" s="45">
        <f ca="1">IFERROR(__xludf.DUMMYFUNCTION("+C273"),0.027)</f>
        <v>2.7E-2</v>
      </c>
      <c r="D326" s="45">
        <f ca="1">IFERROR(__xludf.DUMMYFUNCTION("+D273"),0.027)</f>
        <v>2.7E-2</v>
      </c>
      <c r="E326" s="45">
        <f ca="1">IFERROR(__xludf.DUMMYFUNCTION("+E273"),0.027)</f>
        <v>2.7E-2</v>
      </c>
      <c r="F326" s="45">
        <f ca="1">IFERROR(__xludf.DUMMYFUNCTION("+F273"),0.027)</f>
        <v>2.7E-2</v>
      </c>
      <c r="G326" s="45">
        <f ca="1">IFERROR(__xludf.DUMMYFUNCTION("+G273"),0.025265)</f>
        <v>2.5264999999999999E-2</v>
      </c>
      <c r="H326" s="45">
        <f ca="1">IFERROR(__xludf.DUMMYFUNCTION("+H273"),0.027)</f>
        <v>2.7E-2</v>
      </c>
      <c r="I326" s="45">
        <f ca="1">IFERROR(__xludf.DUMMYFUNCTION("+I273"),0.027)</f>
        <v>2.7E-2</v>
      </c>
      <c r="J326" s="45">
        <f ca="1">IFERROR(__xludf.DUMMYFUNCTION("+J273"),0.027)</f>
        <v>2.7E-2</v>
      </c>
      <c r="K326" s="45">
        <f ca="1">IFERROR(__xludf.DUMMYFUNCTION("+K273"),0.027)</f>
        <v>2.7E-2</v>
      </c>
      <c r="L326" s="45">
        <f ca="1">IFERROR(__xludf.DUMMYFUNCTION("+L273"),0.026895)</f>
        <v>2.6894999999999999E-2</v>
      </c>
      <c r="M326" s="45">
        <f ca="1">IFERROR(__xludf.DUMMYFUNCTION("+M273"),0.0259469999999999)</f>
        <v>2.5946999999999901E-2</v>
      </c>
      <c r="N326" s="45">
        <f ca="1">IFERROR(__xludf.DUMMYFUNCTION("+N273"),0.018756)</f>
        <v>1.8755999999999998E-2</v>
      </c>
      <c r="O326" s="45">
        <f ca="1">IFERROR(__xludf.DUMMYFUNCTION("+O273"),0.027)</f>
        <v>2.7E-2</v>
      </c>
      <c r="P326" s="45">
        <f ca="1">IFERROR(__xludf.DUMMYFUNCTION("+P273"),0.027)</f>
        <v>2.7E-2</v>
      </c>
      <c r="Q326" s="45">
        <f ca="1">IFERROR(__xludf.DUMMYFUNCTION("+Q273"),0.027)</f>
        <v>2.7E-2</v>
      </c>
      <c r="R326" s="45">
        <f ca="1">IFERROR(__xludf.DUMMYFUNCTION("+R273"),0.027)</f>
        <v>2.7E-2</v>
      </c>
      <c r="S326" s="45">
        <f ca="1">IFERROR(__xludf.DUMMYFUNCTION("+S273"),0.026014)</f>
        <v>2.6013999999999999E-2</v>
      </c>
      <c r="T326" s="45">
        <f ca="1">IFERROR(__xludf.DUMMYFUNCTION("+T273"),0.024301)</f>
        <v>2.4301E-2</v>
      </c>
      <c r="U326" s="45">
        <f ca="1">IFERROR(__xludf.DUMMYFUNCTION("+U273"),0.023801)</f>
        <v>2.3800999999999999E-2</v>
      </c>
      <c r="V326" s="45">
        <f ca="1">IFERROR(__xludf.DUMMYFUNCTION("+V273"),0.027)</f>
        <v>2.7E-2</v>
      </c>
      <c r="W326" s="45">
        <f ca="1">IFERROR(__xludf.DUMMYFUNCTION("+W273"),0.027)</f>
        <v>2.7E-2</v>
      </c>
      <c r="X326" s="45">
        <f ca="1">IFERROR(__xludf.DUMMYFUNCTION("+X273"),0.015756)</f>
        <v>1.5755999999999999E-2</v>
      </c>
      <c r="Y326" s="45">
        <f ca="1">IFERROR(__xludf.DUMMYFUNCTION("+Y273"),0.024498)</f>
        <v>2.4497999999999999E-2</v>
      </c>
      <c r="Z326" s="45">
        <f ca="1">IFERROR(__xludf.DUMMYFUNCTION("+Z273"),0.02359)</f>
        <v>2.359E-2</v>
      </c>
      <c r="AA326" s="45">
        <f ca="1">IFERROR(__xludf.DUMMYFUNCTION("+AA273"),0.027)</f>
        <v>2.7E-2</v>
      </c>
      <c r="AB326" s="45">
        <f ca="1">IFERROR(__xludf.DUMMYFUNCTION("+AB273"),0.027)</f>
        <v>2.7E-2</v>
      </c>
      <c r="AC326" s="45">
        <f ca="1">IFERROR(__xludf.DUMMYFUNCTION("+AC273"),0.020982)</f>
        <v>2.0982000000000001E-2</v>
      </c>
      <c r="AD326" s="45">
        <f ca="1">IFERROR(__xludf.DUMMYFUNCTION("+AD273"),0.019693)</f>
        <v>1.9692999999999999E-2</v>
      </c>
      <c r="AE326" s="45">
        <f ca="1">IFERROR(__xludf.DUMMYFUNCTION("+AE273"),0.012814)</f>
        <v>1.2814000000000001E-2</v>
      </c>
      <c r="AF326" s="45">
        <f ca="1">IFERROR(__xludf.DUMMYFUNCTION("+AF273"),0.011674)</f>
        <v>1.1674E-2</v>
      </c>
      <c r="AG326" s="45">
        <f ca="1">IFERROR(__xludf.DUMMYFUNCTION("+AG273"),0.012485)</f>
        <v>1.2485E-2</v>
      </c>
      <c r="AH326" s="45">
        <f ca="1">IFERROR(__xludf.DUMMYFUNCTION("+AH273"),0.022123)</f>
        <v>2.2123E-2</v>
      </c>
      <c r="AI326" s="45">
        <f ca="1">IFERROR(__xludf.DUMMYFUNCTION("+AI273"),0.027)</f>
        <v>2.7E-2</v>
      </c>
      <c r="AJ326" s="45">
        <f ca="1">IFERROR(__xludf.DUMMYFUNCTION("+AJ273"),0.023788)</f>
        <v>2.3788E-2</v>
      </c>
      <c r="AK326" s="45">
        <f ca="1">IFERROR(__xludf.DUMMYFUNCTION("+AK273"),0.02128)</f>
        <v>2.128E-2</v>
      </c>
      <c r="AL326" s="45">
        <f ca="1">IFERROR(__xludf.DUMMYFUNCTION("+AL273"),0.027)</f>
        <v>2.7E-2</v>
      </c>
      <c r="AM326" s="45">
        <f ca="1">IFERROR(__xludf.DUMMYFUNCTION("+AM273"),0.021449)</f>
        <v>2.1448999999999999E-2</v>
      </c>
      <c r="AN326" s="45">
        <f ca="1">IFERROR(__xludf.DUMMYFUNCTION("+AN273"),0.024727)</f>
        <v>2.4726999999999999E-2</v>
      </c>
      <c r="AO326" s="45">
        <f ca="1">IFERROR(__xludf.DUMMYFUNCTION("+AO273"),0.027)</f>
        <v>2.7E-2</v>
      </c>
      <c r="AP326" s="45">
        <f ca="1">IFERROR(__xludf.DUMMYFUNCTION("+AP273"),0.027)</f>
        <v>2.7E-2</v>
      </c>
      <c r="AQ326" s="45">
        <f ca="1">IFERROR(__xludf.DUMMYFUNCTION("+AQ273"),0.018685)</f>
        <v>1.8685E-2</v>
      </c>
      <c r="AR326" s="45">
        <f ca="1">IFERROR(__xludf.DUMMYFUNCTION("+AR273"),0.027)</f>
        <v>2.7E-2</v>
      </c>
      <c r="AS326" s="45">
        <f ca="1">IFERROR(__xludf.DUMMYFUNCTION("+AS273"),0.012138)</f>
        <v>1.2137999999999999E-2</v>
      </c>
      <c r="AT326" s="45">
        <f ca="1">IFERROR(__xludf.DUMMYFUNCTION("+AT273"),0.027)</f>
        <v>2.7E-2</v>
      </c>
      <c r="AU326" s="45">
        <f ca="1">IFERROR(__xludf.DUMMYFUNCTION("+AU273"),0.0241879999999999)</f>
        <v>2.4187999999999901E-2</v>
      </c>
      <c r="AV326" s="45">
        <f ca="1">IFERROR(__xludf.DUMMYFUNCTION("+AV273"),0.027)</f>
        <v>2.7E-2</v>
      </c>
      <c r="AW326" s="45">
        <f ca="1">IFERROR(__xludf.DUMMYFUNCTION("+AW273"),0.024431)</f>
        <v>2.4431000000000001E-2</v>
      </c>
      <c r="AX326" s="45">
        <f ca="1">IFERROR(__xludf.DUMMYFUNCTION("+AX273"),0.0217979999999999)</f>
        <v>2.1797999999999901E-2</v>
      </c>
      <c r="AY326" s="45">
        <f ca="1">IFERROR(__xludf.DUMMYFUNCTION("+AY273"),0.027)</f>
        <v>2.7E-2</v>
      </c>
      <c r="AZ326" s="45">
        <f ca="1">IFERROR(__xludf.DUMMYFUNCTION("+AZ273"),0.01572)</f>
        <v>1.5720000000000001E-2</v>
      </c>
      <c r="BA326" s="45">
        <f ca="1">IFERROR(__xludf.DUMMYFUNCTION("+BA273"),0.0268939999999999)</f>
        <v>2.6893999999999901E-2</v>
      </c>
      <c r="BB326" s="45">
        <f ca="1">IFERROR(__xludf.DUMMYFUNCTION("+BB273"),0.024684)</f>
        <v>2.4684000000000001E-2</v>
      </c>
      <c r="BC326" s="45">
        <f ca="1">IFERROR(__xludf.DUMMYFUNCTION("+BC273"),0.020715)</f>
        <v>2.0715000000000001E-2</v>
      </c>
      <c r="BD326" s="45">
        <f ca="1">IFERROR(__xludf.DUMMYFUNCTION("+BD273"),0.027)</f>
        <v>2.7E-2</v>
      </c>
      <c r="BE326" s="45">
        <f ca="1">IFERROR(__xludf.DUMMYFUNCTION("+BE273"),0.027)</f>
        <v>2.7E-2</v>
      </c>
      <c r="BF326" s="45">
        <f ca="1">IFERROR(__xludf.DUMMYFUNCTION("+BF273"),0.027)</f>
        <v>2.7E-2</v>
      </c>
      <c r="BG326" s="45">
        <f ca="1">IFERROR(__xludf.DUMMYFUNCTION("+BG273"),0.027)</f>
        <v>2.7E-2</v>
      </c>
      <c r="BH326" s="45">
        <f ca="1">IFERROR(__xludf.DUMMYFUNCTION("+BH273"),0.026419)</f>
        <v>2.6419000000000002E-2</v>
      </c>
      <c r="BI326" s="45">
        <f ca="1">IFERROR(__xludf.DUMMYFUNCTION("+BI273"),0.013433)</f>
        <v>1.3433E-2</v>
      </c>
      <c r="BJ326" s="45">
        <f ca="1">IFERROR(__xludf.DUMMYFUNCTION("+BJ273"),0.027)</f>
        <v>2.7E-2</v>
      </c>
      <c r="BK326" s="45">
        <f ca="1">IFERROR(__xludf.DUMMYFUNCTION("+BK273"),0.027)</f>
        <v>2.7E-2</v>
      </c>
      <c r="BL326" s="45">
        <f ca="1">IFERROR(__xludf.DUMMYFUNCTION("+BL273"),0.027)</f>
        <v>2.7E-2</v>
      </c>
      <c r="BM326" s="45">
        <f ca="1">IFERROR(__xludf.DUMMYFUNCTION("+BM273"),0.025834)</f>
        <v>2.5833999999999999E-2</v>
      </c>
      <c r="BN326" s="45">
        <f ca="1">IFERROR(__xludf.DUMMYFUNCTION("+BN273"),0.027)</f>
        <v>2.7E-2</v>
      </c>
      <c r="BO326" s="45">
        <f ca="1">IFERROR(__xludf.DUMMYFUNCTION("+BO273"),0.020203)</f>
        <v>2.0202999999999999E-2</v>
      </c>
      <c r="BP326" s="45">
        <f ca="1">IFERROR(__xludf.DUMMYFUNCTION("+BP273"),0.026702)</f>
        <v>2.6702E-2</v>
      </c>
      <c r="BQ326" s="45">
        <f ca="1">IFERROR(__xludf.DUMMYFUNCTION("+BQ273"),0.026759)</f>
        <v>2.6759000000000002E-2</v>
      </c>
      <c r="BR326" s="45">
        <f ca="1">IFERROR(__xludf.DUMMYFUNCTION("+BR273"),0.00969999999999999)</f>
        <v>9.6999999999999899E-3</v>
      </c>
      <c r="BS326" s="45">
        <f ca="1">IFERROR(__xludf.DUMMYFUNCTION("+BS273"),0.004395)</f>
        <v>4.3949999999999996E-3</v>
      </c>
      <c r="BT326" s="45">
        <f ca="1">IFERROR(__xludf.DUMMYFUNCTION("+BT273"),0.006651)</f>
        <v>6.6509999999999998E-3</v>
      </c>
      <c r="BU326" s="45">
        <f ca="1">IFERROR(__xludf.DUMMYFUNCTION("+BU273"),0.013811)</f>
        <v>1.3811E-2</v>
      </c>
      <c r="BV326" s="45">
        <f ca="1">IFERROR(__xludf.DUMMYFUNCTION("+BV273"),0.009453)</f>
        <v>9.4529999999999996E-3</v>
      </c>
      <c r="BW326" s="45">
        <f ca="1">IFERROR(__xludf.DUMMYFUNCTION("+BW273"),0.015736)</f>
        <v>1.5736E-2</v>
      </c>
      <c r="BX326" s="45">
        <f ca="1">IFERROR(__xludf.DUMMYFUNCTION("+BX273"),0.019067)</f>
        <v>1.9067000000000001E-2</v>
      </c>
      <c r="BY326" s="45">
        <f ca="1">IFERROR(__xludf.DUMMYFUNCTION("+BY273"),0.027)</f>
        <v>2.7E-2</v>
      </c>
      <c r="BZ326" s="45">
        <f ca="1">IFERROR(__xludf.DUMMYFUNCTION("+BZ273"),0.027)</f>
        <v>2.7E-2</v>
      </c>
      <c r="CA326" s="45">
        <f ca="1">IFERROR(__xludf.DUMMYFUNCTION("+CA273"),0.023041)</f>
        <v>2.3040999999999999E-2</v>
      </c>
      <c r="CB326" s="45">
        <f ca="1">IFERROR(__xludf.DUMMYFUNCTION("+CB273"),0.027)</f>
        <v>2.7E-2</v>
      </c>
      <c r="CC326" s="45">
        <f ca="1">IFERROR(__xludf.DUMMYFUNCTION("+CC273"),0.027)</f>
        <v>2.7E-2</v>
      </c>
      <c r="CD326" s="45">
        <f ca="1">IFERROR(__xludf.DUMMYFUNCTION("+CD273"),0.02452)</f>
        <v>2.452E-2</v>
      </c>
      <c r="CE326" s="45">
        <f ca="1">IFERROR(__xludf.DUMMYFUNCTION("+CE273"),0.027)</f>
        <v>2.7E-2</v>
      </c>
      <c r="CF326" s="45">
        <f ca="1">IFERROR(__xludf.DUMMYFUNCTION("+CF273"),0.0243339999999999)</f>
        <v>2.4333999999999901E-2</v>
      </c>
      <c r="CG326" s="45">
        <f ca="1">IFERROR(__xludf.DUMMYFUNCTION("+CG273"),0.027)</f>
        <v>2.7E-2</v>
      </c>
      <c r="CH326" s="45">
        <f ca="1">IFERROR(__xludf.DUMMYFUNCTION("+CH273"),0.027)</f>
        <v>2.7E-2</v>
      </c>
      <c r="CI326" s="45">
        <f ca="1">IFERROR(__xludf.DUMMYFUNCTION("+CI273"),0.027)</f>
        <v>2.7E-2</v>
      </c>
      <c r="CJ326" s="45">
        <f ca="1">IFERROR(__xludf.DUMMYFUNCTION("+CJ273"),0.025294)</f>
        <v>2.5294000000000001E-2</v>
      </c>
      <c r="CK326" s="45">
        <f ca="1">IFERROR(__xludf.DUMMYFUNCTION("+CK273"),0.011601)</f>
        <v>1.1601E-2</v>
      </c>
      <c r="CL326" s="45">
        <f ca="1">IFERROR(__xludf.DUMMYFUNCTION("+CL273"),0.013229)</f>
        <v>1.3228999999999999E-2</v>
      </c>
      <c r="CM326" s="45">
        <f ca="1">IFERROR(__xludf.DUMMYFUNCTION("+CM273"),0.007274)</f>
        <v>7.2740000000000001E-3</v>
      </c>
      <c r="CN326" s="45">
        <f ca="1">IFERROR(__xludf.DUMMYFUNCTION("+CN273"),0.027)</f>
        <v>2.7E-2</v>
      </c>
      <c r="CO326" s="45">
        <f ca="1">IFERROR(__xludf.DUMMYFUNCTION("+CO273"),0.027)</f>
        <v>2.7E-2</v>
      </c>
      <c r="CP326" s="45">
        <f ca="1">IFERROR(__xludf.DUMMYFUNCTION("+CP273"),0.016787)</f>
        <v>1.6787E-2</v>
      </c>
      <c r="CQ326" s="45">
        <f ca="1">IFERROR(__xludf.DUMMYFUNCTION("+CQ273"),0.0174269999999999)</f>
        <v>1.7426999999999901E-2</v>
      </c>
      <c r="CR326" s="45">
        <f ca="1">IFERROR(__xludf.DUMMYFUNCTION("+CR273"),0.004169)</f>
        <v>4.169E-3</v>
      </c>
      <c r="CS326" s="45">
        <f ca="1">IFERROR(__xludf.DUMMYFUNCTION("+CS273"),0.027)</f>
        <v>2.7E-2</v>
      </c>
      <c r="CT326" s="45">
        <f ca="1">IFERROR(__xludf.DUMMYFUNCTION("+CT273"),0.0135199999999999)</f>
        <v>1.35199999999999E-2</v>
      </c>
      <c r="CU326" s="45">
        <f ca="1">IFERROR(__xludf.DUMMYFUNCTION("+CU273"),0.024616)</f>
        <v>2.4615999999999999E-2</v>
      </c>
      <c r="CV326" s="45">
        <f ca="1">IFERROR(__xludf.DUMMYFUNCTION("+CV273"),0.015979)</f>
        <v>1.5979E-2</v>
      </c>
      <c r="CW326" s="45">
        <f ca="1">IFERROR(__xludf.DUMMYFUNCTION("+CW273"),0.017379)</f>
        <v>1.7378999999999999E-2</v>
      </c>
      <c r="CX326" s="45">
        <f ca="1">IFERROR(__xludf.DUMMYFUNCTION("+CX273"),0.026824)</f>
        <v>2.6824000000000001E-2</v>
      </c>
      <c r="CY326" s="45">
        <f ca="1">IFERROR(__xludf.DUMMYFUNCTION("+CY273"),0.027)</f>
        <v>2.7E-2</v>
      </c>
      <c r="CZ326" s="45">
        <f ca="1">IFERROR(__xludf.DUMMYFUNCTION("+CZ273"),0.027)</f>
        <v>2.7E-2</v>
      </c>
      <c r="DA326" s="45">
        <f ca="1">IFERROR(__xludf.DUMMYFUNCTION("+DA273"),0.027)</f>
        <v>2.7E-2</v>
      </c>
      <c r="DB326" s="45">
        <f ca="1">IFERROR(__xludf.DUMMYFUNCTION("+DB273"),0.027)</f>
        <v>2.7E-2</v>
      </c>
      <c r="DC326" s="45">
        <f ca="1">IFERROR(__xludf.DUMMYFUNCTION("+DC273"),0.022418)</f>
        <v>2.2418E-2</v>
      </c>
      <c r="DD326" s="45">
        <f ca="1">IFERROR(__xludf.DUMMYFUNCTION("+DD273"),0.00343)</f>
        <v>3.4299999999999999E-3</v>
      </c>
      <c r="DE326" s="45">
        <f ca="1">IFERROR(__xludf.DUMMYFUNCTION("+DE273"),0.011895)</f>
        <v>1.1894999999999999E-2</v>
      </c>
      <c r="DF326" s="45">
        <f ca="1">IFERROR(__xludf.DUMMYFUNCTION("+DF273"),0.027)</f>
        <v>2.7E-2</v>
      </c>
      <c r="DG326" s="45">
        <f ca="1">IFERROR(__xludf.DUMMYFUNCTION("+DG273"),0.025453)</f>
        <v>2.5453E-2</v>
      </c>
      <c r="DH326" s="45">
        <f ca="1">IFERROR(__xludf.DUMMYFUNCTION("+DH273"),0.0255159999999999)</f>
        <v>2.55159999999999E-2</v>
      </c>
      <c r="DI326" s="45">
        <f ca="1">IFERROR(__xludf.DUMMYFUNCTION("+DI273"),0.0238449999999999)</f>
        <v>2.3844999999999901E-2</v>
      </c>
      <c r="DJ326" s="45">
        <f ca="1">IFERROR(__xludf.DUMMYFUNCTION("+DJ273"),0.025883)</f>
        <v>2.5883E-2</v>
      </c>
      <c r="DK326" s="45">
        <f ca="1">IFERROR(__xludf.DUMMYFUNCTION("+DK273"),0.020658)</f>
        <v>2.0657999999999999E-2</v>
      </c>
      <c r="DL326" s="45">
        <f ca="1">IFERROR(__xludf.DUMMYFUNCTION("+DL273"),0.0269669999999999)</f>
        <v>2.6966999999999901E-2</v>
      </c>
      <c r="DM326" s="45">
        <f ca="1">IFERROR(__xludf.DUMMYFUNCTION("+DM273"),0.024899)</f>
        <v>2.4899000000000001E-2</v>
      </c>
      <c r="DN326" s="45">
        <f ca="1">IFERROR(__xludf.DUMMYFUNCTION("+DN273"),0.027)</f>
        <v>2.7E-2</v>
      </c>
      <c r="DO326" s="45">
        <f ca="1">IFERROR(__xludf.DUMMYFUNCTION("+DO273"),0.027)</f>
        <v>2.7E-2</v>
      </c>
      <c r="DP326" s="45">
        <f ca="1">IFERROR(__xludf.DUMMYFUNCTION("+DP273"),0.027)</f>
        <v>2.7E-2</v>
      </c>
      <c r="DQ326" s="45">
        <f ca="1">IFERROR(__xludf.DUMMYFUNCTION("+DQ273"),0.021432)</f>
        <v>2.1432E-2</v>
      </c>
      <c r="DR326" s="45">
        <f ca="1">IFERROR(__xludf.DUMMYFUNCTION("+DR273"),0.027)</f>
        <v>2.7E-2</v>
      </c>
      <c r="DS326" s="45">
        <f ca="1">IFERROR(__xludf.DUMMYFUNCTION("+DS273"),0.027)</f>
        <v>2.7E-2</v>
      </c>
      <c r="DT326" s="45">
        <f ca="1">IFERROR(__xludf.DUMMYFUNCTION("+DT273"),0.026729)</f>
        <v>2.6728999999999999E-2</v>
      </c>
      <c r="DU326" s="45">
        <f ca="1">IFERROR(__xludf.DUMMYFUNCTION("+DU273"),0.027)</f>
        <v>2.7E-2</v>
      </c>
      <c r="DV326" s="45">
        <f ca="1">IFERROR(__xludf.DUMMYFUNCTION("+DV273"),0.027)</f>
        <v>2.7E-2</v>
      </c>
      <c r="DW326" s="45">
        <f ca="1">IFERROR(__xludf.DUMMYFUNCTION("+DW273"),0.026997)</f>
        <v>2.6997E-2</v>
      </c>
      <c r="DX326" s="45">
        <f ca="1">IFERROR(__xludf.DUMMYFUNCTION("+DX273"),0.023931)</f>
        <v>2.3931000000000001E-2</v>
      </c>
      <c r="DY326" s="45">
        <f ca="1">IFERROR(__xludf.DUMMYFUNCTION("+DY273"),0.017928)</f>
        <v>1.7927999999999999E-2</v>
      </c>
      <c r="DZ326" s="45">
        <f ca="1">IFERROR(__xludf.DUMMYFUNCTION("+DZ273"),0.0226619999999999)</f>
        <v>2.2661999999999901E-2</v>
      </c>
      <c r="EA326" s="45">
        <f ca="1">IFERROR(__xludf.DUMMYFUNCTION("+EA273"),0.010126)</f>
        <v>1.0126E-2</v>
      </c>
      <c r="EB326" s="45">
        <f ca="1">IFERROR(__xludf.DUMMYFUNCTION("+EB273"),0.027)</f>
        <v>2.7E-2</v>
      </c>
      <c r="EC326" s="45">
        <f ca="1">IFERROR(__xludf.DUMMYFUNCTION("+EC273"),0.027)</f>
        <v>2.7E-2</v>
      </c>
      <c r="ED326" s="45">
        <f ca="1">IFERROR(__xludf.DUMMYFUNCTION("+ED273"),0.003947)</f>
        <v>3.947E-3</v>
      </c>
      <c r="EE326" s="45">
        <f ca="1">IFERROR(__xludf.DUMMYFUNCTION("+EE273"),0.027)</f>
        <v>2.7E-2</v>
      </c>
      <c r="EF326" s="45">
        <f ca="1">IFERROR(__xludf.DUMMYFUNCTION("+EF273"),0.024595)</f>
        <v>2.4594999999999999E-2</v>
      </c>
      <c r="EG326" s="45">
        <f ca="1">IFERROR(__xludf.DUMMYFUNCTION("+EG273"),0.027)</f>
        <v>2.7E-2</v>
      </c>
      <c r="EH326" s="45">
        <f ca="1">IFERROR(__xludf.DUMMYFUNCTION("+EH273"),0.027)</f>
        <v>2.7E-2</v>
      </c>
      <c r="EI326" s="45">
        <f ca="1">IFERROR(__xludf.DUMMYFUNCTION("+EI273"),0.027)</f>
        <v>2.7E-2</v>
      </c>
      <c r="EJ326" s="45">
        <f ca="1">IFERROR(__xludf.DUMMYFUNCTION("+EJ273"),0.027)</f>
        <v>2.7E-2</v>
      </c>
      <c r="EK326" s="45">
        <f ca="1">IFERROR(__xludf.DUMMYFUNCTION("+EK273"),0.005767)</f>
        <v>5.7670000000000004E-3</v>
      </c>
      <c r="EL326" s="45">
        <f ca="1">IFERROR(__xludf.DUMMYFUNCTION("+EL273"),0.006143)</f>
        <v>6.143E-3</v>
      </c>
      <c r="EM326" s="45">
        <f ca="1">IFERROR(__xludf.DUMMYFUNCTION("+EM273"),0.021308)</f>
        <v>2.1308000000000001E-2</v>
      </c>
      <c r="EN326" s="45">
        <f ca="1">IFERROR(__xludf.DUMMYFUNCTION("+EN273"),0.027)</f>
        <v>2.7E-2</v>
      </c>
      <c r="EO326" s="45">
        <f ca="1">IFERROR(__xludf.DUMMYFUNCTION("+EO273"),0.027)</f>
        <v>2.7E-2</v>
      </c>
      <c r="EP326" s="45">
        <f ca="1">IFERROR(__xludf.DUMMYFUNCTION("+EP273"),0.0255859999999999)</f>
        <v>2.55859999999999E-2</v>
      </c>
      <c r="EQ326" s="45">
        <f ca="1">IFERROR(__xludf.DUMMYFUNCTION("+EQ273"),0.005593)</f>
        <v>5.5929999999999999E-3</v>
      </c>
      <c r="ER326" s="45">
        <f ca="1">IFERROR(__xludf.DUMMYFUNCTION("+ER273"),0.021283)</f>
        <v>2.1283E-2</v>
      </c>
      <c r="ES326" s="45">
        <f ca="1">IFERROR(__xludf.DUMMYFUNCTION("+ES273"),0.027)</f>
        <v>2.7E-2</v>
      </c>
      <c r="ET326" s="45">
        <f ca="1">IFERROR(__xludf.DUMMYFUNCTION("+ET273"),0.027)</f>
        <v>2.7E-2</v>
      </c>
      <c r="EU326" s="45">
        <f ca="1">IFERROR(__xludf.DUMMYFUNCTION("+EU273"),0.027)</f>
        <v>2.7E-2</v>
      </c>
      <c r="EV326" s="45">
        <f ca="1">IFERROR(__xludf.DUMMYFUNCTION("+EV273"),0.015009)</f>
        <v>1.5009E-2</v>
      </c>
      <c r="EW326" s="45">
        <f ca="1">IFERROR(__xludf.DUMMYFUNCTION("+EW273"),0.00728099999999999)</f>
        <v>7.2809999999999897E-3</v>
      </c>
      <c r="EX326" s="45">
        <f ca="1">IFERROR(__xludf.DUMMYFUNCTION("+EX273"),0.00891)</f>
        <v>8.9099999999999995E-3</v>
      </c>
      <c r="EY326" s="45">
        <f ca="1">IFERROR(__xludf.DUMMYFUNCTION("+EY273"),0.027)</f>
        <v>2.7E-2</v>
      </c>
      <c r="EZ326" s="45">
        <f ca="1">IFERROR(__xludf.DUMMYFUNCTION("+EZ273"),0.027)</f>
        <v>2.7E-2</v>
      </c>
      <c r="FA326" s="45">
        <f ca="1">IFERROR(__xludf.DUMMYFUNCTION("+FA273"),0.010606)</f>
        <v>1.0606000000000001E-2</v>
      </c>
      <c r="FB326" s="45">
        <f ca="1">IFERROR(__xludf.DUMMYFUNCTION("+FB273"),0.008814)</f>
        <v>8.8140000000000007E-3</v>
      </c>
      <c r="FC326" s="45">
        <f ca="1">IFERROR(__xludf.DUMMYFUNCTION("+FC273"),0.027)</f>
        <v>2.7E-2</v>
      </c>
      <c r="FD326" s="45">
        <f ca="1">IFERROR(__xludf.DUMMYFUNCTION("+FD273"),0.027)</f>
        <v>2.7E-2</v>
      </c>
      <c r="FE326" s="45">
        <f ca="1">IFERROR(__xludf.DUMMYFUNCTION("+FE273"),0.019181)</f>
        <v>1.9181E-2</v>
      </c>
      <c r="FF326" s="45">
        <f ca="1">IFERROR(__xludf.DUMMYFUNCTION("+FF273"),0.027)</f>
        <v>2.7E-2</v>
      </c>
      <c r="FG326" s="45">
        <f ca="1">IFERROR(__xludf.DUMMYFUNCTION("+FG273"),0.027)</f>
        <v>2.7E-2</v>
      </c>
      <c r="FH326" s="45">
        <f ca="1">IFERROR(__xludf.DUMMYFUNCTION("+FH273"),0.024772)</f>
        <v>2.4771999999999999E-2</v>
      </c>
      <c r="FI326" s="45">
        <f ca="1">IFERROR(__xludf.DUMMYFUNCTION("+FI273"),0.009639)</f>
        <v>9.639E-3</v>
      </c>
      <c r="FJ326" s="45">
        <f ca="1">IFERROR(__xludf.DUMMYFUNCTION("+FJ273"),0.022076)</f>
        <v>2.2075999999999998E-2</v>
      </c>
      <c r="FK326" s="45">
        <f ca="1">IFERROR(__xludf.DUMMYFUNCTION("+FK273"),0.010845)</f>
        <v>1.0845E-2</v>
      </c>
      <c r="FL326" s="45">
        <f ca="1">IFERROR(__xludf.DUMMYFUNCTION("+FL273"),0.027)</f>
        <v>2.7E-2</v>
      </c>
      <c r="FM326" s="45">
        <f ca="1">IFERROR(__xludf.DUMMYFUNCTION("+FM273"),0.023414)</f>
        <v>2.3414000000000001E-2</v>
      </c>
      <c r="FN326" s="45">
        <f ca="1">IFERROR(__xludf.DUMMYFUNCTION("+FN273"),0.027)</f>
        <v>2.7E-2</v>
      </c>
      <c r="FO326" s="45">
        <f ca="1">IFERROR(__xludf.DUMMYFUNCTION("+FO273"),0.003991)</f>
        <v>3.9909999999999998E-3</v>
      </c>
      <c r="FP326" s="45">
        <f ca="1">IFERROR(__xludf.DUMMYFUNCTION("+FP273"),0.012143)</f>
        <v>1.2142999999999999E-2</v>
      </c>
      <c r="FQ326" s="45">
        <f ca="1">IFERROR(__xludf.DUMMYFUNCTION("+FQ273"),0.021522)</f>
        <v>2.1521999999999999E-2</v>
      </c>
      <c r="FR326" s="45">
        <f ca="1">IFERROR(__xludf.DUMMYFUNCTION("+FR273"),0.005627)</f>
        <v>5.6270000000000001E-3</v>
      </c>
      <c r="FS326" s="45">
        <f ca="1">IFERROR(__xludf.DUMMYFUNCTION("+FS273"),0.005068)</f>
        <v>5.0679999999999996E-3</v>
      </c>
      <c r="FT326" s="45">
        <f ca="1">IFERROR(__xludf.DUMMYFUNCTION("+FT273"),0.003005)</f>
        <v>3.0049999999999999E-3</v>
      </c>
      <c r="FU326" s="45">
        <f ca="1">IFERROR(__xludf.DUMMYFUNCTION("+FU273"),0.0233449999999999)</f>
        <v>2.3344999999999901E-2</v>
      </c>
      <c r="FV326" s="45">
        <f ca="1">IFERROR(__xludf.DUMMYFUNCTION("+FV273"),0.020032)</f>
        <v>2.0032000000000001E-2</v>
      </c>
      <c r="FW326" s="45">
        <f ca="1">IFERROR(__xludf.DUMMYFUNCTION("+FW273"),0.026498)</f>
        <v>2.6498000000000001E-2</v>
      </c>
      <c r="FX326" s="45">
        <f ca="1">IFERROR(__xludf.DUMMYFUNCTION("+FX273"),0.024675)</f>
        <v>2.4674999999999999E-2</v>
      </c>
      <c r="FY326" s="45"/>
      <c r="FZ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</row>
    <row r="327" spans="1:193" ht="15.5" x14ac:dyDescent="0.35">
      <c r="A327" s="12" t="s">
        <v>1088</v>
      </c>
      <c r="B327" s="7" t="s">
        <v>1089</v>
      </c>
      <c r="C327" s="45">
        <f ca="1">IFERROR(__xludf.DUMMYFUNCTION("+C285"),0)</f>
        <v>0</v>
      </c>
      <c r="D327" s="45">
        <f ca="1">IFERROR(__xludf.DUMMYFUNCTION("+D285"),0)</f>
        <v>0</v>
      </c>
      <c r="E327" s="45">
        <f ca="1">IFERROR(__xludf.DUMMYFUNCTION("+E285"),0)</f>
        <v>0</v>
      </c>
      <c r="F327" s="45">
        <f ca="1">IFERROR(__xludf.DUMMYFUNCTION("+F285"),0)</f>
        <v>0</v>
      </c>
      <c r="G327" s="45">
        <f ca="1">IFERROR(__xludf.DUMMYFUNCTION("+G285"),0)</f>
        <v>0</v>
      </c>
      <c r="H327" s="45">
        <f ca="1">IFERROR(__xludf.DUMMYFUNCTION("+H285"),0)</f>
        <v>0</v>
      </c>
      <c r="I327" s="45">
        <f ca="1">IFERROR(__xludf.DUMMYFUNCTION("+I285"),0)</f>
        <v>0</v>
      </c>
      <c r="J327" s="45">
        <f ca="1">IFERROR(__xludf.DUMMYFUNCTION("+J285"),0)</f>
        <v>0</v>
      </c>
      <c r="K327" s="45">
        <f ca="1">IFERROR(__xludf.DUMMYFUNCTION("+K285"),0)</f>
        <v>0</v>
      </c>
      <c r="L327" s="45">
        <f ca="1">IFERROR(__xludf.DUMMYFUNCTION("+L285"),0)</f>
        <v>0</v>
      </c>
      <c r="M327" s="45">
        <f ca="1">IFERROR(__xludf.DUMMYFUNCTION("+M285"),0)</f>
        <v>0</v>
      </c>
      <c r="N327" s="45">
        <f ca="1">IFERROR(__xludf.DUMMYFUNCTION("+N285"),0)</f>
        <v>0</v>
      </c>
      <c r="O327" s="45">
        <f ca="1">IFERROR(__xludf.DUMMYFUNCTION("+O285"),0)</f>
        <v>0</v>
      </c>
      <c r="P327" s="45">
        <f ca="1">IFERROR(__xludf.DUMMYFUNCTION("+P285"),0)</f>
        <v>0</v>
      </c>
      <c r="Q327" s="45">
        <f ca="1">IFERROR(__xludf.DUMMYFUNCTION("+Q285"),0)</f>
        <v>0</v>
      </c>
      <c r="R327" s="45">
        <f ca="1">IFERROR(__xludf.DUMMYFUNCTION("+R285"),0)</f>
        <v>0</v>
      </c>
      <c r="S327" s="45">
        <f ca="1">IFERROR(__xludf.DUMMYFUNCTION("+S285"),0)</f>
        <v>0</v>
      </c>
      <c r="T327" s="45">
        <f ca="1">IFERROR(__xludf.DUMMYFUNCTION("+T285"),0)</f>
        <v>0</v>
      </c>
      <c r="U327" s="45">
        <f ca="1">IFERROR(__xludf.DUMMYFUNCTION("+U285"),0)</f>
        <v>0</v>
      </c>
      <c r="V327" s="45">
        <f ca="1">IFERROR(__xludf.DUMMYFUNCTION("+V285"),0)</f>
        <v>0</v>
      </c>
      <c r="W327" s="45">
        <f ca="1">IFERROR(__xludf.DUMMYFUNCTION("+W285"),0)</f>
        <v>0</v>
      </c>
      <c r="X327" s="45">
        <f ca="1">IFERROR(__xludf.DUMMYFUNCTION("+X285"),0)</f>
        <v>0</v>
      </c>
      <c r="Y327" s="45">
        <f ca="1">IFERROR(__xludf.DUMMYFUNCTION("+Y285"),0)</f>
        <v>0</v>
      </c>
      <c r="Z327" s="45">
        <f ca="1">IFERROR(__xludf.DUMMYFUNCTION("+Z285"),0)</f>
        <v>0</v>
      </c>
      <c r="AA327" s="45">
        <f ca="1">IFERROR(__xludf.DUMMYFUNCTION("+AA285"),0)</f>
        <v>0</v>
      </c>
      <c r="AB327" s="45">
        <f ca="1">IFERROR(__xludf.DUMMYFUNCTION("+AB285"),0)</f>
        <v>0</v>
      </c>
      <c r="AC327" s="45">
        <f ca="1">IFERROR(__xludf.DUMMYFUNCTION("+AC285"),0)</f>
        <v>0</v>
      </c>
      <c r="AD327" s="45">
        <f ca="1">IFERROR(__xludf.DUMMYFUNCTION("+AD285"),0)</f>
        <v>0</v>
      </c>
      <c r="AE327" s="45">
        <f ca="1">IFERROR(__xludf.DUMMYFUNCTION("+AE285"),0)</f>
        <v>0</v>
      </c>
      <c r="AF327" s="45">
        <f ca="1">IFERROR(__xludf.DUMMYFUNCTION("+AF285"),0)</f>
        <v>0</v>
      </c>
      <c r="AG327" s="45">
        <f ca="1">IFERROR(__xludf.DUMMYFUNCTION("+AG285"),0)</f>
        <v>0</v>
      </c>
      <c r="AH327" s="45">
        <f ca="1">IFERROR(__xludf.DUMMYFUNCTION("+AH285"),0)</f>
        <v>0</v>
      </c>
      <c r="AI327" s="45">
        <f ca="1">IFERROR(__xludf.DUMMYFUNCTION("+AI285"),0)</f>
        <v>0</v>
      </c>
      <c r="AJ327" s="45">
        <f ca="1">IFERROR(__xludf.DUMMYFUNCTION("+AJ285"),0)</f>
        <v>0</v>
      </c>
      <c r="AK327" s="45">
        <f ca="1">IFERROR(__xludf.DUMMYFUNCTION("+AK285"),0)</f>
        <v>0</v>
      </c>
      <c r="AL327" s="45">
        <f ca="1">IFERROR(__xludf.DUMMYFUNCTION("+AL285"),0)</f>
        <v>0</v>
      </c>
      <c r="AM327" s="45">
        <f ca="1">IFERROR(__xludf.DUMMYFUNCTION("+AM285"),0)</f>
        <v>0</v>
      </c>
      <c r="AN327" s="45">
        <f ca="1">IFERROR(__xludf.DUMMYFUNCTION("+AN285"),0.000979)</f>
        <v>9.7900000000000005E-4</v>
      </c>
      <c r="AO327" s="45">
        <f ca="1">IFERROR(__xludf.DUMMYFUNCTION("+AO285"),0)</f>
        <v>0</v>
      </c>
      <c r="AP327" s="45">
        <f ca="1">IFERROR(__xludf.DUMMYFUNCTION("+AP285"),0)</f>
        <v>0</v>
      </c>
      <c r="AQ327" s="45">
        <f ca="1">IFERROR(__xludf.DUMMYFUNCTION("+AQ285"),0)</f>
        <v>0</v>
      </c>
      <c r="AR327" s="45">
        <f ca="1">IFERROR(__xludf.DUMMYFUNCTION("+AR285"),0)</f>
        <v>0</v>
      </c>
      <c r="AS327" s="45">
        <f ca="1">IFERROR(__xludf.DUMMYFUNCTION("+AS285"),0)</f>
        <v>0</v>
      </c>
      <c r="AT327" s="45">
        <f ca="1">IFERROR(__xludf.DUMMYFUNCTION("+AT285"),0)</f>
        <v>0</v>
      </c>
      <c r="AU327" s="45">
        <f ca="1">IFERROR(__xludf.DUMMYFUNCTION("+AU285"),0)</f>
        <v>0</v>
      </c>
      <c r="AV327" s="45">
        <f ca="1">IFERROR(__xludf.DUMMYFUNCTION("+AV285"),0)</f>
        <v>0</v>
      </c>
      <c r="AW327" s="45">
        <f ca="1">IFERROR(__xludf.DUMMYFUNCTION("+AW285"),0)</f>
        <v>0</v>
      </c>
      <c r="AX327" s="45">
        <f ca="1">IFERROR(__xludf.DUMMYFUNCTION("+AX285"),0)</f>
        <v>0</v>
      </c>
      <c r="AY327" s="45">
        <f ca="1">IFERROR(__xludf.DUMMYFUNCTION("+AY285"),0)</f>
        <v>0</v>
      </c>
      <c r="AZ327" s="45">
        <f ca="1">IFERROR(__xludf.DUMMYFUNCTION("+AZ285"),0)</f>
        <v>0</v>
      </c>
      <c r="BA327" s="45">
        <f ca="1">IFERROR(__xludf.DUMMYFUNCTION("+BA285"),0)</f>
        <v>0</v>
      </c>
      <c r="BB327" s="45">
        <f ca="1">IFERROR(__xludf.DUMMYFUNCTION("+BB285"),0)</f>
        <v>0</v>
      </c>
      <c r="BC327" s="45">
        <f ca="1">IFERROR(__xludf.DUMMYFUNCTION("+BC285"),0)</f>
        <v>0</v>
      </c>
      <c r="BD327" s="45">
        <f ca="1">IFERROR(__xludf.DUMMYFUNCTION("+BD285"),0)</f>
        <v>0</v>
      </c>
      <c r="BE327" s="45">
        <f ca="1">IFERROR(__xludf.DUMMYFUNCTION("+BE285"),0)</f>
        <v>0</v>
      </c>
      <c r="BF327" s="45">
        <f ca="1">IFERROR(__xludf.DUMMYFUNCTION("+BF285"),0)</f>
        <v>0</v>
      </c>
      <c r="BG327" s="45">
        <f ca="1">IFERROR(__xludf.DUMMYFUNCTION("+BG285"),0)</f>
        <v>0</v>
      </c>
      <c r="BH327" s="45">
        <f ca="1">IFERROR(__xludf.DUMMYFUNCTION("+BH285"),0)</f>
        <v>0</v>
      </c>
      <c r="BI327" s="45">
        <f ca="1">IFERROR(__xludf.DUMMYFUNCTION("+BI285"),0)</f>
        <v>0</v>
      </c>
      <c r="BJ327" s="45">
        <f ca="1">IFERROR(__xludf.DUMMYFUNCTION("+BJ285"),0)</f>
        <v>0</v>
      </c>
      <c r="BK327" s="45">
        <f ca="1">IFERROR(__xludf.DUMMYFUNCTION("+BK285"),0)</f>
        <v>0</v>
      </c>
      <c r="BL327" s="45">
        <f ca="1">IFERROR(__xludf.DUMMYFUNCTION("+BL285"),0)</f>
        <v>0</v>
      </c>
      <c r="BM327" s="45">
        <f ca="1">IFERROR(__xludf.DUMMYFUNCTION("+BM285"),0)</f>
        <v>0</v>
      </c>
      <c r="BN327" s="45">
        <f ca="1">IFERROR(__xludf.DUMMYFUNCTION("+BN285"),0)</f>
        <v>0</v>
      </c>
      <c r="BO327" s="45">
        <f ca="1">IFERROR(__xludf.DUMMYFUNCTION("+BO285"),0)</f>
        <v>0</v>
      </c>
      <c r="BP327" s="45">
        <f ca="1">IFERROR(__xludf.DUMMYFUNCTION("+BP285"),0)</f>
        <v>0</v>
      </c>
      <c r="BQ327" s="45">
        <f ca="1">IFERROR(__xludf.DUMMYFUNCTION("+BQ285"),0)</f>
        <v>0</v>
      </c>
      <c r="BR327" s="45">
        <f ca="1">IFERROR(__xludf.DUMMYFUNCTION("+BR285"),0)</f>
        <v>0</v>
      </c>
      <c r="BS327" s="45">
        <f ca="1">IFERROR(__xludf.DUMMYFUNCTION("+BS285"),0)</f>
        <v>0</v>
      </c>
      <c r="BT327" s="45">
        <f ca="1">IFERROR(__xludf.DUMMYFUNCTION("+BT285"),0)</f>
        <v>0</v>
      </c>
      <c r="BU327" s="45">
        <f ca="1">IFERROR(__xludf.DUMMYFUNCTION("+BU285"),0)</f>
        <v>0</v>
      </c>
      <c r="BV327" s="45">
        <f ca="1">IFERROR(__xludf.DUMMYFUNCTION("+BV285"),0.000461)</f>
        <v>4.6099999999999998E-4</v>
      </c>
      <c r="BW327" s="45">
        <f ca="1">IFERROR(__xludf.DUMMYFUNCTION("+BW285"),0)</f>
        <v>0</v>
      </c>
      <c r="BX327" s="45">
        <f ca="1">IFERROR(__xludf.DUMMYFUNCTION("+BX285"),0)</f>
        <v>0</v>
      </c>
      <c r="BY327" s="45">
        <f ca="1">IFERROR(__xludf.DUMMYFUNCTION("+BY285"),0)</f>
        <v>0</v>
      </c>
      <c r="BZ327" s="45">
        <f ca="1">IFERROR(__xludf.DUMMYFUNCTION("+BZ285"),0)</f>
        <v>0</v>
      </c>
      <c r="CA327" s="45">
        <f ca="1">IFERROR(__xludf.DUMMYFUNCTION("+CA285"),0)</f>
        <v>0</v>
      </c>
      <c r="CB327" s="45">
        <f ca="1">IFERROR(__xludf.DUMMYFUNCTION("+CB285"),0)</f>
        <v>0</v>
      </c>
      <c r="CC327" s="45">
        <f ca="1">IFERROR(__xludf.DUMMYFUNCTION("+CC285"),0)</f>
        <v>0</v>
      </c>
      <c r="CD327" s="45">
        <f ca="1">IFERROR(__xludf.DUMMYFUNCTION("+CD285"),0)</f>
        <v>0</v>
      </c>
      <c r="CE327" s="45">
        <f ca="1">IFERROR(__xludf.DUMMYFUNCTION("+CE285"),0)</f>
        <v>0</v>
      </c>
      <c r="CF327" s="45">
        <f ca="1">IFERROR(__xludf.DUMMYFUNCTION("+CF285"),0)</f>
        <v>0</v>
      </c>
      <c r="CG327" s="45">
        <f ca="1">IFERROR(__xludf.DUMMYFUNCTION("+CG285"),0)</f>
        <v>0</v>
      </c>
      <c r="CH327" s="45">
        <f ca="1">IFERROR(__xludf.DUMMYFUNCTION("+CH285"),0)</f>
        <v>0</v>
      </c>
      <c r="CI327" s="45">
        <f ca="1">IFERROR(__xludf.DUMMYFUNCTION("+CI285"),0)</f>
        <v>0</v>
      </c>
      <c r="CJ327" s="45">
        <f ca="1">IFERROR(__xludf.DUMMYFUNCTION("+CJ285"),0.001219)</f>
        <v>1.219E-3</v>
      </c>
      <c r="CK327" s="45">
        <f ca="1">IFERROR(__xludf.DUMMYFUNCTION("+CK285"),0)</f>
        <v>0</v>
      </c>
      <c r="CL327" s="45">
        <f ca="1">IFERROR(__xludf.DUMMYFUNCTION("+CL285"),0)</f>
        <v>0</v>
      </c>
      <c r="CM327" s="45">
        <f ca="1">IFERROR(__xludf.DUMMYFUNCTION("+CM285"),0)</f>
        <v>0</v>
      </c>
      <c r="CN327" s="45">
        <f ca="1">IFERROR(__xludf.DUMMYFUNCTION("+CN285"),0)</f>
        <v>0</v>
      </c>
      <c r="CO327" s="45">
        <f ca="1">IFERROR(__xludf.DUMMYFUNCTION("+CO285"),0)</f>
        <v>0</v>
      </c>
      <c r="CP327" s="45">
        <f ca="1">IFERROR(__xludf.DUMMYFUNCTION("+CP285"),0.000685)</f>
        <v>6.8499999999999995E-4</v>
      </c>
      <c r="CQ327" s="45">
        <f ca="1">IFERROR(__xludf.DUMMYFUNCTION("+CQ285"),0)</f>
        <v>0</v>
      </c>
      <c r="CR327" s="45">
        <f ca="1">IFERROR(__xludf.DUMMYFUNCTION("+CR285"),0)</f>
        <v>0</v>
      </c>
      <c r="CS327" s="45">
        <f ca="1">IFERROR(__xludf.DUMMYFUNCTION("+CS285"),0)</f>
        <v>0</v>
      </c>
      <c r="CT327" s="45">
        <f ca="1">IFERROR(__xludf.DUMMYFUNCTION("+CT285"),0)</f>
        <v>0</v>
      </c>
      <c r="CU327" s="45">
        <f ca="1">IFERROR(__xludf.DUMMYFUNCTION("+CU285"),0)</f>
        <v>0</v>
      </c>
      <c r="CV327" s="45">
        <f ca="1">IFERROR(__xludf.DUMMYFUNCTION("+CV285"),0)</f>
        <v>0</v>
      </c>
      <c r="CW327" s="45">
        <f ca="1">IFERROR(__xludf.DUMMYFUNCTION("+CW285"),0)</f>
        <v>0</v>
      </c>
      <c r="CX327" s="45">
        <f ca="1">IFERROR(__xludf.DUMMYFUNCTION("+CX285"),0)</f>
        <v>0</v>
      </c>
      <c r="CY327" s="45">
        <f ca="1">IFERROR(__xludf.DUMMYFUNCTION("+CY285"),0)</f>
        <v>0</v>
      </c>
      <c r="CZ327" s="45">
        <f ca="1">IFERROR(__xludf.DUMMYFUNCTION("+CZ285"),0)</f>
        <v>0</v>
      </c>
      <c r="DA327" s="45">
        <f ca="1">IFERROR(__xludf.DUMMYFUNCTION("+DA285"),0)</f>
        <v>0</v>
      </c>
      <c r="DB327" s="45">
        <f ca="1">IFERROR(__xludf.DUMMYFUNCTION("+DB285"),0)</f>
        <v>0</v>
      </c>
      <c r="DC327" s="45">
        <f ca="1">IFERROR(__xludf.DUMMYFUNCTION("+DC285"),0)</f>
        <v>0</v>
      </c>
      <c r="DD327" s="45">
        <f ca="1">IFERROR(__xludf.DUMMYFUNCTION("+DD285"),0)</f>
        <v>0</v>
      </c>
      <c r="DE327" s="45">
        <f ca="1">IFERROR(__xludf.DUMMYFUNCTION("+DE285"),0)</f>
        <v>0</v>
      </c>
      <c r="DF327" s="45">
        <f ca="1">IFERROR(__xludf.DUMMYFUNCTION("+DF285"),0)</f>
        <v>0</v>
      </c>
      <c r="DG327" s="45">
        <f ca="1">IFERROR(__xludf.DUMMYFUNCTION("+DG285"),0)</f>
        <v>0</v>
      </c>
      <c r="DH327" s="45">
        <f ca="1">IFERROR(__xludf.DUMMYFUNCTION("+DH285"),0)</f>
        <v>0</v>
      </c>
      <c r="DI327" s="45">
        <f ca="1">IFERROR(__xludf.DUMMYFUNCTION("+DI285"),0)</f>
        <v>0</v>
      </c>
      <c r="DJ327" s="45">
        <f ca="1">IFERROR(__xludf.DUMMYFUNCTION("+DJ285"),0)</f>
        <v>0</v>
      </c>
      <c r="DK327" s="45">
        <f ca="1">IFERROR(__xludf.DUMMYFUNCTION("+DK285"),0)</f>
        <v>0</v>
      </c>
      <c r="DL327" s="45">
        <f ca="1">IFERROR(__xludf.DUMMYFUNCTION("+DL285"),0)</f>
        <v>0</v>
      </c>
      <c r="DM327" s="45">
        <f ca="1">IFERROR(__xludf.DUMMYFUNCTION("+DM285"),0)</f>
        <v>0</v>
      </c>
      <c r="DN327" s="45">
        <f ca="1">IFERROR(__xludf.DUMMYFUNCTION("+DN285"),0)</f>
        <v>0</v>
      </c>
      <c r="DO327" s="45">
        <f ca="1">IFERROR(__xludf.DUMMYFUNCTION("+DO285"),0)</f>
        <v>0</v>
      </c>
      <c r="DP327" s="45">
        <f ca="1">IFERROR(__xludf.DUMMYFUNCTION("+DP285"),0)</f>
        <v>0</v>
      </c>
      <c r="DQ327" s="45">
        <f ca="1">IFERROR(__xludf.DUMMYFUNCTION("+DQ285"),0.000714999999999999)</f>
        <v>7.1499999999999895E-4</v>
      </c>
      <c r="DR327" s="45">
        <f ca="1">IFERROR(__xludf.DUMMYFUNCTION("+DR285"),0)</f>
        <v>0</v>
      </c>
      <c r="DS327" s="45">
        <f ca="1">IFERROR(__xludf.DUMMYFUNCTION("+DS285"),0)</f>
        <v>0</v>
      </c>
      <c r="DT327" s="45">
        <f ca="1">IFERROR(__xludf.DUMMYFUNCTION("+DT285"),0)</f>
        <v>0</v>
      </c>
      <c r="DU327" s="45">
        <f ca="1">IFERROR(__xludf.DUMMYFUNCTION("+DU285"),0)</f>
        <v>0</v>
      </c>
      <c r="DV327" s="45">
        <f ca="1">IFERROR(__xludf.DUMMYFUNCTION("+DV285"),0)</f>
        <v>0</v>
      </c>
      <c r="DW327" s="45">
        <f ca="1">IFERROR(__xludf.DUMMYFUNCTION("+DW285"),0)</f>
        <v>0</v>
      </c>
      <c r="DX327" s="45">
        <f ca="1">IFERROR(__xludf.DUMMYFUNCTION("+DX285"),0)</f>
        <v>0</v>
      </c>
      <c r="DY327" s="45">
        <f ca="1">IFERROR(__xludf.DUMMYFUNCTION("+DY285"),0)</f>
        <v>0</v>
      </c>
      <c r="DZ327" s="45">
        <f ca="1">IFERROR(__xludf.DUMMYFUNCTION("+DZ285"),0)</f>
        <v>0</v>
      </c>
      <c r="EA327" s="45">
        <f ca="1">IFERROR(__xludf.DUMMYFUNCTION("+EA285"),0.000808999999999999)</f>
        <v>8.0899999999999896E-4</v>
      </c>
      <c r="EB327" s="45">
        <f ca="1">IFERROR(__xludf.DUMMYFUNCTION("+EB285"),0)</f>
        <v>0</v>
      </c>
      <c r="EC327" s="45">
        <f ca="1">IFERROR(__xludf.DUMMYFUNCTION("+EC285"),0)</f>
        <v>0</v>
      </c>
      <c r="ED327" s="45">
        <f ca="1">IFERROR(__xludf.DUMMYFUNCTION("+ED285"),0.000137)</f>
        <v>1.37E-4</v>
      </c>
      <c r="EE327" s="45">
        <f ca="1">IFERROR(__xludf.DUMMYFUNCTION("+EE285"),0)</f>
        <v>0</v>
      </c>
      <c r="EF327" s="45">
        <f ca="1">IFERROR(__xludf.DUMMYFUNCTION("+EF285"),0)</f>
        <v>0</v>
      </c>
      <c r="EG327" s="45">
        <f ca="1">IFERROR(__xludf.DUMMYFUNCTION("+EG285"),0)</f>
        <v>0</v>
      </c>
      <c r="EH327" s="45">
        <f ca="1">IFERROR(__xludf.DUMMYFUNCTION("+EH285"),0)</f>
        <v>0</v>
      </c>
      <c r="EI327" s="45">
        <f ca="1">IFERROR(__xludf.DUMMYFUNCTION("+EI285"),0)</f>
        <v>0</v>
      </c>
      <c r="EJ327" s="45">
        <f ca="1">IFERROR(__xludf.DUMMYFUNCTION("+EJ285"),0)</f>
        <v>0</v>
      </c>
      <c r="EK327" s="45">
        <f ca="1">IFERROR(__xludf.DUMMYFUNCTION("+EK285"),0)</f>
        <v>0</v>
      </c>
      <c r="EL327" s="45">
        <f ca="1">IFERROR(__xludf.DUMMYFUNCTION("+EL285"),0)</f>
        <v>0</v>
      </c>
      <c r="EM327" s="45">
        <f ca="1">IFERROR(__xludf.DUMMYFUNCTION("+EM285"),0)</f>
        <v>0</v>
      </c>
      <c r="EN327" s="45">
        <f ca="1">IFERROR(__xludf.DUMMYFUNCTION("+EN285"),0)</f>
        <v>0</v>
      </c>
      <c r="EO327" s="45">
        <f ca="1">IFERROR(__xludf.DUMMYFUNCTION("+EO285"),0)</f>
        <v>0</v>
      </c>
      <c r="EP327" s="45">
        <f ca="1">IFERROR(__xludf.DUMMYFUNCTION("+EP285"),0)</f>
        <v>0</v>
      </c>
      <c r="EQ327" s="45">
        <f ca="1">IFERROR(__xludf.DUMMYFUNCTION("+EQ285"),0)</f>
        <v>0</v>
      </c>
      <c r="ER327" s="45">
        <f ca="1">IFERROR(__xludf.DUMMYFUNCTION("+ER285"),0)</f>
        <v>0</v>
      </c>
      <c r="ES327" s="45">
        <f ca="1">IFERROR(__xludf.DUMMYFUNCTION("+ES285"),0)</f>
        <v>0</v>
      </c>
      <c r="ET327" s="45">
        <f ca="1">IFERROR(__xludf.DUMMYFUNCTION("+ET285"),0)</f>
        <v>0</v>
      </c>
      <c r="EU327" s="45">
        <f ca="1">IFERROR(__xludf.DUMMYFUNCTION("+EU285"),0)</f>
        <v>0</v>
      </c>
      <c r="EV327" s="45">
        <f ca="1">IFERROR(__xludf.DUMMYFUNCTION("+EV285"),0)</f>
        <v>0</v>
      </c>
      <c r="EW327" s="45">
        <f ca="1">IFERROR(__xludf.DUMMYFUNCTION("+EW285"),0)</f>
        <v>0</v>
      </c>
      <c r="EX327" s="45">
        <f ca="1">IFERROR(__xludf.DUMMYFUNCTION("+EX285"),0)</f>
        <v>0</v>
      </c>
      <c r="EY327" s="45">
        <f ca="1">IFERROR(__xludf.DUMMYFUNCTION("+EY285"),0)</f>
        <v>0</v>
      </c>
      <c r="EZ327" s="45">
        <f ca="1">IFERROR(__xludf.DUMMYFUNCTION("+EZ285"),0)</f>
        <v>0</v>
      </c>
      <c r="FA327" s="45">
        <f ca="1">IFERROR(__xludf.DUMMYFUNCTION("+FA285"),0.00006)</f>
        <v>6.0000000000000002E-5</v>
      </c>
      <c r="FB327" s="45">
        <f ca="1">IFERROR(__xludf.DUMMYFUNCTION("+FB285"),0.000532)</f>
        <v>5.3200000000000003E-4</v>
      </c>
      <c r="FC327" s="45">
        <f ca="1">IFERROR(__xludf.DUMMYFUNCTION("+FC285"),0)</f>
        <v>0</v>
      </c>
      <c r="FD327" s="45">
        <f ca="1">IFERROR(__xludf.DUMMYFUNCTION("+FD285"),0)</f>
        <v>0</v>
      </c>
      <c r="FE327" s="45">
        <f ca="1">IFERROR(__xludf.DUMMYFUNCTION("+FE285"),0)</f>
        <v>0</v>
      </c>
      <c r="FF327" s="45">
        <f ca="1">IFERROR(__xludf.DUMMYFUNCTION("+FF285"),0)</f>
        <v>0</v>
      </c>
      <c r="FG327" s="45">
        <f ca="1">IFERROR(__xludf.DUMMYFUNCTION("+FG285"),0)</f>
        <v>0</v>
      </c>
      <c r="FH327" s="45">
        <f ca="1">IFERROR(__xludf.DUMMYFUNCTION("+FH285"),0)</f>
        <v>0</v>
      </c>
      <c r="FI327" s="45">
        <f ca="1">IFERROR(__xludf.DUMMYFUNCTION("+FI285"),0)</f>
        <v>0</v>
      </c>
      <c r="FJ327" s="45">
        <f ca="1">IFERROR(__xludf.DUMMYFUNCTION("+FJ285"),0.000132)</f>
        <v>1.3200000000000001E-4</v>
      </c>
      <c r="FK327" s="45">
        <f ca="1">IFERROR(__xludf.DUMMYFUNCTION("+FK285"),0)</f>
        <v>0</v>
      </c>
      <c r="FL327" s="45">
        <f ca="1">IFERROR(__xludf.DUMMYFUNCTION("+FL285"),0)</f>
        <v>0</v>
      </c>
      <c r="FM327" s="45">
        <f ca="1">IFERROR(__xludf.DUMMYFUNCTION("+FM285"),0)</f>
        <v>0</v>
      </c>
      <c r="FN327" s="45">
        <f ca="1">IFERROR(__xludf.DUMMYFUNCTION("+FN285"),0)</f>
        <v>0</v>
      </c>
      <c r="FO327" s="45">
        <f ca="1">IFERROR(__xludf.DUMMYFUNCTION("+FO285"),0.000188)</f>
        <v>1.8799999999999999E-4</v>
      </c>
      <c r="FP327" s="45">
        <f ca="1">IFERROR(__xludf.DUMMYFUNCTION("+FP285"),0)</f>
        <v>0</v>
      </c>
      <c r="FQ327" s="45">
        <f ca="1">IFERROR(__xludf.DUMMYFUNCTION("+FQ285"),0.000358)</f>
        <v>3.5799999999999997E-4</v>
      </c>
      <c r="FR327" s="45">
        <f ca="1">IFERROR(__xludf.DUMMYFUNCTION("+FR285"),0.000154)</f>
        <v>1.54E-4</v>
      </c>
      <c r="FS327" s="45">
        <f ca="1">IFERROR(__xludf.DUMMYFUNCTION("+FS285"),0)</f>
        <v>0</v>
      </c>
      <c r="FT327" s="45">
        <f ca="1">IFERROR(__xludf.DUMMYFUNCTION("+FT285"),0.00015)</f>
        <v>1.4999999999999999E-4</v>
      </c>
      <c r="FU327" s="45">
        <f ca="1">IFERROR(__xludf.DUMMYFUNCTION("+FU285"),0)</f>
        <v>0</v>
      </c>
      <c r="FV327" s="45">
        <f ca="1">IFERROR(__xludf.DUMMYFUNCTION("+FV285"),0)</f>
        <v>0</v>
      </c>
      <c r="FW327" s="45">
        <f ca="1">IFERROR(__xludf.DUMMYFUNCTION("+FW285"),0)</f>
        <v>0</v>
      </c>
      <c r="FX327" s="45">
        <f ca="1">IFERROR(__xludf.DUMMYFUNCTION("+FX285"),0)</f>
        <v>0</v>
      </c>
      <c r="FY327" s="45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</row>
    <row r="328" spans="1:193" ht="15.5" x14ac:dyDescent="0.35">
      <c r="A328" s="12" t="s">
        <v>1090</v>
      </c>
      <c r="B328" s="7" t="s">
        <v>1091</v>
      </c>
      <c r="C328" s="45">
        <f t="shared" ref="C328:FX328" si="173">ROUND((C78/C48),6)</f>
        <v>1.7200000000000001E-4</v>
      </c>
      <c r="D328" s="45">
        <f t="shared" si="173"/>
        <v>0</v>
      </c>
      <c r="E328" s="45">
        <f t="shared" si="173"/>
        <v>0</v>
      </c>
      <c r="F328" s="45">
        <f t="shared" si="173"/>
        <v>0</v>
      </c>
      <c r="G328" s="45">
        <f t="shared" si="173"/>
        <v>0</v>
      </c>
      <c r="H328" s="45">
        <f t="shared" si="173"/>
        <v>0</v>
      </c>
      <c r="I328" s="45">
        <f t="shared" si="173"/>
        <v>4.3899999999999999E-4</v>
      </c>
      <c r="J328" s="45">
        <f t="shared" si="173"/>
        <v>0</v>
      </c>
      <c r="K328" s="45">
        <f t="shared" si="173"/>
        <v>0</v>
      </c>
      <c r="L328" s="45">
        <f t="shared" si="173"/>
        <v>0</v>
      </c>
      <c r="M328" s="45">
        <f t="shared" si="173"/>
        <v>0</v>
      </c>
      <c r="N328" s="45">
        <f t="shared" si="173"/>
        <v>6.7299999999999999E-4</v>
      </c>
      <c r="O328" s="45">
        <f t="shared" si="173"/>
        <v>8.4699999999999999E-4</v>
      </c>
      <c r="P328" s="45">
        <f t="shared" si="173"/>
        <v>1.1400000000000001E-4</v>
      </c>
      <c r="Q328" s="45">
        <f t="shared" si="173"/>
        <v>0</v>
      </c>
      <c r="R328" s="45">
        <f t="shared" si="173"/>
        <v>0</v>
      </c>
      <c r="S328" s="45">
        <f t="shared" si="173"/>
        <v>0</v>
      </c>
      <c r="T328" s="45">
        <f t="shared" si="173"/>
        <v>0</v>
      </c>
      <c r="U328" s="45">
        <f t="shared" si="173"/>
        <v>0</v>
      </c>
      <c r="V328" s="45">
        <f t="shared" si="173"/>
        <v>0</v>
      </c>
      <c r="W328" s="45">
        <f t="shared" si="173"/>
        <v>0</v>
      </c>
      <c r="X328" s="45">
        <f t="shared" si="173"/>
        <v>2.4399999999999999E-4</v>
      </c>
      <c r="Y328" s="45">
        <f t="shared" si="173"/>
        <v>0</v>
      </c>
      <c r="Z328" s="45">
        <f t="shared" si="173"/>
        <v>4.5189999999999996E-3</v>
      </c>
      <c r="AA328" s="45">
        <f t="shared" si="173"/>
        <v>0</v>
      </c>
      <c r="AB328" s="45">
        <f t="shared" si="173"/>
        <v>0</v>
      </c>
      <c r="AC328" s="45">
        <f t="shared" si="173"/>
        <v>0</v>
      </c>
      <c r="AD328" s="45">
        <f t="shared" si="173"/>
        <v>0</v>
      </c>
      <c r="AE328" s="45">
        <f t="shared" si="173"/>
        <v>1.4289999999999999E-3</v>
      </c>
      <c r="AF328" s="45">
        <f t="shared" si="173"/>
        <v>0</v>
      </c>
      <c r="AG328" s="45">
        <f t="shared" si="173"/>
        <v>0</v>
      </c>
      <c r="AH328" s="45">
        <f t="shared" si="173"/>
        <v>3.9880000000000002E-3</v>
      </c>
      <c r="AI328" s="45">
        <f t="shared" si="173"/>
        <v>0</v>
      </c>
      <c r="AJ328" s="45">
        <f t="shared" si="173"/>
        <v>0</v>
      </c>
      <c r="AK328" s="45">
        <f t="shared" si="173"/>
        <v>0</v>
      </c>
      <c r="AL328" s="45">
        <f t="shared" si="173"/>
        <v>0</v>
      </c>
      <c r="AM328" s="45">
        <f t="shared" si="173"/>
        <v>0</v>
      </c>
      <c r="AN328" s="45">
        <f t="shared" si="173"/>
        <v>0</v>
      </c>
      <c r="AO328" s="45">
        <f t="shared" si="173"/>
        <v>0</v>
      </c>
      <c r="AP328" s="45">
        <f t="shared" si="173"/>
        <v>0</v>
      </c>
      <c r="AQ328" s="45">
        <f t="shared" si="173"/>
        <v>0</v>
      </c>
      <c r="AR328" s="45">
        <f t="shared" si="173"/>
        <v>0</v>
      </c>
      <c r="AS328" s="45">
        <f t="shared" si="173"/>
        <v>4.35E-4</v>
      </c>
      <c r="AT328" s="45">
        <f t="shared" si="173"/>
        <v>0</v>
      </c>
      <c r="AU328" s="45">
        <f t="shared" si="173"/>
        <v>0</v>
      </c>
      <c r="AV328" s="45">
        <f t="shared" si="173"/>
        <v>0</v>
      </c>
      <c r="AW328" s="45">
        <f t="shared" si="173"/>
        <v>0</v>
      </c>
      <c r="AX328" s="45">
        <f t="shared" si="173"/>
        <v>0</v>
      </c>
      <c r="AY328" s="45">
        <f t="shared" si="173"/>
        <v>0</v>
      </c>
      <c r="AZ328" s="45">
        <f t="shared" si="173"/>
        <v>0</v>
      </c>
      <c r="BA328" s="45">
        <f t="shared" si="173"/>
        <v>0</v>
      </c>
      <c r="BB328" s="45">
        <f t="shared" si="173"/>
        <v>0</v>
      </c>
      <c r="BC328" s="45">
        <f t="shared" si="173"/>
        <v>0</v>
      </c>
      <c r="BD328" s="45">
        <f t="shared" si="173"/>
        <v>0</v>
      </c>
      <c r="BE328" s="45">
        <f t="shared" si="173"/>
        <v>0</v>
      </c>
      <c r="BF328" s="45">
        <f t="shared" si="173"/>
        <v>0</v>
      </c>
      <c r="BG328" s="45">
        <f t="shared" si="173"/>
        <v>0</v>
      </c>
      <c r="BH328" s="45">
        <f t="shared" si="173"/>
        <v>0</v>
      </c>
      <c r="BI328" s="45">
        <f t="shared" si="173"/>
        <v>0</v>
      </c>
      <c r="BJ328" s="45">
        <f t="shared" si="173"/>
        <v>0</v>
      </c>
      <c r="BK328" s="45">
        <f t="shared" si="173"/>
        <v>0</v>
      </c>
      <c r="BL328" s="45">
        <f t="shared" si="173"/>
        <v>0</v>
      </c>
      <c r="BM328" s="45">
        <f t="shared" si="173"/>
        <v>9.2400000000000002E-4</v>
      </c>
      <c r="BN328" s="45">
        <f t="shared" si="173"/>
        <v>0</v>
      </c>
      <c r="BO328" s="45">
        <f t="shared" si="173"/>
        <v>0</v>
      </c>
      <c r="BP328" s="45">
        <f t="shared" si="173"/>
        <v>0</v>
      </c>
      <c r="BQ328" s="45">
        <f t="shared" si="173"/>
        <v>0</v>
      </c>
      <c r="BR328" s="45">
        <f t="shared" si="173"/>
        <v>0</v>
      </c>
      <c r="BS328" s="45">
        <f t="shared" si="173"/>
        <v>0</v>
      </c>
      <c r="BT328" s="45">
        <f t="shared" si="173"/>
        <v>0</v>
      </c>
      <c r="BU328" s="45">
        <f t="shared" si="173"/>
        <v>0</v>
      </c>
      <c r="BV328" s="45">
        <f t="shared" si="173"/>
        <v>5.2999999999999998E-4</v>
      </c>
      <c r="BW328" s="45">
        <f t="shared" si="173"/>
        <v>0</v>
      </c>
      <c r="BX328" s="45">
        <f t="shared" si="173"/>
        <v>0</v>
      </c>
      <c r="BY328" s="45">
        <f t="shared" si="173"/>
        <v>0</v>
      </c>
      <c r="BZ328" s="45">
        <f t="shared" si="173"/>
        <v>0</v>
      </c>
      <c r="CA328" s="45">
        <f t="shared" si="173"/>
        <v>0</v>
      </c>
      <c r="CB328" s="45">
        <f t="shared" si="173"/>
        <v>0</v>
      </c>
      <c r="CC328" s="45">
        <f t="shared" si="173"/>
        <v>0</v>
      </c>
      <c r="CD328" s="45">
        <f t="shared" si="173"/>
        <v>3.251E-3</v>
      </c>
      <c r="CE328" s="45">
        <f t="shared" si="173"/>
        <v>0</v>
      </c>
      <c r="CF328" s="45">
        <f t="shared" si="173"/>
        <v>4.3229999999999996E-3</v>
      </c>
      <c r="CG328" s="45">
        <f t="shared" si="173"/>
        <v>0</v>
      </c>
      <c r="CH328" s="45">
        <f t="shared" si="173"/>
        <v>0</v>
      </c>
      <c r="CI328" s="45">
        <f t="shared" si="173"/>
        <v>0</v>
      </c>
      <c r="CJ328" s="45">
        <f t="shared" si="173"/>
        <v>0</v>
      </c>
      <c r="CK328" s="45">
        <f t="shared" si="173"/>
        <v>1.5E-3</v>
      </c>
      <c r="CL328" s="45">
        <f t="shared" si="173"/>
        <v>1.26E-4</v>
      </c>
      <c r="CM328" s="45">
        <f t="shared" si="173"/>
        <v>0</v>
      </c>
      <c r="CN328" s="45">
        <f t="shared" si="173"/>
        <v>0</v>
      </c>
      <c r="CO328" s="45">
        <f t="shared" si="173"/>
        <v>0</v>
      </c>
      <c r="CP328" s="45">
        <f t="shared" si="173"/>
        <v>0</v>
      </c>
      <c r="CQ328" s="45">
        <f t="shared" si="173"/>
        <v>0</v>
      </c>
      <c r="CR328" s="45">
        <f t="shared" si="173"/>
        <v>4.7899999999999999E-4</v>
      </c>
      <c r="CS328" s="45">
        <f t="shared" si="173"/>
        <v>0</v>
      </c>
      <c r="CT328" s="45">
        <f t="shared" si="173"/>
        <v>4.4999999999999999E-4</v>
      </c>
      <c r="CU328" s="45">
        <f t="shared" si="173"/>
        <v>0</v>
      </c>
      <c r="CV328" s="45">
        <f t="shared" si="173"/>
        <v>1.1479999999999999E-3</v>
      </c>
      <c r="CW328" s="45">
        <f t="shared" si="173"/>
        <v>0</v>
      </c>
      <c r="CX328" s="45">
        <f t="shared" si="173"/>
        <v>0</v>
      </c>
      <c r="CY328" s="45">
        <f t="shared" si="173"/>
        <v>0</v>
      </c>
      <c r="CZ328" s="45">
        <f t="shared" si="173"/>
        <v>0</v>
      </c>
      <c r="DA328" s="45">
        <f t="shared" si="173"/>
        <v>3.8299999999999999E-4</v>
      </c>
      <c r="DB328" s="45">
        <f t="shared" si="173"/>
        <v>0</v>
      </c>
      <c r="DC328" s="45">
        <f t="shared" si="173"/>
        <v>5.9400000000000002E-4</v>
      </c>
      <c r="DD328" s="45">
        <f t="shared" si="173"/>
        <v>1.8E-5</v>
      </c>
      <c r="DE328" s="45">
        <f t="shared" si="173"/>
        <v>0</v>
      </c>
      <c r="DF328" s="45">
        <f t="shared" si="173"/>
        <v>0</v>
      </c>
      <c r="DG328" s="45">
        <f t="shared" si="173"/>
        <v>0</v>
      </c>
      <c r="DH328" s="45">
        <f t="shared" si="173"/>
        <v>6.8900000000000005E-4</v>
      </c>
      <c r="DI328" s="45">
        <f t="shared" si="173"/>
        <v>0</v>
      </c>
      <c r="DJ328" s="45">
        <f t="shared" si="173"/>
        <v>0</v>
      </c>
      <c r="DK328" s="45">
        <f t="shared" si="173"/>
        <v>0</v>
      </c>
      <c r="DL328" s="45">
        <f t="shared" si="173"/>
        <v>0</v>
      </c>
      <c r="DM328" s="45">
        <f t="shared" si="173"/>
        <v>0</v>
      </c>
      <c r="DN328" s="45">
        <f t="shared" si="173"/>
        <v>0</v>
      </c>
      <c r="DO328" s="45">
        <f t="shared" si="173"/>
        <v>0</v>
      </c>
      <c r="DP328" s="45">
        <f t="shared" si="173"/>
        <v>2.8299999999999999E-4</v>
      </c>
      <c r="DQ328" s="45">
        <f t="shared" si="173"/>
        <v>0</v>
      </c>
      <c r="DR328" s="45">
        <f t="shared" si="173"/>
        <v>0</v>
      </c>
      <c r="DS328" s="45">
        <f t="shared" si="173"/>
        <v>0</v>
      </c>
      <c r="DT328" s="45">
        <f t="shared" si="173"/>
        <v>0</v>
      </c>
      <c r="DU328" s="45">
        <f t="shared" si="173"/>
        <v>0</v>
      </c>
      <c r="DV328" s="45">
        <f t="shared" si="173"/>
        <v>0</v>
      </c>
      <c r="DW328" s="45">
        <f t="shared" si="173"/>
        <v>0</v>
      </c>
      <c r="DX328" s="45">
        <f t="shared" si="173"/>
        <v>0</v>
      </c>
      <c r="DY328" s="45">
        <f t="shared" si="173"/>
        <v>0</v>
      </c>
      <c r="DZ328" s="45">
        <f t="shared" si="173"/>
        <v>0</v>
      </c>
      <c r="EA328" s="45">
        <f t="shared" si="173"/>
        <v>8.3799999999999999E-4</v>
      </c>
      <c r="EB328" s="45">
        <f t="shared" si="173"/>
        <v>0</v>
      </c>
      <c r="EC328" s="45">
        <f t="shared" si="173"/>
        <v>0</v>
      </c>
      <c r="ED328" s="45">
        <f t="shared" si="173"/>
        <v>1.21E-4</v>
      </c>
      <c r="EE328" s="45">
        <f t="shared" si="173"/>
        <v>0</v>
      </c>
      <c r="EF328" s="45">
        <f t="shared" si="173"/>
        <v>0</v>
      </c>
      <c r="EG328" s="45">
        <f t="shared" si="173"/>
        <v>0</v>
      </c>
      <c r="EH328" s="45">
        <f t="shared" si="173"/>
        <v>0</v>
      </c>
      <c r="EI328" s="45">
        <f t="shared" si="173"/>
        <v>0</v>
      </c>
      <c r="EJ328" s="45">
        <f t="shared" si="173"/>
        <v>0</v>
      </c>
      <c r="EK328" s="45">
        <f t="shared" si="173"/>
        <v>0</v>
      </c>
      <c r="EL328" s="45">
        <f t="shared" si="173"/>
        <v>2.3219999999999998E-3</v>
      </c>
      <c r="EM328" s="45">
        <f t="shared" si="173"/>
        <v>0</v>
      </c>
      <c r="EN328" s="45">
        <f t="shared" si="173"/>
        <v>0</v>
      </c>
      <c r="EO328" s="45">
        <f t="shared" si="173"/>
        <v>0</v>
      </c>
      <c r="EP328" s="45">
        <f t="shared" si="173"/>
        <v>0</v>
      </c>
      <c r="EQ328" s="45">
        <f t="shared" si="173"/>
        <v>5.4500000000000002E-4</v>
      </c>
      <c r="ER328" s="45">
        <f t="shared" si="173"/>
        <v>0</v>
      </c>
      <c r="ES328" s="45">
        <f t="shared" si="173"/>
        <v>0</v>
      </c>
      <c r="ET328" s="45">
        <f t="shared" si="173"/>
        <v>0</v>
      </c>
      <c r="EU328" s="45">
        <f t="shared" si="173"/>
        <v>0</v>
      </c>
      <c r="EV328" s="45">
        <f t="shared" si="173"/>
        <v>2.41E-4</v>
      </c>
      <c r="EW328" s="45">
        <f t="shared" si="173"/>
        <v>0</v>
      </c>
      <c r="EX328" s="45">
        <f t="shared" si="173"/>
        <v>0</v>
      </c>
      <c r="EY328" s="45">
        <f t="shared" si="173"/>
        <v>0</v>
      </c>
      <c r="EZ328" s="45">
        <f t="shared" si="173"/>
        <v>2.4599999999999999E-3</v>
      </c>
      <c r="FA328" s="45">
        <f t="shared" si="173"/>
        <v>3.86E-4</v>
      </c>
      <c r="FB328" s="45">
        <f t="shared" si="173"/>
        <v>0</v>
      </c>
      <c r="FC328" s="45">
        <f t="shared" si="173"/>
        <v>0</v>
      </c>
      <c r="FD328" s="45">
        <f t="shared" si="173"/>
        <v>0</v>
      </c>
      <c r="FE328" s="45">
        <f t="shared" si="173"/>
        <v>2.32E-4</v>
      </c>
      <c r="FF328" s="45">
        <f t="shared" si="173"/>
        <v>0</v>
      </c>
      <c r="FG328" s="45">
        <f t="shared" si="173"/>
        <v>0</v>
      </c>
      <c r="FH328" s="45">
        <f t="shared" si="173"/>
        <v>2.036E-3</v>
      </c>
      <c r="FI328" s="45">
        <f t="shared" si="173"/>
        <v>0</v>
      </c>
      <c r="FJ328" s="45">
        <f t="shared" si="173"/>
        <v>0</v>
      </c>
      <c r="FK328" s="45">
        <f t="shared" si="173"/>
        <v>2.0999999999999999E-5</v>
      </c>
      <c r="FL328" s="45">
        <f t="shared" si="173"/>
        <v>0</v>
      </c>
      <c r="FM328" s="45">
        <f t="shared" si="173"/>
        <v>0</v>
      </c>
      <c r="FN328" s="45">
        <f t="shared" si="173"/>
        <v>0</v>
      </c>
      <c r="FO328" s="45">
        <f t="shared" si="173"/>
        <v>0</v>
      </c>
      <c r="FP328" s="45">
        <f t="shared" si="173"/>
        <v>0</v>
      </c>
      <c r="FQ328" s="45">
        <f t="shared" si="173"/>
        <v>0</v>
      </c>
      <c r="FR328" s="45">
        <f t="shared" si="173"/>
        <v>0</v>
      </c>
      <c r="FS328" s="45">
        <f t="shared" si="173"/>
        <v>0</v>
      </c>
      <c r="FT328" s="45">
        <f t="shared" si="173"/>
        <v>0</v>
      </c>
      <c r="FU328" s="45">
        <f t="shared" si="173"/>
        <v>0</v>
      </c>
      <c r="FV328" s="45">
        <f t="shared" si="173"/>
        <v>0</v>
      </c>
      <c r="FW328" s="45">
        <f t="shared" si="173"/>
        <v>0</v>
      </c>
      <c r="FX328" s="45">
        <f t="shared" si="173"/>
        <v>0</v>
      </c>
      <c r="FY328" s="45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</row>
    <row r="329" spans="1:193" ht="15.5" x14ac:dyDescent="0.35">
      <c r="A329" s="7"/>
      <c r="B329" s="7" t="s">
        <v>1092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</row>
    <row r="330" spans="1:193" ht="15.5" x14ac:dyDescent="0.35">
      <c r="A330" s="12" t="s">
        <v>1093</v>
      </c>
      <c r="B330" s="7" t="s">
        <v>1094</v>
      </c>
      <c r="C330" s="45">
        <f t="shared" ref="C330:FX330" si="174">ROUND((C79/C48),6)</f>
        <v>0</v>
      </c>
      <c r="D330" s="45">
        <f t="shared" si="174"/>
        <v>0</v>
      </c>
      <c r="E330" s="45">
        <f t="shared" si="174"/>
        <v>0</v>
      </c>
      <c r="F330" s="45">
        <f t="shared" si="174"/>
        <v>0</v>
      </c>
      <c r="G330" s="45">
        <f t="shared" si="174"/>
        <v>0</v>
      </c>
      <c r="H330" s="45">
        <f t="shared" si="174"/>
        <v>0</v>
      </c>
      <c r="I330" s="45">
        <f t="shared" si="174"/>
        <v>0</v>
      </c>
      <c r="J330" s="45">
        <f t="shared" si="174"/>
        <v>0</v>
      </c>
      <c r="K330" s="45">
        <f t="shared" si="174"/>
        <v>0</v>
      </c>
      <c r="L330" s="45">
        <f t="shared" si="174"/>
        <v>0</v>
      </c>
      <c r="M330" s="45">
        <f t="shared" si="174"/>
        <v>0</v>
      </c>
      <c r="N330" s="45">
        <f t="shared" si="174"/>
        <v>4.0000000000000003E-5</v>
      </c>
      <c r="O330" s="45">
        <f t="shared" si="174"/>
        <v>0</v>
      </c>
      <c r="P330" s="45">
        <f t="shared" si="174"/>
        <v>0</v>
      </c>
      <c r="Q330" s="45">
        <f t="shared" si="174"/>
        <v>0</v>
      </c>
      <c r="R330" s="45">
        <f t="shared" si="174"/>
        <v>0</v>
      </c>
      <c r="S330" s="45">
        <f t="shared" si="174"/>
        <v>0</v>
      </c>
      <c r="T330" s="45">
        <f t="shared" si="174"/>
        <v>0</v>
      </c>
      <c r="U330" s="45">
        <f t="shared" si="174"/>
        <v>0</v>
      </c>
      <c r="V330" s="45">
        <f t="shared" si="174"/>
        <v>0</v>
      </c>
      <c r="W330" s="45">
        <f t="shared" si="174"/>
        <v>0</v>
      </c>
      <c r="X330" s="45">
        <f t="shared" si="174"/>
        <v>0</v>
      </c>
      <c r="Y330" s="45">
        <f t="shared" si="174"/>
        <v>0</v>
      </c>
      <c r="Z330" s="45">
        <f t="shared" si="174"/>
        <v>0</v>
      </c>
      <c r="AA330" s="45">
        <f t="shared" si="174"/>
        <v>0</v>
      </c>
      <c r="AB330" s="45">
        <f t="shared" si="174"/>
        <v>0</v>
      </c>
      <c r="AC330" s="45">
        <f t="shared" si="174"/>
        <v>0</v>
      </c>
      <c r="AD330" s="45">
        <f t="shared" si="174"/>
        <v>0</v>
      </c>
      <c r="AE330" s="45">
        <f t="shared" si="174"/>
        <v>0</v>
      </c>
      <c r="AF330" s="45">
        <f t="shared" si="174"/>
        <v>0</v>
      </c>
      <c r="AG330" s="45">
        <f t="shared" si="174"/>
        <v>0</v>
      </c>
      <c r="AH330" s="45">
        <f t="shared" si="174"/>
        <v>0</v>
      </c>
      <c r="AI330" s="45">
        <f t="shared" si="174"/>
        <v>0</v>
      </c>
      <c r="AJ330" s="45">
        <f t="shared" si="174"/>
        <v>0</v>
      </c>
      <c r="AK330" s="45">
        <f t="shared" si="174"/>
        <v>0</v>
      </c>
      <c r="AL330" s="45">
        <f t="shared" si="174"/>
        <v>0</v>
      </c>
      <c r="AM330" s="45">
        <f t="shared" si="174"/>
        <v>0</v>
      </c>
      <c r="AN330" s="45">
        <f t="shared" si="174"/>
        <v>0</v>
      </c>
      <c r="AO330" s="45">
        <f t="shared" si="174"/>
        <v>0</v>
      </c>
      <c r="AP330" s="45">
        <f t="shared" si="174"/>
        <v>0</v>
      </c>
      <c r="AQ330" s="45">
        <f t="shared" si="174"/>
        <v>0</v>
      </c>
      <c r="AR330" s="45">
        <f t="shared" si="174"/>
        <v>0</v>
      </c>
      <c r="AS330" s="45">
        <f t="shared" si="174"/>
        <v>0</v>
      </c>
      <c r="AT330" s="45">
        <f t="shared" si="174"/>
        <v>0</v>
      </c>
      <c r="AU330" s="45">
        <f t="shared" si="174"/>
        <v>0</v>
      </c>
      <c r="AV330" s="45">
        <f t="shared" si="174"/>
        <v>0</v>
      </c>
      <c r="AW330" s="45">
        <f t="shared" si="174"/>
        <v>0</v>
      </c>
      <c r="AX330" s="45">
        <f t="shared" si="174"/>
        <v>0</v>
      </c>
      <c r="AY330" s="45">
        <f t="shared" si="174"/>
        <v>0</v>
      </c>
      <c r="AZ330" s="45">
        <f t="shared" si="174"/>
        <v>0</v>
      </c>
      <c r="BA330" s="45">
        <f t="shared" si="174"/>
        <v>0</v>
      </c>
      <c r="BB330" s="45">
        <f t="shared" si="174"/>
        <v>0</v>
      </c>
      <c r="BC330" s="45">
        <f t="shared" si="174"/>
        <v>0</v>
      </c>
      <c r="BD330" s="45">
        <f t="shared" si="174"/>
        <v>0</v>
      </c>
      <c r="BE330" s="45">
        <f t="shared" si="174"/>
        <v>0</v>
      </c>
      <c r="BF330" s="45">
        <f t="shared" si="174"/>
        <v>0</v>
      </c>
      <c r="BG330" s="45">
        <f t="shared" si="174"/>
        <v>0</v>
      </c>
      <c r="BH330" s="45">
        <f t="shared" si="174"/>
        <v>0</v>
      </c>
      <c r="BI330" s="45">
        <f t="shared" si="174"/>
        <v>0</v>
      </c>
      <c r="BJ330" s="45">
        <f t="shared" si="174"/>
        <v>0</v>
      </c>
      <c r="BK330" s="45">
        <f t="shared" si="174"/>
        <v>0</v>
      </c>
      <c r="BL330" s="45">
        <f t="shared" si="174"/>
        <v>0</v>
      </c>
      <c r="BM330" s="45">
        <f t="shared" si="174"/>
        <v>0</v>
      </c>
      <c r="BN330" s="45">
        <f t="shared" si="174"/>
        <v>0</v>
      </c>
      <c r="BO330" s="45">
        <f t="shared" si="174"/>
        <v>0</v>
      </c>
      <c r="BP330" s="45">
        <f t="shared" si="174"/>
        <v>0</v>
      </c>
      <c r="BQ330" s="45">
        <f t="shared" si="174"/>
        <v>0</v>
      </c>
      <c r="BR330" s="45">
        <f t="shared" si="174"/>
        <v>0</v>
      </c>
      <c r="BS330" s="45">
        <f t="shared" si="174"/>
        <v>0</v>
      </c>
      <c r="BT330" s="45">
        <f t="shared" si="174"/>
        <v>0</v>
      </c>
      <c r="BU330" s="45">
        <f t="shared" si="174"/>
        <v>0</v>
      </c>
      <c r="BV330" s="45">
        <f t="shared" si="174"/>
        <v>0</v>
      </c>
      <c r="BW330" s="45">
        <f t="shared" si="174"/>
        <v>0</v>
      </c>
      <c r="BX330" s="45">
        <f t="shared" si="174"/>
        <v>0</v>
      </c>
      <c r="BY330" s="45">
        <f t="shared" si="174"/>
        <v>0</v>
      </c>
      <c r="BZ330" s="45">
        <f t="shared" si="174"/>
        <v>0</v>
      </c>
      <c r="CA330" s="45">
        <f t="shared" si="174"/>
        <v>0</v>
      </c>
      <c r="CB330" s="45">
        <f t="shared" si="174"/>
        <v>0</v>
      </c>
      <c r="CC330" s="45">
        <f t="shared" si="174"/>
        <v>0</v>
      </c>
      <c r="CD330" s="45">
        <f t="shared" si="174"/>
        <v>0</v>
      </c>
      <c r="CE330" s="45">
        <f t="shared" si="174"/>
        <v>0</v>
      </c>
      <c r="CF330" s="45">
        <f t="shared" si="174"/>
        <v>0</v>
      </c>
      <c r="CG330" s="45">
        <f t="shared" si="174"/>
        <v>0</v>
      </c>
      <c r="CH330" s="45">
        <f t="shared" si="174"/>
        <v>0</v>
      </c>
      <c r="CI330" s="45">
        <f t="shared" si="174"/>
        <v>0</v>
      </c>
      <c r="CJ330" s="45">
        <f t="shared" si="174"/>
        <v>0</v>
      </c>
      <c r="CK330" s="45">
        <f t="shared" si="174"/>
        <v>0</v>
      </c>
      <c r="CL330" s="45">
        <f t="shared" si="174"/>
        <v>0</v>
      </c>
      <c r="CM330" s="45">
        <f t="shared" si="174"/>
        <v>0</v>
      </c>
      <c r="CN330" s="45">
        <f t="shared" si="174"/>
        <v>0</v>
      </c>
      <c r="CO330" s="45">
        <f t="shared" si="174"/>
        <v>0</v>
      </c>
      <c r="CP330" s="45">
        <f t="shared" si="174"/>
        <v>0</v>
      </c>
      <c r="CQ330" s="45">
        <f t="shared" si="174"/>
        <v>0</v>
      </c>
      <c r="CR330" s="45">
        <f t="shared" si="174"/>
        <v>0</v>
      </c>
      <c r="CS330" s="45">
        <f t="shared" si="174"/>
        <v>0</v>
      </c>
      <c r="CT330" s="45">
        <f t="shared" si="174"/>
        <v>0</v>
      </c>
      <c r="CU330" s="45">
        <f t="shared" si="174"/>
        <v>0</v>
      </c>
      <c r="CV330" s="45">
        <f t="shared" si="174"/>
        <v>0</v>
      </c>
      <c r="CW330" s="45">
        <f t="shared" si="174"/>
        <v>0</v>
      </c>
      <c r="CX330" s="45">
        <f t="shared" si="174"/>
        <v>0</v>
      </c>
      <c r="CY330" s="45">
        <f t="shared" si="174"/>
        <v>0</v>
      </c>
      <c r="CZ330" s="45">
        <f t="shared" si="174"/>
        <v>0</v>
      </c>
      <c r="DA330" s="45">
        <f t="shared" si="174"/>
        <v>0</v>
      </c>
      <c r="DB330" s="45">
        <f t="shared" si="174"/>
        <v>0</v>
      </c>
      <c r="DC330" s="45">
        <f t="shared" si="174"/>
        <v>0</v>
      </c>
      <c r="DD330" s="45">
        <f t="shared" si="174"/>
        <v>0</v>
      </c>
      <c r="DE330" s="45">
        <f t="shared" si="174"/>
        <v>0</v>
      </c>
      <c r="DF330" s="45">
        <f t="shared" si="174"/>
        <v>0</v>
      </c>
      <c r="DG330" s="45">
        <f t="shared" si="174"/>
        <v>0</v>
      </c>
      <c r="DH330" s="45">
        <f t="shared" si="174"/>
        <v>0</v>
      </c>
      <c r="DI330" s="45">
        <f t="shared" si="174"/>
        <v>0</v>
      </c>
      <c r="DJ330" s="45">
        <f t="shared" si="174"/>
        <v>0</v>
      </c>
      <c r="DK330" s="45">
        <f t="shared" si="174"/>
        <v>0</v>
      </c>
      <c r="DL330" s="45">
        <f t="shared" si="174"/>
        <v>0</v>
      </c>
      <c r="DM330" s="45">
        <f t="shared" si="174"/>
        <v>0</v>
      </c>
      <c r="DN330" s="45">
        <f t="shared" si="174"/>
        <v>0</v>
      </c>
      <c r="DO330" s="45">
        <f t="shared" si="174"/>
        <v>0</v>
      </c>
      <c r="DP330" s="45">
        <f t="shared" si="174"/>
        <v>0</v>
      </c>
      <c r="DQ330" s="45">
        <f t="shared" si="174"/>
        <v>0</v>
      </c>
      <c r="DR330" s="45">
        <f t="shared" si="174"/>
        <v>0</v>
      </c>
      <c r="DS330" s="45">
        <f t="shared" si="174"/>
        <v>0</v>
      </c>
      <c r="DT330" s="45">
        <f t="shared" si="174"/>
        <v>0</v>
      </c>
      <c r="DU330" s="45">
        <f t="shared" si="174"/>
        <v>0</v>
      </c>
      <c r="DV330" s="45">
        <f t="shared" si="174"/>
        <v>0</v>
      </c>
      <c r="DW330" s="45">
        <f t="shared" si="174"/>
        <v>0</v>
      </c>
      <c r="DX330" s="45">
        <f t="shared" si="174"/>
        <v>0</v>
      </c>
      <c r="DY330" s="45">
        <f t="shared" si="174"/>
        <v>0</v>
      </c>
      <c r="DZ330" s="45">
        <f t="shared" si="174"/>
        <v>0</v>
      </c>
      <c r="EA330" s="45">
        <f t="shared" si="174"/>
        <v>0</v>
      </c>
      <c r="EB330" s="45">
        <f t="shared" si="174"/>
        <v>0</v>
      </c>
      <c r="EC330" s="45">
        <f t="shared" si="174"/>
        <v>0</v>
      </c>
      <c r="ED330" s="45">
        <f t="shared" si="174"/>
        <v>0</v>
      </c>
      <c r="EE330" s="45">
        <f t="shared" si="174"/>
        <v>0</v>
      </c>
      <c r="EF330" s="45">
        <f t="shared" si="174"/>
        <v>0</v>
      </c>
      <c r="EG330" s="45">
        <f t="shared" si="174"/>
        <v>0</v>
      </c>
      <c r="EH330" s="45">
        <f t="shared" si="174"/>
        <v>0</v>
      </c>
      <c r="EI330" s="45">
        <f t="shared" si="174"/>
        <v>0</v>
      </c>
      <c r="EJ330" s="45">
        <f t="shared" si="174"/>
        <v>0</v>
      </c>
      <c r="EK330" s="45">
        <f t="shared" si="174"/>
        <v>0</v>
      </c>
      <c r="EL330" s="45">
        <f t="shared" si="174"/>
        <v>0</v>
      </c>
      <c r="EM330" s="45">
        <f t="shared" si="174"/>
        <v>0</v>
      </c>
      <c r="EN330" s="45">
        <f t="shared" si="174"/>
        <v>0</v>
      </c>
      <c r="EO330" s="45">
        <f t="shared" si="174"/>
        <v>0</v>
      </c>
      <c r="EP330" s="45">
        <f t="shared" si="174"/>
        <v>0</v>
      </c>
      <c r="EQ330" s="45">
        <f t="shared" si="174"/>
        <v>0</v>
      </c>
      <c r="ER330" s="45">
        <f t="shared" si="174"/>
        <v>0</v>
      </c>
      <c r="ES330" s="45">
        <f t="shared" si="174"/>
        <v>0</v>
      </c>
      <c r="ET330" s="45">
        <f t="shared" si="174"/>
        <v>0</v>
      </c>
      <c r="EU330" s="45">
        <f t="shared" si="174"/>
        <v>0</v>
      </c>
      <c r="EV330" s="45">
        <f t="shared" si="174"/>
        <v>0</v>
      </c>
      <c r="EW330" s="45">
        <f t="shared" si="174"/>
        <v>0</v>
      </c>
      <c r="EX330" s="45">
        <f t="shared" si="174"/>
        <v>0</v>
      </c>
      <c r="EY330" s="45">
        <f t="shared" si="174"/>
        <v>0</v>
      </c>
      <c r="EZ330" s="45">
        <f t="shared" si="174"/>
        <v>0</v>
      </c>
      <c r="FA330" s="45">
        <f t="shared" si="174"/>
        <v>0</v>
      </c>
      <c r="FB330" s="45">
        <f t="shared" si="174"/>
        <v>0</v>
      </c>
      <c r="FC330" s="45">
        <f t="shared" si="174"/>
        <v>0</v>
      </c>
      <c r="FD330" s="45">
        <f t="shared" si="174"/>
        <v>0</v>
      </c>
      <c r="FE330" s="45">
        <f t="shared" si="174"/>
        <v>0</v>
      </c>
      <c r="FF330" s="45">
        <f t="shared" si="174"/>
        <v>0</v>
      </c>
      <c r="FG330" s="45">
        <f t="shared" si="174"/>
        <v>0</v>
      </c>
      <c r="FH330" s="45">
        <f t="shared" si="174"/>
        <v>0</v>
      </c>
      <c r="FI330" s="45">
        <f t="shared" si="174"/>
        <v>0</v>
      </c>
      <c r="FJ330" s="45">
        <f t="shared" si="174"/>
        <v>0</v>
      </c>
      <c r="FK330" s="45">
        <f t="shared" si="174"/>
        <v>0</v>
      </c>
      <c r="FL330" s="45">
        <f t="shared" si="174"/>
        <v>0</v>
      </c>
      <c r="FM330" s="45">
        <f t="shared" si="174"/>
        <v>0</v>
      </c>
      <c r="FN330" s="45">
        <f t="shared" si="174"/>
        <v>0</v>
      </c>
      <c r="FO330" s="45">
        <f t="shared" si="174"/>
        <v>0</v>
      </c>
      <c r="FP330" s="45">
        <f t="shared" si="174"/>
        <v>0</v>
      </c>
      <c r="FQ330" s="45">
        <f t="shared" si="174"/>
        <v>0</v>
      </c>
      <c r="FR330" s="45">
        <f t="shared" si="174"/>
        <v>0</v>
      </c>
      <c r="FS330" s="45">
        <f t="shared" si="174"/>
        <v>0</v>
      </c>
      <c r="FT330" s="45">
        <f t="shared" si="174"/>
        <v>0</v>
      </c>
      <c r="FU330" s="45">
        <f t="shared" si="174"/>
        <v>0</v>
      </c>
      <c r="FV330" s="45">
        <f t="shared" si="174"/>
        <v>0</v>
      </c>
      <c r="FW330" s="45">
        <f t="shared" si="174"/>
        <v>0</v>
      </c>
      <c r="FX330" s="45">
        <f t="shared" si="174"/>
        <v>0</v>
      </c>
      <c r="FY330" s="45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</row>
    <row r="331" spans="1:193" ht="15.5" x14ac:dyDescent="0.35">
      <c r="A331" s="7"/>
      <c r="B331" s="7" t="s">
        <v>1095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</row>
    <row r="332" spans="1:193" ht="15.5" x14ac:dyDescent="0.35">
      <c r="A332" s="12" t="s">
        <v>1096</v>
      </c>
      <c r="B332" s="7" t="s">
        <v>1097</v>
      </c>
      <c r="C332" s="45">
        <f t="shared" ref="C332:FX332" si="175">ROUND((C80/C48),6)</f>
        <v>3.7550000000000001E-3</v>
      </c>
      <c r="D332" s="45">
        <f t="shared" si="175"/>
        <v>1.4082000000000001E-2</v>
      </c>
      <c r="E332" s="45">
        <f t="shared" si="175"/>
        <v>3.9950000000000003E-3</v>
      </c>
      <c r="F332" s="45">
        <f t="shared" si="175"/>
        <v>2.2699999999999999E-4</v>
      </c>
      <c r="G332" s="45">
        <f t="shared" si="175"/>
        <v>2.091E-3</v>
      </c>
      <c r="H332" s="45">
        <f t="shared" si="175"/>
        <v>2.0600000000000002E-3</v>
      </c>
      <c r="I332" s="45">
        <f t="shared" si="175"/>
        <v>6.6350000000000003E-3</v>
      </c>
      <c r="J332" s="45">
        <f t="shared" si="175"/>
        <v>0</v>
      </c>
      <c r="K332" s="45">
        <f t="shared" si="175"/>
        <v>0</v>
      </c>
      <c r="L332" s="45">
        <f t="shared" si="175"/>
        <v>5.2180000000000004E-3</v>
      </c>
      <c r="M332" s="45">
        <f t="shared" si="175"/>
        <v>3.0539999999999999E-3</v>
      </c>
      <c r="N332" s="45">
        <f t="shared" si="175"/>
        <v>8.1080000000000006E-3</v>
      </c>
      <c r="O332" s="45">
        <f t="shared" si="175"/>
        <v>9.698E-3</v>
      </c>
      <c r="P332" s="45">
        <f t="shared" si="175"/>
        <v>0</v>
      </c>
      <c r="Q332" s="45">
        <f t="shared" si="175"/>
        <v>6.4790000000000004E-3</v>
      </c>
      <c r="R332" s="45">
        <f t="shared" si="175"/>
        <v>0</v>
      </c>
      <c r="S332" s="45">
        <f t="shared" si="175"/>
        <v>0</v>
      </c>
      <c r="T332" s="45">
        <f t="shared" si="175"/>
        <v>0</v>
      </c>
      <c r="U332" s="45">
        <f t="shared" si="175"/>
        <v>3.2179999999999999E-3</v>
      </c>
      <c r="V332" s="45">
        <f t="shared" si="175"/>
        <v>0</v>
      </c>
      <c r="W332" s="45">
        <f t="shared" si="175"/>
        <v>0</v>
      </c>
      <c r="X332" s="45">
        <f t="shared" si="175"/>
        <v>7.8820000000000001E-3</v>
      </c>
      <c r="Y332" s="45">
        <f t="shared" si="175"/>
        <v>0</v>
      </c>
      <c r="Z332" s="45">
        <f t="shared" si="175"/>
        <v>0</v>
      </c>
      <c r="AA332" s="45">
        <f t="shared" si="175"/>
        <v>4.7530000000000003E-3</v>
      </c>
      <c r="AB332" s="45">
        <f t="shared" si="175"/>
        <v>7.1710000000000003E-3</v>
      </c>
      <c r="AC332" s="45">
        <f t="shared" si="175"/>
        <v>4.2700000000000004E-3</v>
      </c>
      <c r="AD332" s="45">
        <f t="shared" si="175"/>
        <v>4.8700000000000002E-3</v>
      </c>
      <c r="AE332" s="45">
        <f t="shared" si="175"/>
        <v>4.7710000000000001E-3</v>
      </c>
      <c r="AF332" s="45">
        <f t="shared" si="175"/>
        <v>2.2160000000000001E-3</v>
      </c>
      <c r="AG332" s="45">
        <f t="shared" si="175"/>
        <v>4.7920000000000003E-3</v>
      </c>
      <c r="AH332" s="45">
        <f t="shared" si="175"/>
        <v>0</v>
      </c>
      <c r="AI332" s="45">
        <f t="shared" si="175"/>
        <v>0</v>
      </c>
      <c r="AJ332" s="45">
        <f t="shared" si="175"/>
        <v>0</v>
      </c>
      <c r="AK332" s="45">
        <f t="shared" si="175"/>
        <v>0</v>
      </c>
      <c r="AL332" s="45">
        <f t="shared" si="175"/>
        <v>3.5500000000000002E-3</v>
      </c>
      <c r="AM332" s="45">
        <f t="shared" si="175"/>
        <v>0</v>
      </c>
      <c r="AN332" s="45">
        <f t="shared" si="175"/>
        <v>0</v>
      </c>
      <c r="AO332" s="45">
        <f t="shared" si="175"/>
        <v>0</v>
      </c>
      <c r="AP332" s="45">
        <f t="shared" si="175"/>
        <v>5.2050000000000004E-3</v>
      </c>
      <c r="AQ332" s="45">
        <f t="shared" si="175"/>
        <v>0</v>
      </c>
      <c r="AR332" s="45">
        <f t="shared" si="175"/>
        <v>6.8450000000000004E-3</v>
      </c>
      <c r="AS332" s="45">
        <f t="shared" si="175"/>
        <v>1.2210000000000001E-3</v>
      </c>
      <c r="AT332" s="45">
        <f t="shared" si="175"/>
        <v>0</v>
      </c>
      <c r="AU332" s="45">
        <f t="shared" si="175"/>
        <v>0</v>
      </c>
      <c r="AV332" s="45">
        <f t="shared" si="175"/>
        <v>0</v>
      </c>
      <c r="AW332" s="45">
        <f t="shared" si="175"/>
        <v>0</v>
      </c>
      <c r="AX332" s="45">
        <f t="shared" si="175"/>
        <v>0</v>
      </c>
      <c r="AY332" s="45">
        <f t="shared" si="175"/>
        <v>0</v>
      </c>
      <c r="AZ332" s="45">
        <f t="shared" si="175"/>
        <v>5.1580000000000003E-3</v>
      </c>
      <c r="BA332" s="45">
        <f t="shared" si="175"/>
        <v>4.0530000000000002E-3</v>
      </c>
      <c r="BB332" s="45">
        <f t="shared" si="175"/>
        <v>2.4269999999999999E-3</v>
      </c>
      <c r="BC332" s="45">
        <f t="shared" si="175"/>
        <v>1.5164E-2</v>
      </c>
      <c r="BD332" s="45">
        <f t="shared" si="175"/>
        <v>8.1700000000000002E-3</v>
      </c>
      <c r="BE332" s="45">
        <f t="shared" si="175"/>
        <v>9.0620000000000006E-3</v>
      </c>
      <c r="BF332" s="45">
        <f t="shared" si="175"/>
        <v>8.7889999999999999E-3</v>
      </c>
      <c r="BG332" s="45">
        <f t="shared" si="175"/>
        <v>0</v>
      </c>
      <c r="BH332" s="45">
        <f t="shared" si="175"/>
        <v>0</v>
      </c>
      <c r="BI332" s="45">
        <f t="shared" si="175"/>
        <v>0</v>
      </c>
      <c r="BJ332" s="45">
        <f t="shared" si="175"/>
        <v>3.8779999999999999E-3</v>
      </c>
      <c r="BK332" s="45">
        <f t="shared" si="175"/>
        <v>3.7439999999999999E-3</v>
      </c>
      <c r="BL332" s="45">
        <f t="shared" si="175"/>
        <v>0</v>
      </c>
      <c r="BM332" s="45">
        <f t="shared" si="175"/>
        <v>0</v>
      </c>
      <c r="BN332" s="45">
        <f t="shared" si="175"/>
        <v>0</v>
      </c>
      <c r="BO332" s="45">
        <f t="shared" si="175"/>
        <v>1.629E-3</v>
      </c>
      <c r="BP332" s="45">
        <f t="shared" si="175"/>
        <v>0</v>
      </c>
      <c r="BQ332" s="45">
        <f t="shared" si="175"/>
        <v>4.0870000000000004E-3</v>
      </c>
      <c r="BR332" s="45">
        <f t="shared" si="175"/>
        <v>3.5409999999999999E-3</v>
      </c>
      <c r="BS332" s="45">
        <f t="shared" si="175"/>
        <v>2.336E-3</v>
      </c>
      <c r="BT332" s="45">
        <f t="shared" si="175"/>
        <v>2.1120000000000002E-3</v>
      </c>
      <c r="BU332" s="45">
        <f t="shared" si="175"/>
        <v>6.2189999999999997E-3</v>
      </c>
      <c r="BV332" s="45">
        <f t="shared" si="175"/>
        <v>8.9899999999999995E-4</v>
      </c>
      <c r="BW332" s="45">
        <f t="shared" si="175"/>
        <v>3.209E-3</v>
      </c>
      <c r="BX332" s="45">
        <f t="shared" si="175"/>
        <v>0</v>
      </c>
      <c r="BY332" s="45">
        <f t="shared" si="175"/>
        <v>0</v>
      </c>
      <c r="BZ332" s="45">
        <f t="shared" si="175"/>
        <v>0</v>
      </c>
      <c r="CA332" s="45">
        <f t="shared" si="175"/>
        <v>0</v>
      </c>
      <c r="CB332" s="45">
        <f t="shared" si="175"/>
        <v>7.6709999999999999E-3</v>
      </c>
      <c r="CC332" s="45">
        <f t="shared" si="175"/>
        <v>0</v>
      </c>
      <c r="CD332" s="45">
        <f t="shared" si="175"/>
        <v>0</v>
      </c>
      <c r="CE332" s="45">
        <f t="shared" si="175"/>
        <v>0</v>
      </c>
      <c r="CF332" s="45">
        <f t="shared" si="175"/>
        <v>0</v>
      </c>
      <c r="CG332" s="45">
        <f t="shared" si="175"/>
        <v>4.5570000000000003E-3</v>
      </c>
      <c r="CH332" s="45">
        <f t="shared" si="175"/>
        <v>0</v>
      </c>
      <c r="CI332" s="45">
        <f t="shared" si="175"/>
        <v>2.1459999999999999E-3</v>
      </c>
      <c r="CJ332" s="45">
        <f t="shared" si="175"/>
        <v>1.511E-3</v>
      </c>
      <c r="CK332" s="45">
        <f t="shared" si="175"/>
        <v>3.2049999999999999E-3</v>
      </c>
      <c r="CL332" s="45">
        <f t="shared" si="175"/>
        <v>7.3819999999999997E-3</v>
      </c>
      <c r="CM332" s="45">
        <f t="shared" si="175"/>
        <v>3.7910000000000001E-3</v>
      </c>
      <c r="CN332" s="45">
        <f t="shared" si="175"/>
        <v>6.4999999999999997E-3</v>
      </c>
      <c r="CO332" s="45">
        <f t="shared" si="175"/>
        <v>3.8960000000000002E-3</v>
      </c>
      <c r="CP332" s="45">
        <f t="shared" si="175"/>
        <v>2.8170000000000001E-3</v>
      </c>
      <c r="CQ332" s="45">
        <f t="shared" si="175"/>
        <v>0</v>
      </c>
      <c r="CR332" s="45">
        <f t="shared" si="175"/>
        <v>2.1320000000000002E-3</v>
      </c>
      <c r="CS332" s="45">
        <f t="shared" si="175"/>
        <v>0</v>
      </c>
      <c r="CT332" s="45">
        <f t="shared" si="175"/>
        <v>0</v>
      </c>
      <c r="CU332" s="45">
        <f t="shared" si="175"/>
        <v>1.0333999999999999E-2</v>
      </c>
      <c r="CV332" s="45">
        <f t="shared" si="175"/>
        <v>6.9560000000000004E-3</v>
      </c>
      <c r="CW332" s="45">
        <f t="shared" si="175"/>
        <v>0</v>
      </c>
      <c r="CX332" s="45">
        <f t="shared" si="175"/>
        <v>0</v>
      </c>
      <c r="CY332" s="45">
        <f t="shared" si="175"/>
        <v>0</v>
      </c>
      <c r="CZ332" s="45">
        <f t="shared" si="175"/>
        <v>1.9449999999999999E-3</v>
      </c>
      <c r="DA332" s="45">
        <f t="shared" si="175"/>
        <v>0</v>
      </c>
      <c r="DB332" s="45">
        <f t="shared" si="175"/>
        <v>0</v>
      </c>
      <c r="DC332" s="45">
        <f t="shared" si="175"/>
        <v>7.2379999999999996E-3</v>
      </c>
      <c r="DD332" s="45">
        <f t="shared" si="175"/>
        <v>0</v>
      </c>
      <c r="DE332" s="45">
        <f t="shared" si="175"/>
        <v>2.026E-3</v>
      </c>
      <c r="DF332" s="45">
        <f t="shared" si="175"/>
        <v>5.4819999999999999E-3</v>
      </c>
      <c r="DG332" s="45">
        <f t="shared" si="175"/>
        <v>1.0629999999999999E-3</v>
      </c>
      <c r="DH332" s="45">
        <f t="shared" si="175"/>
        <v>4.7089999999999996E-3</v>
      </c>
      <c r="DI332" s="45">
        <f t="shared" si="175"/>
        <v>0</v>
      </c>
      <c r="DJ332" s="45">
        <f t="shared" si="175"/>
        <v>5.6769999999999998E-3</v>
      </c>
      <c r="DK332" s="45">
        <f t="shared" si="175"/>
        <v>5.1549999999999999E-3</v>
      </c>
      <c r="DL332" s="45">
        <f t="shared" si="175"/>
        <v>0</v>
      </c>
      <c r="DM332" s="45">
        <f t="shared" si="175"/>
        <v>8.9250000000000006E-3</v>
      </c>
      <c r="DN332" s="45">
        <f t="shared" si="175"/>
        <v>1.4170000000000001E-3</v>
      </c>
      <c r="DO332" s="45">
        <f t="shared" si="175"/>
        <v>1.4339999999999999E-3</v>
      </c>
      <c r="DP332" s="45">
        <f t="shared" si="175"/>
        <v>0</v>
      </c>
      <c r="DQ332" s="45">
        <f t="shared" si="175"/>
        <v>0</v>
      </c>
      <c r="DR332" s="45">
        <f t="shared" si="175"/>
        <v>0</v>
      </c>
      <c r="DS332" s="45">
        <f t="shared" si="175"/>
        <v>0</v>
      </c>
      <c r="DT332" s="45">
        <f t="shared" si="175"/>
        <v>0</v>
      </c>
      <c r="DU332" s="45">
        <f t="shared" si="175"/>
        <v>0</v>
      </c>
      <c r="DV332" s="45">
        <f t="shared" si="175"/>
        <v>0</v>
      </c>
      <c r="DW332" s="45">
        <f t="shared" si="175"/>
        <v>6.5300000000000004E-4</v>
      </c>
      <c r="DX332" s="45">
        <f t="shared" si="175"/>
        <v>1.3270000000000001E-3</v>
      </c>
      <c r="DY332" s="45">
        <f t="shared" si="175"/>
        <v>2.3180000000000002E-3</v>
      </c>
      <c r="DZ332" s="45">
        <f t="shared" si="175"/>
        <v>2.1299999999999999E-3</v>
      </c>
      <c r="EA332" s="45">
        <f t="shared" si="175"/>
        <v>3.1500000000000001E-4</v>
      </c>
      <c r="EB332" s="45">
        <f t="shared" si="175"/>
        <v>4.8640000000000003E-3</v>
      </c>
      <c r="EC332" s="45">
        <f t="shared" si="175"/>
        <v>0</v>
      </c>
      <c r="ED332" s="45">
        <f t="shared" si="175"/>
        <v>6.6799999999999997E-4</v>
      </c>
      <c r="EE332" s="45">
        <f t="shared" si="175"/>
        <v>0</v>
      </c>
      <c r="EF332" s="45">
        <f t="shared" si="175"/>
        <v>0</v>
      </c>
      <c r="EG332" s="45">
        <f t="shared" si="175"/>
        <v>0</v>
      </c>
      <c r="EH332" s="45">
        <f t="shared" si="175"/>
        <v>0</v>
      </c>
      <c r="EI332" s="45">
        <f t="shared" si="175"/>
        <v>0</v>
      </c>
      <c r="EJ332" s="45">
        <f t="shared" si="175"/>
        <v>0</v>
      </c>
      <c r="EK332" s="45">
        <f t="shared" si="175"/>
        <v>6.7100000000000005E-4</v>
      </c>
      <c r="EL332" s="45">
        <f t="shared" si="175"/>
        <v>0</v>
      </c>
      <c r="EM332" s="45">
        <f t="shared" si="175"/>
        <v>6.169E-3</v>
      </c>
      <c r="EN332" s="45">
        <f t="shared" si="175"/>
        <v>2.274E-3</v>
      </c>
      <c r="EO332" s="45">
        <f t="shared" si="175"/>
        <v>1.58E-3</v>
      </c>
      <c r="EP332" s="45">
        <f t="shared" si="175"/>
        <v>5.8259999999999996E-3</v>
      </c>
      <c r="EQ332" s="45">
        <f t="shared" si="175"/>
        <v>8.0599999999999997E-4</v>
      </c>
      <c r="ER332" s="45">
        <f t="shared" si="175"/>
        <v>6.1520000000000004E-3</v>
      </c>
      <c r="ES332" s="45">
        <f t="shared" si="175"/>
        <v>0</v>
      </c>
      <c r="ET332" s="45">
        <f t="shared" si="175"/>
        <v>2.9229999999999998E-3</v>
      </c>
      <c r="EU332" s="45">
        <f t="shared" si="175"/>
        <v>0</v>
      </c>
      <c r="EV332" s="45">
        <f t="shared" si="175"/>
        <v>0</v>
      </c>
      <c r="EW332" s="45">
        <f t="shared" si="175"/>
        <v>1.3780000000000001E-3</v>
      </c>
      <c r="EX332" s="45">
        <f t="shared" si="175"/>
        <v>6.8139999999999997E-3</v>
      </c>
      <c r="EY332" s="45">
        <f t="shared" si="175"/>
        <v>0</v>
      </c>
      <c r="EZ332" s="45">
        <f t="shared" si="175"/>
        <v>0</v>
      </c>
      <c r="FA332" s="45">
        <f t="shared" si="175"/>
        <v>1.225E-3</v>
      </c>
      <c r="FB332" s="45">
        <f t="shared" si="175"/>
        <v>1.189E-3</v>
      </c>
      <c r="FC332" s="45">
        <f t="shared" si="175"/>
        <v>2.3080000000000002E-3</v>
      </c>
      <c r="FD332" s="45">
        <f t="shared" si="175"/>
        <v>0</v>
      </c>
      <c r="FE332" s="45">
        <f t="shared" si="175"/>
        <v>7.404E-3</v>
      </c>
      <c r="FF332" s="45">
        <f t="shared" si="175"/>
        <v>0</v>
      </c>
      <c r="FG332" s="45">
        <f t="shared" si="175"/>
        <v>0</v>
      </c>
      <c r="FH332" s="45">
        <f t="shared" si="175"/>
        <v>4.1000000000000003E-3</v>
      </c>
      <c r="FI332" s="45">
        <f t="shared" si="175"/>
        <v>2.7360000000000002E-3</v>
      </c>
      <c r="FJ332" s="45">
        <f t="shared" si="175"/>
        <v>1.2080000000000001E-3</v>
      </c>
      <c r="FK332" s="45">
        <f t="shared" si="175"/>
        <v>2.078E-3</v>
      </c>
      <c r="FL332" s="45">
        <f t="shared" si="175"/>
        <v>1.1299999999999999E-3</v>
      </c>
      <c r="FM332" s="45">
        <f t="shared" si="175"/>
        <v>4.2299999999999998E-4</v>
      </c>
      <c r="FN332" s="45">
        <f t="shared" si="175"/>
        <v>0</v>
      </c>
      <c r="FO332" s="45">
        <f t="shared" si="175"/>
        <v>6.11E-4</v>
      </c>
      <c r="FP332" s="45">
        <f t="shared" si="175"/>
        <v>1.7340000000000001E-3</v>
      </c>
      <c r="FQ332" s="45">
        <f t="shared" si="175"/>
        <v>1.6659999999999999E-3</v>
      </c>
      <c r="FR332" s="45">
        <f t="shared" si="175"/>
        <v>8.7000000000000001E-4</v>
      </c>
      <c r="FS332" s="45">
        <f t="shared" si="175"/>
        <v>1.6899999999999999E-4</v>
      </c>
      <c r="FT332" s="45">
        <f t="shared" si="175"/>
        <v>2.8299999999999999E-4</v>
      </c>
      <c r="FU332" s="45">
        <f t="shared" si="175"/>
        <v>6.8999999999999999E-3</v>
      </c>
      <c r="FV332" s="45">
        <f t="shared" si="175"/>
        <v>2.771E-3</v>
      </c>
      <c r="FW332" s="45">
        <f t="shared" si="175"/>
        <v>0</v>
      </c>
      <c r="FX332" s="45">
        <f t="shared" si="175"/>
        <v>1.6601999999999999E-2</v>
      </c>
      <c r="FY332" s="45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</row>
    <row r="333" spans="1:193" ht="15.5" x14ac:dyDescent="0.35">
      <c r="A333" s="7"/>
      <c r="B333" s="7" t="s">
        <v>1098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</row>
    <row r="334" spans="1:193" ht="15.5" x14ac:dyDescent="0.35">
      <c r="A334" s="12" t="s">
        <v>1099</v>
      </c>
      <c r="B334" s="7" t="s">
        <v>1100</v>
      </c>
      <c r="C334" s="45">
        <f t="shared" ref="C334:FX334" ca="1" si="176">SUM(C326:C332)</f>
        <v>3.0927E-2</v>
      </c>
      <c r="D334" s="45">
        <f t="shared" ca="1" si="176"/>
        <v>4.1082E-2</v>
      </c>
      <c r="E334" s="45">
        <f t="shared" ca="1" si="176"/>
        <v>3.0995000000000002E-2</v>
      </c>
      <c r="F334" s="45">
        <f t="shared" ca="1" si="176"/>
        <v>2.7227000000000001E-2</v>
      </c>
      <c r="G334" s="45">
        <f t="shared" ca="1" si="176"/>
        <v>2.7355999999999998E-2</v>
      </c>
      <c r="H334" s="45">
        <f t="shared" ca="1" si="176"/>
        <v>2.9059999999999999E-2</v>
      </c>
      <c r="I334" s="45">
        <f t="shared" ca="1" si="176"/>
        <v>3.4074E-2</v>
      </c>
      <c r="J334" s="45">
        <f t="shared" ca="1" si="176"/>
        <v>2.7E-2</v>
      </c>
      <c r="K334" s="45">
        <f t="shared" ca="1" si="176"/>
        <v>2.7E-2</v>
      </c>
      <c r="L334" s="45">
        <f t="shared" ca="1" si="176"/>
        <v>3.2113000000000003E-2</v>
      </c>
      <c r="M334" s="45">
        <f t="shared" ca="1" si="176"/>
        <v>2.9000999999999902E-2</v>
      </c>
      <c r="N334" s="45">
        <f t="shared" ca="1" si="176"/>
        <v>2.7576999999999997E-2</v>
      </c>
      <c r="O334" s="45">
        <f t="shared" ca="1" si="176"/>
        <v>3.7545000000000002E-2</v>
      </c>
      <c r="P334" s="45">
        <f t="shared" ca="1" si="176"/>
        <v>2.7113999999999999E-2</v>
      </c>
      <c r="Q334" s="45">
        <f t="shared" ca="1" si="176"/>
        <v>3.3479000000000002E-2</v>
      </c>
      <c r="R334" s="45">
        <f t="shared" ca="1" si="176"/>
        <v>2.7E-2</v>
      </c>
      <c r="S334" s="45">
        <f t="shared" ca="1" si="176"/>
        <v>2.6013999999999999E-2</v>
      </c>
      <c r="T334" s="45">
        <f t="shared" ca="1" si="176"/>
        <v>2.4301E-2</v>
      </c>
      <c r="U334" s="45">
        <f t="shared" ca="1" si="176"/>
        <v>2.7018999999999998E-2</v>
      </c>
      <c r="V334" s="45">
        <f t="shared" ca="1" si="176"/>
        <v>2.7E-2</v>
      </c>
      <c r="W334" s="45">
        <f t="shared" ca="1" si="176"/>
        <v>2.7E-2</v>
      </c>
      <c r="X334" s="45">
        <f t="shared" ca="1" si="176"/>
        <v>2.3882E-2</v>
      </c>
      <c r="Y334" s="45">
        <f t="shared" ca="1" si="176"/>
        <v>2.4497999999999999E-2</v>
      </c>
      <c r="Z334" s="45">
        <f t="shared" ca="1" si="176"/>
        <v>2.8108999999999999E-2</v>
      </c>
      <c r="AA334" s="45">
        <f t="shared" ca="1" si="176"/>
        <v>3.1753000000000003E-2</v>
      </c>
      <c r="AB334" s="45">
        <f t="shared" ca="1" si="176"/>
        <v>3.4171E-2</v>
      </c>
      <c r="AC334" s="45">
        <f t="shared" ca="1" si="176"/>
        <v>2.5252E-2</v>
      </c>
      <c r="AD334" s="45">
        <f t="shared" ca="1" si="176"/>
        <v>2.4562999999999998E-2</v>
      </c>
      <c r="AE334" s="45">
        <f t="shared" ca="1" si="176"/>
        <v>1.9014E-2</v>
      </c>
      <c r="AF334" s="45">
        <f t="shared" ca="1" si="176"/>
        <v>1.389E-2</v>
      </c>
      <c r="AG334" s="45">
        <f t="shared" ca="1" si="176"/>
        <v>1.7277000000000001E-2</v>
      </c>
      <c r="AH334" s="45">
        <f t="shared" ca="1" si="176"/>
        <v>2.6111000000000002E-2</v>
      </c>
      <c r="AI334" s="45">
        <f t="shared" ca="1" si="176"/>
        <v>2.7E-2</v>
      </c>
      <c r="AJ334" s="45">
        <f t="shared" ca="1" si="176"/>
        <v>2.3788E-2</v>
      </c>
      <c r="AK334" s="45">
        <f t="shared" ca="1" si="176"/>
        <v>2.128E-2</v>
      </c>
      <c r="AL334" s="45">
        <f t="shared" ca="1" si="176"/>
        <v>3.0550000000000001E-2</v>
      </c>
      <c r="AM334" s="45">
        <f t="shared" ca="1" si="176"/>
        <v>2.1448999999999999E-2</v>
      </c>
      <c r="AN334" s="45">
        <f t="shared" ca="1" si="176"/>
        <v>2.5706E-2</v>
      </c>
      <c r="AO334" s="45">
        <f t="shared" ca="1" si="176"/>
        <v>2.7E-2</v>
      </c>
      <c r="AP334" s="45">
        <f t="shared" ca="1" si="176"/>
        <v>3.2204999999999998E-2</v>
      </c>
      <c r="AQ334" s="45">
        <f t="shared" ca="1" si="176"/>
        <v>1.8685E-2</v>
      </c>
      <c r="AR334" s="45">
        <f t="shared" ca="1" si="176"/>
        <v>3.3845E-2</v>
      </c>
      <c r="AS334" s="45">
        <f t="shared" ca="1" si="176"/>
        <v>1.3793999999999999E-2</v>
      </c>
      <c r="AT334" s="45">
        <f t="shared" ca="1" si="176"/>
        <v>2.7E-2</v>
      </c>
      <c r="AU334" s="45">
        <f t="shared" ca="1" si="176"/>
        <v>2.4187999999999901E-2</v>
      </c>
      <c r="AV334" s="45">
        <f t="shared" ca="1" si="176"/>
        <v>2.7E-2</v>
      </c>
      <c r="AW334" s="45">
        <f t="shared" ca="1" si="176"/>
        <v>2.4431000000000001E-2</v>
      </c>
      <c r="AX334" s="45">
        <f t="shared" ca="1" si="176"/>
        <v>2.1797999999999901E-2</v>
      </c>
      <c r="AY334" s="45">
        <f t="shared" ca="1" si="176"/>
        <v>2.7E-2</v>
      </c>
      <c r="AZ334" s="45">
        <f t="shared" ca="1" si="176"/>
        <v>2.0878000000000001E-2</v>
      </c>
      <c r="BA334" s="45">
        <f t="shared" ca="1" si="176"/>
        <v>3.0946999999999902E-2</v>
      </c>
      <c r="BB334" s="45">
        <f t="shared" ca="1" si="176"/>
        <v>2.7111E-2</v>
      </c>
      <c r="BC334" s="45">
        <f t="shared" ca="1" si="176"/>
        <v>3.5879000000000001E-2</v>
      </c>
      <c r="BD334" s="45">
        <f t="shared" ca="1" si="176"/>
        <v>3.517E-2</v>
      </c>
      <c r="BE334" s="45">
        <f t="shared" ca="1" si="176"/>
        <v>3.6061999999999997E-2</v>
      </c>
      <c r="BF334" s="45">
        <f t="shared" ca="1" si="176"/>
        <v>3.5789000000000001E-2</v>
      </c>
      <c r="BG334" s="45">
        <f t="shared" ca="1" si="176"/>
        <v>2.7E-2</v>
      </c>
      <c r="BH334" s="45">
        <f t="shared" ca="1" si="176"/>
        <v>2.6419000000000002E-2</v>
      </c>
      <c r="BI334" s="45">
        <f t="shared" ca="1" si="176"/>
        <v>1.3433E-2</v>
      </c>
      <c r="BJ334" s="45">
        <f t="shared" ca="1" si="176"/>
        <v>3.0877999999999999E-2</v>
      </c>
      <c r="BK334" s="45">
        <f t="shared" ca="1" si="176"/>
        <v>3.0744E-2</v>
      </c>
      <c r="BL334" s="45">
        <f t="shared" ca="1" si="176"/>
        <v>2.7E-2</v>
      </c>
      <c r="BM334" s="45">
        <f t="shared" ca="1" si="176"/>
        <v>2.6758000000000001E-2</v>
      </c>
      <c r="BN334" s="45">
        <f t="shared" ca="1" si="176"/>
        <v>2.7E-2</v>
      </c>
      <c r="BO334" s="45">
        <f t="shared" ca="1" si="176"/>
        <v>2.1831999999999997E-2</v>
      </c>
      <c r="BP334" s="45">
        <f t="shared" ca="1" si="176"/>
        <v>2.6702E-2</v>
      </c>
      <c r="BQ334" s="45">
        <f t="shared" ca="1" si="176"/>
        <v>3.0846000000000002E-2</v>
      </c>
      <c r="BR334" s="45">
        <f t="shared" ca="1" si="176"/>
        <v>1.3240999999999989E-2</v>
      </c>
      <c r="BS334" s="45">
        <f t="shared" ca="1" si="176"/>
        <v>6.7309999999999991E-3</v>
      </c>
      <c r="BT334" s="45">
        <f t="shared" ca="1" si="176"/>
        <v>8.763E-3</v>
      </c>
      <c r="BU334" s="45">
        <f t="shared" ca="1" si="176"/>
        <v>2.0029999999999999E-2</v>
      </c>
      <c r="BV334" s="45">
        <f t="shared" ca="1" si="176"/>
        <v>1.1342999999999999E-2</v>
      </c>
      <c r="BW334" s="45">
        <f t="shared" ca="1" si="176"/>
        <v>1.8945E-2</v>
      </c>
      <c r="BX334" s="45">
        <f t="shared" ca="1" si="176"/>
        <v>1.9067000000000001E-2</v>
      </c>
      <c r="BY334" s="45">
        <f t="shared" ca="1" si="176"/>
        <v>2.7E-2</v>
      </c>
      <c r="BZ334" s="45">
        <f t="shared" ca="1" si="176"/>
        <v>2.7E-2</v>
      </c>
      <c r="CA334" s="45">
        <f t="shared" ca="1" si="176"/>
        <v>2.3040999999999999E-2</v>
      </c>
      <c r="CB334" s="45">
        <f t="shared" ca="1" si="176"/>
        <v>3.4671E-2</v>
      </c>
      <c r="CC334" s="45">
        <f t="shared" ca="1" si="176"/>
        <v>2.7E-2</v>
      </c>
      <c r="CD334" s="45">
        <f t="shared" ca="1" si="176"/>
        <v>2.7771000000000001E-2</v>
      </c>
      <c r="CE334" s="45">
        <f t="shared" ca="1" si="176"/>
        <v>2.7E-2</v>
      </c>
      <c r="CF334" s="45">
        <f t="shared" ca="1" si="176"/>
        <v>2.8656999999999901E-2</v>
      </c>
      <c r="CG334" s="45">
        <f t="shared" ca="1" si="176"/>
        <v>3.1557000000000002E-2</v>
      </c>
      <c r="CH334" s="45">
        <f t="shared" ca="1" si="176"/>
        <v>2.7E-2</v>
      </c>
      <c r="CI334" s="45">
        <f t="shared" ca="1" si="176"/>
        <v>2.9145999999999998E-2</v>
      </c>
      <c r="CJ334" s="45">
        <f t="shared" ca="1" si="176"/>
        <v>2.8024E-2</v>
      </c>
      <c r="CK334" s="45">
        <f t="shared" ca="1" si="176"/>
        <v>1.6306000000000001E-2</v>
      </c>
      <c r="CL334" s="45">
        <f t="shared" ca="1" si="176"/>
        <v>2.0736999999999998E-2</v>
      </c>
      <c r="CM334" s="45">
        <f t="shared" ca="1" si="176"/>
        <v>1.1065E-2</v>
      </c>
      <c r="CN334" s="45">
        <f t="shared" ca="1" si="176"/>
        <v>3.3500000000000002E-2</v>
      </c>
      <c r="CO334" s="45">
        <f t="shared" ca="1" si="176"/>
        <v>3.0896E-2</v>
      </c>
      <c r="CP334" s="45">
        <f t="shared" ca="1" si="176"/>
        <v>2.0289000000000001E-2</v>
      </c>
      <c r="CQ334" s="45">
        <f t="shared" ca="1" si="176"/>
        <v>1.7426999999999901E-2</v>
      </c>
      <c r="CR334" s="45">
        <f t="shared" ca="1" si="176"/>
        <v>6.7800000000000004E-3</v>
      </c>
      <c r="CS334" s="45">
        <f t="shared" ca="1" si="176"/>
        <v>2.7E-2</v>
      </c>
      <c r="CT334" s="45">
        <f t="shared" ca="1" si="176"/>
        <v>1.3969999999999901E-2</v>
      </c>
      <c r="CU334" s="45">
        <f t="shared" ca="1" si="176"/>
        <v>3.4949999999999995E-2</v>
      </c>
      <c r="CV334" s="45">
        <f t="shared" ca="1" si="176"/>
        <v>2.4083E-2</v>
      </c>
      <c r="CW334" s="45">
        <f t="shared" ca="1" si="176"/>
        <v>1.7378999999999999E-2</v>
      </c>
      <c r="CX334" s="45">
        <f t="shared" ca="1" si="176"/>
        <v>2.6824000000000001E-2</v>
      </c>
      <c r="CY334" s="45">
        <f t="shared" ca="1" si="176"/>
        <v>2.7E-2</v>
      </c>
      <c r="CZ334" s="45">
        <f t="shared" ca="1" si="176"/>
        <v>2.8944999999999999E-2</v>
      </c>
      <c r="DA334" s="45">
        <f t="shared" ca="1" si="176"/>
        <v>2.7383000000000001E-2</v>
      </c>
      <c r="DB334" s="45">
        <f t="shared" ca="1" si="176"/>
        <v>2.7E-2</v>
      </c>
      <c r="DC334" s="45">
        <f t="shared" ca="1" si="176"/>
        <v>3.0249999999999999E-2</v>
      </c>
      <c r="DD334" s="45">
        <f t="shared" ca="1" si="176"/>
        <v>3.4479999999999997E-3</v>
      </c>
      <c r="DE334" s="45">
        <f t="shared" ca="1" si="176"/>
        <v>1.3920999999999999E-2</v>
      </c>
      <c r="DF334" s="45">
        <f t="shared" ca="1" si="176"/>
        <v>3.2481999999999997E-2</v>
      </c>
      <c r="DG334" s="45">
        <f t="shared" ca="1" si="176"/>
        <v>2.6516000000000001E-2</v>
      </c>
      <c r="DH334" s="45">
        <f t="shared" ca="1" si="176"/>
        <v>3.09139999999999E-2</v>
      </c>
      <c r="DI334" s="45">
        <f t="shared" ca="1" si="176"/>
        <v>2.3844999999999901E-2</v>
      </c>
      <c r="DJ334" s="45">
        <f t="shared" ca="1" si="176"/>
        <v>3.1559999999999998E-2</v>
      </c>
      <c r="DK334" s="45">
        <f t="shared" ca="1" si="176"/>
        <v>2.5812999999999999E-2</v>
      </c>
      <c r="DL334" s="45">
        <f t="shared" ca="1" si="176"/>
        <v>2.6966999999999901E-2</v>
      </c>
      <c r="DM334" s="45">
        <f t="shared" ca="1" si="176"/>
        <v>3.3824E-2</v>
      </c>
      <c r="DN334" s="45">
        <f t="shared" ca="1" si="176"/>
        <v>2.8417000000000001E-2</v>
      </c>
      <c r="DO334" s="45">
        <f t="shared" ca="1" si="176"/>
        <v>2.8434000000000001E-2</v>
      </c>
      <c r="DP334" s="45">
        <f t="shared" ca="1" si="176"/>
        <v>2.7282999999999998E-2</v>
      </c>
      <c r="DQ334" s="45">
        <f t="shared" ca="1" si="176"/>
        <v>2.2147E-2</v>
      </c>
      <c r="DR334" s="45">
        <f t="shared" ca="1" si="176"/>
        <v>2.7E-2</v>
      </c>
      <c r="DS334" s="45">
        <f t="shared" ca="1" si="176"/>
        <v>2.7E-2</v>
      </c>
      <c r="DT334" s="45">
        <f t="shared" ca="1" si="176"/>
        <v>2.6728999999999999E-2</v>
      </c>
      <c r="DU334" s="45">
        <f t="shared" ca="1" si="176"/>
        <v>2.7E-2</v>
      </c>
      <c r="DV334" s="45">
        <f t="shared" ca="1" si="176"/>
        <v>2.7E-2</v>
      </c>
      <c r="DW334" s="45">
        <f t="shared" ca="1" si="176"/>
        <v>2.7650000000000001E-2</v>
      </c>
      <c r="DX334" s="45">
        <f t="shared" ca="1" si="176"/>
        <v>2.5258000000000003E-2</v>
      </c>
      <c r="DY334" s="45">
        <f t="shared" ca="1" si="176"/>
        <v>2.0246E-2</v>
      </c>
      <c r="DZ334" s="45">
        <f t="shared" ca="1" si="176"/>
        <v>2.4791999999999901E-2</v>
      </c>
      <c r="EA334" s="45">
        <f t="shared" ca="1" si="176"/>
        <v>1.2087999999999998E-2</v>
      </c>
      <c r="EB334" s="45">
        <f t="shared" ca="1" si="176"/>
        <v>3.1864000000000003E-2</v>
      </c>
      <c r="EC334" s="45">
        <f t="shared" ca="1" si="176"/>
        <v>2.7E-2</v>
      </c>
      <c r="ED334" s="45">
        <f t="shared" ca="1" si="176"/>
        <v>4.8729999999999997E-3</v>
      </c>
      <c r="EE334" s="45">
        <f t="shared" ca="1" si="176"/>
        <v>2.7E-2</v>
      </c>
      <c r="EF334" s="45">
        <f t="shared" ca="1" si="176"/>
        <v>2.4594999999999999E-2</v>
      </c>
      <c r="EG334" s="45">
        <f t="shared" ca="1" si="176"/>
        <v>2.7E-2</v>
      </c>
      <c r="EH334" s="45">
        <f t="shared" ca="1" si="176"/>
        <v>2.7E-2</v>
      </c>
      <c r="EI334" s="45">
        <f t="shared" ca="1" si="176"/>
        <v>2.7E-2</v>
      </c>
      <c r="EJ334" s="45">
        <f t="shared" ca="1" si="176"/>
        <v>2.7E-2</v>
      </c>
      <c r="EK334" s="45">
        <f t="shared" ca="1" si="176"/>
        <v>6.4380000000000001E-3</v>
      </c>
      <c r="EL334" s="45">
        <f t="shared" ca="1" si="176"/>
        <v>8.4650000000000003E-3</v>
      </c>
      <c r="EM334" s="45">
        <f t="shared" ca="1" si="176"/>
        <v>2.7477000000000001E-2</v>
      </c>
      <c r="EN334" s="45">
        <f t="shared" ca="1" si="176"/>
        <v>2.9274000000000001E-2</v>
      </c>
      <c r="EO334" s="45">
        <f t="shared" ca="1" si="176"/>
        <v>2.8580000000000001E-2</v>
      </c>
      <c r="EP334" s="45">
        <f t="shared" ca="1" si="176"/>
        <v>3.1411999999999898E-2</v>
      </c>
      <c r="EQ334" s="45">
        <f t="shared" ca="1" si="176"/>
        <v>6.9440000000000005E-3</v>
      </c>
      <c r="ER334" s="45">
        <f t="shared" ca="1" si="176"/>
        <v>2.7435000000000001E-2</v>
      </c>
      <c r="ES334" s="45">
        <f t="shared" ca="1" si="176"/>
        <v>2.7E-2</v>
      </c>
      <c r="ET334" s="45">
        <f t="shared" ca="1" si="176"/>
        <v>2.9922999999999998E-2</v>
      </c>
      <c r="EU334" s="45">
        <f t="shared" ca="1" si="176"/>
        <v>2.7E-2</v>
      </c>
      <c r="EV334" s="45">
        <f t="shared" ca="1" si="176"/>
        <v>1.525E-2</v>
      </c>
      <c r="EW334" s="45">
        <f t="shared" ca="1" si="176"/>
        <v>8.6589999999999896E-3</v>
      </c>
      <c r="EX334" s="45">
        <f t="shared" ca="1" si="176"/>
        <v>1.5723999999999998E-2</v>
      </c>
      <c r="EY334" s="45">
        <f t="shared" ca="1" si="176"/>
        <v>2.7E-2</v>
      </c>
      <c r="EZ334" s="45">
        <f t="shared" ca="1" si="176"/>
        <v>2.946E-2</v>
      </c>
      <c r="FA334" s="45">
        <f t="shared" ca="1" si="176"/>
        <v>1.2277E-2</v>
      </c>
      <c r="FB334" s="45">
        <f t="shared" ca="1" si="176"/>
        <v>1.0534999999999999E-2</v>
      </c>
      <c r="FC334" s="45">
        <f t="shared" ca="1" si="176"/>
        <v>2.9308000000000001E-2</v>
      </c>
      <c r="FD334" s="45">
        <f t="shared" ca="1" si="176"/>
        <v>2.7E-2</v>
      </c>
      <c r="FE334" s="45">
        <f t="shared" ca="1" si="176"/>
        <v>2.6817000000000001E-2</v>
      </c>
      <c r="FF334" s="45">
        <f t="shared" ca="1" si="176"/>
        <v>2.7E-2</v>
      </c>
      <c r="FG334" s="45">
        <f t="shared" ca="1" si="176"/>
        <v>2.7E-2</v>
      </c>
      <c r="FH334" s="45">
        <f t="shared" ca="1" si="176"/>
        <v>3.0907999999999998E-2</v>
      </c>
      <c r="FI334" s="45">
        <f t="shared" ca="1" si="176"/>
        <v>1.2375000000000001E-2</v>
      </c>
      <c r="FJ334" s="45">
        <f t="shared" ca="1" si="176"/>
        <v>2.3415999999999999E-2</v>
      </c>
      <c r="FK334" s="45">
        <f t="shared" ca="1" si="176"/>
        <v>1.2944000000000001E-2</v>
      </c>
      <c r="FL334" s="45">
        <f t="shared" ca="1" si="176"/>
        <v>2.8129999999999999E-2</v>
      </c>
      <c r="FM334" s="45">
        <f t="shared" ca="1" si="176"/>
        <v>2.3837000000000001E-2</v>
      </c>
      <c r="FN334" s="45">
        <f t="shared" ca="1" si="176"/>
        <v>2.7E-2</v>
      </c>
      <c r="FO334" s="45">
        <f t="shared" ca="1" si="176"/>
        <v>4.7899999999999991E-3</v>
      </c>
      <c r="FP334" s="45">
        <f t="shared" ca="1" si="176"/>
        <v>1.3876999999999999E-2</v>
      </c>
      <c r="FQ334" s="45">
        <f t="shared" ca="1" si="176"/>
        <v>2.3546000000000001E-2</v>
      </c>
      <c r="FR334" s="45">
        <f t="shared" ca="1" si="176"/>
        <v>6.6509999999999998E-3</v>
      </c>
      <c r="FS334" s="45">
        <f t="shared" ca="1" si="176"/>
        <v>5.2369999999999995E-3</v>
      </c>
      <c r="FT334" s="45">
        <f t="shared" ca="1" si="176"/>
        <v>3.4379999999999997E-3</v>
      </c>
      <c r="FU334" s="45">
        <f t="shared" ca="1" si="176"/>
        <v>3.02449999999999E-2</v>
      </c>
      <c r="FV334" s="45">
        <f t="shared" ca="1" si="176"/>
        <v>2.2803E-2</v>
      </c>
      <c r="FW334" s="45">
        <f t="shared" ca="1" si="176"/>
        <v>2.6498000000000001E-2</v>
      </c>
      <c r="FX334" s="45">
        <f t="shared" ca="1" si="176"/>
        <v>4.1276999999999994E-2</v>
      </c>
      <c r="FY334" s="45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</row>
    <row r="335" spans="1:193" ht="15.5" x14ac:dyDescent="0.35">
      <c r="A335" s="7"/>
      <c r="B335" s="7" t="s">
        <v>1101</v>
      </c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</row>
    <row r="336" spans="1:193" ht="15.5" x14ac:dyDescent="0.3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</row>
    <row r="337" spans="1:193" ht="15.5" x14ac:dyDescent="0.35">
      <c r="A337" s="12" t="s">
        <v>1102</v>
      </c>
      <c r="B337" s="7" t="s">
        <v>1103</v>
      </c>
      <c r="C337" s="23" t="e">
        <f t="shared" ref="C337:FX337" ca="1" si="177">ROUND(IF(AND(C103&gt;459,C139&gt;C19),MIN(C224,(C199/459)*(C96)),C224),2)</f>
        <v>#NAME?</v>
      </c>
      <c r="D337" s="23" t="e">
        <f t="shared" ca="1" si="177"/>
        <v>#NAME?</v>
      </c>
      <c r="E337" s="23" t="e">
        <f t="shared" ca="1" si="177"/>
        <v>#NAME?</v>
      </c>
      <c r="F337" s="23" t="e">
        <f t="shared" ca="1" si="177"/>
        <v>#NAME?</v>
      </c>
      <c r="G337" s="23" t="e">
        <f t="shared" ca="1" si="177"/>
        <v>#NAME?</v>
      </c>
      <c r="H337" s="23" t="e">
        <f t="shared" ca="1" si="177"/>
        <v>#NAME?</v>
      </c>
      <c r="I337" s="23" t="e">
        <f t="shared" ca="1" si="177"/>
        <v>#NAME?</v>
      </c>
      <c r="J337" s="23" t="e">
        <f t="shared" ca="1" si="177"/>
        <v>#NAME?</v>
      </c>
      <c r="K337" s="23" t="e">
        <f t="shared" ca="1" si="177"/>
        <v>#NAME?</v>
      </c>
      <c r="L337" s="23" t="e">
        <f t="shared" ca="1" si="177"/>
        <v>#NAME?</v>
      </c>
      <c r="M337" s="23" t="e">
        <f t="shared" ca="1" si="177"/>
        <v>#NAME?</v>
      </c>
      <c r="N337" s="23" t="e">
        <f t="shared" ca="1" si="177"/>
        <v>#NAME?</v>
      </c>
      <c r="O337" s="23" t="e">
        <f t="shared" ca="1" si="177"/>
        <v>#NAME?</v>
      </c>
      <c r="P337" s="23" t="e">
        <f t="shared" ca="1" si="177"/>
        <v>#NAME?</v>
      </c>
      <c r="Q337" s="23" t="e">
        <f t="shared" ca="1" si="177"/>
        <v>#NAME?</v>
      </c>
      <c r="R337" s="23" t="e">
        <f t="shared" ca="1" si="177"/>
        <v>#NAME?</v>
      </c>
      <c r="S337" s="23" t="e">
        <f t="shared" ca="1" si="177"/>
        <v>#NAME?</v>
      </c>
      <c r="T337" s="23" t="e">
        <f t="shared" ca="1" si="177"/>
        <v>#NAME?</v>
      </c>
      <c r="U337" s="23" t="e">
        <f t="shared" ca="1" si="177"/>
        <v>#NAME?</v>
      </c>
      <c r="V337" s="23" t="e">
        <f t="shared" ca="1" si="177"/>
        <v>#NAME?</v>
      </c>
      <c r="W337" s="23" t="e">
        <f t="shared" ca="1" si="177"/>
        <v>#NAME?</v>
      </c>
      <c r="X337" s="23" t="e">
        <f t="shared" ca="1" si="177"/>
        <v>#NAME?</v>
      </c>
      <c r="Y337" s="23" t="e">
        <f t="shared" ca="1" si="177"/>
        <v>#NAME?</v>
      </c>
      <c r="Z337" s="23" t="e">
        <f t="shared" ca="1" si="177"/>
        <v>#NAME?</v>
      </c>
      <c r="AA337" s="23" t="e">
        <f t="shared" ca="1" si="177"/>
        <v>#NAME?</v>
      </c>
      <c r="AB337" s="23" t="e">
        <f t="shared" ca="1" si="177"/>
        <v>#NAME?</v>
      </c>
      <c r="AC337" s="23" t="e">
        <f t="shared" ca="1" si="177"/>
        <v>#NAME?</v>
      </c>
      <c r="AD337" s="23" t="e">
        <f t="shared" ca="1" si="177"/>
        <v>#NAME?</v>
      </c>
      <c r="AE337" s="23" t="e">
        <f t="shared" ca="1" si="177"/>
        <v>#NAME?</v>
      </c>
      <c r="AF337" s="23" t="e">
        <f t="shared" ca="1" si="177"/>
        <v>#NAME?</v>
      </c>
      <c r="AG337" s="23" t="e">
        <f t="shared" ca="1" si="177"/>
        <v>#NAME?</v>
      </c>
      <c r="AH337" s="23" t="e">
        <f t="shared" ca="1" si="177"/>
        <v>#NAME?</v>
      </c>
      <c r="AI337" s="23" t="e">
        <f t="shared" ca="1" si="177"/>
        <v>#NAME?</v>
      </c>
      <c r="AJ337" s="23" t="e">
        <f t="shared" ca="1" si="177"/>
        <v>#NAME?</v>
      </c>
      <c r="AK337" s="23" t="e">
        <f t="shared" ca="1" si="177"/>
        <v>#NAME?</v>
      </c>
      <c r="AL337" s="23" t="e">
        <f t="shared" ca="1" si="177"/>
        <v>#NAME?</v>
      </c>
      <c r="AM337" s="23" t="e">
        <f t="shared" ca="1" si="177"/>
        <v>#NAME?</v>
      </c>
      <c r="AN337" s="23" t="e">
        <f t="shared" ca="1" si="177"/>
        <v>#NAME?</v>
      </c>
      <c r="AO337" s="23" t="e">
        <f t="shared" ca="1" si="177"/>
        <v>#NAME?</v>
      </c>
      <c r="AP337" s="23" t="e">
        <f t="shared" ca="1" si="177"/>
        <v>#NAME?</v>
      </c>
      <c r="AQ337" s="23" t="e">
        <f t="shared" ca="1" si="177"/>
        <v>#NAME?</v>
      </c>
      <c r="AR337" s="23" t="e">
        <f t="shared" ca="1" si="177"/>
        <v>#NAME?</v>
      </c>
      <c r="AS337" s="23" t="e">
        <f t="shared" ca="1" si="177"/>
        <v>#NAME?</v>
      </c>
      <c r="AT337" s="23" t="e">
        <f t="shared" ca="1" si="177"/>
        <v>#NAME?</v>
      </c>
      <c r="AU337" s="23" t="e">
        <f t="shared" ca="1" si="177"/>
        <v>#NAME?</v>
      </c>
      <c r="AV337" s="23" t="e">
        <f t="shared" ca="1" si="177"/>
        <v>#NAME?</v>
      </c>
      <c r="AW337" s="23" t="e">
        <f t="shared" ca="1" si="177"/>
        <v>#NAME?</v>
      </c>
      <c r="AX337" s="23" t="e">
        <f t="shared" ca="1" si="177"/>
        <v>#NAME?</v>
      </c>
      <c r="AY337" s="23" t="e">
        <f t="shared" ca="1" si="177"/>
        <v>#NAME?</v>
      </c>
      <c r="AZ337" s="23" t="e">
        <f t="shared" ca="1" si="177"/>
        <v>#NAME?</v>
      </c>
      <c r="BA337" s="23" t="e">
        <f t="shared" ca="1" si="177"/>
        <v>#NAME?</v>
      </c>
      <c r="BB337" s="23" t="e">
        <f t="shared" ca="1" si="177"/>
        <v>#NAME?</v>
      </c>
      <c r="BC337" s="23" t="e">
        <f t="shared" ca="1" si="177"/>
        <v>#NAME?</v>
      </c>
      <c r="BD337" s="23" t="e">
        <f t="shared" ca="1" si="177"/>
        <v>#NAME?</v>
      </c>
      <c r="BE337" s="23" t="e">
        <f t="shared" ca="1" si="177"/>
        <v>#NAME?</v>
      </c>
      <c r="BF337" s="23" t="e">
        <f t="shared" ca="1" si="177"/>
        <v>#NAME?</v>
      </c>
      <c r="BG337" s="23" t="e">
        <f t="shared" ca="1" si="177"/>
        <v>#NAME?</v>
      </c>
      <c r="BH337" s="23" t="e">
        <f t="shared" ca="1" si="177"/>
        <v>#NAME?</v>
      </c>
      <c r="BI337" s="23" t="e">
        <f t="shared" ca="1" si="177"/>
        <v>#NAME?</v>
      </c>
      <c r="BJ337" s="23" t="e">
        <f t="shared" ca="1" si="177"/>
        <v>#NAME?</v>
      </c>
      <c r="BK337" s="23" t="e">
        <f t="shared" ca="1" si="177"/>
        <v>#NAME?</v>
      </c>
      <c r="BL337" s="23" t="e">
        <f t="shared" ca="1" si="177"/>
        <v>#NAME?</v>
      </c>
      <c r="BM337" s="23" t="e">
        <f t="shared" ca="1" si="177"/>
        <v>#NAME?</v>
      </c>
      <c r="BN337" s="23" t="e">
        <f t="shared" ca="1" si="177"/>
        <v>#NAME?</v>
      </c>
      <c r="BO337" s="23" t="e">
        <f t="shared" ca="1" si="177"/>
        <v>#NAME?</v>
      </c>
      <c r="BP337" s="23" t="e">
        <f t="shared" ca="1" si="177"/>
        <v>#NAME?</v>
      </c>
      <c r="BQ337" s="23" t="e">
        <f t="shared" ca="1" si="177"/>
        <v>#NAME?</v>
      </c>
      <c r="BR337" s="23" t="e">
        <f t="shared" ca="1" si="177"/>
        <v>#NAME?</v>
      </c>
      <c r="BS337" s="23" t="e">
        <f t="shared" ca="1" si="177"/>
        <v>#NAME?</v>
      </c>
      <c r="BT337" s="23" t="e">
        <f t="shared" ca="1" si="177"/>
        <v>#NAME?</v>
      </c>
      <c r="BU337" s="23" t="e">
        <f t="shared" ca="1" si="177"/>
        <v>#NAME?</v>
      </c>
      <c r="BV337" s="23" t="e">
        <f t="shared" ca="1" si="177"/>
        <v>#NAME?</v>
      </c>
      <c r="BW337" s="23" t="e">
        <f t="shared" ca="1" si="177"/>
        <v>#NAME?</v>
      </c>
      <c r="BX337" s="23" t="e">
        <f t="shared" ca="1" si="177"/>
        <v>#NAME?</v>
      </c>
      <c r="BY337" s="23" t="e">
        <f t="shared" ca="1" si="177"/>
        <v>#NAME?</v>
      </c>
      <c r="BZ337" s="23" t="e">
        <f t="shared" ca="1" si="177"/>
        <v>#NAME?</v>
      </c>
      <c r="CA337" s="23" t="e">
        <f t="shared" ca="1" si="177"/>
        <v>#NAME?</v>
      </c>
      <c r="CB337" s="23" t="e">
        <f t="shared" ca="1" si="177"/>
        <v>#NAME?</v>
      </c>
      <c r="CC337" s="23" t="e">
        <f t="shared" ca="1" si="177"/>
        <v>#NAME?</v>
      </c>
      <c r="CD337" s="23" t="e">
        <f t="shared" ca="1" si="177"/>
        <v>#NAME?</v>
      </c>
      <c r="CE337" s="23" t="e">
        <f t="shared" ca="1" si="177"/>
        <v>#NAME?</v>
      </c>
      <c r="CF337" s="23" t="e">
        <f t="shared" ca="1" si="177"/>
        <v>#NAME?</v>
      </c>
      <c r="CG337" s="23" t="e">
        <f t="shared" ca="1" si="177"/>
        <v>#NAME?</v>
      </c>
      <c r="CH337" s="23" t="e">
        <f t="shared" ca="1" si="177"/>
        <v>#NAME?</v>
      </c>
      <c r="CI337" s="23" t="e">
        <f t="shared" ca="1" si="177"/>
        <v>#NAME?</v>
      </c>
      <c r="CJ337" s="23" t="e">
        <f t="shared" ca="1" si="177"/>
        <v>#NAME?</v>
      </c>
      <c r="CK337" s="23" t="e">
        <f t="shared" ca="1" si="177"/>
        <v>#NAME?</v>
      </c>
      <c r="CL337" s="23" t="e">
        <f t="shared" ca="1" si="177"/>
        <v>#NAME?</v>
      </c>
      <c r="CM337" s="23" t="e">
        <f t="shared" ca="1" si="177"/>
        <v>#NAME?</v>
      </c>
      <c r="CN337" s="23" t="e">
        <f t="shared" ca="1" si="177"/>
        <v>#NAME?</v>
      </c>
      <c r="CO337" s="23" t="e">
        <f t="shared" ca="1" si="177"/>
        <v>#NAME?</v>
      </c>
      <c r="CP337" s="23" t="e">
        <f t="shared" ca="1" si="177"/>
        <v>#NAME?</v>
      </c>
      <c r="CQ337" s="23" t="e">
        <f t="shared" ca="1" si="177"/>
        <v>#NAME?</v>
      </c>
      <c r="CR337" s="23" t="e">
        <f t="shared" ca="1" si="177"/>
        <v>#NAME?</v>
      </c>
      <c r="CS337" s="23" t="e">
        <f t="shared" ca="1" si="177"/>
        <v>#NAME?</v>
      </c>
      <c r="CT337" s="23" t="e">
        <f t="shared" ca="1" si="177"/>
        <v>#NAME?</v>
      </c>
      <c r="CU337" s="23" t="e">
        <f t="shared" ca="1" si="177"/>
        <v>#NAME?</v>
      </c>
      <c r="CV337" s="23" t="e">
        <f t="shared" ca="1" si="177"/>
        <v>#NAME?</v>
      </c>
      <c r="CW337" s="23" t="e">
        <f t="shared" ca="1" si="177"/>
        <v>#NAME?</v>
      </c>
      <c r="CX337" s="23" t="e">
        <f t="shared" ca="1" si="177"/>
        <v>#NAME?</v>
      </c>
      <c r="CY337" s="23" t="e">
        <f t="shared" ca="1" si="177"/>
        <v>#NAME?</v>
      </c>
      <c r="CZ337" s="23" t="e">
        <f t="shared" ca="1" si="177"/>
        <v>#NAME?</v>
      </c>
      <c r="DA337" s="23" t="e">
        <f t="shared" ca="1" si="177"/>
        <v>#NAME?</v>
      </c>
      <c r="DB337" s="23" t="e">
        <f t="shared" ca="1" si="177"/>
        <v>#NAME?</v>
      </c>
      <c r="DC337" s="23" t="e">
        <f t="shared" ca="1" si="177"/>
        <v>#NAME?</v>
      </c>
      <c r="DD337" s="23" t="e">
        <f t="shared" ca="1" si="177"/>
        <v>#NAME?</v>
      </c>
      <c r="DE337" s="23" t="e">
        <f t="shared" ca="1" si="177"/>
        <v>#NAME?</v>
      </c>
      <c r="DF337" s="23" t="e">
        <f t="shared" ca="1" si="177"/>
        <v>#NAME?</v>
      </c>
      <c r="DG337" s="23" t="e">
        <f t="shared" ca="1" si="177"/>
        <v>#NAME?</v>
      </c>
      <c r="DH337" s="23" t="e">
        <f t="shared" ca="1" si="177"/>
        <v>#NAME?</v>
      </c>
      <c r="DI337" s="23" t="e">
        <f t="shared" ca="1" si="177"/>
        <v>#NAME?</v>
      </c>
      <c r="DJ337" s="23" t="e">
        <f t="shared" ca="1" si="177"/>
        <v>#NAME?</v>
      </c>
      <c r="DK337" s="23" t="e">
        <f t="shared" ca="1" si="177"/>
        <v>#NAME?</v>
      </c>
      <c r="DL337" s="23" t="e">
        <f t="shared" ca="1" si="177"/>
        <v>#NAME?</v>
      </c>
      <c r="DM337" s="23" t="e">
        <f t="shared" ca="1" si="177"/>
        <v>#NAME?</v>
      </c>
      <c r="DN337" s="23" t="e">
        <f t="shared" ca="1" si="177"/>
        <v>#NAME?</v>
      </c>
      <c r="DO337" s="23" t="e">
        <f t="shared" ca="1" si="177"/>
        <v>#NAME?</v>
      </c>
      <c r="DP337" s="23" t="e">
        <f t="shared" ca="1" si="177"/>
        <v>#NAME?</v>
      </c>
      <c r="DQ337" s="23" t="e">
        <f t="shared" ca="1" si="177"/>
        <v>#NAME?</v>
      </c>
      <c r="DR337" s="23" t="e">
        <f t="shared" ca="1" si="177"/>
        <v>#NAME?</v>
      </c>
      <c r="DS337" s="23" t="e">
        <f t="shared" ca="1" si="177"/>
        <v>#NAME?</v>
      </c>
      <c r="DT337" s="23" t="e">
        <f t="shared" ca="1" si="177"/>
        <v>#NAME?</v>
      </c>
      <c r="DU337" s="23" t="e">
        <f t="shared" ca="1" si="177"/>
        <v>#NAME?</v>
      </c>
      <c r="DV337" s="23" t="e">
        <f t="shared" ca="1" si="177"/>
        <v>#NAME?</v>
      </c>
      <c r="DW337" s="23" t="e">
        <f t="shared" ca="1" si="177"/>
        <v>#NAME?</v>
      </c>
      <c r="DX337" s="23" t="e">
        <f t="shared" ca="1" si="177"/>
        <v>#NAME?</v>
      </c>
      <c r="DY337" s="23" t="e">
        <f t="shared" ca="1" si="177"/>
        <v>#NAME?</v>
      </c>
      <c r="DZ337" s="23" t="e">
        <f t="shared" ca="1" si="177"/>
        <v>#NAME?</v>
      </c>
      <c r="EA337" s="23" t="e">
        <f t="shared" ca="1" si="177"/>
        <v>#NAME?</v>
      </c>
      <c r="EB337" s="23" t="e">
        <f t="shared" ca="1" si="177"/>
        <v>#NAME?</v>
      </c>
      <c r="EC337" s="23" t="e">
        <f t="shared" ca="1" si="177"/>
        <v>#NAME?</v>
      </c>
      <c r="ED337" s="23" t="e">
        <f t="shared" ca="1" si="177"/>
        <v>#NAME?</v>
      </c>
      <c r="EE337" s="23" t="e">
        <f t="shared" ca="1" si="177"/>
        <v>#NAME?</v>
      </c>
      <c r="EF337" s="23" t="e">
        <f t="shared" ca="1" si="177"/>
        <v>#NAME?</v>
      </c>
      <c r="EG337" s="23" t="e">
        <f t="shared" ca="1" si="177"/>
        <v>#NAME?</v>
      </c>
      <c r="EH337" s="23" t="e">
        <f t="shared" ca="1" si="177"/>
        <v>#NAME?</v>
      </c>
      <c r="EI337" s="23" t="e">
        <f t="shared" ca="1" si="177"/>
        <v>#NAME?</v>
      </c>
      <c r="EJ337" s="23" t="e">
        <f t="shared" ca="1" si="177"/>
        <v>#NAME?</v>
      </c>
      <c r="EK337" s="23" t="e">
        <f t="shared" ca="1" si="177"/>
        <v>#NAME?</v>
      </c>
      <c r="EL337" s="23" t="e">
        <f t="shared" ca="1" si="177"/>
        <v>#NAME?</v>
      </c>
      <c r="EM337" s="23" t="e">
        <f t="shared" ca="1" si="177"/>
        <v>#NAME?</v>
      </c>
      <c r="EN337" s="23" t="e">
        <f t="shared" ca="1" si="177"/>
        <v>#NAME?</v>
      </c>
      <c r="EO337" s="23" t="e">
        <f t="shared" ca="1" si="177"/>
        <v>#NAME?</v>
      </c>
      <c r="EP337" s="23" t="e">
        <f t="shared" ca="1" si="177"/>
        <v>#NAME?</v>
      </c>
      <c r="EQ337" s="23" t="e">
        <f t="shared" ca="1" si="177"/>
        <v>#NAME?</v>
      </c>
      <c r="ER337" s="23" t="e">
        <f t="shared" ca="1" si="177"/>
        <v>#NAME?</v>
      </c>
      <c r="ES337" s="23" t="e">
        <f t="shared" ca="1" si="177"/>
        <v>#NAME?</v>
      </c>
      <c r="ET337" s="23" t="e">
        <f t="shared" ca="1" si="177"/>
        <v>#NAME?</v>
      </c>
      <c r="EU337" s="23" t="e">
        <f t="shared" ca="1" si="177"/>
        <v>#NAME?</v>
      </c>
      <c r="EV337" s="23" t="e">
        <f t="shared" ca="1" si="177"/>
        <v>#NAME?</v>
      </c>
      <c r="EW337" s="23" t="e">
        <f t="shared" ca="1" si="177"/>
        <v>#NAME?</v>
      </c>
      <c r="EX337" s="23" t="e">
        <f t="shared" ca="1" si="177"/>
        <v>#NAME?</v>
      </c>
      <c r="EY337" s="23" t="e">
        <f t="shared" ca="1" si="177"/>
        <v>#NAME?</v>
      </c>
      <c r="EZ337" s="23" t="e">
        <f t="shared" ca="1" si="177"/>
        <v>#NAME?</v>
      </c>
      <c r="FA337" s="23" t="e">
        <f t="shared" ca="1" si="177"/>
        <v>#NAME?</v>
      </c>
      <c r="FB337" s="23" t="e">
        <f t="shared" ca="1" si="177"/>
        <v>#NAME?</v>
      </c>
      <c r="FC337" s="23" t="e">
        <f t="shared" ca="1" si="177"/>
        <v>#NAME?</v>
      </c>
      <c r="FD337" s="23" t="e">
        <f t="shared" ca="1" si="177"/>
        <v>#NAME?</v>
      </c>
      <c r="FE337" s="23" t="e">
        <f t="shared" ca="1" si="177"/>
        <v>#NAME?</v>
      </c>
      <c r="FF337" s="23" t="e">
        <f t="shared" ca="1" si="177"/>
        <v>#NAME?</v>
      </c>
      <c r="FG337" s="23" t="e">
        <f t="shared" ca="1" si="177"/>
        <v>#NAME?</v>
      </c>
      <c r="FH337" s="23" t="e">
        <f t="shared" ca="1" si="177"/>
        <v>#NAME?</v>
      </c>
      <c r="FI337" s="23" t="e">
        <f t="shared" ca="1" si="177"/>
        <v>#NAME?</v>
      </c>
      <c r="FJ337" s="23" t="e">
        <f t="shared" ca="1" si="177"/>
        <v>#NAME?</v>
      </c>
      <c r="FK337" s="23" t="e">
        <f t="shared" ca="1" si="177"/>
        <v>#NAME?</v>
      </c>
      <c r="FL337" s="23" t="e">
        <f t="shared" ca="1" si="177"/>
        <v>#NAME?</v>
      </c>
      <c r="FM337" s="23" t="e">
        <f t="shared" ca="1" si="177"/>
        <v>#NAME?</v>
      </c>
      <c r="FN337" s="23" t="e">
        <f t="shared" ca="1" si="177"/>
        <v>#NAME?</v>
      </c>
      <c r="FO337" s="23" t="e">
        <f t="shared" ca="1" si="177"/>
        <v>#NAME?</v>
      </c>
      <c r="FP337" s="23" t="e">
        <f t="shared" ca="1" si="177"/>
        <v>#NAME?</v>
      </c>
      <c r="FQ337" s="23" t="e">
        <f t="shared" ca="1" si="177"/>
        <v>#NAME?</v>
      </c>
      <c r="FR337" s="23" t="e">
        <f t="shared" ca="1" si="177"/>
        <v>#NAME?</v>
      </c>
      <c r="FS337" s="23" t="e">
        <f t="shared" ca="1" si="177"/>
        <v>#NAME?</v>
      </c>
      <c r="FT337" s="23" t="e">
        <f t="shared" ca="1" si="177"/>
        <v>#NAME?</v>
      </c>
      <c r="FU337" s="23" t="e">
        <f t="shared" ca="1" si="177"/>
        <v>#NAME?</v>
      </c>
      <c r="FV337" s="23" t="e">
        <f t="shared" ca="1" si="177"/>
        <v>#NAME?</v>
      </c>
      <c r="FW337" s="23" t="e">
        <f t="shared" ca="1" si="177"/>
        <v>#NAME?</v>
      </c>
      <c r="FX337" s="23" t="e">
        <f t="shared" ca="1" si="177"/>
        <v>#NAME?</v>
      </c>
      <c r="FY337" s="23"/>
      <c r="FZ337" s="7" t="e">
        <f ca="1">SUM(C337:FY337)</f>
        <v>#NAME?</v>
      </c>
      <c r="GA337" s="114" t="e">
        <f ca="1">(FZ337/FZ96)*0.95</f>
        <v>#NAME?</v>
      </c>
      <c r="GB337" s="7"/>
      <c r="GC337" s="7"/>
      <c r="GD337" s="7"/>
      <c r="GE337" s="7"/>
      <c r="GF337" s="7"/>
      <c r="GG337" s="7"/>
      <c r="GH337" s="7"/>
      <c r="GI337" s="7"/>
      <c r="GJ337" s="7"/>
      <c r="GK337" s="7"/>
    </row>
    <row r="338" spans="1:193" ht="15.5" x14ac:dyDescent="0.35">
      <c r="A338" s="7"/>
      <c r="B338" s="7"/>
      <c r="C338" s="23">
        <v>76263176.069999993</v>
      </c>
      <c r="D338" s="23">
        <v>435911433.39999998</v>
      </c>
      <c r="E338" s="23">
        <v>70074906.290000007</v>
      </c>
      <c r="F338" s="23">
        <v>255720591.53</v>
      </c>
      <c r="G338" s="23">
        <v>21577008.530000001</v>
      </c>
      <c r="H338" s="23">
        <v>13115815.15</v>
      </c>
      <c r="I338" s="23">
        <v>97190451.390000001</v>
      </c>
      <c r="J338" s="23">
        <v>23938740.010000002</v>
      </c>
      <c r="K338" s="23">
        <v>4187501.67</v>
      </c>
      <c r="L338" s="23">
        <v>25838316.68</v>
      </c>
      <c r="M338" s="23">
        <v>12672231.09</v>
      </c>
      <c r="N338" s="23">
        <v>585385840.03999996</v>
      </c>
      <c r="O338" s="23">
        <v>142638387.74000001</v>
      </c>
      <c r="P338" s="23">
        <v>5067080.96</v>
      </c>
      <c r="Q338" s="23">
        <v>485012987.30000001</v>
      </c>
      <c r="R338" s="23">
        <v>10290699.82</v>
      </c>
      <c r="S338" s="23">
        <v>18786883.260000002</v>
      </c>
      <c r="T338" s="23">
        <v>3218152.62</v>
      </c>
      <c r="U338" s="23">
        <v>1310288.68</v>
      </c>
      <c r="V338" s="23">
        <v>4192885.27</v>
      </c>
      <c r="W338" s="23">
        <v>1372973.76</v>
      </c>
      <c r="X338" s="23">
        <v>1162581.68</v>
      </c>
      <c r="Y338" s="23">
        <v>5772004.3799999999</v>
      </c>
      <c r="Z338" s="23">
        <v>3763052.34</v>
      </c>
      <c r="AA338" s="23">
        <v>346342612.81999999</v>
      </c>
      <c r="AB338" s="23">
        <v>308695466.5</v>
      </c>
      <c r="AC338" s="23">
        <v>10800027.880000001</v>
      </c>
      <c r="AD338" s="23">
        <v>16280132.66</v>
      </c>
      <c r="AE338" s="23">
        <v>2136512.41</v>
      </c>
      <c r="AF338" s="23">
        <v>3322558.02</v>
      </c>
      <c r="AG338" s="23">
        <v>7729319.6500000004</v>
      </c>
      <c r="AH338" s="23">
        <v>11289974.189999999</v>
      </c>
      <c r="AI338" s="23">
        <v>5289923.42</v>
      </c>
      <c r="AJ338" s="23">
        <v>3610904.49</v>
      </c>
      <c r="AK338" s="23">
        <v>3356942.92</v>
      </c>
      <c r="AL338" s="23">
        <v>4554133.47</v>
      </c>
      <c r="AM338" s="23">
        <v>5069335.8099999996</v>
      </c>
      <c r="AN338" s="23">
        <v>4628087.92</v>
      </c>
      <c r="AO338" s="23">
        <v>45751750.5</v>
      </c>
      <c r="AP338" s="23">
        <v>997021895.40999997</v>
      </c>
      <c r="AQ338" s="23">
        <v>4365971.78</v>
      </c>
      <c r="AR338" s="23">
        <v>678256104.21000004</v>
      </c>
      <c r="AS338" s="23">
        <v>78127618.739999995</v>
      </c>
      <c r="AT338" s="23">
        <v>27016105.550000001</v>
      </c>
      <c r="AU338" s="23">
        <v>4540294.0999999996</v>
      </c>
      <c r="AV338" s="23">
        <v>4969764.87</v>
      </c>
      <c r="AW338" s="23">
        <v>4355072.28</v>
      </c>
      <c r="AX338" s="23">
        <v>1948603.19</v>
      </c>
      <c r="AY338" s="23">
        <v>5819351.0499999998</v>
      </c>
      <c r="AZ338" s="23">
        <v>140630722.09999999</v>
      </c>
      <c r="BA338" s="23">
        <v>97800746.120000005</v>
      </c>
      <c r="BB338" s="23">
        <v>83589207.790000007</v>
      </c>
      <c r="BC338" s="23">
        <v>276027766.91000003</v>
      </c>
      <c r="BD338" s="23">
        <v>39744166.530000001</v>
      </c>
      <c r="BE338" s="23">
        <v>14208998.01</v>
      </c>
      <c r="BF338" s="23">
        <v>268731877.52999997</v>
      </c>
      <c r="BG338" s="23">
        <v>11476832.91</v>
      </c>
      <c r="BH338" s="23">
        <v>6965531.4299999997</v>
      </c>
      <c r="BI338" s="23">
        <v>4512168.3099999996</v>
      </c>
      <c r="BJ338" s="23">
        <v>69233089.260000005</v>
      </c>
      <c r="BK338" s="23">
        <v>251137489.12</v>
      </c>
      <c r="BL338" s="23">
        <v>1827433.86</v>
      </c>
      <c r="BM338" s="23">
        <v>5119514.99</v>
      </c>
      <c r="BN338" s="23">
        <v>34220424.119999997</v>
      </c>
      <c r="BO338" s="23">
        <v>14449489.970000001</v>
      </c>
      <c r="BP338" s="23">
        <v>3240996.86</v>
      </c>
      <c r="BQ338" s="23">
        <v>71052500.959999993</v>
      </c>
      <c r="BR338" s="23">
        <v>50375552.960000001</v>
      </c>
      <c r="BS338" s="23">
        <v>14496420.359999999</v>
      </c>
      <c r="BT338" s="23">
        <v>5626999.1100000003</v>
      </c>
      <c r="BU338" s="23">
        <v>5794972.3899999997</v>
      </c>
      <c r="BV338" s="23">
        <v>14506077.369999999</v>
      </c>
      <c r="BW338" s="23">
        <v>23211308.190000001</v>
      </c>
      <c r="BX338" s="23">
        <v>1647493.26</v>
      </c>
      <c r="BY338" s="23">
        <v>5987578.9100000001</v>
      </c>
      <c r="BZ338" s="23">
        <v>3917429.31</v>
      </c>
      <c r="CA338" s="23">
        <v>3037284.59</v>
      </c>
      <c r="CB338" s="23">
        <v>816417284.09000003</v>
      </c>
      <c r="CC338" s="23">
        <v>3491422.38</v>
      </c>
      <c r="CD338" s="23">
        <v>1110218.58</v>
      </c>
      <c r="CE338" s="23">
        <v>3065905.17</v>
      </c>
      <c r="CF338" s="23">
        <v>2291611.64</v>
      </c>
      <c r="CG338" s="23">
        <v>3557505.09</v>
      </c>
      <c r="CH338" s="23">
        <v>2145110.48</v>
      </c>
      <c r="CI338" s="23">
        <v>8217773.9500000002</v>
      </c>
      <c r="CJ338" s="23">
        <v>10912615.52</v>
      </c>
      <c r="CK338" s="23">
        <v>55943344.229999997</v>
      </c>
      <c r="CL338" s="23">
        <v>14914136.65</v>
      </c>
      <c r="CM338" s="23">
        <v>8972323.7200000007</v>
      </c>
      <c r="CN338" s="23">
        <v>332412767.38999999</v>
      </c>
      <c r="CO338" s="23">
        <v>155448068.97999999</v>
      </c>
      <c r="CP338" s="23">
        <v>11550724.439999999</v>
      </c>
      <c r="CQ338" s="23">
        <v>9946297.9100000001</v>
      </c>
      <c r="CR338" s="23">
        <v>3775953.62</v>
      </c>
      <c r="CS338" s="23">
        <v>4347880.5199999996</v>
      </c>
      <c r="CT338" s="23">
        <v>2468488.7799999998</v>
      </c>
      <c r="CU338" s="23">
        <v>1054398.8400000001</v>
      </c>
      <c r="CV338" s="23">
        <v>1076684.73</v>
      </c>
      <c r="CW338" s="23">
        <v>3689699.96</v>
      </c>
      <c r="CX338" s="23">
        <v>5900187.7300000004</v>
      </c>
      <c r="CY338" s="23">
        <v>1148005.03</v>
      </c>
      <c r="CZ338" s="23">
        <v>20646168.640000001</v>
      </c>
      <c r="DA338" s="23">
        <v>3639031.97</v>
      </c>
      <c r="DB338" s="23">
        <v>4720789.92</v>
      </c>
      <c r="DC338" s="23">
        <v>3560350.21</v>
      </c>
      <c r="DD338" s="23">
        <v>3469085.23</v>
      </c>
      <c r="DE338" s="23">
        <v>4476634.71</v>
      </c>
      <c r="DF338" s="23">
        <v>225271394.53999999</v>
      </c>
      <c r="DG338" s="23">
        <v>2134952.04</v>
      </c>
      <c r="DH338" s="23">
        <v>20221979.030000001</v>
      </c>
      <c r="DI338" s="23">
        <v>27504022.300000001</v>
      </c>
      <c r="DJ338" s="23">
        <v>7892051.21</v>
      </c>
      <c r="DK338" s="23">
        <v>6035705.8899999997</v>
      </c>
      <c r="DL338" s="23">
        <v>65431437.450000003</v>
      </c>
      <c r="DM338" s="23">
        <v>4326904.25</v>
      </c>
      <c r="DN338" s="23">
        <v>15768231.470000001</v>
      </c>
      <c r="DO338" s="23">
        <v>37570612.409999996</v>
      </c>
      <c r="DP338" s="23">
        <v>3781904.38</v>
      </c>
      <c r="DQ338" s="23">
        <v>10657583.630000001</v>
      </c>
      <c r="DR338" s="23">
        <v>15871958.43</v>
      </c>
      <c r="DS338" s="23">
        <v>7901913.6900000004</v>
      </c>
      <c r="DT338" s="23">
        <v>3599256.07</v>
      </c>
      <c r="DU338" s="23">
        <v>5116040.5199999996</v>
      </c>
      <c r="DV338" s="23">
        <v>3768634.46</v>
      </c>
      <c r="DW338" s="23">
        <v>4616290.17</v>
      </c>
      <c r="DX338" s="23">
        <v>3709954.94</v>
      </c>
      <c r="DY338" s="23">
        <v>4945264.0999999996</v>
      </c>
      <c r="DZ338" s="23">
        <v>8818545.25</v>
      </c>
      <c r="EA338" s="23">
        <v>6982403.9199999999</v>
      </c>
      <c r="EB338" s="23">
        <v>6723766.7800000003</v>
      </c>
      <c r="EC338" s="23">
        <v>4187574.12</v>
      </c>
      <c r="ED338" s="23">
        <v>23326926.289999999</v>
      </c>
      <c r="EE338" s="23">
        <v>3560957.58</v>
      </c>
      <c r="EF338" s="23">
        <v>16049088.380000001</v>
      </c>
      <c r="EG338" s="23">
        <v>4001469.14</v>
      </c>
      <c r="EH338" s="23">
        <v>4004598.43</v>
      </c>
      <c r="EI338" s="23">
        <v>162020905.30000001</v>
      </c>
      <c r="EJ338" s="23">
        <v>108717860.86</v>
      </c>
      <c r="EK338" s="23">
        <v>8037487.3099999996</v>
      </c>
      <c r="EL338" s="23">
        <v>5676876.8700000001</v>
      </c>
      <c r="EM338" s="23">
        <v>5297167.76</v>
      </c>
      <c r="EN338" s="23">
        <v>10917621.27</v>
      </c>
      <c r="EO338" s="23">
        <v>4573467.3</v>
      </c>
      <c r="EP338" s="23">
        <v>5979506.4299999997</v>
      </c>
      <c r="EQ338" s="23">
        <v>30090180.010000002</v>
      </c>
      <c r="ER338" s="23">
        <v>4951170.04</v>
      </c>
      <c r="ES338" s="23">
        <v>3249410.81</v>
      </c>
      <c r="ET338" s="23">
        <v>4248451.96</v>
      </c>
      <c r="EU338" s="23">
        <v>7593556.96</v>
      </c>
      <c r="EV338" s="23">
        <v>1779462.53</v>
      </c>
      <c r="EW338" s="23">
        <v>12843141.59</v>
      </c>
      <c r="EX338" s="23">
        <v>3678303.95</v>
      </c>
      <c r="EY338" s="23">
        <v>2711873.82</v>
      </c>
      <c r="EZ338" s="23">
        <v>2720167.82</v>
      </c>
      <c r="FA338" s="23">
        <v>40845272.560000002</v>
      </c>
      <c r="FB338" s="23">
        <v>4655084.18</v>
      </c>
      <c r="FC338" s="23">
        <v>20759250.59</v>
      </c>
      <c r="FD338" s="23">
        <v>5572360.2300000004</v>
      </c>
      <c r="FE338" s="23">
        <v>1840419.22</v>
      </c>
      <c r="FF338" s="23">
        <v>3588838.33</v>
      </c>
      <c r="FG338" s="23">
        <v>2625029.1</v>
      </c>
      <c r="FH338" s="23">
        <v>1618391.6</v>
      </c>
      <c r="FI338" s="23">
        <v>19975926.199999999</v>
      </c>
      <c r="FJ338" s="23">
        <v>22369633.59</v>
      </c>
      <c r="FK338" s="23">
        <v>28625952.199999999</v>
      </c>
      <c r="FL338" s="23">
        <v>90958044.909999996</v>
      </c>
      <c r="FM338" s="23">
        <v>42942042.579999998</v>
      </c>
      <c r="FN338" s="23">
        <v>257728068.56</v>
      </c>
      <c r="FO338" s="23">
        <v>13248604.119999999</v>
      </c>
      <c r="FP338" s="23">
        <v>27057363.780000001</v>
      </c>
      <c r="FQ338" s="23">
        <v>11510565.99</v>
      </c>
      <c r="FR338" s="23">
        <v>3295037.27</v>
      </c>
      <c r="FS338" s="23">
        <v>3289803.97</v>
      </c>
      <c r="FT338" s="23">
        <v>1389181.21</v>
      </c>
      <c r="FU338" s="23">
        <v>10125634.84</v>
      </c>
      <c r="FV338" s="23">
        <v>8708379.8800000008</v>
      </c>
      <c r="FW338" s="23">
        <v>3091216.36</v>
      </c>
      <c r="FX338" s="23">
        <v>1601192.38</v>
      </c>
      <c r="FY338" s="23"/>
      <c r="FZ338" s="7"/>
      <c r="GA338" s="114"/>
      <c r="GB338" s="7"/>
      <c r="GC338" s="7"/>
      <c r="GD338" s="7"/>
      <c r="GE338" s="7"/>
      <c r="GF338" s="7"/>
      <c r="GG338" s="7"/>
      <c r="GH338" s="7"/>
      <c r="GI338" s="7"/>
      <c r="GJ338" s="7"/>
      <c r="GK338" s="7"/>
    </row>
    <row r="339" spans="1:193" ht="15.5" x14ac:dyDescent="0.35">
      <c r="B339" s="7"/>
      <c r="C339" s="115" t="e">
        <f t="shared" ref="C339:FX339" ca="1" si="178">C337-C338</f>
        <v>#NAME?</v>
      </c>
      <c r="D339" s="115" t="e">
        <f t="shared" ca="1" si="178"/>
        <v>#NAME?</v>
      </c>
      <c r="E339" s="115" t="e">
        <f t="shared" ca="1" si="178"/>
        <v>#NAME?</v>
      </c>
      <c r="F339" s="115" t="e">
        <f t="shared" ca="1" si="178"/>
        <v>#NAME?</v>
      </c>
      <c r="G339" s="115" t="e">
        <f t="shared" ca="1" si="178"/>
        <v>#NAME?</v>
      </c>
      <c r="H339" s="115" t="e">
        <f t="shared" ca="1" si="178"/>
        <v>#NAME?</v>
      </c>
      <c r="I339" s="115" t="e">
        <f t="shared" ca="1" si="178"/>
        <v>#NAME?</v>
      </c>
      <c r="J339" s="115" t="e">
        <f t="shared" ca="1" si="178"/>
        <v>#NAME?</v>
      </c>
      <c r="K339" s="115" t="e">
        <f t="shared" ca="1" si="178"/>
        <v>#NAME?</v>
      </c>
      <c r="L339" s="115" t="e">
        <f t="shared" ca="1" si="178"/>
        <v>#NAME?</v>
      </c>
      <c r="M339" s="115" t="e">
        <f t="shared" ca="1" si="178"/>
        <v>#NAME?</v>
      </c>
      <c r="N339" s="115" t="e">
        <f t="shared" ca="1" si="178"/>
        <v>#NAME?</v>
      </c>
      <c r="O339" s="115" t="e">
        <f t="shared" ca="1" si="178"/>
        <v>#NAME?</v>
      </c>
      <c r="P339" s="115" t="e">
        <f t="shared" ca="1" si="178"/>
        <v>#NAME?</v>
      </c>
      <c r="Q339" s="115" t="e">
        <f t="shared" ca="1" si="178"/>
        <v>#NAME?</v>
      </c>
      <c r="R339" s="115" t="e">
        <f t="shared" ca="1" si="178"/>
        <v>#NAME?</v>
      </c>
      <c r="S339" s="115" t="e">
        <f t="shared" ca="1" si="178"/>
        <v>#NAME?</v>
      </c>
      <c r="T339" s="115" t="e">
        <f t="shared" ca="1" si="178"/>
        <v>#NAME?</v>
      </c>
      <c r="U339" s="115" t="e">
        <f t="shared" ca="1" si="178"/>
        <v>#NAME?</v>
      </c>
      <c r="V339" s="115" t="e">
        <f t="shared" ca="1" si="178"/>
        <v>#NAME?</v>
      </c>
      <c r="W339" s="115" t="e">
        <f t="shared" ca="1" si="178"/>
        <v>#NAME?</v>
      </c>
      <c r="X339" s="115" t="e">
        <f t="shared" ca="1" si="178"/>
        <v>#NAME?</v>
      </c>
      <c r="Y339" s="115" t="e">
        <f t="shared" ca="1" si="178"/>
        <v>#NAME?</v>
      </c>
      <c r="Z339" s="115" t="e">
        <f t="shared" ca="1" si="178"/>
        <v>#NAME?</v>
      </c>
      <c r="AA339" s="115" t="e">
        <f t="shared" ca="1" si="178"/>
        <v>#NAME?</v>
      </c>
      <c r="AB339" s="115" t="e">
        <f t="shared" ca="1" si="178"/>
        <v>#NAME?</v>
      </c>
      <c r="AC339" s="115" t="e">
        <f t="shared" ca="1" si="178"/>
        <v>#NAME?</v>
      </c>
      <c r="AD339" s="115" t="e">
        <f t="shared" ca="1" si="178"/>
        <v>#NAME?</v>
      </c>
      <c r="AE339" s="115" t="e">
        <f t="shared" ca="1" si="178"/>
        <v>#NAME?</v>
      </c>
      <c r="AF339" s="115" t="e">
        <f t="shared" ca="1" si="178"/>
        <v>#NAME?</v>
      </c>
      <c r="AG339" s="115" t="e">
        <f t="shared" ca="1" si="178"/>
        <v>#NAME?</v>
      </c>
      <c r="AH339" s="115" t="e">
        <f t="shared" ca="1" si="178"/>
        <v>#NAME?</v>
      </c>
      <c r="AI339" s="115" t="e">
        <f t="shared" ca="1" si="178"/>
        <v>#NAME?</v>
      </c>
      <c r="AJ339" s="115" t="e">
        <f t="shared" ca="1" si="178"/>
        <v>#NAME?</v>
      </c>
      <c r="AK339" s="115" t="e">
        <f t="shared" ca="1" si="178"/>
        <v>#NAME?</v>
      </c>
      <c r="AL339" s="115" t="e">
        <f t="shared" ca="1" si="178"/>
        <v>#NAME?</v>
      </c>
      <c r="AM339" s="115" t="e">
        <f t="shared" ca="1" si="178"/>
        <v>#NAME?</v>
      </c>
      <c r="AN339" s="115" t="e">
        <f t="shared" ca="1" si="178"/>
        <v>#NAME?</v>
      </c>
      <c r="AO339" s="115" t="e">
        <f t="shared" ca="1" si="178"/>
        <v>#NAME?</v>
      </c>
      <c r="AP339" s="115" t="e">
        <f t="shared" ca="1" si="178"/>
        <v>#NAME?</v>
      </c>
      <c r="AQ339" s="115" t="e">
        <f t="shared" ca="1" si="178"/>
        <v>#NAME?</v>
      </c>
      <c r="AR339" s="115" t="e">
        <f t="shared" ca="1" si="178"/>
        <v>#NAME?</v>
      </c>
      <c r="AS339" s="115" t="e">
        <f t="shared" ca="1" si="178"/>
        <v>#NAME?</v>
      </c>
      <c r="AT339" s="115" t="e">
        <f t="shared" ca="1" si="178"/>
        <v>#NAME?</v>
      </c>
      <c r="AU339" s="115" t="e">
        <f t="shared" ca="1" si="178"/>
        <v>#NAME?</v>
      </c>
      <c r="AV339" s="115" t="e">
        <f t="shared" ca="1" si="178"/>
        <v>#NAME?</v>
      </c>
      <c r="AW339" s="115" t="e">
        <f t="shared" ca="1" si="178"/>
        <v>#NAME?</v>
      </c>
      <c r="AX339" s="115" t="e">
        <f t="shared" ca="1" si="178"/>
        <v>#NAME?</v>
      </c>
      <c r="AY339" s="115" t="e">
        <f t="shared" ca="1" si="178"/>
        <v>#NAME?</v>
      </c>
      <c r="AZ339" s="115" t="e">
        <f t="shared" ca="1" si="178"/>
        <v>#NAME?</v>
      </c>
      <c r="BA339" s="115" t="e">
        <f t="shared" ca="1" si="178"/>
        <v>#NAME?</v>
      </c>
      <c r="BB339" s="115" t="e">
        <f t="shared" ca="1" si="178"/>
        <v>#NAME?</v>
      </c>
      <c r="BC339" s="115" t="e">
        <f t="shared" ca="1" si="178"/>
        <v>#NAME?</v>
      </c>
      <c r="BD339" s="115" t="e">
        <f t="shared" ca="1" si="178"/>
        <v>#NAME?</v>
      </c>
      <c r="BE339" s="115" t="e">
        <f t="shared" ca="1" si="178"/>
        <v>#NAME?</v>
      </c>
      <c r="BF339" s="115" t="e">
        <f t="shared" ca="1" si="178"/>
        <v>#NAME?</v>
      </c>
      <c r="BG339" s="115" t="e">
        <f t="shared" ca="1" si="178"/>
        <v>#NAME?</v>
      </c>
      <c r="BH339" s="115" t="e">
        <f t="shared" ca="1" si="178"/>
        <v>#NAME?</v>
      </c>
      <c r="BI339" s="115" t="e">
        <f t="shared" ca="1" si="178"/>
        <v>#NAME?</v>
      </c>
      <c r="BJ339" s="115" t="e">
        <f t="shared" ca="1" si="178"/>
        <v>#NAME?</v>
      </c>
      <c r="BK339" s="115" t="e">
        <f t="shared" ca="1" si="178"/>
        <v>#NAME?</v>
      </c>
      <c r="BL339" s="115" t="e">
        <f t="shared" ca="1" si="178"/>
        <v>#NAME?</v>
      </c>
      <c r="BM339" s="115" t="e">
        <f t="shared" ca="1" si="178"/>
        <v>#NAME?</v>
      </c>
      <c r="BN339" s="115" t="e">
        <f t="shared" ca="1" si="178"/>
        <v>#NAME?</v>
      </c>
      <c r="BO339" s="115" t="e">
        <f t="shared" ca="1" si="178"/>
        <v>#NAME?</v>
      </c>
      <c r="BP339" s="115" t="e">
        <f t="shared" ca="1" si="178"/>
        <v>#NAME?</v>
      </c>
      <c r="BQ339" s="115" t="e">
        <f t="shared" ca="1" si="178"/>
        <v>#NAME?</v>
      </c>
      <c r="BR339" s="115" t="e">
        <f t="shared" ca="1" si="178"/>
        <v>#NAME?</v>
      </c>
      <c r="BS339" s="115" t="e">
        <f t="shared" ca="1" si="178"/>
        <v>#NAME?</v>
      </c>
      <c r="BT339" s="115" t="e">
        <f t="shared" ca="1" si="178"/>
        <v>#NAME?</v>
      </c>
      <c r="BU339" s="115" t="e">
        <f t="shared" ca="1" si="178"/>
        <v>#NAME?</v>
      </c>
      <c r="BV339" s="115" t="e">
        <f t="shared" ca="1" si="178"/>
        <v>#NAME?</v>
      </c>
      <c r="BW339" s="115" t="e">
        <f t="shared" ca="1" si="178"/>
        <v>#NAME?</v>
      </c>
      <c r="BX339" s="115" t="e">
        <f t="shared" ca="1" si="178"/>
        <v>#NAME?</v>
      </c>
      <c r="BY339" s="115" t="e">
        <f t="shared" ca="1" si="178"/>
        <v>#NAME?</v>
      </c>
      <c r="BZ339" s="115" t="e">
        <f t="shared" ca="1" si="178"/>
        <v>#NAME?</v>
      </c>
      <c r="CA339" s="115" t="e">
        <f t="shared" ca="1" si="178"/>
        <v>#NAME?</v>
      </c>
      <c r="CB339" s="115" t="e">
        <f t="shared" ca="1" si="178"/>
        <v>#NAME?</v>
      </c>
      <c r="CC339" s="115" t="e">
        <f t="shared" ca="1" si="178"/>
        <v>#NAME?</v>
      </c>
      <c r="CD339" s="115" t="e">
        <f t="shared" ca="1" si="178"/>
        <v>#NAME?</v>
      </c>
      <c r="CE339" s="115" t="e">
        <f t="shared" ca="1" si="178"/>
        <v>#NAME?</v>
      </c>
      <c r="CF339" s="115" t="e">
        <f t="shared" ca="1" si="178"/>
        <v>#NAME?</v>
      </c>
      <c r="CG339" s="115" t="e">
        <f t="shared" ca="1" si="178"/>
        <v>#NAME?</v>
      </c>
      <c r="CH339" s="115" t="e">
        <f t="shared" ca="1" si="178"/>
        <v>#NAME?</v>
      </c>
      <c r="CI339" s="115" t="e">
        <f t="shared" ca="1" si="178"/>
        <v>#NAME?</v>
      </c>
      <c r="CJ339" s="115" t="e">
        <f t="shared" ca="1" si="178"/>
        <v>#NAME?</v>
      </c>
      <c r="CK339" s="115" t="e">
        <f t="shared" ca="1" si="178"/>
        <v>#NAME?</v>
      </c>
      <c r="CL339" s="115" t="e">
        <f t="shared" ca="1" si="178"/>
        <v>#NAME?</v>
      </c>
      <c r="CM339" s="115" t="e">
        <f t="shared" ca="1" si="178"/>
        <v>#NAME?</v>
      </c>
      <c r="CN339" s="115" t="e">
        <f t="shared" ca="1" si="178"/>
        <v>#NAME?</v>
      </c>
      <c r="CO339" s="115" t="e">
        <f t="shared" ca="1" si="178"/>
        <v>#NAME?</v>
      </c>
      <c r="CP339" s="115" t="e">
        <f t="shared" ca="1" si="178"/>
        <v>#NAME?</v>
      </c>
      <c r="CQ339" s="115" t="e">
        <f t="shared" ca="1" si="178"/>
        <v>#NAME?</v>
      </c>
      <c r="CR339" s="115" t="e">
        <f t="shared" ca="1" si="178"/>
        <v>#NAME?</v>
      </c>
      <c r="CS339" s="115" t="e">
        <f t="shared" ca="1" si="178"/>
        <v>#NAME?</v>
      </c>
      <c r="CT339" s="115" t="e">
        <f t="shared" ca="1" si="178"/>
        <v>#NAME?</v>
      </c>
      <c r="CU339" s="115" t="e">
        <f t="shared" ca="1" si="178"/>
        <v>#NAME?</v>
      </c>
      <c r="CV339" s="115" t="e">
        <f t="shared" ca="1" si="178"/>
        <v>#NAME?</v>
      </c>
      <c r="CW339" s="115" t="e">
        <f t="shared" ca="1" si="178"/>
        <v>#NAME?</v>
      </c>
      <c r="CX339" s="115" t="e">
        <f t="shared" ca="1" si="178"/>
        <v>#NAME?</v>
      </c>
      <c r="CY339" s="115" t="e">
        <f t="shared" ca="1" si="178"/>
        <v>#NAME?</v>
      </c>
      <c r="CZ339" s="115" t="e">
        <f t="shared" ca="1" si="178"/>
        <v>#NAME?</v>
      </c>
      <c r="DA339" s="115" t="e">
        <f t="shared" ca="1" si="178"/>
        <v>#NAME?</v>
      </c>
      <c r="DB339" s="115" t="e">
        <f t="shared" ca="1" si="178"/>
        <v>#NAME?</v>
      </c>
      <c r="DC339" s="115" t="e">
        <f t="shared" ca="1" si="178"/>
        <v>#NAME?</v>
      </c>
      <c r="DD339" s="115" t="e">
        <f t="shared" ca="1" si="178"/>
        <v>#NAME?</v>
      </c>
      <c r="DE339" s="115" t="e">
        <f t="shared" ca="1" si="178"/>
        <v>#NAME?</v>
      </c>
      <c r="DF339" s="115" t="e">
        <f t="shared" ca="1" si="178"/>
        <v>#NAME?</v>
      </c>
      <c r="DG339" s="115" t="e">
        <f t="shared" ca="1" si="178"/>
        <v>#NAME?</v>
      </c>
      <c r="DH339" s="115" t="e">
        <f t="shared" ca="1" si="178"/>
        <v>#NAME?</v>
      </c>
      <c r="DI339" s="115" t="e">
        <f t="shared" ca="1" si="178"/>
        <v>#NAME?</v>
      </c>
      <c r="DJ339" s="115" t="e">
        <f t="shared" ca="1" si="178"/>
        <v>#NAME?</v>
      </c>
      <c r="DK339" s="115" t="e">
        <f t="shared" ca="1" si="178"/>
        <v>#NAME?</v>
      </c>
      <c r="DL339" s="115" t="e">
        <f t="shared" ca="1" si="178"/>
        <v>#NAME?</v>
      </c>
      <c r="DM339" s="115" t="e">
        <f t="shared" ca="1" si="178"/>
        <v>#NAME?</v>
      </c>
      <c r="DN339" s="115" t="e">
        <f t="shared" ca="1" si="178"/>
        <v>#NAME?</v>
      </c>
      <c r="DO339" s="115" t="e">
        <f t="shared" ca="1" si="178"/>
        <v>#NAME?</v>
      </c>
      <c r="DP339" s="115" t="e">
        <f t="shared" ca="1" si="178"/>
        <v>#NAME?</v>
      </c>
      <c r="DQ339" s="115" t="e">
        <f t="shared" ca="1" si="178"/>
        <v>#NAME?</v>
      </c>
      <c r="DR339" s="115" t="e">
        <f t="shared" ca="1" si="178"/>
        <v>#NAME?</v>
      </c>
      <c r="DS339" s="115" t="e">
        <f t="shared" ca="1" si="178"/>
        <v>#NAME?</v>
      </c>
      <c r="DT339" s="115" t="e">
        <f t="shared" ca="1" si="178"/>
        <v>#NAME?</v>
      </c>
      <c r="DU339" s="115" t="e">
        <f t="shared" ca="1" si="178"/>
        <v>#NAME?</v>
      </c>
      <c r="DV339" s="115" t="e">
        <f t="shared" ca="1" si="178"/>
        <v>#NAME?</v>
      </c>
      <c r="DW339" s="115" t="e">
        <f t="shared" ca="1" si="178"/>
        <v>#NAME?</v>
      </c>
      <c r="DX339" s="115" t="e">
        <f t="shared" ca="1" si="178"/>
        <v>#NAME?</v>
      </c>
      <c r="DY339" s="115" t="e">
        <f t="shared" ca="1" si="178"/>
        <v>#NAME?</v>
      </c>
      <c r="DZ339" s="115" t="e">
        <f t="shared" ca="1" si="178"/>
        <v>#NAME?</v>
      </c>
      <c r="EA339" s="115" t="e">
        <f t="shared" ca="1" si="178"/>
        <v>#NAME?</v>
      </c>
      <c r="EB339" s="115" t="e">
        <f t="shared" ca="1" si="178"/>
        <v>#NAME?</v>
      </c>
      <c r="EC339" s="115" t="e">
        <f t="shared" ca="1" si="178"/>
        <v>#NAME?</v>
      </c>
      <c r="ED339" s="115" t="e">
        <f t="shared" ca="1" si="178"/>
        <v>#NAME?</v>
      </c>
      <c r="EE339" s="115" t="e">
        <f t="shared" ca="1" si="178"/>
        <v>#NAME?</v>
      </c>
      <c r="EF339" s="115" t="e">
        <f t="shared" ca="1" si="178"/>
        <v>#NAME?</v>
      </c>
      <c r="EG339" s="115" t="e">
        <f t="shared" ca="1" si="178"/>
        <v>#NAME?</v>
      </c>
      <c r="EH339" s="115" t="e">
        <f t="shared" ca="1" si="178"/>
        <v>#NAME?</v>
      </c>
      <c r="EI339" s="115" t="e">
        <f t="shared" ca="1" si="178"/>
        <v>#NAME?</v>
      </c>
      <c r="EJ339" s="115" t="e">
        <f t="shared" ca="1" si="178"/>
        <v>#NAME?</v>
      </c>
      <c r="EK339" s="115" t="e">
        <f t="shared" ca="1" si="178"/>
        <v>#NAME?</v>
      </c>
      <c r="EL339" s="115" t="e">
        <f t="shared" ca="1" si="178"/>
        <v>#NAME?</v>
      </c>
      <c r="EM339" s="115" t="e">
        <f t="shared" ca="1" si="178"/>
        <v>#NAME?</v>
      </c>
      <c r="EN339" s="115" t="e">
        <f t="shared" ca="1" si="178"/>
        <v>#NAME?</v>
      </c>
      <c r="EO339" s="115" t="e">
        <f t="shared" ca="1" si="178"/>
        <v>#NAME?</v>
      </c>
      <c r="EP339" s="115" t="e">
        <f t="shared" ca="1" si="178"/>
        <v>#NAME?</v>
      </c>
      <c r="EQ339" s="115" t="e">
        <f t="shared" ca="1" si="178"/>
        <v>#NAME?</v>
      </c>
      <c r="ER339" s="115" t="e">
        <f t="shared" ca="1" si="178"/>
        <v>#NAME?</v>
      </c>
      <c r="ES339" s="115" t="e">
        <f t="shared" ca="1" si="178"/>
        <v>#NAME?</v>
      </c>
      <c r="ET339" s="115" t="e">
        <f t="shared" ca="1" si="178"/>
        <v>#NAME?</v>
      </c>
      <c r="EU339" s="115" t="e">
        <f t="shared" ca="1" si="178"/>
        <v>#NAME?</v>
      </c>
      <c r="EV339" s="115" t="e">
        <f t="shared" ca="1" si="178"/>
        <v>#NAME?</v>
      </c>
      <c r="EW339" s="115" t="e">
        <f t="shared" ca="1" si="178"/>
        <v>#NAME?</v>
      </c>
      <c r="EX339" s="115" t="e">
        <f t="shared" ca="1" si="178"/>
        <v>#NAME?</v>
      </c>
      <c r="EY339" s="115" t="e">
        <f t="shared" ca="1" si="178"/>
        <v>#NAME?</v>
      </c>
      <c r="EZ339" s="115" t="e">
        <f t="shared" ca="1" si="178"/>
        <v>#NAME?</v>
      </c>
      <c r="FA339" s="115" t="e">
        <f t="shared" ca="1" si="178"/>
        <v>#NAME?</v>
      </c>
      <c r="FB339" s="115" t="e">
        <f t="shared" ca="1" si="178"/>
        <v>#NAME?</v>
      </c>
      <c r="FC339" s="115" t="e">
        <f t="shared" ca="1" si="178"/>
        <v>#NAME?</v>
      </c>
      <c r="FD339" s="115" t="e">
        <f t="shared" ca="1" si="178"/>
        <v>#NAME?</v>
      </c>
      <c r="FE339" s="115" t="e">
        <f t="shared" ca="1" si="178"/>
        <v>#NAME?</v>
      </c>
      <c r="FF339" s="115" t="e">
        <f t="shared" ca="1" si="178"/>
        <v>#NAME?</v>
      </c>
      <c r="FG339" s="115" t="e">
        <f t="shared" ca="1" si="178"/>
        <v>#NAME?</v>
      </c>
      <c r="FH339" s="115" t="e">
        <f t="shared" ca="1" si="178"/>
        <v>#NAME?</v>
      </c>
      <c r="FI339" s="115" t="e">
        <f t="shared" ca="1" si="178"/>
        <v>#NAME?</v>
      </c>
      <c r="FJ339" s="115" t="e">
        <f t="shared" ca="1" si="178"/>
        <v>#NAME?</v>
      </c>
      <c r="FK339" s="115" t="e">
        <f t="shared" ca="1" si="178"/>
        <v>#NAME?</v>
      </c>
      <c r="FL339" s="115" t="e">
        <f t="shared" ca="1" si="178"/>
        <v>#NAME?</v>
      </c>
      <c r="FM339" s="115" t="e">
        <f t="shared" ca="1" si="178"/>
        <v>#NAME?</v>
      </c>
      <c r="FN339" s="115" t="e">
        <f t="shared" ca="1" si="178"/>
        <v>#NAME?</v>
      </c>
      <c r="FO339" s="115" t="e">
        <f t="shared" ca="1" si="178"/>
        <v>#NAME?</v>
      </c>
      <c r="FP339" s="115" t="e">
        <f t="shared" ca="1" si="178"/>
        <v>#NAME?</v>
      </c>
      <c r="FQ339" s="115" t="e">
        <f t="shared" ca="1" si="178"/>
        <v>#NAME?</v>
      </c>
      <c r="FR339" s="115" t="e">
        <f t="shared" ca="1" si="178"/>
        <v>#NAME?</v>
      </c>
      <c r="FS339" s="115" t="e">
        <f t="shared" ca="1" si="178"/>
        <v>#NAME?</v>
      </c>
      <c r="FT339" s="115" t="e">
        <f t="shared" ca="1" si="178"/>
        <v>#NAME?</v>
      </c>
      <c r="FU339" s="115" t="e">
        <f t="shared" ca="1" si="178"/>
        <v>#NAME?</v>
      </c>
      <c r="FV339" s="115" t="e">
        <f t="shared" ca="1" si="178"/>
        <v>#NAME?</v>
      </c>
      <c r="FW339" s="115" t="e">
        <f t="shared" ca="1" si="178"/>
        <v>#NAME?</v>
      </c>
      <c r="FX339" s="115" t="e">
        <f t="shared" ca="1" si="178"/>
        <v>#NAME?</v>
      </c>
      <c r="GA339" s="95"/>
    </row>
    <row r="340" spans="1:193" ht="15.5" x14ac:dyDescent="0.35">
      <c r="B340" s="7"/>
    </row>
    <row r="341" spans="1:193" ht="15.5" x14ac:dyDescent="0.35">
      <c r="B341" s="7"/>
      <c r="BY341" s="99">
        <v>5574299.9699999997</v>
      </c>
    </row>
    <row r="342" spans="1:193" ht="12.5" x14ac:dyDescent="0.25">
      <c r="BY342" s="115" t="e">
        <f ca="1">BY341-BY337</f>
        <v>#NAME?</v>
      </c>
    </row>
    <row r="343" spans="1:193" ht="15.5" x14ac:dyDescent="0.35">
      <c r="F343" s="95"/>
      <c r="G343" s="95"/>
    </row>
    <row r="344" spans="1:193" ht="15.5" x14ac:dyDescent="0.35">
      <c r="F344" s="95"/>
      <c r="G344" s="95"/>
    </row>
    <row r="345" spans="1:193" ht="15.5" x14ac:dyDescent="0.35">
      <c r="F345" s="95"/>
      <c r="G345" s="95"/>
    </row>
    <row r="346" spans="1:193" ht="15.5" x14ac:dyDescent="0.35">
      <c r="F346" s="95"/>
      <c r="G346" s="95"/>
    </row>
    <row r="347" spans="1:193" ht="15.5" x14ac:dyDescent="0.35">
      <c r="F347" s="95"/>
      <c r="G347" s="95"/>
    </row>
    <row r="348" spans="1:193" ht="15.5" x14ac:dyDescent="0.35">
      <c r="F348" s="95"/>
      <c r="G348" s="95"/>
    </row>
    <row r="349" spans="1:193" ht="15.5" x14ac:dyDescent="0.35">
      <c r="F349" s="95"/>
      <c r="G349" s="95"/>
    </row>
    <row r="350" spans="1:193" ht="15.5" x14ac:dyDescent="0.35">
      <c r="F350" s="95"/>
      <c r="G350" s="95"/>
    </row>
    <row r="351" spans="1:193" ht="15.5" x14ac:dyDescent="0.35">
      <c r="F351" s="95"/>
      <c r="G351" s="95"/>
    </row>
    <row r="352" spans="1:193" ht="15.5" x14ac:dyDescent="0.35">
      <c r="F352" s="95"/>
      <c r="G352" s="95"/>
    </row>
    <row r="353" spans="6:7" ht="15.5" x14ac:dyDescent="0.35">
      <c r="F353" s="95"/>
      <c r="G353" s="95"/>
    </row>
    <row r="354" spans="6:7" ht="15.5" x14ac:dyDescent="0.35">
      <c r="F354" s="95"/>
      <c r="G354" s="95"/>
    </row>
    <row r="355" spans="6:7" ht="15.5" x14ac:dyDescent="0.35">
      <c r="F355" s="95"/>
      <c r="G355" s="95"/>
    </row>
    <row r="356" spans="6:7" ht="15.5" x14ac:dyDescent="0.35">
      <c r="F356" s="95"/>
      <c r="G356" s="95"/>
    </row>
    <row r="357" spans="6:7" ht="15.5" x14ac:dyDescent="0.35">
      <c r="F357" s="95"/>
      <c r="G357" s="95"/>
    </row>
    <row r="358" spans="6:7" ht="15.5" x14ac:dyDescent="0.35">
      <c r="F358" s="95"/>
      <c r="G358" s="95"/>
    </row>
    <row r="359" spans="6:7" ht="15.5" x14ac:dyDescent="0.35">
      <c r="F359" s="95"/>
      <c r="G359" s="95"/>
    </row>
    <row r="360" spans="6:7" ht="15.5" x14ac:dyDescent="0.35">
      <c r="F360" s="95"/>
      <c r="G360" s="95"/>
    </row>
    <row r="361" spans="6:7" ht="15.5" x14ac:dyDescent="0.35">
      <c r="F361" s="95"/>
      <c r="G361" s="95"/>
    </row>
    <row r="362" spans="6:7" ht="15.5" x14ac:dyDescent="0.35">
      <c r="F362" s="95"/>
      <c r="G362" s="95"/>
    </row>
    <row r="363" spans="6:7" ht="15.5" x14ac:dyDescent="0.35">
      <c r="F363" s="95"/>
      <c r="G363" s="95"/>
    </row>
    <row r="364" spans="6:7" ht="15.5" x14ac:dyDescent="0.35">
      <c r="F364" s="95"/>
      <c r="G364" s="95"/>
    </row>
    <row r="365" spans="6:7" ht="15.5" x14ac:dyDescent="0.35">
      <c r="F365" s="95"/>
      <c r="G365" s="95"/>
    </row>
    <row r="366" spans="6:7" ht="15.5" x14ac:dyDescent="0.35">
      <c r="F366" s="95"/>
      <c r="G366" s="95"/>
    </row>
    <row r="367" spans="6:7" ht="15.5" x14ac:dyDescent="0.35">
      <c r="F367" s="95"/>
      <c r="G367" s="95"/>
    </row>
    <row r="368" spans="6:7" ht="15.5" x14ac:dyDescent="0.35">
      <c r="F368" s="95"/>
      <c r="G368" s="95"/>
    </row>
    <row r="369" spans="6:7" ht="15.5" x14ac:dyDescent="0.35">
      <c r="F369" s="95"/>
      <c r="G369" s="95"/>
    </row>
    <row r="370" spans="6:7" ht="15.5" x14ac:dyDescent="0.35">
      <c r="F370" s="95"/>
      <c r="G370" s="95"/>
    </row>
    <row r="371" spans="6:7" ht="15.5" x14ac:dyDescent="0.35">
      <c r="F371" s="95"/>
      <c r="G371" s="95"/>
    </row>
    <row r="372" spans="6:7" ht="15.5" x14ac:dyDescent="0.35">
      <c r="F372" s="95"/>
      <c r="G372" s="95"/>
    </row>
    <row r="373" spans="6:7" ht="15.5" x14ac:dyDescent="0.35">
      <c r="F373" s="95"/>
      <c r="G373" s="95"/>
    </row>
    <row r="374" spans="6:7" ht="15.5" x14ac:dyDescent="0.35">
      <c r="F374" s="95"/>
      <c r="G374" s="95"/>
    </row>
    <row r="375" spans="6:7" ht="15.5" x14ac:dyDescent="0.35">
      <c r="F375" s="95"/>
      <c r="G375" s="95"/>
    </row>
    <row r="376" spans="6:7" ht="15.5" x14ac:dyDescent="0.35">
      <c r="F376" s="95"/>
      <c r="G376" s="95"/>
    </row>
    <row r="377" spans="6:7" ht="15.5" x14ac:dyDescent="0.35">
      <c r="F377" s="95"/>
      <c r="G377" s="95"/>
    </row>
    <row r="378" spans="6:7" ht="15.5" x14ac:dyDescent="0.35">
      <c r="F378" s="95"/>
      <c r="G378" s="95"/>
    </row>
    <row r="379" spans="6:7" ht="15.5" x14ac:dyDescent="0.35">
      <c r="F379" s="95"/>
      <c r="G379" s="95"/>
    </row>
    <row r="380" spans="6:7" ht="15.5" x14ac:dyDescent="0.35">
      <c r="F380" s="95"/>
      <c r="G380" s="95"/>
    </row>
    <row r="381" spans="6:7" ht="15.5" x14ac:dyDescent="0.35">
      <c r="F381" s="95"/>
      <c r="G381" s="95"/>
    </row>
    <row r="382" spans="6:7" ht="15.5" x14ac:dyDescent="0.35">
      <c r="F382" s="95"/>
      <c r="G382" s="95"/>
    </row>
    <row r="383" spans="6:7" ht="15.5" x14ac:dyDescent="0.35">
      <c r="F383" s="95"/>
      <c r="G383" s="95"/>
    </row>
    <row r="384" spans="6:7" ht="15.5" x14ac:dyDescent="0.35">
      <c r="F384" s="95"/>
      <c r="G384" s="95"/>
    </row>
    <row r="385" spans="6:7" ht="15.5" x14ac:dyDescent="0.35">
      <c r="F385" s="95"/>
      <c r="G385" s="95"/>
    </row>
    <row r="386" spans="6:7" ht="15.5" x14ac:dyDescent="0.35">
      <c r="F386" s="95"/>
      <c r="G386" s="95"/>
    </row>
    <row r="387" spans="6:7" ht="15.5" x14ac:dyDescent="0.35">
      <c r="F387" s="95"/>
      <c r="G387" s="95"/>
    </row>
    <row r="388" spans="6:7" ht="15.5" x14ac:dyDescent="0.35">
      <c r="F388" s="95"/>
      <c r="G388" s="95"/>
    </row>
    <row r="389" spans="6:7" ht="15.5" x14ac:dyDescent="0.35">
      <c r="F389" s="95"/>
      <c r="G389" s="95"/>
    </row>
    <row r="390" spans="6:7" ht="15.5" x14ac:dyDescent="0.35">
      <c r="F390" s="95"/>
      <c r="G390" s="95"/>
    </row>
    <row r="391" spans="6:7" ht="15.5" x14ac:dyDescent="0.35">
      <c r="F391" s="95"/>
      <c r="G391" s="95"/>
    </row>
    <row r="392" spans="6:7" ht="15.5" x14ac:dyDescent="0.35">
      <c r="F392" s="95"/>
      <c r="G392" s="95"/>
    </row>
    <row r="393" spans="6:7" ht="15.5" x14ac:dyDescent="0.35">
      <c r="F393" s="95"/>
      <c r="G393" s="95"/>
    </row>
    <row r="394" spans="6:7" ht="15.5" x14ac:dyDescent="0.35">
      <c r="F394" s="95"/>
      <c r="G394" s="95"/>
    </row>
    <row r="395" spans="6:7" ht="15.5" x14ac:dyDescent="0.35">
      <c r="F395" s="95"/>
      <c r="G395" s="95"/>
    </row>
    <row r="396" spans="6:7" ht="15.5" x14ac:dyDescent="0.35">
      <c r="F396" s="95"/>
      <c r="G396" s="95"/>
    </row>
    <row r="397" spans="6:7" ht="15.5" x14ac:dyDescent="0.35">
      <c r="F397" s="95"/>
      <c r="G397" s="95"/>
    </row>
    <row r="398" spans="6:7" ht="15.5" x14ac:dyDescent="0.35">
      <c r="F398" s="95"/>
      <c r="G398" s="95"/>
    </row>
    <row r="399" spans="6:7" ht="15.5" x14ac:dyDescent="0.35">
      <c r="F399" s="95"/>
      <c r="G399" s="95"/>
    </row>
    <row r="400" spans="6:7" ht="15.5" x14ac:dyDescent="0.35">
      <c r="F400" s="95"/>
      <c r="G400" s="95"/>
    </row>
    <row r="401" spans="6:7" ht="15.5" x14ac:dyDescent="0.35">
      <c r="F401" s="95"/>
      <c r="G401" s="95"/>
    </row>
    <row r="402" spans="6:7" ht="15.5" x14ac:dyDescent="0.35">
      <c r="F402" s="95"/>
      <c r="G402" s="95"/>
    </row>
    <row r="403" spans="6:7" ht="15.5" x14ac:dyDescent="0.35">
      <c r="F403" s="95"/>
      <c r="G403" s="95"/>
    </row>
    <row r="404" spans="6:7" ht="15.5" x14ac:dyDescent="0.35">
      <c r="F404" s="95"/>
      <c r="G404" s="95"/>
    </row>
    <row r="405" spans="6:7" ht="15.5" x14ac:dyDescent="0.35">
      <c r="F405" s="95"/>
      <c r="G405" s="95"/>
    </row>
    <row r="406" spans="6:7" ht="15.5" x14ac:dyDescent="0.35">
      <c r="F406" s="95"/>
      <c r="G406" s="95"/>
    </row>
    <row r="407" spans="6:7" ht="15.5" x14ac:dyDescent="0.35">
      <c r="F407" s="95"/>
      <c r="G407" s="95"/>
    </row>
    <row r="408" spans="6:7" ht="15.5" x14ac:dyDescent="0.35">
      <c r="F408" s="95"/>
      <c r="G408" s="95"/>
    </row>
    <row r="409" spans="6:7" ht="15.5" x14ac:dyDescent="0.35">
      <c r="F409" s="95"/>
      <c r="G409" s="95"/>
    </row>
    <row r="410" spans="6:7" ht="15.5" x14ac:dyDescent="0.35">
      <c r="F410" s="95"/>
      <c r="G410" s="95"/>
    </row>
    <row r="411" spans="6:7" ht="15.5" x14ac:dyDescent="0.35">
      <c r="F411" s="95"/>
      <c r="G411" s="95"/>
    </row>
    <row r="412" spans="6:7" ht="15.5" x14ac:dyDescent="0.35">
      <c r="F412" s="95"/>
      <c r="G412" s="95"/>
    </row>
    <row r="413" spans="6:7" ht="15.5" x14ac:dyDescent="0.35">
      <c r="F413" s="95"/>
      <c r="G413" s="95"/>
    </row>
    <row r="414" spans="6:7" ht="15.5" x14ac:dyDescent="0.35">
      <c r="F414" s="95"/>
      <c r="G414" s="95"/>
    </row>
    <row r="415" spans="6:7" ht="15.5" x14ac:dyDescent="0.35">
      <c r="F415" s="95"/>
      <c r="G415" s="95"/>
    </row>
    <row r="416" spans="6:7" ht="15.5" x14ac:dyDescent="0.35">
      <c r="F416" s="95"/>
      <c r="G416" s="95"/>
    </row>
    <row r="417" spans="6:7" ht="15.5" x14ac:dyDescent="0.35">
      <c r="F417" s="95"/>
      <c r="G417" s="95"/>
    </row>
    <row r="418" spans="6:7" ht="15.5" x14ac:dyDescent="0.35">
      <c r="F418" s="95"/>
      <c r="G418" s="95"/>
    </row>
    <row r="419" spans="6:7" ht="15.5" x14ac:dyDescent="0.35">
      <c r="F419" s="95"/>
      <c r="G419" s="95"/>
    </row>
    <row r="420" spans="6:7" ht="15.5" x14ac:dyDescent="0.35">
      <c r="F420" s="95"/>
      <c r="G420" s="95"/>
    </row>
    <row r="421" spans="6:7" ht="15.5" x14ac:dyDescent="0.35">
      <c r="F421" s="95"/>
      <c r="G421" s="95"/>
    </row>
    <row r="422" spans="6:7" ht="15.5" x14ac:dyDescent="0.35">
      <c r="F422" s="95"/>
      <c r="G422" s="95"/>
    </row>
    <row r="423" spans="6:7" ht="15.5" x14ac:dyDescent="0.35">
      <c r="F423" s="95"/>
      <c r="G423" s="95"/>
    </row>
    <row r="424" spans="6:7" ht="15.5" x14ac:dyDescent="0.35">
      <c r="F424" s="95"/>
      <c r="G424" s="95"/>
    </row>
    <row r="425" spans="6:7" ht="15.5" x14ac:dyDescent="0.35">
      <c r="F425" s="95"/>
      <c r="G425" s="95"/>
    </row>
    <row r="426" spans="6:7" ht="15.5" x14ac:dyDescent="0.35">
      <c r="F426" s="95"/>
      <c r="G426" s="95"/>
    </row>
    <row r="427" spans="6:7" ht="15.5" x14ac:dyDescent="0.35">
      <c r="F427" s="95"/>
      <c r="G427" s="95"/>
    </row>
    <row r="428" spans="6:7" ht="15.5" x14ac:dyDescent="0.35">
      <c r="F428" s="95"/>
      <c r="G428" s="95"/>
    </row>
    <row r="429" spans="6:7" ht="15.5" x14ac:dyDescent="0.35">
      <c r="F429" s="95"/>
      <c r="G429" s="95"/>
    </row>
    <row r="430" spans="6:7" ht="15.5" x14ac:dyDescent="0.35">
      <c r="F430" s="95"/>
      <c r="G430" s="95"/>
    </row>
    <row r="431" spans="6:7" ht="15.5" x14ac:dyDescent="0.35">
      <c r="F431" s="95"/>
      <c r="G431" s="95"/>
    </row>
    <row r="432" spans="6:7" ht="15.5" x14ac:dyDescent="0.35">
      <c r="F432" s="95"/>
      <c r="G432" s="95"/>
    </row>
    <row r="433" spans="6:7" ht="15.5" x14ac:dyDescent="0.35">
      <c r="F433" s="95"/>
      <c r="G433" s="95"/>
    </row>
    <row r="434" spans="6:7" ht="15.5" x14ac:dyDescent="0.35">
      <c r="F434" s="95"/>
      <c r="G434" s="95"/>
    </row>
    <row r="435" spans="6:7" ht="15.5" x14ac:dyDescent="0.35">
      <c r="F435" s="95"/>
      <c r="G435" s="95"/>
    </row>
    <row r="436" spans="6:7" ht="15.5" x14ac:dyDescent="0.35">
      <c r="F436" s="95"/>
      <c r="G436" s="95"/>
    </row>
    <row r="437" spans="6:7" ht="15.5" x14ac:dyDescent="0.35">
      <c r="F437" s="95"/>
      <c r="G437" s="95"/>
    </row>
    <row r="438" spans="6:7" ht="15.5" x14ac:dyDescent="0.35">
      <c r="F438" s="95"/>
      <c r="G438" s="95"/>
    </row>
    <row r="439" spans="6:7" ht="15.5" x14ac:dyDescent="0.35">
      <c r="F439" s="95"/>
      <c r="G439" s="95"/>
    </row>
    <row r="440" spans="6:7" ht="15.5" x14ac:dyDescent="0.35">
      <c r="F440" s="95"/>
      <c r="G440" s="95"/>
    </row>
    <row r="441" spans="6:7" ht="15.5" x14ac:dyDescent="0.35">
      <c r="F441" s="95"/>
      <c r="G441" s="95"/>
    </row>
  </sheetData>
  <conditionalFormatting sqref="C169">
    <cfRule type="expression" dxfId="5" priority="1">
      <formula>C166&lt;17</formula>
    </cfRule>
  </conditionalFormatting>
  <conditionalFormatting sqref="C17:FX18 C135:FX136 FY137">
    <cfRule type="cellIs" dxfId="4" priority="2" operator="lessThanOrEqual">
      <formula>16</formula>
    </cfRule>
  </conditionalFormatting>
  <conditionalFormatting sqref="C132:FX133">
    <cfRule type="cellIs" dxfId="3" priority="3" operator="lessThanOrEqual">
      <formula>16</formula>
    </cfRule>
  </conditionalFormatting>
  <conditionalFormatting sqref="C158:FX158">
    <cfRule type="expression" dxfId="2" priority="4">
      <formula>D137&lt;17</formula>
    </cfRule>
  </conditionalFormatting>
  <conditionalFormatting sqref="C162:FX162">
    <cfRule type="expression" dxfId="1" priority="5">
      <formula>D137&lt;17</formula>
    </cfRule>
  </conditionalFormatting>
  <conditionalFormatting sqref="C166:FX166">
    <cfRule type="cellIs" dxfId="0" priority="6" operator="lessThanOrEqual">
      <formula>16</formula>
    </cfRule>
  </conditionalFormatting>
  <hyperlinks>
    <hyperlink ref="A185" r:id="rId1" xr:uid="{00000000-0004-0000-0400-000000000000}"/>
  </hyperlinks>
  <pageMargins left="0.7" right="0.7" top="0.75" bottom="0.75" header="0" footer="0"/>
  <pageSetup fitToHeight="0" orientation="portrait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80"/>
  <sheetViews>
    <sheetView workbookViewId="0"/>
  </sheetViews>
  <sheetFormatPr defaultColWidth="12.6328125" defaultRowHeight="15.75" customHeight="1" x14ac:dyDescent="0.25"/>
  <cols>
    <col min="1" max="1" width="6" customWidth="1"/>
    <col min="2" max="5" width="52.26953125" customWidth="1"/>
    <col min="6" max="26" width="10.6328125" customWidth="1"/>
  </cols>
  <sheetData>
    <row r="1" spans="1:5" ht="15" customHeight="1" x14ac:dyDescent="0.25"/>
    <row r="2" spans="1:5" ht="15" customHeight="1" x14ac:dyDescent="0.25">
      <c r="B2" s="99" t="s">
        <v>480</v>
      </c>
      <c r="C2" s="99" t="s">
        <v>482</v>
      </c>
      <c r="D2" s="99" t="s">
        <v>484</v>
      </c>
      <c r="E2" s="99" t="s">
        <v>752</v>
      </c>
    </row>
    <row r="3" spans="1:5" ht="15" customHeight="1" x14ac:dyDescent="0.25">
      <c r="A3" s="99" t="s">
        <v>23</v>
      </c>
      <c r="B3" s="99">
        <v>6404.5</v>
      </c>
      <c r="C3" s="99">
        <v>6332.5</v>
      </c>
      <c r="D3" s="99">
        <v>6372</v>
      </c>
      <c r="E3" s="99">
        <v>6356.5</v>
      </c>
    </row>
    <row r="4" spans="1:5" ht="15" customHeight="1" x14ac:dyDescent="0.25">
      <c r="A4" s="99" t="s">
        <v>24</v>
      </c>
      <c r="B4" s="99">
        <v>32699.5</v>
      </c>
      <c r="C4" s="99">
        <v>33220</v>
      </c>
      <c r="D4" s="99">
        <v>34363.5</v>
      </c>
      <c r="E4" s="99">
        <v>34775</v>
      </c>
    </row>
    <row r="5" spans="1:5" ht="15" customHeight="1" x14ac:dyDescent="0.25">
      <c r="A5" s="99" t="s">
        <v>25</v>
      </c>
      <c r="B5" s="99">
        <v>4867</v>
      </c>
      <c r="C5" s="99">
        <v>4999.5</v>
      </c>
      <c r="D5" s="99">
        <v>5274</v>
      </c>
      <c r="E5" s="99">
        <v>5544</v>
      </c>
    </row>
    <row r="6" spans="1:5" ht="15" customHeight="1" x14ac:dyDescent="0.25">
      <c r="A6" s="99" t="s">
        <v>26</v>
      </c>
      <c r="B6" s="99">
        <v>21051.5</v>
      </c>
      <c r="C6" s="99">
        <v>20597.5</v>
      </c>
      <c r="D6" s="99">
        <v>20215.5</v>
      </c>
      <c r="E6" s="99">
        <v>19613</v>
      </c>
    </row>
    <row r="7" spans="1:5" ht="15" customHeight="1" x14ac:dyDescent="0.25">
      <c r="A7" s="99" t="s">
        <v>27</v>
      </c>
      <c r="B7" s="99">
        <v>1709</v>
      </c>
      <c r="C7" s="99">
        <v>1573</v>
      </c>
      <c r="D7" s="99">
        <v>1234</v>
      </c>
      <c r="E7" s="99">
        <v>1207.5</v>
      </c>
    </row>
    <row r="8" spans="1:5" ht="15" customHeight="1" x14ac:dyDescent="0.25">
      <c r="A8" s="99" t="s">
        <v>28</v>
      </c>
      <c r="B8" s="99">
        <v>1089</v>
      </c>
      <c r="C8" s="99">
        <v>1094</v>
      </c>
      <c r="D8" s="99">
        <v>1129</v>
      </c>
      <c r="E8" s="99">
        <v>1096.5</v>
      </c>
    </row>
    <row r="9" spans="1:5" ht="15" customHeight="1" x14ac:dyDescent="0.25">
      <c r="A9" s="99" t="s">
        <v>29</v>
      </c>
      <c r="B9" s="99">
        <v>7236</v>
      </c>
      <c r="C9" s="99">
        <v>7057.5</v>
      </c>
      <c r="D9" s="99">
        <v>7427.5</v>
      </c>
      <c r="E9" s="99">
        <v>7781</v>
      </c>
    </row>
    <row r="10" spans="1:5" ht="15" customHeight="1" x14ac:dyDescent="0.25">
      <c r="A10" s="99" t="s">
        <v>30</v>
      </c>
      <c r="B10" s="99">
        <v>2024</v>
      </c>
      <c r="C10" s="99">
        <v>2039</v>
      </c>
      <c r="D10" s="99">
        <v>2111.5</v>
      </c>
      <c r="E10" s="99">
        <v>2171.5</v>
      </c>
    </row>
    <row r="11" spans="1:5" ht="15" customHeight="1" x14ac:dyDescent="0.25">
      <c r="A11" s="99" t="s">
        <v>31</v>
      </c>
      <c r="B11" s="99">
        <v>243.5</v>
      </c>
      <c r="C11" s="99">
        <v>263</v>
      </c>
      <c r="D11" s="99">
        <v>249</v>
      </c>
      <c r="E11" s="99">
        <v>233.5</v>
      </c>
    </row>
    <row r="12" spans="1:5" ht="15" customHeight="1" x14ac:dyDescent="0.25">
      <c r="A12" s="99" t="s">
        <v>32</v>
      </c>
      <c r="B12" s="99">
        <v>2087</v>
      </c>
      <c r="C12" s="99">
        <v>2102</v>
      </c>
      <c r="D12" s="99">
        <v>2195</v>
      </c>
      <c r="E12" s="99">
        <v>2219.5</v>
      </c>
    </row>
    <row r="13" spans="1:5" ht="15" customHeight="1" x14ac:dyDescent="0.25">
      <c r="A13" s="99" t="s">
        <v>33</v>
      </c>
      <c r="B13" s="99">
        <v>866</v>
      </c>
      <c r="C13" s="99">
        <v>933</v>
      </c>
      <c r="D13" s="99">
        <v>998.5</v>
      </c>
      <c r="E13" s="99">
        <v>1047</v>
      </c>
    </row>
    <row r="14" spans="1:5" ht="15" customHeight="1" x14ac:dyDescent="0.25">
      <c r="A14" s="99" t="s">
        <v>34</v>
      </c>
      <c r="B14" s="99">
        <v>50007.5</v>
      </c>
      <c r="C14" s="99">
        <v>49949</v>
      </c>
      <c r="D14" s="99">
        <v>50787.5</v>
      </c>
      <c r="E14" s="99">
        <v>51486.5</v>
      </c>
    </row>
    <row r="15" spans="1:5" ht="15" customHeight="1" x14ac:dyDescent="0.25">
      <c r="A15" s="99" t="s">
        <v>35</v>
      </c>
      <c r="B15" s="99">
        <v>12583.5</v>
      </c>
      <c r="C15" s="99">
        <v>12783.5</v>
      </c>
      <c r="D15" s="99">
        <v>13067.5</v>
      </c>
      <c r="E15" s="99">
        <v>13342.5</v>
      </c>
    </row>
    <row r="16" spans="1:5" ht="15" customHeight="1" x14ac:dyDescent="0.25">
      <c r="A16" s="99" t="s">
        <v>36</v>
      </c>
      <c r="B16" s="99">
        <v>303</v>
      </c>
      <c r="C16" s="99">
        <v>330</v>
      </c>
      <c r="D16" s="99">
        <v>303.5</v>
      </c>
      <c r="E16" s="99">
        <v>270.5</v>
      </c>
    </row>
    <row r="17" spans="1:5" ht="15" customHeight="1" x14ac:dyDescent="0.25">
      <c r="A17" s="99" t="s">
        <v>37</v>
      </c>
      <c r="B17" s="99">
        <v>37010</v>
      </c>
      <c r="C17" s="99">
        <v>36546</v>
      </c>
      <c r="D17" s="99">
        <v>36575</v>
      </c>
      <c r="E17" s="99">
        <v>36070.5</v>
      </c>
    </row>
    <row r="18" spans="1:5" ht="15" customHeight="1" x14ac:dyDescent="0.25">
      <c r="A18" s="99" t="s">
        <v>38</v>
      </c>
      <c r="B18" s="99">
        <v>467.5</v>
      </c>
      <c r="C18" s="99">
        <v>497</v>
      </c>
      <c r="D18" s="99">
        <v>477.5</v>
      </c>
      <c r="E18" s="99">
        <v>474.5</v>
      </c>
    </row>
    <row r="19" spans="1:5" ht="15" customHeight="1" x14ac:dyDescent="0.25">
      <c r="A19" s="99" t="s">
        <v>39</v>
      </c>
      <c r="B19" s="99">
        <v>1535</v>
      </c>
      <c r="C19" s="99">
        <v>1567.5</v>
      </c>
      <c r="D19" s="99">
        <v>1644</v>
      </c>
      <c r="E19" s="99">
        <v>1662.5</v>
      </c>
    </row>
    <row r="20" spans="1:5" ht="15" customHeight="1" x14ac:dyDescent="0.25">
      <c r="A20" s="99" t="s">
        <v>40</v>
      </c>
      <c r="B20" s="99">
        <v>158</v>
      </c>
      <c r="C20" s="99">
        <v>160</v>
      </c>
      <c r="D20" s="99">
        <v>166.5</v>
      </c>
      <c r="E20" s="99">
        <v>144.5</v>
      </c>
    </row>
    <row r="21" spans="1:5" ht="12.5" x14ac:dyDescent="0.25">
      <c r="A21" s="99" t="s">
        <v>41</v>
      </c>
      <c r="B21" s="99">
        <v>57</v>
      </c>
      <c r="C21" s="99">
        <v>50</v>
      </c>
      <c r="D21" s="99">
        <v>48.5</v>
      </c>
      <c r="E21" s="99">
        <v>54.5</v>
      </c>
    </row>
    <row r="22" spans="1:5" ht="12.5" x14ac:dyDescent="0.25">
      <c r="A22" s="99" t="s">
        <v>42</v>
      </c>
      <c r="B22" s="99">
        <v>245.5</v>
      </c>
      <c r="C22" s="99">
        <v>261.5</v>
      </c>
      <c r="D22" s="99">
        <v>265.5</v>
      </c>
      <c r="E22" s="99">
        <v>250</v>
      </c>
    </row>
    <row r="23" spans="1:5" ht="12.5" x14ac:dyDescent="0.25">
      <c r="A23" s="99" t="s">
        <v>43</v>
      </c>
      <c r="B23" s="99">
        <v>49.5</v>
      </c>
      <c r="C23" s="99">
        <v>58.5</v>
      </c>
      <c r="D23" s="99">
        <v>66</v>
      </c>
      <c r="E23" s="99">
        <v>73.5</v>
      </c>
    </row>
    <row r="24" spans="1:5" ht="12.5" x14ac:dyDescent="0.25">
      <c r="A24" s="99" t="s">
        <v>44</v>
      </c>
      <c r="B24" s="99">
        <v>36.5</v>
      </c>
      <c r="C24" s="99">
        <v>27</v>
      </c>
      <c r="D24" s="99">
        <v>30</v>
      </c>
      <c r="E24" s="99">
        <v>44</v>
      </c>
    </row>
    <row r="25" spans="1:5" ht="12.5" x14ac:dyDescent="0.25">
      <c r="A25" s="99" t="s">
        <v>45</v>
      </c>
      <c r="B25" s="99">
        <v>404</v>
      </c>
      <c r="C25" s="99">
        <v>428</v>
      </c>
      <c r="D25" s="99">
        <v>456</v>
      </c>
      <c r="E25" s="99">
        <v>434</v>
      </c>
    </row>
    <row r="26" spans="1:5" ht="12.5" x14ac:dyDescent="0.25">
      <c r="A26" s="99" t="s">
        <v>46</v>
      </c>
      <c r="B26" s="99">
        <v>231</v>
      </c>
      <c r="C26" s="99">
        <v>227</v>
      </c>
      <c r="D26" s="99">
        <v>235.5</v>
      </c>
      <c r="E26" s="99">
        <v>219</v>
      </c>
    </row>
    <row r="27" spans="1:5" ht="12.5" x14ac:dyDescent="0.25">
      <c r="A27" s="99" t="s">
        <v>47</v>
      </c>
      <c r="B27" s="99">
        <v>30258.5</v>
      </c>
      <c r="C27" s="99">
        <v>30394.5</v>
      </c>
      <c r="D27" s="99">
        <v>30979.5</v>
      </c>
      <c r="E27" s="99">
        <v>30848.5</v>
      </c>
    </row>
    <row r="28" spans="1:5" ht="12.5" x14ac:dyDescent="0.25">
      <c r="A28" s="99" t="s">
        <v>48</v>
      </c>
      <c r="B28" s="99">
        <v>26784.5</v>
      </c>
      <c r="C28" s="99">
        <v>26932</v>
      </c>
      <c r="D28" s="99">
        <v>27171.5</v>
      </c>
      <c r="E28" s="99">
        <v>27335.5</v>
      </c>
    </row>
    <row r="29" spans="1:5" ht="12.5" x14ac:dyDescent="0.25">
      <c r="A29" s="99" t="s">
        <v>49</v>
      </c>
      <c r="B29" s="99">
        <v>864</v>
      </c>
      <c r="C29" s="99">
        <v>909</v>
      </c>
      <c r="D29" s="99">
        <v>951</v>
      </c>
      <c r="E29" s="99">
        <v>960</v>
      </c>
    </row>
    <row r="30" spans="1:5" ht="12.5" x14ac:dyDescent="0.25">
      <c r="A30" s="99" t="s">
        <v>50</v>
      </c>
      <c r="B30" s="99">
        <v>1269.5</v>
      </c>
      <c r="C30" s="99">
        <v>1255</v>
      </c>
      <c r="D30" s="99">
        <v>1259.5</v>
      </c>
      <c r="E30" s="99">
        <v>1252.5</v>
      </c>
    </row>
    <row r="31" spans="1:5" ht="12.5" x14ac:dyDescent="0.25">
      <c r="A31" s="99" t="s">
        <v>51</v>
      </c>
      <c r="B31" s="99">
        <v>97</v>
      </c>
      <c r="C31" s="99">
        <v>94</v>
      </c>
      <c r="D31" s="99">
        <v>92</v>
      </c>
      <c r="E31" s="99">
        <v>92.5</v>
      </c>
    </row>
    <row r="32" spans="1:5" ht="12.5" x14ac:dyDescent="0.25">
      <c r="A32" s="99" t="s">
        <v>52</v>
      </c>
      <c r="B32" s="99">
        <v>164.5</v>
      </c>
      <c r="C32" s="99">
        <v>162.5</v>
      </c>
      <c r="D32" s="99">
        <v>172</v>
      </c>
      <c r="E32" s="99">
        <v>174.5</v>
      </c>
    </row>
    <row r="33" spans="1:5" ht="12.5" x14ac:dyDescent="0.25">
      <c r="A33" s="99" t="s">
        <v>53</v>
      </c>
      <c r="B33" s="99">
        <v>589</v>
      </c>
      <c r="C33" s="99">
        <v>590</v>
      </c>
      <c r="D33" s="99">
        <v>609</v>
      </c>
      <c r="E33" s="99">
        <v>632</v>
      </c>
    </row>
    <row r="34" spans="1:5" ht="12.5" x14ac:dyDescent="0.25">
      <c r="A34" s="99" t="s">
        <v>54</v>
      </c>
      <c r="B34" s="99">
        <v>927</v>
      </c>
      <c r="C34" s="99">
        <v>955</v>
      </c>
      <c r="D34" s="99">
        <v>991.5</v>
      </c>
      <c r="E34" s="99">
        <v>1007</v>
      </c>
    </row>
    <row r="35" spans="1:5" ht="12.5" x14ac:dyDescent="0.25">
      <c r="A35" s="99" t="s">
        <v>55</v>
      </c>
      <c r="B35" s="99">
        <v>363</v>
      </c>
      <c r="C35" s="99">
        <v>385.5</v>
      </c>
      <c r="D35" s="99">
        <v>365.5</v>
      </c>
      <c r="E35" s="99">
        <v>331.5</v>
      </c>
    </row>
    <row r="36" spans="1:5" ht="12.5" x14ac:dyDescent="0.25">
      <c r="A36" s="99" t="s">
        <v>56</v>
      </c>
      <c r="B36" s="99">
        <v>176</v>
      </c>
      <c r="C36" s="99">
        <v>164</v>
      </c>
      <c r="D36" s="99">
        <v>153</v>
      </c>
      <c r="E36" s="99">
        <v>140.5</v>
      </c>
    </row>
    <row r="37" spans="1:5" ht="12.5" x14ac:dyDescent="0.25">
      <c r="A37" s="99" t="s">
        <v>57</v>
      </c>
      <c r="B37" s="99">
        <v>163</v>
      </c>
      <c r="C37" s="99">
        <v>159</v>
      </c>
      <c r="D37" s="99">
        <v>166.5</v>
      </c>
      <c r="E37" s="99">
        <v>177.5</v>
      </c>
    </row>
    <row r="38" spans="1:5" ht="12.5" x14ac:dyDescent="0.25">
      <c r="A38" s="99" t="s">
        <v>58</v>
      </c>
      <c r="B38" s="99">
        <v>286</v>
      </c>
      <c r="C38" s="99">
        <v>276</v>
      </c>
      <c r="D38" s="99">
        <v>259.5</v>
      </c>
      <c r="E38" s="99">
        <v>237.5</v>
      </c>
    </row>
    <row r="39" spans="1:5" ht="12.5" x14ac:dyDescent="0.25">
      <c r="A39" s="99" t="s">
        <v>59</v>
      </c>
      <c r="B39" s="99">
        <v>331</v>
      </c>
      <c r="C39" s="99">
        <v>343</v>
      </c>
      <c r="D39" s="99">
        <v>380</v>
      </c>
      <c r="E39" s="99">
        <v>403</v>
      </c>
    </row>
    <row r="40" spans="1:5" ht="12.5" x14ac:dyDescent="0.25">
      <c r="A40" s="99" t="s">
        <v>60</v>
      </c>
      <c r="B40" s="99">
        <v>271.5</v>
      </c>
      <c r="C40" s="99">
        <v>309</v>
      </c>
      <c r="D40" s="99">
        <v>318.5</v>
      </c>
      <c r="E40" s="99">
        <v>331.5</v>
      </c>
    </row>
    <row r="41" spans="1:5" ht="12.5" x14ac:dyDescent="0.25">
      <c r="A41" s="99" t="s">
        <v>61</v>
      </c>
      <c r="B41" s="99">
        <v>3767</v>
      </c>
      <c r="C41" s="99">
        <v>4127.5</v>
      </c>
      <c r="D41" s="99">
        <v>4241</v>
      </c>
      <c r="E41" s="99">
        <v>4360.5</v>
      </c>
    </row>
    <row r="42" spans="1:5" ht="12.5" x14ac:dyDescent="0.25">
      <c r="A42" s="99" t="s">
        <v>1</v>
      </c>
      <c r="B42" s="99">
        <v>84396.5</v>
      </c>
      <c r="C42" s="99">
        <v>82476.5</v>
      </c>
      <c r="D42" s="99">
        <v>82330</v>
      </c>
      <c r="E42" s="99">
        <v>83793</v>
      </c>
    </row>
    <row r="43" spans="1:5" ht="12.5" x14ac:dyDescent="0.25">
      <c r="A43" s="99" t="s">
        <v>62</v>
      </c>
      <c r="B43" s="99">
        <v>242.5</v>
      </c>
      <c r="C43" s="99">
        <v>232</v>
      </c>
      <c r="D43" s="99">
        <v>244.5</v>
      </c>
      <c r="E43" s="99">
        <v>241</v>
      </c>
    </row>
    <row r="44" spans="1:5" ht="12.5" x14ac:dyDescent="0.25">
      <c r="A44" s="99" t="s">
        <v>63</v>
      </c>
      <c r="B44" s="99">
        <v>57877.5</v>
      </c>
      <c r="C44" s="99">
        <v>58489.5</v>
      </c>
      <c r="D44" s="99">
        <v>59455.5</v>
      </c>
      <c r="E44" s="99">
        <v>60239.5</v>
      </c>
    </row>
    <row r="45" spans="1:5" ht="12.5" x14ac:dyDescent="0.25">
      <c r="A45" s="99" t="s">
        <v>64</v>
      </c>
      <c r="B45" s="99">
        <v>6025</v>
      </c>
      <c r="C45" s="99">
        <v>6165</v>
      </c>
      <c r="D45" s="99">
        <v>6343.5</v>
      </c>
      <c r="E45" s="99">
        <v>6425.5</v>
      </c>
    </row>
    <row r="46" spans="1:5" ht="12.5" x14ac:dyDescent="0.25">
      <c r="A46" s="99" t="s">
        <v>65</v>
      </c>
      <c r="B46" s="99">
        <v>2340.5</v>
      </c>
      <c r="C46" s="99">
        <v>2332.5</v>
      </c>
      <c r="D46" s="99">
        <v>2293.5</v>
      </c>
      <c r="E46" s="99">
        <v>2232</v>
      </c>
    </row>
    <row r="47" spans="1:5" ht="12.5" x14ac:dyDescent="0.25">
      <c r="A47" s="99" t="s">
        <v>66</v>
      </c>
      <c r="B47" s="99">
        <v>250</v>
      </c>
      <c r="C47" s="99">
        <v>291</v>
      </c>
      <c r="D47" s="99">
        <v>275</v>
      </c>
      <c r="E47" s="99">
        <v>255</v>
      </c>
    </row>
    <row r="48" spans="1:5" ht="12.5" x14ac:dyDescent="0.25">
      <c r="A48" s="99" t="s">
        <v>67</v>
      </c>
      <c r="B48" s="99">
        <v>299</v>
      </c>
      <c r="C48" s="99">
        <v>297</v>
      </c>
      <c r="D48" s="99">
        <v>329.5</v>
      </c>
      <c r="E48" s="99">
        <v>304</v>
      </c>
    </row>
    <row r="49" spans="1:5" ht="12.5" x14ac:dyDescent="0.25">
      <c r="A49" s="99" t="s">
        <v>68</v>
      </c>
      <c r="B49" s="99">
        <v>250</v>
      </c>
      <c r="C49" s="99">
        <v>256</v>
      </c>
      <c r="D49" s="99">
        <v>248.5</v>
      </c>
      <c r="E49" s="99">
        <v>254</v>
      </c>
    </row>
    <row r="50" spans="1:5" ht="12.5" x14ac:dyDescent="0.25">
      <c r="A50" s="99" t="s">
        <v>69</v>
      </c>
      <c r="B50" s="99">
        <v>73</v>
      </c>
      <c r="C50" s="99">
        <v>63</v>
      </c>
      <c r="D50" s="99">
        <v>69.5</v>
      </c>
      <c r="E50" s="99">
        <v>71.5</v>
      </c>
    </row>
    <row r="51" spans="1:5" ht="12.5" x14ac:dyDescent="0.25">
      <c r="A51" s="99" t="s">
        <v>70</v>
      </c>
      <c r="B51" s="99">
        <v>392</v>
      </c>
      <c r="C51" s="99">
        <v>415</v>
      </c>
      <c r="D51" s="99">
        <v>409.5</v>
      </c>
      <c r="E51" s="99">
        <v>426</v>
      </c>
    </row>
    <row r="52" spans="1:5" ht="12.5" x14ac:dyDescent="0.25">
      <c r="A52" s="99" t="s">
        <v>71</v>
      </c>
      <c r="B52" s="99">
        <v>11891</v>
      </c>
      <c r="C52" s="99">
        <v>12050</v>
      </c>
      <c r="D52" s="99">
        <v>12298.5</v>
      </c>
      <c r="E52" s="99">
        <v>12587</v>
      </c>
    </row>
    <row r="53" spans="1:5" ht="12.5" x14ac:dyDescent="0.25">
      <c r="A53" s="99" t="s">
        <v>72</v>
      </c>
      <c r="B53" s="99">
        <v>8667</v>
      </c>
      <c r="C53" s="99">
        <v>8756</v>
      </c>
      <c r="D53" s="99">
        <v>9225.5</v>
      </c>
      <c r="E53" s="99">
        <v>8981</v>
      </c>
    </row>
    <row r="54" spans="1:5" ht="12.5" x14ac:dyDescent="0.25">
      <c r="A54" s="99" t="s">
        <v>73</v>
      </c>
      <c r="B54" s="99">
        <v>7399</v>
      </c>
      <c r="C54" s="99">
        <v>7341</v>
      </c>
      <c r="D54" s="99">
        <v>7727</v>
      </c>
      <c r="E54" s="99">
        <v>7862.5</v>
      </c>
    </row>
    <row r="55" spans="1:5" ht="12.5" x14ac:dyDescent="0.25">
      <c r="A55" s="99" t="s">
        <v>74</v>
      </c>
      <c r="B55" s="99">
        <v>21443</v>
      </c>
      <c r="C55" s="99">
        <v>20943.5</v>
      </c>
      <c r="D55" s="99">
        <v>21009</v>
      </c>
      <c r="E55" s="99">
        <v>21479.5</v>
      </c>
    </row>
    <row r="56" spans="1:5" ht="12.5" x14ac:dyDescent="0.25">
      <c r="A56" s="99" t="s">
        <v>75</v>
      </c>
      <c r="B56" s="99">
        <v>3598.5</v>
      </c>
      <c r="C56" s="99">
        <v>3609.5</v>
      </c>
      <c r="D56" s="99">
        <v>3622.5</v>
      </c>
      <c r="E56" s="99">
        <v>3545</v>
      </c>
    </row>
    <row r="57" spans="1:5" ht="12.5" x14ac:dyDescent="0.25">
      <c r="A57" s="99" t="s">
        <v>76</v>
      </c>
      <c r="B57" s="99">
        <v>1113</v>
      </c>
      <c r="C57" s="99">
        <v>1207</v>
      </c>
      <c r="D57" s="99">
        <v>1286</v>
      </c>
      <c r="E57" s="99">
        <v>1295.5</v>
      </c>
    </row>
    <row r="58" spans="1:5" ht="12.5" x14ac:dyDescent="0.25">
      <c r="A58" s="99" t="s">
        <v>77</v>
      </c>
      <c r="B58" s="99">
        <v>24230</v>
      </c>
      <c r="C58" s="99">
        <v>24346</v>
      </c>
      <c r="D58" s="99">
        <v>24490.5</v>
      </c>
      <c r="E58" s="99">
        <v>24154.5</v>
      </c>
    </row>
    <row r="59" spans="1:5" ht="12.5" x14ac:dyDescent="0.25">
      <c r="A59" s="99" t="s">
        <v>78</v>
      </c>
      <c r="B59" s="99">
        <v>921.5</v>
      </c>
      <c r="C59" s="99">
        <v>884.5</v>
      </c>
      <c r="D59" s="99">
        <v>894</v>
      </c>
      <c r="E59" s="99">
        <v>891.5</v>
      </c>
    </row>
    <row r="60" spans="1:5" ht="12.5" x14ac:dyDescent="0.25">
      <c r="A60" s="99" t="s">
        <v>79</v>
      </c>
      <c r="B60" s="99">
        <v>529</v>
      </c>
      <c r="C60" s="99">
        <v>542</v>
      </c>
      <c r="D60" s="99">
        <v>566</v>
      </c>
      <c r="E60" s="99">
        <v>546.5</v>
      </c>
    </row>
    <row r="61" spans="1:5" ht="12.5" x14ac:dyDescent="0.25">
      <c r="A61" s="99" t="s">
        <v>80</v>
      </c>
      <c r="B61" s="99">
        <v>251</v>
      </c>
      <c r="C61" s="99">
        <v>253.5</v>
      </c>
      <c r="D61" s="99">
        <v>270</v>
      </c>
      <c r="E61" s="99">
        <v>258</v>
      </c>
    </row>
    <row r="62" spans="1:5" ht="12.5" x14ac:dyDescent="0.25">
      <c r="A62" s="99" t="s">
        <v>81</v>
      </c>
      <c r="B62" s="99">
        <v>6198.5</v>
      </c>
      <c r="C62" s="99">
        <v>6224.5</v>
      </c>
      <c r="D62" s="99">
        <v>6299.5</v>
      </c>
      <c r="E62" s="99">
        <v>6328.5</v>
      </c>
    </row>
    <row r="63" spans="1:5" ht="12.5" x14ac:dyDescent="0.25">
      <c r="A63" s="99" t="s">
        <v>82</v>
      </c>
      <c r="B63" s="99">
        <v>21041</v>
      </c>
      <c r="C63" s="99">
        <v>19735</v>
      </c>
      <c r="D63" s="99">
        <v>18861.5</v>
      </c>
      <c r="E63" s="99">
        <v>18568.5</v>
      </c>
    </row>
    <row r="64" spans="1:5" ht="12.5" x14ac:dyDescent="0.25">
      <c r="A64" s="99" t="s">
        <v>83</v>
      </c>
      <c r="B64" s="99">
        <v>64.5</v>
      </c>
      <c r="C64" s="99">
        <v>58</v>
      </c>
      <c r="D64" s="99">
        <v>75.5</v>
      </c>
      <c r="E64" s="99">
        <v>104</v>
      </c>
    </row>
    <row r="65" spans="1:5" ht="12.5" x14ac:dyDescent="0.25">
      <c r="A65" s="99" t="s">
        <v>84</v>
      </c>
      <c r="B65" s="99">
        <v>331.5</v>
      </c>
      <c r="C65" s="99">
        <v>360.5</v>
      </c>
      <c r="D65" s="99">
        <v>303</v>
      </c>
      <c r="E65" s="99">
        <v>288</v>
      </c>
    </row>
    <row r="66" spans="1:5" ht="12.5" x14ac:dyDescent="0.25">
      <c r="A66" s="99" t="s">
        <v>85</v>
      </c>
      <c r="B66" s="99">
        <v>3018.5</v>
      </c>
      <c r="C66" s="99">
        <v>3019.5</v>
      </c>
      <c r="D66" s="99">
        <v>3219</v>
      </c>
      <c r="E66" s="99">
        <v>3250</v>
      </c>
    </row>
    <row r="67" spans="1:5" ht="12.5" x14ac:dyDescent="0.25">
      <c r="A67" s="99" t="s">
        <v>86</v>
      </c>
      <c r="B67" s="99">
        <v>1190</v>
      </c>
      <c r="C67" s="99">
        <v>1251</v>
      </c>
      <c r="D67" s="99">
        <v>1303.5</v>
      </c>
      <c r="E67" s="99">
        <v>1341</v>
      </c>
    </row>
    <row r="68" spans="1:5" ht="12.5" x14ac:dyDescent="0.25">
      <c r="A68" s="99" t="s">
        <v>87</v>
      </c>
      <c r="B68" s="99">
        <v>144</v>
      </c>
      <c r="C68" s="99">
        <v>152</v>
      </c>
      <c r="D68" s="99">
        <v>175</v>
      </c>
      <c r="E68" s="99">
        <v>194</v>
      </c>
    </row>
    <row r="69" spans="1:5" ht="12.5" x14ac:dyDescent="0.25">
      <c r="A69" s="99" t="s">
        <v>88</v>
      </c>
      <c r="B69" s="99">
        <v>5632</v>
      </c>
      <c r="C69" s="99">
        <v>5653</v>
      </c>
      <c r="D69" s="99">
        <v>5661.5</v>
      </c>
      <c r="E69" s="99">
        <v>5572.5</v>
      </c>
    </row>
    <row r="70" spans="1:5" ht="12.5" x14ac:dyDescent="0.25">
      <c r="A70" s="99" t="s">
        <v>89</v>
      </c>
      <c r="B70" s="99">
        <v>4471</v>
      </c>
      <c r="C70" s="99">
        <v>4483</v>
      </c>
      <c r="D70" s="99">
        <v>4525</v>
      </c>
      <c r="E70" s="99">
        <v>4487</v>
      </c>
    </row>
    <row r="71" spans="1:5" ht="12.5" x14ac:dyDescent="0.25">
      <c r="A71" s="99" t="s">
        <v>90</v>
      </c>
      <c r="B71" s="99">
        <v>1151</v>
      </c>
      <c r="C71" s="99">
        <v>1106</v>
      </c>
      <c r="D71" s="99">
        <v>1123.5</v>
      </c>
      <c r="E71" s="99">
        <v>1138.5</v>
      </c>
    </row>
    <row r="72" spans="1:5" ht="12.5" x14ac:dyDescent="0.25">
      <c r="A72" s="99" t="s">
        <v>91</v>
      </c>
      <c r="B72" s="99">
        <v>355.5</v>
      </c>
      <c r="C72" s="99">
        <v>362</v>
      </c>
      <c r="D72" s="99">
        <v>379.5</v>
      </c>
      <c r="E72" s="99">
        <v>412.5</v>
      </c>
    </row>
    <row r="73" spans="1:5" ht="12.5" x14ac:dyDescent="0.25">
      <c r="A73" s="99" t="s">
        <v>92</v>
      </c>
      <c r="B73" s="99">
        <v>383</v>
      </c>
      <c r="C73" s="99">
        <v>410</v>
      </c>
      <c r="D73" s="99">
        <v>395.5</v>
      </c>
      <c r="E73" s="99">
        <v>398</v>
      </c>
    </row>
    <row r="74" spans="1:5" ht="12.5" x14ac:dyDescent="0.25">
      <c r="A74" s="99" t="s">
        <v>93</v>
      </c>
      <c r="B74" s="99">
        <v>1247.5</v>
      </c>
      <c r="C74" s="99">
        <v>1223</v>
      </c>
      <c r="D74" s="99">
        <v>1232</v>
      </c>
      <c r="E74" s="99">
        <v>1248.5</v>
      </c>
    </row>
    <row r="75" spans="1:5" ht="12.5" x14ac:dyDescent="0.25">
      <c r="A75" s="99" t="s">
        <v>94</v>
      </c>
      <c r="B75" s="99">
        <v>2017</v>
      </c>
      <c r="C75" s="99">
        <v>1985.5</v>
      </c>
      <c r="D75" s="99">
        <v>1990</v>
      </c>
      <c r="E75" s="99">
        <v>2006.5</v>
      </c>
    </row>
    <row r="76" spans="1:5" ht="12.5" x14ac:dyDescent="0.25">
      <c r="A76" s="99" t="s">
        <v>95</v>
      </c>
      <c r="B76" s="99">
        <v>67</v>
      </c>
      <c r="C76" s="99">
        <v>67</v>
      </c>
      <c r="D76" s="99">
        <v>72.5</v>
      </c>
      <c r="E76" s="99">
        <v>69</v>
      </c>
    </row>
    <row r="77" spans="1:5" ht="12.5" x14ac:dyDescent="0.25">
      <c r="A77" s="99" t="s">
        <v>96</v>
      </c>
      <c r="B77" s="99">
        <v>404</v>
      </c>
      <c r="C77" s="99">
        <v>439.5</v>
      </c>
      <c r="D77" s="99">
        <v>451</v>
      </c>
      <c r="E77" s="99">
        <v>466</v>
      </c>
    </row>
    <row r="78" spans="1:5" ht="12.5" x14ac:dyDescent="0.25">
      <c r="A78" s="99" t="s">
        <v>97</v>
      </c>
      <c r="B78" s="99">
        <v>224</v>
      </c>
      <c r="C78" s="99">
        <v>195</v>
      </c>
      <c r="D78" s="99">
        <v>217</v>
      </c>
      <c r="E78" s="99">
        <v>199</v>
      </c>
    </row>
    <row r="79" spans="1:5" ht="12.5" x14ac:dyDescent="0.25">
      <c r="A79" s="99" t="s">
        <v>98</v>
      </c>
      <c r="B79" s="99">
        <v>130</v>
      </c>
      <c r="C79" s="99">
        <v>139</v>
      </c>
      <c r="D79" s="99">
        <v>167.5</v>
      </c>
      <c r="E79" s="99">
        <v>153</v>
      </c>
    </row>
    <row r="80" spans="1:5" ht="12.5" x14ac:dyDescent="0.25">
      <c r="A80" s="99" t="s">
        <v>99</v>
      </c>
      <c r="B80" s="99">
        <v>70467</v>
      </c>
      <c r="C80" s="99">
        <v>71260.5</v>
      </c>
      <c r="D80" s="99">
        <v>72924.5</v>
      </c>
      <c r="E80" s="99">
        <v>73784</v>
      </c>
    </row>
    <row r="81" spans="1:5" ht="12.5" x14ac:dyDescent="0.25">
      <c r="A81" s="99" t="s">
        <v>100</v>
      </c>
      <c r="B81" s="99">
        <v>190</v>
      </c>
      <c r="C81" s="99">
        <v>192</v>
      </c>
      <c r="D81" s="99">
        <v>186</v>
      </c>
      <c r="E81" s="99">
        <v>187</v>
      </c>
    </row>
    <row r="82" spans="1:5" ht="12.5" x14ac:dyDescent="0.25">
      <c r="A82" s="99" t="s">
        <v>101</v>
      </c>
      <c r="B82" s="99">
        <v>27</v>
      </c>
      <c r="C82" s="99">
        <v>23</v>
      </c>
      <c r="D82" s="99">
        <v>35.5</v>
      </c>
      <c r="E82" s="99">
        <v>32.5</v>
      </c>
    </row>
    <row r="83" spans="1:5" ht="12.5" x14ac:dyDescent="0.25">
      <c r="A83" s="99" t="s">
        <v>102</v>
      </c>
      <c r="B83" s="99">
        <v>158.5</v>
      </c>
      <c r="C83" s="99">
        <v>151</v>
      </c>
      <c r="D83" s="99">
        <v>156.5</v>
      </c>
      <c r="E83" s="99">
        <v>125.5</v>
      </c>
    </row>
    <row r="84" spans="1:5" ht="12.5" x14ac:dyDescent="0.25">
      <c r="A84" s="99" t="s">
        <v>103</v>
      </c>
      <c r="B84" s="99">
        <v>92</v>
      </c>
      <c r="C84" s="99">
        <v>110</v>
      </c>
      <c r="D84" s="99">
        <v>119</v>
      </c>
      <c r="E84" s="99">
        <v>141.5</v>
      </c>
    </row>
    <row r="85" spans="1:5" ht="12.5" x14ac:dyDescent="0.25">
      <c r="A85" s="99" t="s">
        <v>104</v>
      </c>
      <c r="B85" s="99">
        <v>195.5</v>
      </c>
      <c r="C85" s="99">
        <v>201.5</v>
      </c>
      <c r="D85" s="99">
        <v>202.5</v>
      </c>
      <c r="E85" s="99">
        <v>209</v>
      </c>
    </row>
    <row r="86" spans="1:5" ht="12.5" x14ac:dyDescent="0.25">
      <c r="A86" s="99" t="s">
        <v>105</v>
      </c>
      <c r="B86" s="99">
        <v>90</v>
      </c>
      <c r="C86" s="99">
        <v>99</v>
      </c>
      <c r="D86" s="99">
        <v>101.5</v>
      </c>
      <c r="E86" s="99">
        <v>102</v>
      </c>
    </row>
    <row r="87" spans="1:5" ht="12.5" x14ac:dyDescent="0.25">
      <c r="A87" s="99" t="s">
        <v>106</v>
      </c>
      <c r="B87" s="99">
        <v>662</v>
      </c>
      <c r="C87" s="99">
        <v>691</v>
      </c>
      <c r="D87" s="99">
        <v>715.5</v>
      </c>
      <c r="E87" s="99">
        <v>687.5</v>
      </c>
    </row>
    <row r="88" spans="1:5" ht="12.5" x14ac:dyDescent="0.25">
      <c r="A88" s="99" t="s">
        <v>107</v>
      </c>
      <c r="B88" s="99">
        <v>855.5</v>
      </c>
      <c r="C88" s="99">
        <v>873</v>
      </c>
      <c r="D88" s="99">
        <v>900</v>
      </c>
      <c r="E88" s="99">
        <v>910.5</v>
      </c>
    </row>
    <row r="89" spans="1:5" ht="12.5" x14ac:dyDescent="0.25">
      <c r="A89" s="99" t="s">
        <v>108</v>
      </c>
      <c r="B89" s="99">
        <v>4231.5</v>
      </c>
      <c r="C89" s="99">
        <v>4272.5</v>
      </c>
      <c r="D89" s="99">
        <v>4395</v>
      </c>
      <c r="E89" s="99">
        <v>4431.5</v>
      </c>
    </row>
    <row r="90" spans="1:5" ht="12.5" x14ac:dyDescent="0.25">
      <c r="A90" s="99" t="s">
        <v>109</v>
      </c>
      <c r="B90" s="99">
        <v>1169</v>
      </c>
      <c r="C90" s="99">
        <v>1244.5</v>
      </c>
      <c r="D90" s="99">
        <v>1269</v>
      </c>
      <c r="E90" s="99">
        <v>1311.5</v>
      </c>
    </row>
    <row r="91" spans="1:5" ht="12.5" x14ac:dyDescent="0.25">
      <c r="A91" s="99" t="s">
        <v>110</v>
      </c>
      <c r="B91" s="99">
        <v>659</v>
      </c>
      <c r="C91" s="99">
        <v>701</v>
      </c>
      <c r="D91" s="99">
        <v>698</v>
      </c>
      <c r="E91" s="99">
        <v>688</v>
      </c>
    </row>
    <row r="92" spans="1:5" ht="12.5" x14ac:dyDescent="0.25">
      <c r="A92" s="99" t="s">
        <v>111</v>
      </c>
      <c r="B92" s="99">
        <v>28020.5</v>
      </c>
      <c r="C92" s="99">
        <v>28337.5</v>
      </c>
      <c r="D92" s="99">
        <v>28615</v>
      </c>
      <c r="E92" s="99">
        <v>28349</v>
      </c>
    </row>
    <row r="93" spans="1:5" ht="12.5" x14ac:dyDescent="0.25">
      <c r="A93" s="99" t="s">
        <v>112</v>
      </c>
      <c r="B93" s="99">
        <v>14006.5</v>
      </c>
      <c r="C93" s="99">
        <v>14308.5</v>
      </c>
      <c r="D93" s="99">
        <v>14617</v>
      </c>
      <c r="E93" s="99">
        <v>14746.5</v>
      </c>
    </row>
    <row r="94" spans="1:5" ht="12.5" x14ac:dyDescent="0.25">
      <c r="A94" s="99" t="s">
        <v>113</v>
      </c>
      <c r="B94" s="99">
        <v>869.5</v>
      </c>
      <c r="C94" s="99">
        <v>937</v>
      </c>
      <c r="D94" s="99">
        <v>983</v>
      </c>
      <c r="E94" s="99">
        <v>997</v>
      </c>
    </row>
    <row r="95" spans="1:5" ht="12.5" x14ac:dyDescent="0.25">
      <c r="A95" s="99" t="s">
        <v>114</v>
      </c>
      <c r="B95" s="99">
        <v>763</v>
      </c>
      <c r="C95" s="99">
        <v>740</v>
      </c>
      <c r="D95" s="99">
        <v>805</v>
      </c>
      <c r="E95" s="99">
        <v>783.5</v>
      </c>
    </row>
    <row r="96" spans="1:5" ht="12.5" x14ac:dyDescent="0.25">
      <c r="A96" s="99" t="s">
        <v>115</v>
      </c>
      <c r="B96" s="99">
        <v>199.5</v>
      </c>
      <c r="C96" s="99">
        <v>230.5</v>
      </c>
      <c r="D96" s="99">
        <v>238</v>
      </c>
      <c r="E96" s="99">
        <v>214.5</v>
      </c>
    </row>
    <row r="97" spans="1:5" ht="12.5" x14ac:dyDescent="0.25">
      <c r="A97" s="99" t="s">
        <v>116</v>
      </c>
      <c r="B97" s="99">
        <v>270</v>
      </c>
      <c r="C97" s="99">
        <v>290</v>
      </c>
      <c r="D97" s="99">
        <v>308</v>
      </c>
      <c r="E97" s="99">
        <v>314</v>
      </c>
    </row>
    <row r="98" spans="1:5" ht="12.5" x14ac:dyDescent="0.25">
      <c r="A98" s="99" t="s">
        <v>117</v>
      </c>
      <c r="B98" s="99">
        <v>115</v>
      </c>
      <c r="C98" s="99">
        <v>101</v>
      </c>
      <c r="D98" s="99">
        <v>107.5</v>
      </c>
      <c r="E98" s="99">
        <v>101.5</v>
      </c>
    </row>
    <row r="99" spans="1:5" ht="12.5" x14ac:dyDescent="0.25">
      <c r="A99" s="99" t="s">
        <v>118</v>
      </c>
      <c r="B99" s="99">
        <v>67</v>
      </c>
      <c r="C99" s="99">
        <v>73</v>
      </c>
      <c r="D99" s="99">
        <v>69</v>
      </c>
      <c r="E99" s="99">
        <v>83</v>
      </c>
    </row>
    <row r="100" spans="1:5" ht="12.5" x14ac:dyDescent="0.25">
      <c r="A100" s="99" t="s">
        <v>119</v>
      </c>
      <c r="B100" s="99">
        <v>22</v>
      </c>
      <c r="C100" s="99">
        <v>23.5</v>
      </c>
      <c r="D100" s="99">
        <v>29.5</v>
      </c>
      <c r="E100" s="99">
        <v>28</v>
      </c>
    </row>
    <row r="101" spans="1:5" ht="12.5" x14ac:dyDescent="0.25">
      <c r="A101" s="99" t="s">
        <v>120</v>
      </c>
      <c r="B101" s="99">
        <v>204</v>
      </c>
      <c r="C101" s="99">
        <v>205</v>
      </c>
      <c r="D101" s="99">
        <v>195.5</v>
      </c>
      <c r="E101" s="99">
        <v>188.5</v>
      </c>
    </row>
    <row r="102" spans="1:5" ht="12.5" x14ac:dyDescent="0.25">
      <c r="A102" s="99" t="s">
        <v>121</v>
      </c>
      <c r="B102" s="99">
        <v>450.5</v>
      </c>
      <c r="C102" s="99">
        <v>470.5</v>
      </c>
      <c r="D102" s="99">
        <v>467.5</v>
      </c>
      <c r="E102" s="99">
        <v>454</v>
      </c>
    </row>
    <row r="103" spans="1:5" ht="12.5" x14ac:dyDescent="0.25">
      <c r="A103" s="99" t="s">
        <v>122</v>
      </c>
      <c r="B103" s="99">
        <v>26.5</v>
      </c>
      <c r="C103" s="99">
        <v>29.5</v>
      </c>
      <c r="D103" s="99">
        <v>37</v>
      </c>
      <c r="E103" s="99">
        <v>36.5</v>
      </c>
    </row>
    <row r="104" spans="1:5" ht="12.5" x14ac:dyDescent="0.25">
      <c r="A104" s="99" t="s">
        <v>123</v>
      </c>
      <c r="B104" s="99">
        <v>1773</v>
      </c>
      <c r="C104" s="99">
        <v>1759</v>
      </c>
      <c r="D104" s="99">
        <v>1845</v>
      </c>
      <c r="E104" s="99">
        <v>1888</v>
      </c>
    </row>
    <row r="105" spans="1:5" ht="12.5" x14ac:dyDescent="0.25">
      <c r="A105" s="99" t="s">
        <v>124</v>
      </c>
      <c r="B105" s="99">
        <v>197.5</v>
      </c>
      <c r="C105" s="99">
        <v>201</v>
      </c>
      <c r="D105" s="99">
        <v>203.5</v>
      </c>
      <c r="E105" s="99">
        <v>197</v>
      </c>
    </row>
    <row r="106" spans="1:5" ht="12.5" x14ac:dyDescent="0.25">
      <c r="A106" s="99" t="s">
        <v>125</v>
      </c>
      <c r="B106" s="99">
        <v>314</v>
      </c>
      <c r="C106" s="99">
        <v>322.5</v>
      </c>
      <c r="D106" s="99">
        <v>316</v>
      </c>
      <c r="E106" s="99">
        <v>308.5</v>
      </c>
    </row>
    <row r="107" spans="1:5" ht="12.5" x14ac:dyDescent="0.25">
      <c r="A107" s="99" t="s">
        <v>126</v>
      </c>
      <c r="B107" s="99">
        <v>183</v>
      </c>
      <c r="C107" s="99">
        <v>182</v>
      </c>
      <c r="D107" s="99">
        <v>162</v>
      </c>
      <c r="E107" s="99">
        <v>142</v>
      </c>
    </row>
    <row r="108" spans="1:5" ht="12.5" x14ac:dyDescent="0.25">
      <c r="A108" s="99" t="s">
        <v>127</v>
      </c>
      <c r="B108" s="99">
        <v>170</v>
      </c>
      <c r="C108" s="99">
        <v>156</v>
      </c>
      <c r="D108" s="99">
        <v>157</v>
      </c>
      <c r="E108" s="99">
        <v>156</v>
      </c>
    </row>
    <row r="109" spans="1:5" ht="12.5" x14ac:dyDescent="0.25">
      <c r="A109" s="99" t="s">
        <v>128</v>
      </c>
      <c r="B109" s="99">
        <v>280.5</v>
      </c>
      <c r="C109" s="99">
        <v>287.5</v>
      </c>
      <c r="D109" s="99">
        <v>291.5</v>
      </c>
      <c r="E109" s="99">
        <v>287.5</v>
      </c>
    </row>
    <row r="110" spans="1:5" ht="12.5" x14ac:dyDescent="0.25">
      <c r="A110" s="99" t="s">
        <v>129</v>
      </c>
      <c r="B110" s="99">
        <v>18900.5</v>
      </c>
      <c r="C110" s="99">
        <v>19273</v>
      </c>
      <c r="D110" s="99">
        <v>19957.5</v>
      </c>
      <c r="E110" s="99">
        <v>20440</v>
      </c>
    </row>
    <row r="111" spans="1:5" ht="12.5" x14ac:dyDescent="0.25">
      <c r="A111" s="99" t="s">
        <v>130</v>
      </c>
      <c r="B111" s="99">
        <v>92</v>
      </c>
      <c r="C111" s="99">
        <v>95</v>
      </c>
      <c r="D111" s="99">
        <v>85</v>
      </c>
      <c r="E111" s="99">
        <v>79</v>
      </c>
    </row>
    <row r="112" spans="1:5" ht="12.5" x14ac:dyDescent="0.25">
      <c r="A112" s="99" t="s">
        <v>131</v>
      </c>
      <c r="B112" s="99">
        <v>1689</v>
      </c>
      <c r="C112" s="99">
        <v>1764</v>
      </c>
      <c r="D112" s="99">
        <v>1945</v>
      </c>
      <c r="E112" s="99">
        <v>1945</v>
      </c>
    </row>
    <row r="113" spans="1:5" ht="12.5" x14ac:dyDescent="0.25">
      <c r="A113" s="99" t="s">
        <v>132</v>
      </c>
      <c r="B113" s="99">
        <v>2308</v>
      </c>
      <c r="C113" s="99">
        <v>2394.5</v>
      </c>
      <c r="D113" s="99">
        <v>2362.5</v>
      </c>
      <c r="E113" s="99">
        <v>2491</v>
      </c>
    </row>
    <row r="114" spans="1:5" ht="12.5" x14ac:dyDescent="0.25">
      <c r="A114" s="99" t="s">
        <v>133</v>
      </c>
      <c r="B114" s="99">
        <v>598</v>
      </c>
      <c r="C114" s="99">
        <v>623</v>
      </c>
      <c r="D114" s="99">
        <v>631.5</v>
      </c>
      <c r="E114" s="99">
        <v>662.5</v>
      </c>
    </row>
    <row r="115" spans="1:5" ht="12.5" x14ac:dyDescent="0.25">
      <c r="A115" s="99" t="s">
        <v>134</v>
      </c>
      <c r="B115" s="99">
        <v>475</v>
      </c>
      <c r="C115" s="99">
        <v>485.5</v>
      </c>
      <c r="D115" s="99">
        <v>468</v>
      </c>
      <c r="E115" s="99">
        <v>454</v>
      </c>
    </row>
    <row r="116" spans="1:5" ht="12.5" x14ac:dyDescent="0.25">
      <c r="A116" s="99" t="s">
        <v>135</v>
      </c>
      <c r="B116" s="99">
        <v>5671</v>
      </c>
      <c r="C116" s="99">
        <v>5690.5</v>
      </c>
      <c r="D116" s="99">
        <v>5726</v>
      </c>
      <c r="E116" s="99">
        <v>5766</v>
      </c>
    </row>
    <row r="117" spans="1:5" ht="12.5" x14ac:dyDescent="0.25">
      <c r="A117" s="99" t="s">
        <v>136</v>
      </c>
      <c r="B117" s="99">
        <v>228</v>
      </c>
      <c r="C117" s="99">
        <v>228.5</v>
      </c>
      <c r="D117" s="99">
        <v>236</v>
      </c>
      <c r="E117" s="99">
        <v>237</v>
      </c>
    </row>
    <row r="118" spans="1:5" ht="12.5" x14ac:dyDescent="0.25">
      <c r="A118" s="99" t="s">
        <v>137</v>
      </c>
      <c r="B118" s="99">
        <v>1275.5</v>
      </c>
      <c r="C118" s="99">
        <v>1263.5</v>
      </c>
      <c r="D118" s="99">
        <v>1296.5</v>
      </c>
      <c r="E118" s="99">
        <v>1321</v>
      </c>
    </row>
    <row r="119" spans="1:5" ht="12.5" x14ac:dyDescent="0.25">
      <c r="A119" s="99" t="s">
        <v>138</v>
      </c>
      <c r="B119" s="99">
        <v>3255.5</v>
      </c>
      <c r="C119" s="99">
        <v>3230</v>
      </c>
      <c r="D119" s="99">
        <v>3203</v>
      </c>
      <c r="E119" s="99">
        <v>3212.5</v>
      </c>
    </row>
    <row r="120" spans="1:5" ht="12.5" x14ac:dyDescent="0.25">
      <c r="A120" s="99" t="s">
        <v>139</v>
      </c>
      <c r="B120" s="99">
        <v>198</v>
      </c>
      <c r="C120" s="99">
        <v>191</v>
      </c>
      <c r="D120" s="99">
        <v>208.5</v>
      </c>
      <c r="E120" s="99">
        <v>203.5</v>
      </c>
    </row>
    <row r="121" spans="1:5" ht="12.5" x14ac:dyDescent="0.25">
      <c r="A121" s="99" t="s">
        <v>140</v>
      </c>
      <c r="B121" s="99">
        <v>843</v>
      </c>
      <c r="C121" s="99">
        <v>817</v>
      </c>
      <c r="D121" s="99">
        <v>798</v>
      </c>
      <c r="E121" s="99">
        <v>764</v>
      </c>
    </row>
    <row r="122" spans="1:5" ht="12.5" x14ac:dyDescent="0.25">
      <c r="A122" s="99" t="s">
        <v>141</v>
      </c>
      <c r="B122" s="99">
        <v>1280.5</v>
      </c>
      <c r="C122" s="99">
        <v>1318.5</v>
      </c>
      <c r="D122" s="99">
        <v>1356.5</v>
      </c>
      <c r="E122" s="99">
        <v>1354</v>
      </c>
    </row>
    <row r="123" spans="1:5" ht="12.5" x14ac:dyDescent="0.25">
      <c r="A123" s="99" t="s">
        <v>142</v>
      </c>
      <c r="B123" s="99">
        <v>554</v>
      </c>
      <c r="C123" s="99">
        <v>589</v>
      </c>
      <c r="D123" s="99">
        <v>632</v>
      </c>
      <c r="E123" s="99">
        <v>679.5</v>
      </c>
    </row>
    <row r="124" spans="1:5" ht="12.5" x14ac:dyDescent="0.25">
      <c r="A124" s="99" t="s">
        <v>143</v>
      </c>
      <c r="B124" s="99">
        <v>174</v>
      </c>
      <c r="C124" s="99">
        <v>180.5</v>
      </c>
      <c r="D124" s="99">
        <v>163</v>
      </c>
      <c r="E124" s="99">
        <v>150</v>
      </c>
    </row>
    <row r="125" spans="1:5" ht="12.5" x14ac:dyDescent="0.25">
      <c r="A125" s="99" t="s">
        <v>144</v>
      </c>
      <c r="B125" s="99">
        <v>342</v>
      </c>
      <c r="C125" s="99">
        <v>355</v>
      </c>
      <c r="D125" s="99">
        <v>346.5</v>
      </c>
      <c r="E125" s="99">
        <v>367.5</v>
      </c>
    </row>
    <row r="126" spans="1:5" ht="12.5" x14ac:dyDescent="0.25">
      <c r="A126" s="99" t="s">
        <v>145</v>
      </c>
      <c r="B126" s="99">
        <v>200.5</v>
      </c>
      <c r="C126" s="99">
        <v>206.5</v>
      </c>
      <c r="D126" s="99">
        <v>218</v>
      </c>
      <c r="E126" s="99">
        <v>217</v>
      </c>
    </row>
    <row r="127" spans="1:5" ht="12.5" x14ac:dyDescent="0.25">
      <c r="A127" s="99" t="s">
        <v>146</v>
      </c>
      <c r="B127" s="99">
        <v>289.5</v>
      </c>
      <c r="C127" s="99">
        <v>301</v>
      </c>
      <c r="D127" s="99">
        <v>314</v>
      </c>
      <c r="E127" s="99">
        <v>311.5</v>
      </c>
    </row>
    <row r="128" spans="1:5" ht="12.5" x14ac:dyDescent="0.25">
      <c r="A128" s="99" t="s">
        <v>147</v>
      </c>
      <c r="B128" s="99">
        <v>166</v>
      </c>
      <c r="C128" s="99">
        <v>159</v>
      </c>
      <c r="D128" s="99">
        <v>160.5</v>
      </c>
      <c r="E128" s="99">
        <v>174</v>
      </c>
    </row>
    <row r="129" spans="1:5" ht="12.5" x14ac:dyDescent="0.25">
      <c r="A129" s="99" t="s">
        <v>148</v>
      </c>
      <c r="B129" s="99">
        <v>287</v>
      </c>
      <c r="C129" s="99">
        <v>296</v>
      </c>
      <c r="D129" s="99">
        <v>309.5</v>
      </c>
      <c r="E129" s="99">
        <v>310.5</v>
      </c>
    </row>
    <row r="130" spans="1:5" ht="12.5" x14ac:dyDescent="0.25">
      <c r="A130" s="99" t="s">
        <v>149</v>
      </c>
      <c r="B130" s="99">
        <v>634</v>
      </c>
      <c r="C130" s="99">
        <v>675</v>
      </c>
      <c r="D130" s="99">
        <v>729.5</v>
      </c>
      <c r="E130" s="99">
        <v>759</v>
      </c>
    </row>
    <row r="131" spans="1:5" ht="12.5" x14ac:dyDescent="0.25">
      <c r="A131" s="99" t="s">
        <v>150</v>
      </c>
      <c r="B131" s="99">
        <v>496</v>
      </c>
      <c r="C131" s="99">
        <v>510.5</v>
      </c>
      <c r="D131" s="99">
        <v>533.5</v>
      </c>
      <c r="E131" s="99">
        <v>525.5</v>
      </c>
    </row>
    <row r="132" spans="1:5" ht="12.5" x14ac:dyDescent="0.25">
      <c r="A132" s="99" t="s">
        <v>151</v>
      </c>
      <c r="B132" s="99">
        <v>508.5</v>
      </c>
      <c r="C132" s="99">
        <v>527</v>
      </c>
      <c r="D132" s="99">
        <v>556.5</v>
      </c>
      <c r="E132" s="99">
        <v>582</v>
      </c>
    </row>
    <row r="133" spans="1:5" ht="12.5" x14ac:dyDescent="0.25">
      <c r="A133" s="99" t="s">
        <v>152</v>
      </c>
      <c r="B133" s="99">
        <v>266.5</v>
      </c>
      <c r="C133" s="99">
        <v>281.5</v>
      </c>
      <c r="D133" s="99">
        <v>306.5</v>
      </c>
      <c r="E133" s="99">
        <v>311</v>
      </c>
    </row>
    <row r="134" spans="1:5" ht="12.5" x14ac:dyDescent="0.25">
      <c r="A134" s="99" t="s">
        <v>153</v>
      </c>
      <c r="B134" s="99">
        <v>1551.5</v>
      </c>
      <c r="C134" s="99">
        <v>1523</v>
      </c>
      <c r="D134" s="99">
        <v>1552.5</v>
      </c>
      <c r="E134" s="99">
        <v>1635.5</v>
      </c>
    </row>
    <row r="135" spans="1:5" ht="12.5" x14ac:dyDescent="0.25">
      <c r="A135" s="99" t="s">
        <v>154</v>
      </c>
      <c r="B135" s="99">
        <v>194</v>
      </c>
      <c r="C135" s="99">
        <v>189</v>
      </c>
      <c r="D135" s="99">
        <v>198</v>
      </c>
      <c r="E135" s="99">
        <v>181</v>
      </c>
    </row>
    <row r="136" spans="1:5" ht="12.5" x14ac:dyDescent="0.25">
      <c r="A136" s="99" t="s">
        <v>155</v>
      </c>
      <c r="B136" s="99">
        <v>1271</v>
      </c>
      <c r="C136" s="99">
        <v>1350</v>
      </c>
      <c r="D136" s="99">
        <v>1414</v>
      </c>
      <c r="E136" s="99">
        <v>1471</v>
      </c>
    </row>
    <row r="137" spans="1:5" ht="12.5" x14ac:dyDescent="0.25">
      <c r="A137" s="99" t="s">
        <v>156</v>
      </c>
      <c r="B137" s="99">
        <v>257</v>
      </c>
      <c r="C137" s="99">
        <v>246</v>
      </c>
      <c r="D137" s="99">
        <v>252.5</v>
      </c>
      <c r="E137" s="99">
        <v>247</v>
      </c>
    </row>
    <row r="138" spans="1:5" ht="12.5" x14ac:dyDescent="0.25">
      <c r="A138" s="99" t="s">
        <v>157</v>
      </c>
      <c r="B138" s="99">
        <v>245</v>
      </c>
      <c r="C138" s="99">
        <v>250</v>
      </c>
      <c r="D138" s="99">
        <v>248.5</v>
      </c>
      <c r="E138" s="99">
        <v>242.5</v>
      </c>
    </row>
    <row r="139" spans="1:5" ht="12.5" x14ac:dyDescent="0.25">
      <c r="A139" s="99" t="s">
        <v>158</v>
      </c>
      <c r="B139" s="99">
        <v>13446</v>
      </c>
      <c r="C139" s="99">
        <v>13862.5</v>
      </c>
      <c r="D139" s="99">
        <v>14340.5</v>
      </c>
      <c r="E139" s="99">
        <v>14421.5</v>
      </c>
    </row>
    <row r="140" spans="1:5" ht="12.5" x14ac:dyDescent="0.25">
      <c r="A140" s="99" t="s">
        <v>159</v>
      </c>
      <c r="B140" s="99">
        <v>9802</v>
      </c>
      <c r="C140" s="99">
        <v>10059</v>
      </c>
      <c r="D140" s="99">
        <v>10073.5</v>
      </c>
      <c r="E140" s="99">
        <v>10062.5</v>
      </c>
    </row>
    <row r="141" spans="1:5" ht="12.5" x14ac:dyDescent="0.25">
      <c r="A141" s="99" t="s">
        <v>160</v>
      </c>
      <c r="B141" s="99">
        <v>639.5</v>
      </c>
      <c r="C141" s="99">
        <v>686</v>
      </c>
      <c r="D141" s="99">
        <v>673.5</v>
      </c>
      <c r="E141" s="99">
        <v>681</v>
      </c>
    </row>
    <row r="142" spans="1:5" ht="12.5" x14ac:dyDescent="0.25">
      <c r="A142" s="99" t="s">
        <v>161</v>
      </c>
      <c r="B142" s="99">
        <v>457</v>
      </c>
      <c r="C142" s="99">
        <v>467.5</v>
      </c>
      <c r="D142" s="99">
        <v>457.5</v>
      </c>
      <c r="E142" s="99">
        <v>468</v>
      </c>
    </row>
    <row r="143" spans="1:5" ht="12.5" x14ac:dyDescent="0.25">
      <c r="A143" s="99" t="s">
        <v>162</v>
      </c>
      <c r="B143" s="99">
        <v>365</v>
      </c>
      <c r="C143" s="99">
        <v>373</v>
      </c>
      <c r="D143" s="99">
        <v>391.5</v>
      </c>
      <c r="E143" s="99">
        <v>406</v>
      </c>
    </row>
    <row r="144" spans="1:5" ht="12.5" x14ac:dyDescent="0.25">
      <c r="A144" s="99" t="s">
        <v>163</v>
      </c>
      <c r="B144" s="99">
        <v>882.5</v>
      </c>
      <c r="C144" s="99">
        <v>899</v>
      </c>
      <c r="D144" s="99">
        <v>896.5</v>
      </c>
      <c r="E144" s="99">
        <v>930</v>
      </c>
    </row>
    <row r="145" spans="1:5" ht="12.5" x14ac:dyDescent="0.25">
      <c r="A145" s="99" t="s">
        <v>164</v>
      </c>
      <c r="B145" s="99">
        <v>293</v>
      </c>
      <c r="C145" s="99">
        <v>296</v>
      </c>
      <c r="D145" s="99">
        <v>322</v>
      </c>
      <c r="E145" s="99">
        <v>329</v>
      </c>
    </row>
    <row r="146" spans="1:5" ht="12.5" x14ac:dyDescent="0.25">
      <c r="A146" s="99" t="s">
        <v>165</v>
      </c>
      <c r="B146" s="99">
        <v>417.5</v>
      </c>
      <c r="C146" s="99">
        <v>417.5</v>
      </c>
      <c r="D146" s="99">
        <v>424.5</v>
      </c>
      <c r="E146" s="99">
        <v>398.5</v>
      </c>
    </row>
    <row r="147" spans="1:5" ht="12.5" x14ac:dyDescent="0.25">
      <c r="A147" s="99" t="s">
        <v>166</v>
      </c>
      <c r="B147" s="99">
        <v>2460</v>
      </c>
      <c r="C147" s="99">
        <v>2509</v>
      </c>
      <c r="D147" s="99">
        <v>2592.5</v>
      </c>
      <c r="E147" s="99">
        <v>2589.5</v>
      </c>
    </row>
    <row r="148" spans="1:5" ht="12.5" x14ac:dyDescent="0.25">
      <c r="A148" s="99" t="s">
        <v>167</v>
      </c>
      <c r="B148" s="99">
        <v>297</v>
      </c>
      <c r="C148" s="99">
        <v>310.5</v>
      </c>
      <c r="D148" s="99">
        <v>316.5</v>
      </c>
      <c r="E148" s="99">
        <v>302</v>
      </c>
    </row>
    <row r="149" spans="1:5" ht="12.5" x14ac:dyDescent="0.25">
      <c r="A149" s="99" t="s">
        <v>168</v>
      </c>
      <c r="B149" s="99">
        <v>147.5</v>
      </c>
      <c r="C149" s="99">
        <v>174.5</v>
      </c>
      <c r="D149" s="99">
        <v>168.5</v>
      </c>
      <c r="E149" s="99">
        <v>145.5</v>
      </c>
    </row>
    <row r="150" spans="1:5" ht="12.5" x14ac:dyDescent="0.25">
      <c r="A150" s="99" t="s">
        <v>169</v>
      </c>
      <c r="B150" s="99">
        <v>193.5</v>
      </c>
      <c r="C150" s="99">
        <v>182</v>
      </c>
      <c r="D150" s="99">
        <v>166</v>
      </c>
      <c r="E150" s="99">
        <v>202</v>
      </c>
    </row>
    <row r="151" spans="1:5" ht="12.5" x14ac:dyDescent="0.25">
      <c r="A151" s="99" t="s">
        <v>170</v>
      </c>
      <c r="B151" s="99">
        <v>576</v>
      </c>
      <c r="C151" s="99">
        <v>569</v>
      </c>
      <c r="D151" s="99">
        <v>581</v>
      </c>
      <c r="E151" s="99">
        <v>582.5</v>
      </c>
    </row>
    <row r="152" spans="1:5" ht="12.5" x14ac:dyDescent="0.25">
      <c r="A152" s="99" t="s">
        <v>171</v>
      </c>
      <c r="B152" s="99">
        <v>72</v>
      </c>
      <c r="C152" s="99">
        <v>71</v>
      </c>
      <c r="D152" s="99">
        <v>80</v>
      </c>
      <c r="E152" s="99">
        <v>74</v>
      </c>
    </row>
    <row r="153" spans="1:5" ht="12.5" x14ac:dyDescent="0.25">
      <c r="A153" s="99" t="s">
        <v>172</v>
      </c>
      <c r="B153" s="99">
        <v>799</v>
      </c>
      <c r="C153" s="99">
        <v>801</v>
      </c>
      <c r="D153" s="99">
        <v>871</v>
      </c>
      <c r="E153" s="99">
        <v>879.5</v>
      </c>
    </row>
    <row r="154" spans="1:5" ht="12.5" x14ac:dyDescent="0.25">
      <c r="A154" s="99" t="s">
        <v>173</v>
      </c>
      <c r="B154" s="99">
        <v>170</v>
      </c>
      <c r="C154" s="99">
        <v>170</v>
      </c>
      <c r="D154" s="99">
        <v>165.5</v>
      </c>
      <c r="E154" s="99">
        <v>174.5</v>
      </c>
    </row>
    <row r="155" spans="1:5" ht="12.5" x14ac:dyDescent="0.25">
      <c r="A155" s="99" t="s">
        <v>174</v>
      </c>
      <c r="B155" s="99">
        <v>196.5</v>
      </c>
      <c r="C155" s="99">
        <v>216</v>
      </c>
      <c r="D155" s="99">
        <v>208.5</v>
      </c>
      <c r="E155" s="99">
        <v>210.5</v>
      </c>
    </row>
    <row r="156" spans="1:5" ht="12.5" x14ac:dyDescent="0.25">
      <c r="A156" s="99" t="s">
        <v>175</v>
      </c>
      <c r="B156" s="99">
        <v>130</v>
      </c>
      <c r="C156" s="99">
        <v>131</v>
      </c>
      <c r="D156" s="99">
        <v>114</v>
      </c>
      <c r="E156" s="99">
        <v>134.5</v>
      </c>
    </row>
    <row r="157" spans="1:5" ht="12.5" x14ac:dyDescent="0.25">
      <c r="A157" s="99" t="s">
        <v>176</v>
      </c>
      <c r="B157" s="99">
        <v>3294</v>
      </c>
      <c r="C157" s="99">
        <v>3409</v>
      </c>
      <c r="D157" s="99">
        <v>3486</v>
      </c>
      <c r="E157" s="99">
        <v>3492</v>
      </c>
    </row>
    <row r="158" spans="1:5" ht="12.5" x14ac:dyDescent="0.25">
      <c r="A158" s="99" t="s">
        <v>177</v>
      </c>
      <c r="B158" s="99">
        <v>276</v>
      </c>
      <c r="C158" s="99">
        <v>266.5</v>
      </c>
      <c r="D158" s="99">
        <v>286.5</v>
      </c>
      <c r="E158" s="99">
        <v>336</v>
      </c>
    </row>
    <row r="159" spans="1:5" ht="12.5" x14ac:dyDescent="0.25">
      <c r="A159" s="99" t="s">
        <v>178</v>
      </c>
      <c r="B159" s="99">
        <v>1684</v>
      </c>
      <c r="C159" s="99">
        <v>1815</v>
      </c>
      <c r="D159" s="99">
        <v>1944</v>
      </c>
      <c r="E159" s="99">
        <v>2023.5</v>
      </c>
    </row>
    <row r="160" spans="1:5" ht="12.5" x14ac:dyDescent="0.25">
      <c r="A160" s="99" t="s">
        <v>179</v>
      </c>
      <c r="B160" s="99">
        <v>395</v>
      </c>
      <c r="C160" s="99">
        <v>399</v>
      </c>
      <c r="D160" s="99">
        <v>415</v>
      </c>
      <c r="E160" s="99">
        <v>399.5</v>
      </c>
    </row>
    <row r="161" spans="1:5" ht="12.5" x14ac:dyDescent="0.25">
      <c r="A161" s="99" t="s">
        <v>180</v>
      </c>
      <c r="B161" s="99">
        <v>75</v>
      </c>
      <c r="C161" s="99">
        <v>82</v>
      </c>
      <c r="D161" s="99">
        <v>82</v>
      </c>
      <c r="E161" s="99">
        <v>86</v>
      </c>
    </row>
    <row r="162" spans="1:5" ht="12.5" x14ac:dyDescent="0.25">
      <c r="A162" s="99" t="s">
        <v>181</v>
      </c>
      <c r="B162" s="99">
        <v>178</v>
      </c>
      <c r="C162" s="99">
        <v>183</v>
      </c>
      <c r="D162" s="99">
        <v>188</v>
      </c>
      <c r="E162" s="99">
        <v>201</v>
      </c>
    </row>
    <row r="163" spans="1:5" ht="12.5" x14ac:dyDescent="0.25">
      <c r="A163" s="99" t="s">
        <v>182</v>
      </c>
      <c r="B163" s="99">
        <v>117</v>
      </c>
      <c r="C163" s="99">
        <v>124</v>
      </c>
      <c r="D163" s="99">
        <v>124</v>
      </c>
      <c r="E163" s="99">
        <v>125</v>
      </c>
    </row>
    <row r="164" spans="1:5" ht="12.5" x14ac:dyDescent="0.25">
      <c r="A164" s="99" t="s">
        <v>183</v>
      </c>
      <c r="B164" s="99">
        <v>71</v>
      </c>
      <c r="C164" s="99">
        <v>68</v>
      </c>
      <c r="D164" s="99">
        <v>72</v>
      </c>
      <c r="E164" s="99">
        <v>65</v>
      </c>
    </row>
    <row r="165" spans="1:5" ht="12.5" x14ac:dyDescent="0.25">
      <c r="A165" s="99" t="s">
        <v>184</v>
      </c>
      <c r="B165" s="99">
        <v>1639.5</v>
      </c>
      <c r="C165" s="99">
        <v>1691</v>
      </c>
      <c r="D165" s="99">
        <v>1752</v>
      </c>
      <c r="E165" s="99">
        <v>1785</v>
      </c>
    </row>
    <row r="166" spans="1:5" ht="12.5" x14ac:dyDescent="0.25">
      <c r="A166" s="99" t="s">
        <v>185</v>
      </c>
      <c r="B166" s="99">
        <v>2009</v>
      </c>
      <c r="C166" s="99">
        <v>2017</v>
      </c>
      <c r="D166" s="99">
        <v>1998.5</v>
      </c>
      <c r="E166" s="99">
        <v>1999.5</v>
      </c>
    </row>
    <row r="167" spans="1:5" ht="12.5" x14ac:dyDescent="0.25">
      <c r="A167" s="99" t="s">
        <v>186</v>
      </c>
      <c r="B167" s="99">
        <v>2481</v>
      </c>
      <c r="C167" s="99">
        <v>2536</v>
      </c>
      <c r="D167" s="99">
        <v>2612.5</v>
      </c>
      <c r="E167" s="99">
        <v>2534</v>
      </c>
    </row>
    <row r="168" spans="1:5" ht="12.5" x14ac:dyDescent="0.25">
      <c r="A168" s="99" t="s">
        <v>187</v>
      </c>
      <c r="B168" s="99">
        <v>8455.5</v>
      </c>
      <c r="C168" s="99">
        <v>8175.5</v>
      </c>
      <c r="D168" s="99">
        <v>7995.5</v>
      </c>
      <c r="E168" s="99">
        <v>7895.5</v>
      </c>
    </row>
    <row r="169" spans="1:5" ht="12.5" x14ac:dyDescent="0.25">
      <c r="A169" s="99" t="s">
        <v>188</v>
      </c>
      <c r="B169" s="99">
        <v>3910.5</v>
      </c>
      <c r="C169" s="99">
        <v>3824.5</v>
      </c>
      <c r="D169" s="99">
        <v>3731.5</v>
      </c>
      <c r="E169" s="99">
        <v>3662</v>
      </c>
    </row>
    <row r="170" spans="1:5" ht="12.5" x14ac:dyDescent="0.25">
      <c r="A170" s="99" t="s">
        <v>189</v>
      </c>
      <c r="B170" s="99">
        <v>22092.5</v>
      </c>
      <c r="C170" s="99">
        <v>21727</v>
      </c>
      <c r="D170" s="99">
        <v>21573.5</v>
      </c>
      <c r="E170" s="99">
        <v>21110.5</v>
      </c>
    </row>
    <row r="171" spans="1:5" ht="12.5" x14ac:dyDescent="0.25">
      <c r="A171" s="99" t="s">
        <v>190</v>
      </c>
      <c r="B171" s="99">
        <v>1111</v>
      </c>
      <c r="C171" s="99">
        <v>1082</v>
      </c>
      <c r="D171" s="99">
        <v>1104</v>
      </c>
      <c r="E171" s="99">
        <v>1090.5</v>
      </c>
    </row>
    <row r="172" spans="1:5" ht="12.5" x14ac:dyDescent="0.25">
      <c r="A172" s="99" t="s">
        <v>191</v>
      </c>
      <c r="B172" s="99">
        <v>2307.5</v>
      </c>
      <c r="C172" s="99">
        <v>2224.5</v>
      </c>
      <c r="D172" s="99">
        <v>2342</v>
      </c>
      <c r="E172" s="99">
        <v>2312.5</v>
      </c>
    </row>
    <row r="173" spans="1:5" ht="12.5" x14ac:dyDescent="0.25">
      <c r="A173" s="99" t="s">
        <v>192</v>
      </c>
      <c r="B173" s="99">
        <v>974.5</v>
      </c>
      <c r="C173" s="99">
        <v>956.5</v>
      </c>
      <c r="D173" s="99">
        <v>994.5</v>
      </c>
      <c r="E173" s="99">
        <v>1016.5</v>
      </c>
    </row>
    <row r="174" spans="1:5" ht="12.5" x14ac:dyDescent="0.25">
      <c r="A174" s="99" t="s">
        <v>193</v>
      </c>
      <c r="B174" s="99">
        <v>165.5</v>
      </c>
      <c r="C174" s="99">
        <v>164</v>
      </c>
      <c r="D174" s="99">
        <v>169.5</v>
      </c>
      <c r="E174" s="99">
        <v>179</v>
      </c>
    </row>
    <row r="175" spans="1:5" ht="12.5" x14ac:dyDescent="0.25">
      <c r="A175" s="99" t="s">
        <v>194</v>
      </c>
      <c r="B175" s="99">
        <v>151</v>
      </c>
      <c r="C175" s="99">
        <v>168</v>
      </c>
      <c r="D175" s="99">
        <v>179</v>
      </c>
      <c r="E175" s="99">
        <v>183</v>
      </c>
    </row>
    <row r="176" spans="1:5" ht="12.5" x14ac:dyDescent="0.25">
      <c r="A176" s="99" t="s">
        <v>195</v>
      </c>
      <c r="B176" s="99">
        <v>53</v>
      </c>
      <c r="C176" s="99">
        <v>58</v>
      </c>
      <c r="D176" s="99">
        <v>58</v>
      </c>
      <c r="E176" s="99">
        <v>59.5</v>
      </c>
    </row>
    <row r="177" spans="1:5" ht="12.5" x14ac:dyDescent="0.25">
      <c r="A177" s="99" t="s">
        <v>196</v>
      </c>
      <c r="B177" s="99">
        <v>759.5</v>
      </c>
      <c r="C177" s="99">
        <v>785</v>
      </c>
      <c r="D177" s="99">
        <v>832.5</v>
      </c>
      <c r="E177" s="99">
        <v>818.5</v>
      </c>
    </row>
    <row r="178" spans="1:5" ht="12.5" x14ac:dyDescent="0.25">
      <c r="A178" s="99" t="s">
        <v>197</v>
      </c>
      <c r="B178" s="99">
        <v>690.5</v>
      </c>
      <c r="C178" s="99">
        <v>691.5</v>
      </c>
      <c r="D178" s="99">
        <v>689</v>
      </c>
      <c r="E178" s="99">
        <v>700.5</v>
      </c>
    </row>
    <row r="179" spans="1:5" ht="12.5" x14ac:dyDescent="0.25">
      <c r="A179" s="99" t="s">
        <v>198</v>
      </c>
      <c r="B179" s="99">
        <v>134</v>
      </c>
      <c r="C179" s="99">
        <v>147</v>
      </c>
      <c r="D179" s="99">
        <v>156</v>
      </c>
      <c r="E179" s="99">
        <v>172.5</v>
      </c>
    </row>
    <row r="180" spans="1:5" ht="12.5" x14ac:dyDescent="0.25">
      <c r="A180" s="99" t="s">
        <v>199</v>
      </c>
      <c r="B180" s="99">
        <v>65</v>
      </c>
      <c r="C180" s="99">
        <v>57.5</v>
      </c>
      <c r="D180" s="99">
        <v>57.5</v>
      </c>
      <c r="E180" s="99">
        <v>53.5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Charter School Funding Model</vt:lpstr>
      <vt:lpstr>New Formula with HB25-1320</vt:lpstr>
      <vt:lpstr>FY26SFA1994</vt:lpstr>
      <vt:lpstr>DistCalc</vt:lpstr>
      <vt:lpstr>OldFormDistCalc</vt:lpstr>
      <vt:lpstr>PriorYR_FTE2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dcterms:created xsi:type="dcterms:W3CDTF">2025-07-14T22:26:17Z</dcterms:created>
  <dcterms:modified xsi:type="dcterms:W3CDTF">2025-07-24T21:01:53Z</dcterms:modified>
</cp:coreProperties>
</file>